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drawings/drawing4.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drawings/drawing6.xml" ContentType="application/vnd.openxmlformats-officedocument.drawing+xml"/>
  <Override PartName="/xl/comments3.xml" ContentType="application/vnd.openxmlformats-officedocument.spreadsheetml.comments+xml"/>
  <Override PartName="/xl/charts/chart10.xml" ContentType="application/vnd.openxmlformats-officedocument.drawingml.chart+xml"/>
  <Override PartName="/xl/drawings/drawing7.xml" ContentType="application/vnd.openxmlformats-officedocument.drawing+xml"/>
  <Override PartName="/xl/comments4.xml" ContentType="application/vnd.openxmlformats-officedocument.spreadsheetml.comments+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8.xml" ContentType="application/vnd.openxmlformats-officedocument.drawing+xml"/>
  <Override PartName="/xl/comments5.xml" ContentType="application/vnd.openxmlformats-officedocument.spreadsheetml.comments+xml"/>
  <Override PartName="/xl/charts/chart14.xml" ContentType="application/vnd.openxmlformats-officedocument.drawingml.chart+xml"/>
  <Override PartName="/xl/drawings/drawing9.xml" ContentType="application/vnd.openxmlformats-officedocument.drawing+xml"/>
  <Override PartName="/xl/comments6.xml" ContentType="application/vnd.openxmlformats-officedocument.spreadsheetml.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10.xml" ContentType="application/vnd.openxmlformats-officedocument.drawing+xml"/>
  <Override PartName="/xl/charts/chart18.xml" ContentType="application/vnd.openxmlformats-officedocument.drawingml.chart+xml"/>
  <Override PartName="/xl/drawings/drawing11.xml" ContentType="application/vnd.openxmlformats-officedocument.drawing+xml"/>
  <Override PartName="/xl/charts/chart19.xml" ContentType="application/vnd.openxmlformats-officedocument.drawingml.chart+xml"/>
  <Override PartName="/xl/drawings/drawing12.xml" ContentType="application/vnd.openxmlformats-officedocument.drawing+xml"/>
  <Override PartName="/xl/comments7.xml" ContentType="application/vnd.openxmlformats-officedocument.spreadsheetml.comments+xml"/>
  <Override PartName="/xl/charts/chart20.xml" ContentType="application/vnd.openxmlformats-officedocument.drawingml.chart+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4" ContentType="application/binary"/>
  <Override PartName="/xl/commentsmeta3" ContentType="application/binary"/>
  <Override PartName="/xl/commentsmeta5"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bamba\skripte\corona_sim\"/>
    </mc:Choice>
  </mc:AlternateContent>
  <bookViews>
    <workbookView xWindow="0" yWindow="0" windowWidth="23040" windowHeight="9336" tabRatio="870"/>
  </bookViews>
  <sheets>
    <sheet name="sazetak" sheetId="1" r:id="rId1"/>
    <sheet name="bdp" sheetId="2" r:id="rId2"/>
    <sheet name="nezaposlenost" sheetId="3" r:id="rId3"/>
    <sheet name="place" sheetId="4" r:id="rId4"/>
    <sheet name="vanjski_sektor" sheetId="5" r:id="rId5"/>
    <sheet name="krediti" sheetId="6" r:id="rId6"/>
    <sheet name="inflacija" sheetId="7" r:id="rId7"/>
    <sheet name="nekretnine" sheetId="8" r:id="rId8"/>
    <sheet name="javne_financije" sheetId="9" r:id="rId9"/>
    <sheet name="prinos" sheetId="10" r:id="rId10"/>
    <sheet name="kstope" sheetId="11" r:id="rId11"/>
    <sheet name="tecaj" sheetId="12" r:id="rId12"/>
    <sheet name="dionice" sheetId="13" r:id="rId13"/>
  </sheets>
  <definedNames>
    <definedName name="goods">vanjski_sektor!$A$100:$AN$133</definedName>
    <definedName name="international_reserves">vanjski_sektor!$BQ$1:$BS$110</definedName>
    <definedName name="javni_deficit">javne_financije!$AG$5:$AJ$24</definedName>
    <definedName name="javni_dug">javne_financije!$AS$4:$BA$31</definedName>
    <definedName name="primary_income">vanjski_sektor!$BE$1:$BK$82</definedName>
    <definedName name="secondary_income">vanjski_sektor!$BM$1:$BQ$82</definedName>
    <definedName name="services">vanjski_sektor!$AC$2:$BC$82</definedName>
  </definedNames>
  <calcPr calcId="162913"/>
  <extLst>
    <ext uri="GoogleSheetsCustomDataVersion1">
      <go:sheetsCustomData xmlns:go="http://customooxmlschemas.google.com/" r:id="rId18" roundtripDataSignature="AMtx7mjU+iEd2EgX8xupYHwzDSxv3bWmrw=="/>
    </ext>
  </extLst>
</workbook>
</file>

<file path=xl/calcChain.xml><?xml version="1.0" encoding="utf-8"?>
<calcChain xmlns="http://schemas.openxmlformats.org/spreadsheetml/2006/main">
  <c r="Q3" i="13" l="1"/>
  <c r="Q4" i="13"/>
  <c r="Q5" i="13"/>
  <c r="Q6" i="13"/>
  <c r="Q7" i="13"/>
  <c r="Q8" i="13"/>
  <c r="Q9" i="13"/>
  <c r="Q10" i="13"/>
  <c r="Q11" i="13"/>
  <c r="Q12" i="13"/>
  <c r="Q13" i="13"/>
  <c r="Q14" i="13"/>
  <c r="Q15" i="13"/>
  <c r="Q16" i="13"/>
  <c r="Q17" i="13"/>
  <c r="Q18" i="13"/>
  <c r="Q19" i="13"/>
  <c r="Q20" i="13"/>
  <c r="Q21" i="13"/>
  <c r="Q22" i="13"/>
  <c r="Q23" i="13"/>
  <c r="Q24" i="13"/>
  <c r="Q25" i="13"/>
  <c r="Q26" i="13"/>
  <c r="Q27" i="13"/>
  <c r="Q28" i="13"/>
  <c r="Q29" i="13"/>
  <c r="Q30" i="13"/>
  <c r="Q31" i="13"/>
  <c r="Q32" i="13"/>
  <c r="Q33" i="13"/>
  <c r="Q34" i="13"/>
  <c r="Q35" i="13"/>
  <c r="Q36" i="13"/>
  <c r="Q37" i="13"/>
  <c r="Q38" i="13"/>
  <c r="Q39" i="13"/>
  <c r="Q40" i="13"/>
  <c r="Q41" i="13"/>
  <c r="Q42" i="13"/>
  <c r="Q43" i="13"/>
  <c r="Q44" i="13"/>
  <c r="Q45" i="13"/>
  <c r="Q46" i="13"/>
  <c r="Q47" i="13"/>
  <c r="Q48" i="13"/>
  <c r="Q49" i="13"/>
  <c r="Q50" i="13"/>
  <c r="Q51" i="13"/>
  <c r="Q52" i="13"/>
  <c r="Q53" i="13"/>
  <c r="Q54" i="13"/>
  <c r="Q55" i="13"/>
  <c r="Q56" i="13"/>
  <c r="Q57" i="13"/>
  <c r="Q58" i="13"/>
  <c r="Q59" i="13"/>
  <c r="Q60" i="13"/>
  <c r="Q61" i="13"/>
  <c r="Q62" i="13"/>
  <c r="Q63" i="13"/>
  <c r="Q64" i="13"/>
  <c r="Q65" i="13"/>
  <c r="Q66" i="13"/>
  <c r="Q67" i="13"/>
  <c r="Q68" i="13"/>
  <c r="Q69" i="13"/>
  <c r="Q70" i="13"/>
  <c r="Q71" i="13"/>
  <c r="Q72" i="13"/>
  <c r="Q73" i="13"/>
  <c r="Q74" i="13"/>
  <c r="Q75" i="13"/>
  <c r="Q76" i="13"/>
  <c r="Q77" i="13"/>
  <c r="Q78" i="13"/>
  <c r="Q79" i="13"/>
  <c r="Q80" i="13"/>
  <c r="Q81" i="13"/>
  <c r="Q82" i="13"/>
  <c r="Q83" i="13"/>
  <c r="Q84" i="13"/>
  <c r="Q85" i="13"/>
  <c r="Q86" i="13"/>
  <c r="Q87" i="13"/>
  <c r="Q88" i="13"/>
  <c r="Q89" i="13"/>
  <c r="Q90" i="13"/>
  <c r="Q91" i="13"/>
  <c r="Q92" i="13"/>
  <c r="Q93" i="13"/>
  <c r="Q94" i="13"/>
  <c r="Q95" i="13"/>
  <c r="Q96" i="13"/>
  <c r="Q97" i="13"/>
  <c r="Q98" i="13"/>
  <c r="Q99" i="13"/>
  <c r="Q100" i="13"/>
  <c r="Q101" i="13"/>
  <c r="Q102" i="13"/>
  <c r="Q103" i="13"/>
  <c r="Q104" i="13"/>
  <c r="Q105" i="13"/>
  <c r="Q106" i="13"/>
  <c r="Q107" i="13"/>
  <c r="Q108" i="13"/>
  <c r="Q109" i="13"/>
  <c r="Q110" i="13"/>
  <c r="Q111" i="13"/>
  <c r="Q112" i="13"/>
  <c r="Q113" i="13"/>
  <c r="Q114" i="13"/>
  <c r="Q115" i="13"/>
  <c r="Q116" i="13"/>
  <c r="Q117" i="13"/>
  <c r="Q118" i="13"/>
  <c r="Q119" i="13"/>
  <c r="Q120" i="13"/>
  <c r="Q121" i="13"/>
  <c r="Q122" i="13"/>
  <c r="Q123" i="13"/>
  <c r="Q124" i="13"/>
  <c r="Q125" i="13"/>
  <c r="Q126" i="13"/>
  <c r="Q127" i="13"/>
  <c r="Q128" i="13"/>
  <c r="Q129" i="13"/>
  <c r="Q130" i="13"/>
  <c r="Q131" i="13"/>
  <c r="Q132" i="13"/>
  <c r="Q133" i="13"/>
  <c r="Q134" i="13"/>
  <c r="Q135" i="13"/>
  <c r="Q136" i="13"/>
  <c r="Q137" i="13"/>
  <c r="Q138" i="13"/>
  <c r="Q139" i="13"/>
  <c r="Q140" i="13"/>
  <c r="Q141" i="13"/>
  <c r="Q142" i="13"/>
  <c r="Q143" i="13"/>
  <c r="Q144" i="13"/>
  <c r="Q145" i="13"/>
  <c r="Q146" i="13"/>
  <c r="Q147" i="13"/>
  <c r="Q148" i="13"/>
  <c r="Q149" i="13"/>
  <c r="Q150" i="13"/>
  <c r="Q151" i="13"/>
  <c r="Q152" i="13"/>
  <c r="Q153" i="13"/>
  <c r="Q154" i="13"/>
  <c r="Q155" i="13"/>
  <c r="Q156" i="13"/>
  <c r="Q157" i="13"/>
  <c r="Q158" i="13"/>
  <c r="Q159" i="13"/>
  <c r="Q2" i="13"/>
  <c r="N159" i="13"/>
  <c r="M159" i="13"/>
  <c r="N158" i="13"/>
  <c r="M158" i="13"/>
  <c r="N157" i="13"/>
  <c r="M157" i="13"/>
  <c r="K157" i="13"/>
  <c r="N156" i="13"/>
  <c r="M156" i="13"/>
  <c r="N155" i="13"/>
  <c r="M155" i="13"/>
  <c r="N154" i="13"/>
  <c r="M154" i="13"/>
  <c r="N153" i="13"/>
  <c r="M153" i="13"/>
  <c r="N152" i="13"/>
  <c r="M152" i="13"/>
  <c r="L151" i="13"/>
  <c r="K151" i="13"/>
  <c r="L150" i="13"/>
  <c r="K150" i="13"/>
  <c r="L149" i="13"/>
  <c r="K149" i="13"/>
  <c r="L148" i="13"/>
  <c r="K148" i="13"/>
  <c r="L147" i="13"/>
  <c r="K147" i="13"/>
  <c r="L146" i="13"/>
  <c r="K146" i="13"/>
  <c r="L145" i="13"/>
  <c r="K145" i="13"/>
  <c r="L144" i="13"/>
  <c r="K144" i="13"/>
  <c r="L143" i="13"/>
  <c r="K143" i="13"/>
  <c r="L142" i="13"/>
  <c r="K142" i="13"/>
  <c r="L141" i="13"/>
  <c r="K141" i="13"/>
  <c r="L140" i="13"/>
  <c r="K140" i="13"/>
  <c r="L139" i="13"/>
  <c r="K139" i="13"/>
  <c r="L138" i="13"/>
  <c r="K138" i="13"/>
  <c r="L137" i="13"/>
  <c r="K137" i="13"/>
  <c r="L136" i="13"/>
  <c r="K136" i="13"/>
  <c r="L135" i="13"/>
  <c r="K135" i="13"/>
  <c r="L134" i="13"/>
  <c r="K134" i="13"/>
  <c r="L133" i="13"/>
  <c r="K133" i="13"/>
  <c r="L132" i="13"/>
  <c r="K132" i="13"/>
  <c r="L131" i="13"/>
  <c r="K131" i="13"/>
  <c r="L130" i="13"/>
  <c r="K130" i="13"/>
  <c r="L129" i="13"/>
  <c r="K129" i="13"/>
  <c r="L128" i="13"/>
  <c r="K128" i="13"/>
  <c r="L127" i="13"/>
  <c r="K127" i="13"/>
  <c r="L126" i="13"/>
  <c r="K126" i="13"/>
  <c r="L125" i="13"/>
  <c r="K125" i="13"/>
  <c r="L124" i="13"/>
  <c r="K124" i="13"/>
  <c r="L123" i="13"/>
  <c r="K123" i="13"/>
  <c r="L122" i="13"/>
  <c r="K122" i="13"/>
  <c r="L121" i="13"/>
  <c r="K121" i="13"/>
  <c r="L120" i="13"/>
  <c r="K120" i="13"/>
  <c r="L119" i="13"/>
  <c r="K119" i="13"/>
  <c r="L118" i="13"/>
  <c r="K118" i="13"/>
  <c r="L117" i="13"/>
  <c r="K117" i="13"/>
  <c r="L116" i="13"/>
  <c r="K116" i="13"/>
  <c r="L115" i="13"/>
  <c r="K115" i="13"/>
  <c r="L114" i="13"/>
  <c r="K114" i="13"/>
  <c r="L113" i="13"/>
  <c r="K113" i="13"/>
  <c r="L112" i="13"/>
  <c r="K112" i="13"/>
  <c r="L111" i="13"/>
  <c r="K111" i="13"/>
  <c r="L110" i="13"/>
  <c r="K110" i="13"/>
  <c r="L109" i="13"/>
  <c r="K109" i="13"/>
  <c r="L108" i="13"/>
  <c r="K108" i="13"/>
  <c r="L107" i="13"/>
  <c r="K107" i="13"/>
  <c r="L106" i="13"/>
  <c r="K106" i="13"/>
  <c r="L105" i="13"/>
  <c r="K105" i="13"/>
  <c r="L104" i="13"/>
  <c r="K104" i="13"/>
  <c r="L103" i="13"/>
  <c r="K103" i="13"/>
  <c r="L102" i="13"/>
  <c r="K102" i="13"/>
  <c r="L101" i="13"/>
  <c r="K101" i="13"/>
  <c r="L100" i="13"/>
  <c r="K100" i="13"/>
  <c r="L99" i="13"/>
  <c r="K99" i="13"/>
  <c r="L98" i="13"/>
  <c r="K98" i="13"/>
  <c r="L97" i="13"/>
  <c r="K97" i="13"/>
  <c r="L96" i="13"/>
  <c r="K96" i="13"/>
  <c r="L95" i="13"/>
  <c r="K95" i="13"/>
  <c r="L94" i="13"/>
  <c r="K94" i="13"/>
  <c r="L93" i="13"/>
  <c r="K93" i="13"/>
  <c r="L92" i="13"/>
  <c r="K92" i="13"/>
  <c r="L91" i="13"/>
  <c r="K91" i="13"/>
  <c r="L90" i="13"/>
  <c r="K90" i="13"/>
  <c r="L89" i="13"/>
  <c r="K89" i="13"/>
  <c r="L88" i="13"/>
  <c r="K88" i="13"/>
  <c r="L87" i="13"/>
  <c r="K87" i="13"/>
  <c r="L86" i="13"/>
  <c r="K86" i="13"/>
  <c r="L85" i="13"/>
  <c r="K85" i="13"/>
  <c r="L84" i="13"/>
  <c r="K84" i="13"/>
  <c r="L83" i="13"/>
  <c r="K83" i="13"/>
  <c r="L82" i="13"/>
  <c r="K82" i="13"/>
  <c r="L81" i="13"/>
  <c r="K81" i="13"/>
  <c r="L80" i="13"/>
  <c r="K80" i="13"/>
  <c r="L79" i="13"/>
  <c r="K79" i="13"/>
  <c r="L78" i="13"/>
  <c r="K78" i="13"/>
  <c r="L77" i="13"/>
  <c r="K77" i="13"/>
  <c r="L76" i="13"/>
  <c r="K76" i="13"/>
  <c r="L75" i="13"/>
  <c r="K75" i="13"/>
  <c r="L74" i="13"/>
  <c r="K74" i="13"/>
  <c r="L73" i="13"/>
  <c r="K73" i="13"/>
  <c r="L72" i="13"/>
  <c r="K72" i="13"/>
  <c r="L71" i="13"/>
  <c r="K71" i="13"/>
  <c r="L70" i="13"/>
  <c r="K70" i="13"/>
  <c r="L69" i="13"/>
  <c r="K69" i="13"/>
  <c r="L68" i="13"/>
  <c r="K68" i="13"/>
  <c r="L67" i="13"/>
  <c r="K67" i="13"/>
  <c r="L66" i="13"/>
  <c r="K66" i="13"/>
  <c r="L65" i="13"/>
  <c r="K65" i="13"/>
  <c r="L64" i="13"/>
  <c r="K64" i="13"/>
  <c r="L63" i="13"/>
  <c r="K63" i="13"/>
  <c r="L62" i="13"/>
  <c r="K62" i="13"/>
  <c r="L61" i="13"/>
  <c r="K61" i="13"/>
  <c r="L60" i="13"/>
  <c r="K60" i="13"/>
  <c r="L59" i="13"/>
  <c r="K59" i="13"/>
  <c r="L58" i="13"/>
  <c r="K58" i="13"/>
  <c r="L57" i="13"/>
  <c r="K57" i="13"/>
  <c r="L56" i="13"/>
  <c r="K56" i="13"/>
  <c r="L55" i="13"/>
  <c r="K55" i="13"/>
  <c r="L54" i="13"/>
  <c r="K54" i="13"/>
  <c r="L53" i="13"/>
  <c r="K53" i="13"/>
  <c r="L52" i="13"/>
  <c r="K52" i="13"/>
  <c r="L51" i="13"/>
  <c r="K51" i="13"/>
  <c r="L50" i="13"/>
  <c r="K50" i="13"/>
  <c r="L49" i="13"/>
  <c r="K49" i="13"/>
  <c r="L48" i="13"/>
  <c r="K48" i="13"/>
  <c r="L47" i="13"/>
  <c r="K47" i="13"/>
  <c r="L46" i="13"/>
  <c r="K46" i="13"/>
  <c r="L45" i="13"/>
  <c r="K45" i="13"/>
  <c r="L44" i="13"/>
  <c r="K44" i="13"/>
  <c r="L43" i="13"/>
  <c r="K43" i="13"/>
  <c r="L42" i="13"/>
  <c r="K42" i="13"/>
  <c r="L41" i="13"/>
  <c r="K41" i="13"/>
  <c r="L40" i="13"/>
  <c r="K40" i="13"/>
  <c r="L39" i="13"/>
  <c r="K39" i="13"/>
  <c r="L38" i="13"/>
  <c r="K38" i="13"/>
  <c r="L37" i="13"/>
  <c r="K37" i="13"/>
  <c r="L36" i="13"/>
  <c r="K36" i="13"/>
  <c r="L35" i="13"/>
  <c r="K35" i="13"/>
  <c r="L34" i="13"/>
  <c r="K34" i="13"/>
  <c r="L33" i="13"/>
  <c r="K33" i="13"/>
  <c r="L32" i="13"/>
  <c r="K32" i="13"/>
  <c r="L31" i="13"/>
  <c r="K31" i="13"/>
  <c r="L30" i="13"/>
  <c r="K30" i="13"/>
  <c r="L29" i="13"/>
  <c r="K29" i="13"/>
  <c r="L28" i="13"/>
  <c r="K28" i="13"/>
  <c r="L27" i="13"/>
  <c r="K27" i="13"/>
  <c r="L26" i="13"/>
  <c r="K26" i="13"/>
  <c r="L25" i="13"/>
  <c r="K25" i="13"/>
  <c r="L24" i="13"/>
  <c r="L159" i="13" s="1"/>
  <c r="K24" i="13"/>
  <c r="K159" i="13" s="1"/>
  <c r="L23" i="13"/>
  <c r="L158" i="13" s="1"/>
  <c r="K23" i="13"/>
  <c r="K158" i="13" s="1"/>
  <c r="L22" i="13"/>
  <c r="L157" i="13" s="1"/>
  <c r="K22" i="13"/>
  <c r="L21" i="13"/>
  <c r="L156" i="13" s="1"/>
  <c r="K21" i="13"/>
  <c r="K156" i="13" s="1"/>
  <c r="L20" i="13"/>
  <c r="L155" i="13" s="1"/>
  <c r="K20" i="13"/>
  <c r="K155" i="13" s="1"/>
  <c r="L19" i="13"/>
  <c r="L154" i="13" s="1"/>
  <c r="K19" i="13"/>
  <c r="K154" i="13" s="1"/>
  <c r="L18" i="13"/>
  <c r="L153" i="13" s="1"/>
  <c r="K18" i="13"/>
  <c r="K153" i="13" s="1"/>
  <c r="L17" i="13"/>
  <c r="L152" i="13" s="1"/>
  <c r="G152" i="13" s="1"/>
  <c r="K17" i="13"/>
  <c r="K152" i="13" s="1"/>
  <c r="F152" i="13" s="1"/>
  <c r="L16" i="13"/>
  <c r="K16" i="13"/>
  <c r="L15" i="13"/>
  <c r="K15" i="13"/>
  <c r="L14" i="13"/>
  <c r="K14" i="13"/>
  <c r="L13" i="13"/>
  <c r="K13" i="13"/>
  <c r="L12" i="13"/>
  <c r="K12" i="13"/>
  <c r="L11" i="13"/>
  <c r="K11" i="13"/>
  <c r="L10" i="13"/>
  <c r="K10" i="13"/>
  <c r="L9" i="13"/>
  <c r="K9" i="13"/>
  <c r="L8" i="13"/>
  <c r="K8" i="13"/>
  <c r="L7" i="13"/>
  <c r="K7" i="13"/>
  <c r="L6" i="13"/>
  <c r="K6" i="13"/>
  <c r="L5" i="13"/>
  <c r="K5" i="13"/>
  <c r="L4" i="13"/>
  <c r="K4" i="13"/>
  <c r="L3" i="13"/>
  <c r="K3" i="13"/>
  <c r="F153" i="13" l="1"/>
  <c r="F154" i="13" s="1"/>
  <c r="F155" i="13" s="1"/>
  <c r="F156" i="13" s="1"/>
  <c r="F157" i="13" s="1"/>
  <c r="F158" i="13" s="1"/>
  <c r="F159" i="13" s="1"/>
  <c r="G153" i="13"/>
  <c r="G154" i="13"/>
  <c r="G155" i="13" s="1"/>
  <c r="G156" i="13" s="1"/>
  <c r="G157" i="13" s="1"/>
  <c r="G158" i="13" s="1"/>
  <c r="G159" i="13" s="1"/>
  <c r="AP77" i="10" l="1"/>
  <c r="AP78" i="10"/>
  <c r="AP76" i="10"/>
  <c r="AN77" i="10"/>
  <c r="AO77" i="10"/>
  <c r="AN78" i="10"/>
  <c r="AO78" i="10"/>
  <c r="AO76" i="10"/>
  <c r="AN76" i="10"/>
  <c r="U76" i="11" l="1"/>
  <c r="T76" i="11"/>
  <c r="S76" i="11"/>
  <c r="AG104" i="6"/>
  <c r="AG105" i="6"/>
  <c r="AG103" i="6"/>
  <c r="BZ92" i="2" l="1"/>
  <c r="CA92" i="2"/>
  <c r="BY92" i="2"/>
  <c r="BY87" i="2"/>
  <c r="BZ87" i="2"/>
  <c r="CA87" i="2"/>
  <c r="BY88" i="2"/>
  <c r="BZ88" i="2"/>
  <c r="CA88" i="2"/>
  <c r="BY89" i="2"/>
  <c r="BZ89" i="2"/>
  <c r="CA89" i="2"/>
  <c r="CA86" i="2"/>
  <c r="BZ86" i="2"/>
  <c r="BY86" i="2"/>
  <c r="BZ85" i="2"/>
  <c r="CA85" i="2"/>
  <c r="BY85" i="2"/>
  <c r="BY7" i="2"/>
  <c r="BY8" i="2"/>
  <c r="BY9" i="2"/>
  <c r="BY10" i="2"/>
  <c r="BY11" i="2"/>
  <c r="BY12" i="2"/>
  <c r="BY13" i="2"/>
  <c r="BY14" i="2"/>
  <c r="BY15" i="2"/>
  <c r="BY16" i="2"/>
  <c r="BY17" i="2"/>
  <c r="BY18" i="2"/>
  <c r="BY19" i="2"/>
  <c r="BY20" i="2"/>
  <c r="BY21" i="2"/>
  <c r="BY22" i="2"/>
  <c r="BY23" i="2"/>
  <c r="BY24" i="2"/>
  <c r="BY25" i="2"/>
  <c r="BY26" i="2"/>
  <c r="BY27" i="2"/>
  <c r="BY28" i="2"/>
  <c r="BY29" i="2"/>
  <c r="BY30" i="2"/>
  <c r="BY31" i="2"/>
  <c r="BY32" i="2"/>
  <c r="BY33" i="2"/>
  <c r="BY34" i="2"/>
  <c r="BY35" i="2"/>
  <c r="BY36" i="2"/>
  <c r="BY37" i="2"/>
  <c r="BY38" i="2"/>
  <c r="BY39" i="2"/>
  <c r="BY40" i="2"/>
  <c r="BY41" i="2"/>
  <c r="BY42" i="2"/>
  <c r="BY43" i="2"/>
  <c r="BY44" i="2"/>
  <c r="BY45" i="2"/>
  <c r="BY46" i="2"/>
  <c r="BY47" i="2"/>
  <c r="BY48" i="2"/>
  <c r="BY49" i="2"/>
  <c r="BY50" i="2"/>
  <c r="BY51" i="2"/>
  <c r="BY52" i="2"/>
  <c r="BY53" i="2"/>
  <c r="BY54" i="2"/>
  <c r="BY55" i="2"/>
  <c r="BY56" i="2"/>
  <c r="BY57" i="2"/>
  <c r="BY58" i="2"/>
  <c r="BY59" i="2"/>
  <c r="BY60" i="2"/>
  <c r="BY61" i="2"/>
  <c r="BY62" i="2"/>
  <c r="BY63" i="2"/>
  <c r="BY64" i="2"/>
  <c r="BY65" i="2"/>
  <c r="BY66" i="2"/>
  <c r="BY67" i="2"/>
  <c r="BY68" i="2"/>
  <c r="BY69" i="2"/>
  <c r="BY70" i="2"/>
  <c r="BY71" i="2"/>
  <c r="BY72" i="2"/>
  <c r="BY73" i="2"/>
  <c r="BY74" i="2"/>
  <c r="BY75" i="2"/>
  <c r="BY76" i="2"/>
  <c r="BY77" i="2"/>
  <c r="BY78" i="2"/>
  <c r="BY79" i="2"/>
  <c r="BY80" i="2"/>
  <c r="BY81" i="2"/>
  <c r="BY82" i="2"/>
  <c r="BN44" i="2"/>
  <c r="BO44" i="2"/>
  <c r="BP44" i="2"/>
  <c r="BN45" i="2"/>
  <c r="BO45" i="2"/>
  <c r="BP45" i="2"/>
  <c r="BN46" i="2"/>
  <c r="BO46" i="2"/>
  <c r="BP46" i="2"/>
  <c r="BN47" i="2"/>
  <c r="BO47" i="2"/>
  <c r="BP47" i="2"/>
  <c r="BN48" i="2"/>
  <c r="BO48" i="2"/>
  <c r="BP48" i="2"/>
  <c r="BN49" i="2"/>
  <c r="BO49" i="2"/>
  <c r="BP49" i="2"/>
  <c r="BN50" i="2"/>
  <c r="BO50" i="2"/>
  <c r="BP50" i="2"/>
  <c r="BN51" i="2"/>
  <c r="BO51" i="2"/>
  <c r="BP51" i="2"/>
  <c r="BN52" i="2"/>
  <c r="BO52" i="2"/>
  <c r="BP52" i="2"/>
  <c r="BN53" i="2"/>
  <c r="BO53" i="2"/>
  <c r="BP53" i="2"/>
  <c r="BN54" i="2"/>
  <c r="BO54" i="2"/>
  <c r="BP54" i="2"/>
  <c r="BN55" i="2"/>
  <c r="BO55" i="2"/>
  <c r="BP55" i="2"/>
  <c r="BN56" i="2"/>
  <c r="BO56" i="2"/>
  <c r="BP56" i="2"/>
  <c r="BN57" i="2"/>
  <c r="BO57" i="2"/>
  <c r="BP57" i="2"/>
  <c r="BN58" i="2"/>
  <c r="BO58" i="2"/>
  <c r="BP58" i="2"/>
  <c r="BN59" i="2"/>
  <c r="BO59" i="2"/>
  <c r="BP59" i="2"/>
  <c r="BN60" i="2"/>
  <c r="BO60" i="2"/>
  <c r="BP60" i="2"/>
  <c r="BN61" i="2"/>
  <c r="BO61" i="2"/>
  <c r="BP61" i="2"/>
  <c r="BN62" i="2"/>
  <c r="BO62" i="2"/>
  <c r="BP62" i="2"/>
  <c r="BP43" i="2"/>
  <c r="BO43" i="2"/>
  <c r="BN43" i="2"/>
  <c r="AA73" i="8" l="1"/>
  <c r="AB73" i="8"/>
  <c r="Z73" i="8"/>
  <c r="Y83" i="7"/>
  <c r="Z83" i="7"/>
  <c r="AA83" i="7"/>
  <c r="Y84" i="7"/>
  <c r="Z84" i="7"/>
  <c r="AA84" i="7"/>
  <c r="Y85" i="7"/>
  <c r="Z85" i="7"/>
  <c r="AA85" i="7"/>
  <c r="AA82" i="7"/>
  <c r="Z82" i="7"/>
  <c r="Y82" i="7"/>
  <c r="Z81" i="7"/>
  <c r="AA81" i="7"/>
  <c r="Y81" i="7"/>
  <c r="AA85" i="5"/>
  <c r="Z85" i="5"/>
  <c r="AA86" i="5"/>
  <c r="Z86" i="5"/>
  <c r="Y86" i="5"/>
  <c r="Y85" i="5"/>
  <c r="BP21" i="2"/>
  <c r="BQ21" i="2"/>
  <c r="BP22" i="2"/>
  <c r="BQ22" i="2"/>
  <c r="BP23" i="2"/>
  <c r="BQ23" i="2"/>
  <c r="BP24" i="2"/>
  <c r="BQ24" i="2"/>
  <c r="BP25" i="2"/>
  <c r="BQ25" i="2"/>
  <c r="BP26" i="2"/>
  <c r="BQ26" i="2"/>
  <c r="BP27" i="2"/>
  <c r="BQ27" i="2"/>
  <c r="BP28" i="2"/>
  <c r="BQ28" i="2"/>
  <c r="BP29" i="2"/>
  <c r="BQ29" i="2"/>
  <c r="BP30" i="2"/>
  <c r="BQ30" i="2"/>
  <c r="BP31" i="2"/>
  <c r="BQ31" i="2"/>
  <c r="BP32" i="2"/>
  <c r="BQ32" i="2"/>
  <c r="BP33" i="2"/>
  <c r="BQ33" i="2"/>
  <c r="BP34" i="2"/>
  <c r="BQ34" i="2"/>
  <c r="BP35" i="2"/>
  <c r="BQ35" i="2"/>
  <c r="BP36" i="2"/>
  <c r="BQ36" i="2"/>
  <c r="BP37" i="2"/>
  <c r="BQ37" i="2"/>
  <c r="BP39" i="2"/>
  <c r="BQ39" i="2"/>
  <c r="BQ20" i="2"/>
  <c r="BP20" i="2"/>
  <c r="BV6" i="2" l="1"/>
  <c r="BV7" i="2"/>
  <c r="BV8" i="2"/>
  <c r="BV9" i="2"/>
  <c r="BV10" i="2"/>
  <c r="BV11" i="2"/>
  <c r="BV12" i="2"/>
  <c r="BV13" i="2"/>
  <c r="BV14" i="2"/>
  <c r="BV15" i="2"/>
  <c r="BV16" i="2"/>
  <c r="BV5" i="2"/>
  <c r="O14" i="1"/>
  <c r="N14" i="1"/>
  <c r="M14" i="1"/>
  <c r="L14" i="1"/>
  <c r="K14" i="1"/>
  <c r="J14" i="1"/>
  <c r="I14" i="1"/>
  <c r="H14" i="1"/>
  <c r="G14" i="1"/>
  <c r="F14" i="1"/>
  <c r="E14" i="1"/>
  <c r="D14" i="1"/>
  <c r="C14" i="1"/>
  <c r="B14" i="1"/>
  <c r="O13" i="1"/>
  <c r="N13" i="1"/>
  <c r="M13" i="1"/>
  <c r="L13" i="1"/>
  <c r="K13" i="1"/>
  <c r="J13" i="1"/>
  <c r="I13" i="1"/>
  <c r="H13" i="1"/>
  <c r="G13" i="1"/>
  <c r="F13" i="1"/>
  <c r="E13" i="1"/>
  <c r="D13" i="1"/>
  <c r="C13" i="1"/>
  <c r="B13" i="1"/>
  <c r="A33" i="1" l="1"/>
  <c r="A34" i="1"/>
  <c r="A35" i="1"/>
  <c r="A36" i="1"/>
  <c r="A37" i="1"/>
  <c r="A38" i="1"/>
  <c r="A39" i="1"/>
  <c r="A40" i="1"/>
  <c r="A41" i="1"/>
  <c r="A42" i="1"/>
  <c r="A43" i="1"/>
  <c r="A44" i="1"/>
  <c r="A45" i="1"/>
  <c r="A46" i="1"/>
  <c r="A47" i="1"/>
  <c r="A48" i="1"/>
  <c r="A49" i="1"/>
  <c r="A50" i="1"/>
  <c r="A51" i="1"/>
  <c r="A52" i="1"/>
  <c r="A32" i="1"/>
  <c r="I74" i="8"/>
  <c r="BF4" i="2" l="1"/>
  <c r="AX4" i="2"/>
  <c r="AJ38" i="2"/>
  <c r="AJ37" i="2"/>
  <c r="AJ36" i="2"/>
  <c r="AJ34" i="2"/>
  <c r="AJ33" i="2"/>
  <c r="AJ32" i="2"/>
  <c r="AJ31" i="2"/>
  <c r="AJ26" i="2"/>
  <c r="AJ24" i="2"/>
  <c r="AJ7" i="2"/>
  <c r="AL4" i="2"/>
  <c r="AW4" i="2" s="1"/>
  <c r="V76" i="9"/>
  <c r="V50" i="9"/>
  <c r="V24" i="9"/>
  <c r="BE4" i="2" l="1"/>
  <c r="AY4" i="2"/>
  <c r="BG4" i="2"/>
  <c r="AZ4" i="2"/>
  <c r="BH4" i="2"/>
  <c r="BA4" i="2"/>
  <c r="BB4" i="2"/>
  <c r="BC4" i="2"/>
  <c r="BD4" i="2"/>
  <c r="BO20" i="2"/>
  <c r="BN21" i="2"/>
  <c r="BN22" i="2"/>
  <c r="BN23" i="2"/>
  <c r="BN24" i="2"/>
  <c r="BN25" i="2"/>
  <c r="BN26" i="2"/>
  <c r="BN27" i="2"/>
  <c r="BN28" i="2"/>
  <c r="BN29" i="2"/>
  <c r="BN30" i="2"/>
  <c r="BN31" i="2"/>
  <c r="BN32" i="2"/>
  <c r="BN33" i="2"/>
  <c r="BN34" i="2"/>
  <c r="BN35" i="2"/>
  <c r="BN36" i="2"/>
  <c r="BN37" i="2"/>
  <c r="BN38" i="2"/>
  <c r="BN39" i="2"/>
  <c r="BN20" i="2"/>
  <c r="O8" i="1" l="1"/>
  <c r="O12" i="1"/>
  <c r="N12" i="1"/>
  <c r="M12" i="1"/>
  <c r="L12" i="1"/>
  <c r="K12" i="1"/>
  <c r="J12" i="1"/>
  <c r="I12" i="1"/>
  <c r="H12" i="1"/>
  <c r="G12" i="1"/>
  <c r="F12" i="1"/>
  <c r="E12" i="1"/>
  <c r="D12" i="1"/>
  <c r="C12" i="1"/>
  <c r="B12" i="1"/>
  <c r="O9" i="1"/>
  <c r="N9" i="1"/>
  <c r="M9" i="1"/>
  <c r="L9" i="1"/>
  <c r="K9" i="1"/>
  <c r="J9" i="1"/>
  <c r="I9" i="1"/>
  <c r="H9" i="1"/>
  <c r="G9" i="1"/>
  <c r="F9" i="1"/>
  <c r="E9" i="1"/>
  <c r="D9" i="1"/>
  <c r="C9" i="1"/>
  <c r="B9" i="1"/>
  <c r="N8" i="1"/>
  <c r="M8" i="1"/>
  <c r="L8" i="1"/>
  <c r="K8" i="1"/>
  <c r="J8" i="1"/>
  <c r="I8" i="1"/>
  <c r="H8" i="1"/>
  <c r="G8" i="1"/>
  <c r="F8" i="1"/>
  <c r="E8" i="1"/>
  <c r="D8" i="1"/>
  <c r="C8" i="1"/>
  <c r="B8" i="1"/>
  <c r="R7" i="1"/>
  <c r="Q7" i="1"/>
  <c r="P7" i="1"/>
  <c r="O7" i="1"/>
  <c r="N7" i="1"/>
  <c r="M7" i="1"/>
  <c r="L7" i="1"/>
  <c r="K7" i="1"/>
  <c r="J7" i="1"/>
  <c r="I7" i="1"/>
  <c r="H7" i="1"/>
  <c r="G7" i="1"/>
  <c r="F7" i="1"/>
  <c r="E7" i="1"/>
  <c r="D7" i="1"/>
  <c r="C7" i="1"/>
  <c r="B7" i="1"/>
  <c r="O4" i="1"/>
  <c r="N4" i="1"/>
  <c r="M4" i="1"/>
  <c r="L4" i="1"/>
  <c r="K4" i="1"/>
  <c r="J4" i="1"/>
  <c r="I4" i="1"/>
  <c r="H4" i="1"/>
  <c r="G4" i="1"/>
  <c r="F4" i="1"/>
  <c r="E4" i="1"/>
  <c r="D4" i="1"/>
  <c r="C4" i="1"/>
  <c r="B4" i="1"/>
  <c r="B15" i="1" l="1"/>
  <c r="C15" i="1"/>
  <c r="D15" i="1"/>
  <c r="E15" i="1"/>
  <c r="F15" i="1"/>
  <c r="G15" i="1"/>
  <c r="H15" i="1"/>
  <c r="I15" i="1"/>
  <c r="J15" i="1"/>
  <c r="CS30" i="9" l="1"/>
  <c r="CM44" i="9" l="1"/>
  <c r="CK34" i="9"/>
  <c r="CJ32" i="9"/>
  <c r="CP30" i="9"/>
  <c r="CP29" i="9"/>
  <c r="CP28" i="9"/>
  <c r="CP27" i="9"/>
  <c r="CP26" i="9"/>
  <c r="CP25" i="9"/>
  <c r="CP24" i="9"/>
  <c r="CP23" i="9"/>
  <c r="CP22" i="9"/>
  <c r="CP21" i="9"/>
  <c r="CP20" i="9"/>
  <c r="CP19" i="9"/>
  <c r="CP18" i="9"/>
  <c r="CP17" i="9"/>
  <c r="CP16" i="9"/>
  <c r="CP15" i="9"/>
  <c r="CP14" i="9"/>
  <c r="CP13" i="9"/>
  <c r="CP12" i="9"/>
  <c r="CP11" i="9"/>
  <c r="CP10" i="9"/>
  <c r="CP9" i="9"/>
  <c r="CS8" i="9"/>
  <c r="CR8" i="9"/>
  <c r="CQ8" i="9"/>
  <c r="CP7" i="9"/>
  <c r="CP6" i="9"/>
  <c r="CP5" i="9"/>
  <c r="CF30" i="9"/>
  <c r="Z50" i="9" s="1"/>
  <c r="CA28" i="9"/>
  <c r="CA27" i="9"/>
  <c r="CA30" i="9" s="1"/>
  <c r="BX17" i="9"/>
  <c r="BX16" i="9"/>
  <c r="CD14" i="9"/>
  <c r="CD13" i="9"/>
  <c r="CD12" i="9"/>
  <c r="CD11" i="9"/>
  <c r="CD10" i="9"/>
  <c r="CD9" i="9"/>
  <c r="CD8" i="9"/>
  <c r="CD7" i="9"/>
  <c r="CD6" i="9"/>
  <c r="CD5" i="9"/>
  <c r="AZ29" i="3"/>
  <c r="BA29" i="3"/>
  <c r="Z76" i="9" l="1"/>
  <c r="Z24" i="9"/>
  <c r="U76" i="9"/>
  <c r="U50" i="9"/>
  <c r="BS7" i="9"/>
  <c r="BN7" i="9"/>
  <c r="BR7" i="9" s="1"/>
  <c r="BS5" i="9"/>
  <c r="BN5" i="9"/>
  <c r="BR5" i="9" s="1"/>
  <c r="BS4" i="9"/>
  <c r="BR4" i="9"/>
  <c r="BT4" i="9" s="1"/>
  <c r="BS3" i="9"/>
  <c r="BR3" i="9"/>
  <c r="BQ3" i="9"/>
  <c r="BT3" i="9" l="1"/>
  <c r="BU3" i="9" s="1"/>
  <c r="BT5" i="9"/>
  <c r="BU5" i="9" s="1"/>
  <c r="BU4" i="9"/>
  <c r="BT7" i="9"/>
  <c r="BU7" i="9" s="1"/>
  <c r="BU6" i="9" l="1"/>
  <c r="BU8" i="9"/>
  <c r="W72" i="8"/>
  <c r="W73" i="8"/>
  <c r="W74" i="8"/>
  <c r="W71" i="8"/>
  <c r="P72" i="8"/>
  <c r="P73" i="8"/>
  <c r="P74" i="8"/>
  <c r="P71" i="8"/>
  <c r="I72" i="8"/>
  <c r="I73" i="8"/>
  <c r="I71" i="8"/>
  <c r="BU10" i="9" l="1"/>
  <c r="BU11" i="9" s="1"/>
  <c r="AB76" i="9"/>
  <c r="AB24" i="9"/>
  <c r="O15" i="1"/>
  <c r="N15" i="1"/>
  <c r="M15" i="1"/>
  <c r="L15" i="1"/>
  <c r="K15" i="1"/>
  <c r="AB50" i="9" l="1"/>
  <c r="BM3" i="3"/>
  <c r="BL3" i="3"/>
  <c r="BK3" i="3"/>
  <c r="BJ3" i="3"/>
  <c r="BI3" i="3"/>
  <c r="BH3" i="3"/>
  <c r="BG3" i="3"/>
  <c r="BF3" i="3"/>
  <c r="BC3" i="3"/>
  <c r="BD3" i="3"/>
  <c r="BE3" i="3"/>
  <c r="BB3" i="3"/>
  <c r="BJ27" i="3"/>
  <c r="BJ28" i="3"/>
  <c r="BJ29" i="3" s="1"/>
  <c r="BJ30" i="3" s="1"/>
  <c r="BF27" i="3"/>
  <c r="BF28" i="3"/>
  <c r="BF29" i="3" s="1"/>
  <c r="BF30" i="3" s="1"/>
  <c r="BB28" i="3"/>
  <c r="BB29" i="3" s="1"/>
  <c r="BB30" i="3" s="1"/>
  <c r="BB27" i="3"/>
  <c r="BJ4" i="3" l="1"/>
  <c r="X84" i="3" s="1"/>
  <c r="BB4" i="3"/>
  <c r="V84" i="3" s="1"/>
  <c r="BF4" i="3"/>
  <c r="W84" i="3" s="1"/>
  <c r="B82" i="12" l="1"/>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B9" i="12"/>
  <c r="B8" i="12"/>
  <c r="B7" i="12"/>
  <c r="B6" i="12"/>
  <c r="D78" i="11"/>
  <c r="D77" i="11"/>
  <c r="J76" i="11"/>
  <c r="G76" i="11"/>
  <c r="D76" i="11"/>
  <c r="C76" i="11"/>
  <c r="AD78" i="10"/>
  <c r="AA78" i="10"/>
  <c r="R78" i="10"/>
  <c r="O78" i="10"/>
  <c r="C78" i="10"/>
  <c r="AD77" i="10"/>
  <c r="AA77" i="10"/>
  <c r="R77" i="10"/>
  <c r="O77" i="10"/>
  <c r="C77" i="10"/>
  <c r="AD76" i="10"/>
  <c r="AA76" i="10"/>
  <c r="R76" i="10"/>
  <c r="O76" i="10"/>
  <c r="F76" i="10"/>
  <c r="F77" i="10" s="1"/>
  <c r="F78" i="10" s="1"/>
  <c r="C76" i="10"/>
  <c r="AH74" i="10"/>
  <c r="AI74" i="10" s="1"/>
  <c r="V74" i="10"/>
  <c r="W74" i="10" s="1"/>
  <c r="J74" i="10"/>
  <c r="K74" i="10" s="1"/>
  <c r="AH73" i="10"/>
  <c r="AI73" i="10" s="1"/>
  <c r="AJ74" i="10" s="1"/>
  <c r="V73" i="10"/>
  <c r="W73" i="10" s="1"/>
  <c r="X74" i="10" s="1"/>
  <c r="J73" i="10"/>
  <c r="K73" i="10" s="1"/>
  <c r="L74" i="10" s="1"/>
  <c r="AH72" i="10"/>
  <c r="AI72" i="10" s="1"/>
  <c r="AJ73" i="10" s="1"/>
  <c r="V72" i="10"/>
  <c r="W72" i="10" s="1"/>
  <c r="X73" i="10" s="1"/>
  <c r="J72" i="10"/>
  <c r="K72" i="10" s="1"/>
  <c r="L73" i="10" s="1"/>
  <c r="AH71" i="10"/>
  <c r="AI71" i="10" s="1"/>
  <c r="AJ72" i="10" s="1"/>
  <c r="V71" i="10"/>
  <c r="W71" i="10" s="1"/>
  <c r="X72" i="10" s="1"/>
  <c r="J71" i="10"/>
  <c r="K71" i="10" s="1"/>
  <c r="L72" i="10" s="1"/>
  <c r="AH70" i="10"/>
  <c r="AI70" i="10" s="1"/>
  <c r="AJ71" i="10" s="1"/>
  <c r="V70" i="10"/>
  <c r="W70" i="10" s="1"/>
  <c r="X71" i="10" s="1"/>
  <c r="J70" i="10"/>
  <c r="K70" i="10" s="1"/>
  <c r="L71" i="10" s="1"/>
  <c r="AH69" i="10"/>
  <c r="AI69" i="10" s="1"/>
  <c r="AJ70" i="10" s="1"/>
  <c r="V69" i="10"/>
  <c r="W69" i="10" s="1"/>
  <c r="X70" i="10" s="1"/>
  <c r="J69" i="10"/>
  <c r="K69" i="10" s="1"/>
  <c r="L70" i="10" s="1"/>
  <c r="AH68" i="10"/>
  <c r="AI68" i="10" s="1"/>
  <c r="AJ69" i="10" s="1"/>
  <c r="V68" i="10"/>
  <c r="W68" i="10" s="1"/>
  <c r="X69" i="10" s="1"/>
  <c r="J68" i="10"/>
  <c r="K68" i="10" s="1"/>
  <c r="L69" i="10" s="1"/>
  <c r="AH67" i="10"/>
  <c r="AI67" i="10" s="1"/>
  <c r="AJ68" i="10" s="1"/>
  <c r="V67" i="10"/>
  <c r="W67" i="10" s="1"/>
  <c r="X68" i="10" s="1"/>
  <c r="J67" i="10"/>
  <c r="K67" i="10" s="1"/>
  <c r="L68" i="10" s="1"/>
  <c r="AH66" i="10"/>
  <c r="AI66" i="10" s="1"/>
  <c r="AJ67" i="10" s="1"/>
  <c r="V66" i="10"/>
  <c r="W66" i="10" s="1"/>
  <c r="X67" i="10" s="1"/>
  <c r="J66" i="10"/>
  <c r="K66" i="10" s="1"/>
  <c r="L67" i="10" s="1"/>
  <c r="AH65" i="10"/>
  <c r="AI65" i="10" s="1"/>
  <c r="AJ66" i="10" s="1"/>
  <c r="V65" i="10"/>
  <c r="W65" i="10" s="1"/>
  <c r="X66" i="10" s="1"/>
  <c r="J65" i="10"/>
  <c r="K65" i="10" s="1"/>
  <c r="L66" i="10" s="1"/>
  <c r="AH64" i="10"/>
  <c r="AI64" i="10" s="1"/>
  <c r="AJ65" i="10" s="1"/>
  <c r="V64" i="10"/>
  <c r="W64" i="10" s="1"/>
  <c r="X65" i="10" s="1"/>
  <c r="J64" i="10"/>
  <c r="K64" i="10" s="1"/>
  <c r="L65" i="10" s="1"/>
  <c r="AH63" i="10"/>
  <c r="AI63" i="10" s="1"/>
  <c r="AJ64" i="10" s="1"/>
  <c r="V63" i="10"/>
  <c r="W63" i="10" s="1"/>
  <c r="X64" i="10" s="1"/>
  <c r="J63" i="10"/>
  <c r="K63" i="10" s="1"/>
  <c r="L64" i="10" s="1"/>
  <c r="AH62" i="10"/>
  <c r="AI62" i="10" s="1"/>
  <c r="AJ63" i="10" s="1"/>
  <c r="V62" i="10"/>
  <c r="W62" i="10" s="1"/>
  <c r="X63" i="10" s="1"/>
  <c r="J62" i="10"/>
  <c r="K62" i="10" s="1"/>
  <c r="L63" i="10" s="1"/>
  <c r="AH61" i="10"/>
  <c r="AI61" i="10" s="1"/>
  <c r="AJ62" i="10" s="1"/>
  <c r="V61" i="10"/>
  <c r="W61" i="10" s="1"/>
  <c r="X62" i="10" s="1"/>
  <c r="J61" i="10"/>
  <c r="K61" i="10" s="1"/>
  <c r="L62" i="10" s="1"/>
  <c r="AH60" i="10"/>
  <c r="AI60" i="10" s="1"/>
  <c r="AJ61" i="10" s="1"/>
  <c r="V60" i="10"/>
  <c r="W60" i="10" s="1"/>
  <c r="X61" i="10" s="1"/>
  <c r="J60" i="10"/>
  <c r="K60" i="10" s="1"/>
  <c r="L61" i="10" s="1"/>
  <c r="AH59" i="10"/>
  <c r="AI59" i="10" s="1"/>
  <c r="AJ60" i="10" s="1"/>
  <c r="V59" i="10"/>
  <c r="W59" i="10" s="1"/>
  <c r="X60" i="10" s="1"/>
  <c r="J59" i="10"/>
  <c r="K59" i="10" s="1"/>
  <c r="L60" i="10" s="1"/>
  <c r="AH58" i="10"/>
  <c r="AI58" i="10" s="1"/>
  <c r="AJ59" i="10" s="1"/>
  <c r="V58" i="10"/>
  <c r="W58" i="10" s="1"/>
  <c r="X59" i="10" s="1"/>
  <c r="J58" i="10"/>
  <c r="K58" i="10" s="1"/>
  <c r="L59" i="10" s="1"/>
  <c r="AH57" i="10"/>
  <c r="AI57" i="10" s="1"/>
  <c r="AJ58" i="10" s="1"/>
  <c r="V57" i="10"/>
  <c r="W57" i="10" s="1"/>
  <c r="X58" i="10" s="1"/>
  <c r="J57" i="10"/>
  <c r="K57" i="10" s="1"/>
  <c r="L58" i="10" s="1"/>
  <c r="AH56" i="10"/>
  <c r="AI56" i="10" s="1"/>
  <c r="AJ57" i="10" s="1"/>
  <c r="V56" i="10"/>
  <c r="W56" i="10" s="1"/>
  <c r="X57" i="10" s="1"/>
  <c r="J56" i="10"/>
  <c r="K56" i="10" s="1"/>
  <c r="L57" i="10" s="1"/>
  <c r="AH55" i="10"/>
  <c r="AI55" i="10" s="1"/>
  <c r="AJ56" i="10" s="1"/>
  <c r="V55" i="10"/>
  <c r="W55" i="10" s="1"/>
  <c r="X56" i="10" s="1"/>
  <c r="J55" i="10"/>
  <c r="K55" i="10" s="1"/>
  <c r="L56" i="10" s="1"/>
  <c r="AH54" i="10"/>
  <c r="AI54" i="10" s="1"/>
  <c r="AJ55" i="10" s="1"/>
  <c r="V54" i="10"/>
  <c r="W54" i="10" s="1"/>
  <c r="X55" i="10" s="1"/>
  <c r="J54" i="10"/>
  <c r="K54" i="10" s="1"/>
  <c r="L55" i="10" s="1"/>
  <c r="AH53" i="10"/>
  <c r="AI53" i="10" s="1"/>
  <c r="AJ54" i="10" s="1"/>
  <c r="V53" i="10"/>
  <c r="W53" i="10" s="1"/>
  <c r="X54" i="10" s="1"/>
  <c r="J53" i="10"/>
  <c r="K53" i="10" s="1"/>
  <c r="L54" i="10" s="1"/>
  <c r="AH52" i="10"/>
  <c r="AI52" i="10" s="1"/>
  <c r="AJ53" i="10" s="1"/>
  <c r="V52" i="10"/>
  <c r="W52" i="10" s="1"/>
  <c r="X53" i="10" s="1"/>
  <c r="J52" i="10"/>
  <c r="K52" i="10" s="1"/>
  <c r="L53" i="10" s="1"/>
  <c r="AH51" i="10"/>
  <c r="AI51" i="10" s="1"/>
  <c r="AJ52" i="10" s="1"/>
  <c r="V51" i="10"/>
  <c r="W51" i="10" s="1"/>
  <c r="X52" i="10" s="1"/>
  <c r="L51" i="10"/>
  <c r="J51" i="10"/>
  <c r="K51" i="10" s="1"/>
  <c r="L52" i="10" s="1"/>
  <c r="AH50" i="10"/>
  <c r="AI50" i="10" s="1"/>
  <c r="AJ51" i="10" s="1"/>
  <c r="V50" i="10"/>
  <c r="W50" i="10" s="1"/>
  <c r="X51" i="10" s="1"/>
  <c r="J50" i="10"/>
  <c r="K50" i="10" s="1"/>
  <c r="AH49" i="10"/>
  <c r="AI49" i="10" s="1"/>
  <c r="AJ50" i="10" s="1"/>
  <c r="V49" i="10"/>
  <c r="W49" i="10" s="1"/>
  <c r="X50" i="10" s="1"/>
  <c r="J49" i="10"/>
  <c r="K49" i="10" s="1"/>
  <c r="L50" i="10" s="1"/>
  <c r="AH48" i="10"/>
  <c r="AI48" i="10" s="1"/>
  <c r="AJ49" i="10" s="1"/>
  <c r="V48" i="10"/>
  <c r="W48" i="10" s="1"/>
  <c r="X49" i="10" s="1"/>
  <c r="J48" i="10"/>
  <c r="K48" i="10" s="1"/>
  <c r="L49" i="10" s="1"/>
  <c r="AH47" i="10"/>
  <c r="AI47" i="10" s="1"/>
  <c r="AJ48" i="10" s="1"/>
  <c r="V47" i="10"/>
  <c r="W47" i="10" s="1"/>
  <c r="X48" i="10" s="1"/>
  <c r="J47" i="10"/>
  <c r="K47" i="10" s="1"/>
  <c r="L48" i="10" s="1"/>
  <c r="AH46" i="10"/>
  <c r="AI46" i="10" s="1"/>
  <c r="AJ47" i="10" s="1"/>
  <c r="V46" i="10"/>
  <c r="W46" i="10" s="1"/>
  <c r="X47" i="10" s="1"/>
  <c r="J46" i="10"/>
  <c r="K46" i="10" s="1"/>
  <c r="L47" i="10" s="1"/>
  <c r="AH45" i="10"/>
  <c r="AI45" i="10" s="1"/>
  <c r="AJ46" i="10" s="1"/>
  <c r="V45" i="10"/>
  <c r="W45" i="10" s="1"/>
  <c r="X46" i="10" s="1"/>
  <c r="J45" i="10"/>
  <c r="K45" i="10" s="1"/>
  <c r="L46" i="10" s="1"/>
  <c r="AH44" i="10"/>
  <c r="AI44" i="10" s="1"/>
  <c r="AJ45" i="10" s="1"/>
  <c r="W44" i="10"/>
  <c r="X45" i="10" s="1"/>
  <c r="V44" i="10"/>
  <c r="J44" i="10"/>
  <c r="K44" i="10" s="1"/>
  <c r="L45" i="10" s="1"/>
  <c r="AH43" i="10"/>
  <c r="AI43" i="10" s="1"/>
  <c r="AJ44" i="10" s="1"/>
  <c r="V43" i="10"/>
  <c r="W43" i="10" s="1"/>
  <c r="X44" i="10" s="1"/>
  <c r="J43" i="10"/>
  <c r="K43" i="10" s="1"/>
  <c r="L44" i="10" s="1"/>
  <c r="AH42" i="10"/>
  <c r="AI42" i="10" s="1"/>
  <c r="AJ43" i="10" s="1"/>
  <c r="V42" i="10"/>
  <c r="W42" i="10" s="1"/>
  <c r="X43" i="10" s="1"/>
  <c r="J42" i="10"/>
  <c r="K42" i="10" s="1"/>
  <c r="L43" i="10" s="1"/>
  <c r="AH41" i="10"/>
  <c r="AI41" i="10" s="1"/>
  <c r="AJ42" i="10" s="1"/>
  <c r="V41" i="10"/>
  <c r="W41" i="10" s="1"/>
  <c r="X42" i="10" s="1"/>
  <c r="J41" i="10"/>
  <c r="K41" i="10" s="1"/>
  <c r="L42" i="10" s="1"/>
  <c r="AH40" i="10"/>
  <c r="AI40" i="10" s="1"/>
  <c r="AJ41" i="10" s="1"/>
  <c r="W40" i="10"/>
  <c r="X41" i="10" s="1"/>
  <c r="V40" i="10"/>
  <c r="K40" i="10"/>
  <c r="L41" i="10" s="1"/>
  <c r="J40" i="10"/>
  <c r="AH39" i="10"/>
  <c r="AI39" i="10" s="1"/>
  <c r="AJ40" i="10" s="1"/>
  <c r="V39" i="10"/>
  <c r="W39" i="10" s="1"/>
  <c r="X40" i="10" s="1"/>
  <c r="J39" i="10"/>
  <c r="K39" i="10" s="1"/>
  <c r="L40" i="10" s="1"/>
  <c r="AI38" i="10"/>
  <c r="AJ39" i="10" s="1"/>
  <c r="AH38" i="10"/>
  <c r="V38" i="10"/>
  <c r="W38" i="10" s="1"/>
  <c r="X39" i="10" s="1"/>
  <c r="J38" i="10"/>
  <c r="K38" i="10" s="1"/>
  <c r="L39" i="10" s="1"/>
  <c r="AH37" i="10"/>
  <c r="AI37" i="10" s="1"/>
  <c r="AJ38" i="10" s="1"/>
  <c r="V37" i="10"/>
  <c r="W37" i="10" s="1"/>
  <c r="X38" i="10" s="1"/>
  <c r="J37" i="10"/>
  <c r="K37" i="10" s="1"/>
  <c r="L38" i="10" s="1"/>
  <c r="AH36" i="10"/>
  <c r="AI36" i="10" s="1"/>
  <c r="AJ37" i="10" s="1"/>
  <c r="W36" i="10"/>
  <c r="X37" i="10" s="1"/>
  <c r="V36" i="10"/>
  <c r="J36" i="10"/>
  <c r="K36" i="10" s="1"/>
  <c r="L37" i="10" s="1"/>
  <c r="AH35" i="10"/>
  <c r="AI35" i="10" s="1"/>
  <c r="AJ36" i="10" s="1"/>
  <c r="V35" i="10"/>
  <c r="W35" i="10" s="1"/>
  <c r="X36" i="10" s="1"/>
  <c r="J35" i="10"/>
  <c r="K35" i="10" s="1"/>
  <c r="L36" i="10" s="1"/>
  <c r="AH34" i="10"/>
  <c r="AI34" i="10" s="1"/>
  <c r="AJ35" i="10" s="1"/>
  <c r="V34" i="10"/>
  <c r="W34" i="10" s="1"/>
  <c r="X35" i="10" s="1"/>
  <c r="J34" i="10"/>
  <c r="K34" i="10" s="1"/>
  <c r="L35" i="10" s="1"/>
  <c r="AH33" i="10"/>
  <c r="AI33" i="10" s="1"/>
  <c r="AJ34" i="10" s="1"/>
  <c r="V33" i="10"/>
  <c r="W33" i="10" s="1"/>
  <c r="X34" i="10" s="1"/>
  <c r="J33" i="10"/>
  <c r="K33" i="10" s="1"/>
  <c r="L34" i="10" s="1"/>
  <c r="AH32" i="10"/>
  <c r="AI32" i="10" s="1"/>
  <c r="AJ33" i="10" s="1"/>
  <c r="V32" i="10"/>
  <c r="W32" i="10" s="1"/>
  <c r="X33" i="10" s="1"/>
  <c r="J32" i="10"/>
  <c r="K32" i="10" s="1"/>
  <c r="L33" i="10" s="1"/>
  <c r="AH31" i="10"/>
  <c r="AI31" i="10" s="1"/>
  <c r="AJ32" i="10" s="1"/>
  <c r="V31" i="10"/>
  <c r="W31" i="10" s="1"/>
  <c r="X32" i="10" s="1"/>
  <c r="J31" i="10"/>
  <c r="K31" i="10" s="1"/>
  <c r="L32" i="10" s="1"/>
  <c r="AH30" i="10"/>
  <c r="AI30" i="10" s="1"/>
  <c r="AJ31" i="10" s="1"/>
  <c r="V30" i="10"/>
  <c r="W30" i="10" s="1"/>
  <c r="X31" i="10" s="1"/>
  <c r="J30" i="10"/>
  <c r="K30" i="10" s="1"/>
  <c r="L31" i="10" s="1"/>
  <c r="AH29" i="10"/>
  <c r="AI29" i="10" s="1"/>
  <c r="AJ30" i="10" s="1"/>
  <c r="W29" i="10"/>
  <c r="X30" i="10" s="1"/>
  <c r="V29" i="10"/>
  <c r="J29" i="10"/>
  <c r="K29" i="10" s="1"/>
  <c r="L30" i="10" s="1"/>
  <c r="AH28" i="10"/>
  <c r="AI28" i="10" s="1"/>
  <c r="AJ29" i="10" s="1"/>
  <c r="V28" i="10"/>
  <c r="W28" i="10" s="1"/>
  <c r="X29" i="10" s="1"/>
  <c r="J28" i="10"/>
  <c r="K28" i="10" s="1"/>
  <c r="L29" i="10" s="1"/>
  <c r="AH27" i="10"/>
  <c r="AI27" i="10" s="1"/>
  <c r="AJ28" i="10" s="1"/>
  <c r="V27" i="10"/>
  <c r="W27" i="10" s="1"/>
  <c r="X28" i="10" s="1"/>
  <c r="K27" i="10"/>
  <c r="L28" i="10" s="1"/>
  <c r="J27" i="10"/>
  <c r="AH26" i="10"/>
  <c r="AI26" i="10" s="1"/>
  <c r="AJ27" i="10" s="1"/>
  <c r="V26" i="10"/>
  <c r="W26" i="10" s="1"/>
  <c r="X27" i="10" s="1"/>
  <c r="J26" i="10"/>
  <c r="K26" i="10" s="1"/>
  <c r="L27" i="10" s="1"/>
  <c r="AI25" i="10"/>
  <c r="AJ26" i="10" s="1"/>
  <c r="AH25" i="10"/>
  <c r="V25" i="10"/>
  <c r="W25" i="10" s="1"/>
  <c r="X26" i="10" s="1"/>
  <c r="J25" i="10"/>
  <c r="K25" i="10" s="1"/>
  <c r="L26" i="10" s="1"/>
  <c r="AH24" i="10"/>
  <c r="AI24" i="10" s="1"/>
  <c r="AJ25" i="10" s="1"/>
  <c r="V24" i="10"/>
  <c r="W24" i="10" s="1"/>
  <c r="X25" i="10" s="1"/>
  <c r="J24" i="10"/>
  <c r="K24" i="10" s="1"/>
  <c r="L25" i="10" s="1"/>
  <c r="AH23" i="10"/>
  <c r="AI23" i="10" s="1"/>
  <c r="AJ24" i="10" s="1"/>
  <c r="V23" i="10"/>
  <c r="W23" i="10" s="1"/>
  <c r="X24" i="10" s="1"/>
  <c r="J23" i="10"/>
  <c r="K23" i="10" s="1"/>
  <c r="L24" i="10" s="1"/>
  <c r="AH22" i="10"/>
  <c r="AI22" i="10" s="1"/>
  <c r="AJ23" i="10" s="1"/>
  <c r="V22" i="10"/>
  <c r="W22" i="10" s="1"/>
  <c r="X23" i="10" s="1"/>
  <c r="J22" i="10"/>
  <c r="K22" i="10" s="1"/>
  <c r="L23" i="10" s="1"/>
  <c r="AH21" i="10"/>
  <c r="AI21" i="10" s="1"/>
  <c r="AJ22" i="10" s="1"/>
  <c r="V21" i="10"/>
  <c r="W21" i="10" s="1"/>
  <c r="X22" i="10" s="1"/>
  <c r="J21" i="10"/>
  <c r="K21" i="10" s="1"/>
  <c r="L22" i="10" s="1"/>
  <c r="AH20" i="10"/>
  <c r="AI20" i="10" s="1"/>
  <c r="AJ21" i="10" s="1"/>
  <c r="V20" i="10"/>
  <c r="W20" i="10" s="1"/>
  <c r="X21" i="10" s="1"/>
  <c r="J20" i="10"/>
  <c r="K20" i="10" s="1"/>
  <c r="L21" i="10" s="1"/>
  <c r="AH19" i="10"/>
  <c r="AI19" i="10" s="1"/>
  <c r="AJ20" i="10" s="1"/>
  <c r="V19" i="10"/>
  <c r="W19" i="10" s="1"/>
  <c r="X20" i="10" s="1"/>
  <c r="J19" i="10"/>
  <c r="K19" i="10" s="1"/>
  <c r="L20" i="10" s="1"/>
  <c r="AH18" i="10"/>
  <c r="AI18" i="10" s="1"/>
  <c r="AJ19" i="10" s="1"/>
  <c r="V18" i="10"/>
  <c r="W18" i="10" s="1"/>
  <c r="X19" i="10" s="1"/>
  <c r="J18" i="10"/>
  <c r="K18" i="10" s="1"/>
  <c r="L19" i="10" s="1"/>
  <c r="AI17" i="10"/>
  <c r="AJ18" i="10" s="1"/>
  <c r="AH17" i="10"/>
  <c r="V17" i="10"/>
  <c r="W17" i="10" s="1"/>
  <c r="X18" i="10" s="1"/>
  <c r="J17" i="10"/>
  <c r="K17" i="10" s="1"/>
  <c r="L18" i="10" s="1"/>
  <c r="AH16" i="10"/>
  <c r="AI16" i="10" s="1"/>
  <c r="AJ17" i="10" s="1"/>
  <c r="V16" i="10"/>
  <c r="W16" i="10" s="1"/>
  <c r="X17" i="10" s="1"/>
  <c r="J16" i="10"/>
  <c r="K16" i="10" s="1"/>
  <c r="L17" i="10" s="1"/>
  <c r="AH15" i="10"/>
  <c r="AI15" i="10" s="1"/>
  <c r="AJ16" i="10" s="1"/>
  <c r="V15" i="10"/>
  <c r="W15" i="10" s="1"/>
  <c r="X16" i="10" s="1"/>
  <c r="K15" i="10"/>
  <c r="L16" i="10" s="1"/>
  <c r="J15" i="10"/>
  <c r="AH14" i="10"/>
  <c r="AI14" i="10" s="1"/>
  <c r="AJ15" i="10" s="1"/>
  <c r="V14" i="10"/>
  <c r="W14" i="10" s="1"/>
  <c r="X15" i="10" s="1"/>
  <c r="J14" i="10"/>
  <c r="K14" i="10" s="1"/>
  <c r="L15" i="10" s="1"/>
  <c r="AH13" i="10"/>
  <c r="AI13" i="10" s="1"/>
  <c r="AJ14" i="10" s="1"/>
  <c r="V13" i="10"/>
  <c r="W13" i="10" s="1"/>
  <c r="X14" i="10" s="1"/>
  <c r="J13" i="10"/>
  <c r="K13" i="10" s="1"/>
  <c r="L14" i="10" s="1"/>
  <c r="AH12" i="10"/>
  <c r="AI12" i="10" s="1"/>
  <c r="AJ13" i="10" s="1"/>
  <c r="V12" i="10"/>
  <c r="W12" i="10" s="1"/>
  <c r="X13" i="10" s="1"/>
  <c r="J12" i="10"/>
  <c r="K12" i="10" s="1"/>
  <c r="L13" i="10" s="1"/>
  <c r="AH11" i="10"/>
  <c r="AI11" i="10" s="1"/>
  <c r="AJ12" i="10" s="1"/>
  <c r="V11" i="10"/>
  <c r="W11" i="10" s="1"/>
  <c r="X12" i="10" s="1"/>
  <c r="J11" i="10"/>
  <c r="K11" i="10" s="1"/>
  <c r="L12" i="10" s="1"/>
  <c r="AH10" i="10"/>
  <c r="AI10" i="10" s="1"/>
  <c r="AJ11" i="10" s="1"/>
  <c r="V10" i="10"/>
  <c r="W10" i="10" s="1"/>
  <c r="X11" i="10" s="1"/>
  <c r="J10" i="10"/>
  <c r="K10" i="10" s="1"/>
  <c r="L11" i="10" s="1"/>
  <c r="AH9" i="10"/>
  <c r="AI9" i="10" s="1"/>
  <c r="AJ10" i="10" s="1"/>
  <c r="V9" i="10"/>
  <c r="W9" i="10" s="1"/>
  <c r="X10" i="10" s="1"/>
  <c r="J9" i="10"/>
  <c r="K9" i="10" s="1"/>
  <c r="L10" i="10" s="1"/>
  <c r="AH8" i="10"/>
  <c r="AI8" i="10" s="1"/>
  <c r="AJ9" i="10" s="1"/>
  <c r="V8" i="10"/>
  <c r="W8" i="10" s="1"/>
  <c r="X9" i="10" s="1"/>
  <c r="J8" i="10"/>
  <c r="K8" i="10" s="1"/>
  <c r="L9" i="10" s="1"/>
  <c r="AH7" i="10"/>
  <c r="AI7" i="10" s="1"/>
  <c r="AJ8" i="10" s="1"/>
  <c r="V7" i="10"/>
  <c r="W7" i="10" s="1"/>
  <c r="X8" i="10" s="1"/>
  <c r="K7" i="10"/>
  <c r="L8" i="10" s="1"/>
  <c r="J7" i="10"/>
  <c r="AH6" i="10"/>
  <c r="AI6" i="10" s="1"/>
  <c r="AJ7" i="10" s="1"/>
  <c r="V6" i="10"/>
  <c r="W6" i="10" s="1"/>
  <c r="X7" i="10" s="1"/>
  <c r="J6" i="10"/>
  <c r="K6" i="10" s="1"/>
  <c r="L7" i="10" s="1"/>
  <c r="AI5" i="10"/>
  <c r="AJ6" i="10" s="1"/>
  <c r="AH5" i="10"/>
  <c r="W5" i="10"/>
  <c r="X6" i="10" s="1"/>
  <c r="V5" i="10"/>
  <c r="J5" i="10"/>
  <c r="K5" i="10" s="1"/>
  <c r="L6" i="10" s="1"/>
  <c r="AH4" i="10"/>
  <c r="AI4" i="10" s="1"/>
  <c r="AJ5" i="10" s="1"/>
  <c r="V4" i="10"/>
  <c r="W4" i="10" s="1"/>
  <c r="X5" i="10" s="1"/>
  <c r="J4" i="10"/>
  <c r="K4" i="10" s="1"/>
  <c r="L5" i="10" s="1"/>
  <c r="AH3" i="10"/>
  <c r="AI3" i="10" s="1"/>
  <c r="AJ4" i="10" s="1"/>
  <c r="V3" i="10"/>
  <c r="W3" i="10" s="1"/>
  <c r="X4" i="10" s="1"/>
  <c r="J3" i="10"/>
  <c r="K3" i="10" s="1"/>
  <c r="L4" i="10" s="1"/>
  <c r="L115" i="9"/>
  <c r="K115" i="9"/>
  <c r="E115" i="9"/>
  <c r="D115" i="9"/>
  <c r="C115" i="9"/>
  <c r="AA114" i="9"/>
  <c r="Z114" i="9"/>
  <c r="L114" i="9"/>
  <c r="K114" i="9"/>
  <c r="E114" i="9"/>
  <c r="D114" i="9"/>
  <c r="C114" i="9"/>
  <c r="AA113" i="9"/>
  <c r="Z113" i="9"/>
  <c r="L113" i="9"/>
  <c r="K113" i="9"/>
  <c r="E113" i="9"/>
  <c r="D113" i="9"/>
  <c r="C113" i="9"/>
  <c r="AA112" i="9"/>
  <c r="Z112" i="9"/>
  <c r="L112" i="9"/>
  <c r="K112" i="9"/>
  <c r="E112" i="9"/>
  <c r="D112" i="9"/>
  <c r="C112" i="9"/>
  <c r="AA111" i="9"/>
  <c r="Z111" i="9"/>
  <c r="L111" i="9"/>
  <c r="K111" i="9"/>
  <c r="E111" i="9"/>
  <c r="D111" i="9"/>
  <c r="C111" i="9"/>
  <c r="AA110" i="9"/>
  <c r="Z110" i="9"/>
  <c r="L110" i="9"/>
  <c r="K110" i="9"/>
  <c r="E110" i="9"/>
  <c r="D110" i="9"/>
  <c r="C110" i="9"/>
  <c r="AA109" i="9"/>
  <c r="Z109" i="9"/>
  <c r="L109" i="9"/>
  <c r="K109" i="9"/>
  <c r="E109" i="9"/>
  <c r="D109" i="9"/>
  <c r="C109" i="9"/>
  <c r="AA108" i="9"/>
  <c r="Z108" i="9"/>
  <c r="L108" i="9"/>
  <c r="K108" i="9"/>
  <c r="E108" i="9"/>
  <c r="D108" i="9"/>
  <c r="C108" i="9"/>
  <c r="AA107" i="9"/>
  <c r="Z107" i="9"/>
  <c r="L107" i="9"/>
  <c r="K107" i="9"/>
  <c r="E107" i="9"/>
  <c r="D107" i="9"/>
  <c r="C107" i="9"/>
  <c r="AA106" i="9"/>
  <c r="Z106" i="9"/>
  <c r="L106" i="9"/>
  <c r="K106" i="9"/>
  <c r="E106" i="9"/>
  <c r="D106" i="9"/>
  <c r="C106" i="9"/>
  <c r="AA105" i="9"/>
  <c r="Z105" i="9"/>
  <c r="E105" i="9"/>
  <c r="D105" i="9"/>
  <c r="C105" i="9"/>
  <c r="E104" i="9"/>
  <c r="D104" i="9"/>
  <c r="C104" i="9"/>
  <c r="E103" i="9"/>
  <c r="D103" i="9"/>
  <c r="C103" i="9"/>
  <c r="E102" i="9"/>
  <c r="D102" i="9"/>
  <c r="C102" i="9"/>
  <c r="E101" i="9"/>
  <c r="D101" i="9"/>
  <c r="C101" i="9"/>
  <c r="E100" i="9"/>
  <c r="D100" i="9"/>
  <c r="C100" i="9"/>
  <c r="E99" i="9"/>
  <c r="D99" i="9"/>
  <c r="C99" i="9"/>
  <c r="E98" i="9"/>
  <c r="D98" i="9"/>
  <c r="C98" i="9"/>
  <c r="E94" i="9"/>
  <c r="F75" i="9" s="1"/>
  <c r="F76" i="9" s="1"/>
  <c r="Y76" i="9"/>
  <c r="X76" i="9"/>
  <c r="W76" i="9"/>
  <c r="S76" i="9"/>
  <c r="R76" i="9"/>
  <c r="Q76" i="9"/>
  <c r="P76" i="9"/>
  <c r="O76" i="9"/>
  <c r="N76" i="9"/>
  <c r="M76" i="9"/>
  <c r="L76" i="9"/>
  <c r="H76" i="9"/>
  <c r="AC75" i="9"/>
  <c r="D75" i="9"/>
  <c r="AC74" i="9"/>
  <c r="K74" i="9"/>
  <c r="D74" i="9"/>
  <c r="AC73" i="9"/>
  <c r="K73" i="9"/>
  <c r="D73" i="9"/>
  <c r="AC72" i="9"/>
  <c r="K72" i="9"/>
  <c r="D72" i="9"/>
  <c r="T72" i="9" s="1"/>
  <c r="AC71" i="9"/>
  <c r="K71" i="9"/>
  <c r="D71" i="9"/>
  <c r="AC70" i="9"/>
  <c r="K70" i="9"/>
  <c r="D70" i="9"/>
  <c r="AC69" i="9"/>
  <c r="K69" i="9"/>
  <c r="D69" i="9"/>
  <c r="AC68" i="9"/>
  <c r="K68" i="9"/>
  <c r="D68" i="9"/>
  <c r="AC67" i="9"/>
  <c r="K67" i="9"/>
  <c r="D67" i="9"/>
  <c r="AC66" i="9"/>
  <c r="K66" i="9"/>
  <c r="D66" i="9"/>
  <c r="AC65" i="9"/>
  <c r="K65" i="9"/>
  <c r="D65" i="9"/>
  <c r="AC64" i="9"/>
  <c r="K64" i="9"/>
  <c r="D64" i="9"/>
  <c r="T64" i="9" s="1"/>
  <c r="AC63" i="9"/>
  <c r="K63" i="9"/>
  <c r="D63" i="9"/>
  <c r="AC62" i="9"/>
  <c r="K62" i="9"/>
  <c r="D62" i="9"/>
  <c r="AC61" i="9"/>
  <c r="K61" i="9"/>
  <c r="D61" i="9"/>
  <c r="AC60" i="9"/>
  <c r="K60" i="9"/>
  <c r="D60" i="9"/>
  <c r="T60" i="9" s="1"/>
  <c r="AC59" i="9"/>
  <c r="K59" i="9"/>
  <c r="D59" i="9"/>
  <c r="AC58" i="9"/>
  <c r="K58" i="9"/>
  <c r="D58" i="9"/>
  <c r="AT54" i="9"/>
  <c r="AT53" i="9"/>
  <c r="AT52" i="9"/>
  <c r="AT51" i="9"/>
  <c r="AT50" i="9"/>
  <c r="Y50" i="9"/>
  <c r="X50" i="9"/>
  <c r="W50" i="9"/>
  <c r="S50" i="9"/>
  <c r="R50" i="9"/>
  <c r="Q50" i="9"/>
  <c r="P50" i="9"/>
  <c r="O50" i="9"/>
  <c r="N50" i="9"/>
  <c r="M50" i="9"/>
  <c r="L50" i="9"/>
  <c r="H50" i="9"/>
  <c r="AT49" i="9"/>
  <c r="AC49" i="9"/>
  <c r="AI69" i="9" s="1"/>
  <c r="D49" i="9"/>
  <c r="AT48" i="9"/>
  <c r="AC48" i="9"/>
  <c r="AI68" i="9" s="1"/>
  <c r="K48" i="9"/>
  <c r="D48" i="9"/>
  <c r="AT47" i="9"/>
  <c r="AC47" i="9"/>
  <c r="AI67" i="9" s="1"/>
  <c r="K47" i="9"/>
  <c r="D47" i="9"/>
  <c r="AT46" i="9"/>
  <c r="AC46" i="9"/>
  <c r="AI66" i="9" s="1"/>
  <c r="K46" i="9"/>
  <c r="D46" i="9"/>
  <c r="AT45" i="9"/>
  <c r="AC45" i="9"/>
  <c r="AI65" i="9" s="1"/>
  <c r="K45" i="9"/>
  <c r="D45" i="9"/>
  <c r="AT44" i="9"/>
  <c r="AC44" i="9"/>
  <c r="AI64" i="9" s="1"/>
  <c r="K44" i="9"/>
  <c r="D44" i="9"/>
  <c r="AT43" i="9"/>
  <c r="AC43" i="9"/>
  <c r="AI63" i="9" s="1"/>
  <c r="K43" i="9"/>
  <c r="D43" i="9"/>
  <c r="AT42" i="9"/>
  <c r="AC42" i="9"/>
  <c r="AI62" i="9" s="1"/>
  <c r="K42" i="9"/>
  <c r="D42" i="9"/>
  <c r="AT41" i="9"/>
  <c r="AC41" i="9"/>
  <c r="AI61" i="9" s="1"/>
  <c r="K41" i="9"/>
  <c r="D41" i="9"/>
  <c r="AT40" i="9"/>
  <c r="AC40" i="9"/>
  <c r="AI60" i="9" s="1"/>
  <c r="K40" i="9"/>
  <c r="T40" i="9" s="1"/>
  <c r="D40" i="9"/>
  <c r="AT39" i="9"/>
  <c r="AC39" i="9"/>
  <c r="AI59" i="9" s="1"/>
  <c r="K39" i="9"/>
  <c r="D39" i="9"/>
  <c r="AT38" i="9"/>
  <c r="AC38" i="9"/>
  <c r="AI58" i="9" s="1"/>
  <c r="K38" i="9"/>
  <c r="D38" i="9"/>
  <c r="AT37" i="9"/>
  <c r="AC37" i="9"/>
  <c r="AI57" i="9" s="1"/>
  <c r="K37" i="9"/>
  <c r="D37" i="9"/>
  <c r="AC36" i="9"/>
  <c r="AI56" i="9" s="1"/>
  <c r="K36" i="9"/>
  <c r="D36" i="9"/>
  <c r="AC35" i="9"/>
  <c r="AI55" i="9" s="1"/>
  <c r="K35" i="9"/>
  <c r="D35" i="9"/>
  <c r="AC34" i="9"/>
  <c r="AI54" i="9" s="1"/>
  <c r="K34" i="9"/>
  <c r="D34" i="9"/>
  <c r="AC33" i="9"/>
  <c r="AI53" i="9" s="1"/>
  <c r="K33" i="9"/>
  <c r="D33" i="9"/>
  <c r="AC32" i="9"/>
  <c r="AI52" i="9" s="1"/>
  <c r="K32" i="9"/>
  <c r="D32" i="9"/>
  <c r="BA29" i="9"/>
  <c r="AZ29" i="9"/>
  <c r="AY29" i="9"/>
  <c r="BA28" i="9"/>
  <c r="AZ28" i="9"/>
  <c r="AY28" i="9"/>
  <c r="BA27" i="9"/>
  <c r="AZ27" i="9"/>
  <c r="AY27" i="9"/>
  <c r="BA26" i="9"/>
  <c r="AZ26" i="9"/>
  <c r="AY26" i="9"/>
  <c r="BA25" i="9"/>
  <c r="AZ25" i="9"/>
  <c r="AY25" i="9"/>
  <c r="BA24" i="9"/>
  <c r="AZ24" i="9"/>
  <c r="AY24" i="9"/>
  <c r="Y24" i="9"/>
  <c r="X24" i="9"/>
  <c r="W24" i="9"/>
  <c r="U24" i="9"/>
  <c r="S24" i="9"/>
  <c r="R24" i="9"/>
  <c r="Q24" i="9"/>
  <c r="P24" i="9"/>
  <c r="O24" i="9"/>
  <c r="N24" i="9"/>
  <c r="M24" i="9"/>
  <c r="L24" i="9"/>
  <c r="H24" i="9"/>
  <c r="BA23" i="9"/>
  <c r="AZ23" i="9"/>
  <c r="AY23" i="9"/>
  <c r="AC23" i="9"/>
  <c r="D23" i="9"/>
  <c r="BA22" i="9"/>
  <c r="AZ22" i="9"/>
  <c r="AY22" i="9"/>
  <c r="AC22" i="9"/>
  <c r="K22" i="9"/>
  <c r="D22" i="9"/>
  <c r="BA21" i="9"/>
  <c r="AZ21" i="9"/>
  <c r="AY21" i="9"/>
  <c r="AC21" i="9"/>
  <c r="K21" i="9"/>
  <c r="D21" i="9"/>
  <c r="BA20" i="9"/>
  <c r="AZ20" i="9"/>
  <c r="AY20" i="9"/>
  <c r="AC20" i="9"/>
  <c r="K20" i="9"/>
  <c r="D20" i="9"/>
  <c r="BA19" i="9"/>
  <c r="AZ19" i="9"/>
  <c r="AY19" i="9"/>
  <c r="AC19" i="9"/>
  <c r="K19" i="9"/>
  <c r="D19" i="9"/>
  <c r="BA18" i="9"/>
  <c r="AZ18" i="9"/>
  <c r="AY18" i="9"/>
  <c r="AC18" i="9"/>
  <c r="K18" i="9"/>
  <c r="D18" i="9"/>
  <c r="BA17" i="9"/>
  <c r="AZ17" i="9"/>
  <c r="AY17" i="9"/>
  <c r="AC17" i="9"/>
  <c r="K17" i="9"/>
  <c r="D17" i="9"/>
  <c r="BA16" i="9"/>
  <c r="AZ16" i="9"/>
  <c r="AY16" i="9"/>
  <c r="AN55" i="9" s="1"/>
  <c r="AC16" i="9"/>
  <c r="K16" i="9"/>
  <c r="D16" i="9"/>
  <c r="BA15" i="9"/>
  <c r="AZ15" i="9"/>
  <c r="AY15" i="9"/>
  <c r="AN54" i="9" s="1"/>
  <c r="AC15" i="9"/>
  <c r="K15" i="9"/>
  <c r="D15" i="9"/>
  <c r="BA14" i="9"/>
  <c r="AZ14" i="9"/>
  <c r="AY14" i="9"/>
  <c r="AN53" i="9" s="1"/>
  <c r="AC14" i="9"/>
  <c r="K14" i="9"/>
  <c r="D14" i="9"/>
  <c r="BA13" i="9"/>
  <c r="AZ13" i="9"/>
  <c r="AY13" i="9"/>
  <c r="AN52" i="9" s="1"/>
  <c r="AC13" i="9"/>
  <c r="K13" i="9"/>
  <c r="D13" i="9"/>
  <c r="BA12" i="9"/>
  <c r="AZ12" i="9"/>
  <c r="AY12" i="9"/>
  <c r="AC12" i="9"/>
  <c r="K12" i="9"/>
  <c r="D12" i="9"/>
  <c r="BA11" i="9"/>
  <c r="AZ11" i="9"/>
  <c r="AY11" i="9"/>
  <c r="AC11" i="9"/>
  <c r="K11" i="9"/>
  <c r="D11" i="9"/>
  <c r="BA10" i="9"/>
  <c r="AZ10" i="9"/>
  <c r="AY10" i="9"/>
  <c r="AC10" i="9"/>
  <c r="K10" i="9"/>
  <c r="D10" i="9"/>
  <c r="BA9" i="9"/>
  <c r="AZ9" i="9"/>
  <c r="AY9" i="9"/>
  <c r="AC9" i="9"/>
  <c r="K9" i="9"/>
  <c r="D9" i="9"/>
  <c r="BA8" i="9"/>
  <c r="AZ8" i="9"/>
  <c r="AY8" i="9"/>
  <c r="AC8" i="9"/>
  <c r="K8" i="9"/>
  <c r="D8" i="9"/>
  <c r="BA7" i="9"/>
  <c r="AZ7" i="9"/>
  <c r="AY7" i="9"/>
  <c r="AC7" i="9"/>
  <c r="K7" i="9"/>
  <c r="D7" i="9"/>
  <c r="BA6" i="9"/>
  <c r="AZ6" i="9"/>
  <c r="AY6" i="9"/>
  <c r="AC6" i="9"/>
  <c r="K6" i="9"/>
  <c r="D6" i="9"/>
  <c r="V72" i="8"/>
  <c r="O72" i="8"/>
  <c r="H72" i="8"/>
  <c r="V71" i="8"/>
  <c r="O71" i="8"/>
  <c r="H71" i="8"/>
  <c r="W70" i="8"/>
  <c r="U70" i="8"/>
  <c r="P70" i="8"/>
  <c r="N70" i="8"/>
  <c r="I70" i="8"/>
  <c r="G70" i="8"/>
  <c r="W69" i="8"/>
  <c r="U69" i="8"/>
  <c r="P69" i="8"/>
  <c r="N69" i="8"/>
  <c r="I69" i="8"/>
  <c r="G69" i="8"/>
  <c r="W68" i="8"/>
  <c r="U68" i="8"/>
  <c r="P68" i="8"/>
  <c r="N68" i="8"/>
  <c r="I68" i="8"/>
  <c r="G68" i="8"/>
  <c r="W67" i="8"/>
  <c r="U67" i="8"/>
  <c r="P67" i="8"/>
  <c r="N67" i="8"/>
  <c r="I67" i="8"/>
  <c r="G67" i="8"/>
  <c r="W66" i="8"/>
  <c r="U66" i="8"/>
  <c r="P66" i="8"/>
  <c r="N66" i="8"/>
  <c r="I66" i="8"/>
  <c r="G66" i="8"/>
  <c r="W65" i="8"/>
  <c r="U65" i="8"/>
  <c r="P65" i="8"/>
  <c r="N65" i="8"/>
  <c r="I65" i="8"/>
  <c r="G65" i="8"/>
  <c r="W64" i="8"/>
  <c r="U64" i="8"/>
  <c r="P64" i="8"/>
  <c r="N64" i="8"/>
  <c r="I64" i="8"/>
  <c r="G64" i="8"/>
  <c r="W63" i="8"/>
  <c r="U63" i="8"/>
  <c r="P63" i="8"/>
  <c r="N63" i="8"/>
  <c r="I63" i="8"/>
  <c r="G63" i="8"/>
  <c r="W62" i="8"/>
  <c r="U62" i="8"/>
  <c r="P62" i="8"/>
  <c r="N62" i="8"/>
  <c r="I62" i="8"/>
  <c r="G62" i="8"/>
  <c r="W61" i="8"/>
  <c r="U61" i="8"/>
  <c r="P61" i="8"/>
  <c r="N61" i="8"/>
  <c r="I61" i="8"/>
  <c r="G61" i="8"/>
  <c r="W60" i="8"/>
  <c r="U60" i="8"/>
  <c r="P60" i="8"/>
  <c r="N60" i="8"/>
  <c r="I60" i="8"/>
  <c r="G60" i="8"/>
  <c r="W59" i="8"/>
  <c r="U59" i="8"/>
  <c r="P59" i="8"/>
  <c r="N59" i="8"/>
  <c r="I59" i="8"/>
  <c r="G59" i="8"/>
  <c r="W58" i="8"/>
  <c r="U58" i="8"/>
  <c r="P58" i="8"/>
  <c r="N58" i="8"/>
  <c r="I58" i="8"/>
  <c r="G58" i="8"/>
  <c r="W57" i="8"/>
  <c r="U57" i="8"/>
  <c r="P57" i="8"/>
  <c r="N57" i="8"/>
  <c r="I57" i="8"/>
  <c r="G57" i="8"/>
  <c r="W56" i="8"/>
  <c r="U56" i="8"/>
  <c r="P56" i="8"/>
  <c r="N56" i="8"/>
  <c r="I56" i="8"/>
  <c r="G56" i="8"/>
  <c r="W55" i="8"/>
  <c r="U55" i="8"/>
  <c r="P55" i="8"/>
  <c r="N55" i="8"/>
  <c r="I55" i="8"/>
  <c r="G55" i="8"/>
  <c r="W54" i="8"/>
  <c r="U54" i="8"/>
  <c r="P54" i="8"/>
  <c r="N54" i="8"/>
  <c r="I54" i="8"/>
  <c r="G54" i="8"/>
  <c r="W53" i="8"/>
  <c r="U53" i="8"/>
  <c r="P53" i="8"/>
  <c r="N53" i="8"/>
  <c r="I53" i="8"/>
  <c r="G53" i="8"/>
  <c r="W52" i="8"/>
  <c r="U52" i="8"/>
  <c r="P52" i="8"/>
  <c r="N52" i="8"/>
  <c r="I52" i="8"/>
  <c r="G52" i="8"/>
  <c r="W51" i="8"/>
  <c r="U51" i="8"/>
  <c r="P51" i="8"/>
  <c r="N51" i="8"/>
  <c r="I51" i="8"/>
  <c r="G51" i="8"/>
  <c r="W50" i="8"/>
  <c r="U50" i="8"/>
  <c r="P50" i="8"/>
  <c r="N50" i="8"/>
  <c r="I50" i="8"/>
  <c r="G50" i="8"/>
  <c r="W49" i="8"/>
  <c r="U49" i="8"/>
  <c r="P49" i="8"/>
  <c r="N49" i="8"/>
  <c r="I49" i="8"/>
  <c r="G49" i="8"/>
  <c r="W48" i="8"/>
  <c r="U48" i="8"/>
  <c r="P48" i="8"/>
  <c r="N48" i="8"/>
  <c r="I48" i="8"/>
  <c r="G48" i="8"/>
  <c r="W47" i="8"/>
  <c r="U47" i="8"/>
  <c r="P47" i="8"/>
  <c r="N47" i="8"/>
  <c r="I47" i="8"/>
  <c r="G47" i="8"/>
  <c r="W46" i="8"/>
  <c r="U46" i="8"/>
  <c r="P46" i="8"/>
  <c r="N46" i="8"/>
  <c r="I46" i="8"/>
  <c r="G46" i="8"/>
  <c r="W45" i="8"/>
  <c r="U45" i="8"/>
  <c r="P45" i="8"/>
  <c r="N45" i="8"/>
  <c r="I45" i="8"/>
  <c r="G45" i="8"/>
  <c r="W44" i="8"/>
  <c r="U44" i="8"/>
  <c r="P44" i="8"/>
  <c r="N44" i="8"/>
  <c r="I44" i="8"/>
  <c r="G44" i="8"/>
  <c r="W43" i="8"/>
  <c r="U43" i="8"/>
  <c r="P43" i="8"/>
  <c r="N43" i="8"/>
  <c r="I43" i="8"/>
  <c r="G43" i="8"/>
  <c r="W42" i="8"/>
  <c r="U42" i="8"/>
  <c r="P42" i="8"/>
  <c r="N42" i="8"/>
  <c r="I42" i="8"/>
  <c r="G42" i="8"/>
  <c r="W41" i="8"/>
  <c r="U41" i="8"/>
  <c r="P41" i="8"/>
  <c r="N41" i="8"/>
  <c r="I41" i="8"/>
  <c r="G41" i="8"/>
  <c r="W40" i="8"/>
  <c r="U40" i="8"/>
  <c r="P40" i="8"/>
  <c r="N40" i="8"/>
  <c r="I40" i="8"/>
  <c r="G40" i="8"/>
  <c r="W39" i="8"/>
  <c r="U39" i="8"/>
  <c r="P39" i="8"/>
  <c r="N39" i="8"/>
  <c r="I39" i="8"/>
  <c r="G39" i="8"/>
  <c r="W38" i="8"/>
  <c r="U38" i="8"/>
  <c r="P38" i="8"/>
  <c r="N38" i="8"/>
  <c r="I38" i="8"/>
  <c r="G38" i="8"/>
  <c r="W37" i="8"/>
  <c r="U37" i="8"/>
  <c r="P37" i="8"/>
  <c r="N37" i="8"/>
  <c r="I37" i="8"/>
  <c r="G37" i="8"/>
  <c r="W36" i="8"/>
  <c r="U36" i="8"/>
  <c r="P36" i="8"/>
  <c r="N36" i="8"/>
  <c r="I36" i="8"/>
  <c r="G36" i="8"/>
  <c r="W35" i="8"/>
  <c r="U35" i="8"/>
  <c r="P35" i="8"/>
  <c r="N35" i="8"/>
  <c r="I35" i="8"/>
  <c r="G35" i="8"/>
  <c r="W34" i="8"/>
  <c r="U34" i="8"/>
  <c r="P34" i="8"/>
  <c r="N34" i="8"/>
  <c r="I34" i="8"/>
  <c r="G34" i="8"/>
  <c r="W33" i="8"/>
  <c r="U33" i="8"/>
  <c r="P33" i="8"/>
  <c r="N33" i="8"/>
  <c r="I33" i="8"/>
  <c r="G33" i="8"/>
  <c r="W32" i="8"/>
  <c r="U32" i="8"/>
  <c r="P32" i="8"/>
  <c r="N32" i="8"/>
  <c r="I32" i="8"/>
  <c r="G32" i="8"/>
  <c r="W31" i="8"/>
  <c r="U31" i="8"/>
  <c r="P31" i="8"/>
  <c r="N31" i="8"/>
  <c r="I31" i="8"/>
  <c r="G31" i="8"/>
  <c r="W30" i="8"/>
  <c r="U30" i="8"/>
  <c r="P30" i="8"/>
  <c r="N30" i="8"/>
  <c r="I30" i="8"/>
  <c r="G30" i="8"/>
  <c r="W29" i="8"/>
  <c r="U29" i="8"/>
  <c r="P29" i="8"/>
  <c r="N29" i="8"/>
  <c r="I29" i="8"/>
  <c r="G29" i="8"/>
  <c r="W28" i="8"/>
  <c r="U28" i="8"/>
  <c r="P28" i="8"/>
  <c r="N28" i="8"/>
  <c r="I28" i="8"/>
  <c r="G28" i="8"/>
  <c r="W27" i="8"/>
  <c r="U27" i="8"/>
  <c r="P27" i="8"/>
  <c r="N27" i="8"/>
  <c r="I27" i="8"/>
  <c r="G27" i="8"/>
  <c r="W26" i="8"/>
  <c r="U26" i="8"/>
  <c r="P26" i="8"/>
  <c r="N26" i="8"/>
  <c r="I26" i="8"/>
  <c r="G26" i="8"/>
  <c r="W25" i="8"/>
  <c r="U25" i="8"/>
  <c r="P25" i="8"/>
  <c r="N25" i="8"/>
  <c r="I25" i="8"/>
  <c r="G25" i="8"/>
  <c r="W24" i="8"/>
  <c r="U24" i="8"/>
  <c r="P24" i="8"/>
  <c r="N24" i="8"/>
  <c r="I24" i="8"/>
  <c r="G24" i="8"/>
  <c r="W23" i="8"/>
  <c r="U23" i="8"/>
  <c r="P23" i="8"/>
  <c r="N23" i="8"/>
  <c r="I23" i="8"/>
  <c r="G23" i="8"/>
  <c r="W22" i="8"/>
  <c r="U22" i="8"/>
  <c r="P22" i="8"/>
  <c r="N22" i="8"/>
  <c r="I22" i="8"/>
  <c r="G22" i="8"/>
  <c r="W21" i="8"/>
  <c r="U21" i="8"/>
  <c r="P21" i="8"/>
  <c r="N21" i="8"/>
  <c r="I21" i="8"/>
  <c r="G21" i="8"/>
  <c r="W20" i="8"/>
  <c r="U20" i="8"/>
  <c r="P20" i="8"/>
  <c r="N20" i="8"/>
  <c r="I20" i="8"/>
  <c r="G20" i="8"/>
  <c r="W19" i="8"/>
  <c r="U19" i="8"/>
  <c r="P19" i="8"/>
  <c r="N19" i="8"/>
  <c r="I19" i="8"/>
  <c r="G19" i="8"/>
  <c r="W18" i="8"/>
  <c r="U18" i="8"/>
  <c r="P18" i="8"/>
  <c r="N18" i="8"/>
  <c r="I18" i="8"/>
  <c r="G18" i="8"/>
  <c r="W17" i="8"/>
  <c r="U17" i="8"/>
  <c r="P17" i="8"/>
  <c r="N17" i="8"/>
  <c r="I17" i="8"/>
  <c r="G17" i="8"/>
  <c r="W16" i="8"/>
  <c r="U16" i="8"/>
  <c r="P16" i="8"/>
  <c r="N16" i="8"/>
  <c r="I16" i="8"/>
  <c r="G16" i="8"/>
  <c r="W15" i="8"/>
  <c r="U15" i="8"/>
  <c r="P15" i="8"/>
  <c r="N15" i="8"/>
  <c r="I15" i="8"/>
  <c r="G15" i="8"/>
  <c r="W14" i="8"/>
  <c r="U14" i="8"/>
  <c r="P14" i="8"/>
  <c r="N14" i="8"/>
  <c r="I14" i="8"/>
  <c r="G14" i="8"/>
  <c r="W13" i="8"/>
  <c r="U13" i="8"/>
  <c r="P13" i="8"/>
  <c r="N13" i="8"/>
  <c r="I13" i="8"/>
  <c r="G13" i="8"/>
  <c r="W12" i="8"/>
  <c r="U12" i="8"/>
  <c r="P12" i="8"/>
  <c r="N12" i="8"/>
  <c r="I12" i="8"/>
  <c r="G12" i="8"/>
  <c r="W11" i="8"/>
  <c r="U11" i="8"/>
  <c r="P11" i="8"/>
  <c r="N11" i="8"/>
  <c r="I11" i="8"/>
  <c r="G11" i="8"/>
  <c r="W10" i="8"/>
  <c r="U10" i="8"/>
  <c r="P10" i="8"/>
  <c r="N10" i="8"/>
  <c r="I10" i="8"/>
  <c r="G10" i="8"/>
  <c r="W9" i="8"/>
  <c r="U9" i="8"/>
  <c r="P9" i="8"/>
  <c r="N9" i="8"/>
  <c r="I9" i="8"/>
  <c r="G9" i="8"/>
  <c r="W8" i="8"/>
  <c r="U8" i="8"/>
  <c r="P8" i="8"/>
  <c r="N8" i="8"/>
  <c r="I8" i="8"/>
  <c r="G8" i="8"/>
  <c r="W7" i="8"/>
  <c r="U7" i="8"/>
  <c r="P7" i="8"/>
  <c r="N7" i="8"/>
  <c r="I7" i="8"/>
  <c r="G7" i="8"/>
  <c r="W6" i="8"/>
  <c r="U6" i="8"/>
  <c r="P6" i="8"/>
  <c r="N6" i="8"/>
  <c r="I6" i="8"/>
  <c r="G6" i="8"/>
  <c r="W5" i="8"/>
  <c r="U5" i="8"/>
  <c r="N5" i="8"/>
  <c r="I5" i="8"/>
  <c r="P5" i="8" s="1"/>
  <c r="G5" i="8"/>
  <c r="N4" i="8"/>
  <c r="U4" i="8" s="1"/>
  <c r="I4" i="8"/>
  <c r="P4" i="8" s="1"/>
  <c r="W4" i="8" s="1"/>
  <c r="G4" i="8"/>
  <c r="N3" i="8"/>
  <c r="U3" i="8" s="1"/>
  <c r="I3" i="8"/>
  <c r="P3" i="8" s="1"/>
  <c r="W3" i="8" s="1"/>
  <c r="G3" i="8"/>
  <c r="W127" i="7"/>
  <c r="W126" i="7"/>
  <c r="W125" i="7"/>
  <c r="W124" i="7"/>
  <c r="W123" i="7"/>
  <c r="W122" i="7"/>
  <c r="W121" i="7"/>
  <c r="W120" i="7"/>
  <c r="W119" i="7"/>
  <c r="W118" i="7"/>
  <c r="W117" i="7"/>
  <c r="W116" i="7"/>
  <c r="C110" i="7"/>
  <c r="Z127" i="7" s="1"/>
  <c r="B110" i="7"/>
  <c r="Y127" i="7" s="1"/>
  <c r="A110" i="7"/>
  <c r="X127" i="7" s="1"/>
  <c r="C109" i="7"/>
  <c r="Z126" i="7" s="1"/>
  <c r="B109" i="7"/>
  <c r="Y126" i="7" s="1"/>
  <c r="A109" i="7"/>
  <c r="X126" i="7" s="1"/>
  <c r="C108" i="7"/>
  <c r="Z125" i="7" s="1"/>
  <c r="B108" i="7"/>
  <c r="Y125" i="7" s="1"/>
  <c r="A108" i="7"/>
  <c r="X125" i="7" s="1"/>
  <c r="C107" i="7"/>
  <c r="Z124" i="7" s="1"/>
  <c r="B107" i="7"/>
  <c r="Y124" i="7" s="1"/>
  <c r="A107" i="7"/>
  <c r="X124" i="7" s="1"/>
  <c r="C106" i="7"/>
  <c r="Z123" i="7" s="1"/>
  <c r="B106" i="7"/>
  <c r="Y123" i="7" s="1"/>
  <c r="A106" i="7"/>
  <c r="X123" i="7" s="1"/>
  <c r="C105" i="7"/>
  <c r="Z122" i="7" s="1"/>
  <c r="B105" i="7"/>
  <c r="Y122" i="7" s="1"/>
  <c r="A105" i="7"/>
  <c r="X122" i="7" s="1"/>
  <c r="C104" i="7"/>
  <c r="Z121" i="7" s="1"/>
  <c r="B104" i="7"/>
  <c r="Y121" i="7" s="1"/>
  <c r="A104" i="7"/>
  <c r="X121" i="7" s="1"/>
  <c r="C103" i="7"/>
  <c r="Z120" i="7" s="1"/>
  <c r="B103" i="7"/>
  <c r="Y120" i="7" s="1"/>
  <c r="A103" i="7"/>
  <c r="X120" i="7" s="1"/>
  <c r="C102" i="7"/>
  <c r="Z119" i="7" s="1"/>
  <c r="B102" i="7"/>
  <c r="Y119" i="7" s="1"/>
  <c r="A102" i="7"/>
  <c r="X119" i="7" s="1"/>
  <c r="C101" i="7"/>
  <c r="Z118" i="7" s="1"/>
  <c r="B101" i="7"/>
  <c r="Y118" i="7" s="1"/>
  <c r="A101" i="7"/>
  <c r="X118" i="7" s="1"/>
  <c r="C100" i="7"/>
  <c r="Z117" i="7" s="1"/>
  <c r="B100" i="7"/>
  <c r="Y117" i="7" s="1"/>
  <c r="A100" i="7"/>
  <c r="X117" i="7" s="1"/>
  <c r="C99" i="7"/>
  <c r="Z116" i="7" s="1"/>
  <c r="B99" i="7"/>
  <c r="Y116" i="7" s="1"/>
  <c r="A99" i="7"/>
  <c r="X116" i="7" s="1"/>
  <c r="C98" i="7"/>
  <c r="B98" i="7"/>
  <c r="A98" i="7"/>
  <c r="J82" i="7"/>
  <c r="R8" i="1" s="1"/>
  <c r="G82" i="7"/>
  <c r="Q8" i="1" s="1"/>
  <c r="C82" i="7"/>
  <c r="P8" i="1" s="1"/>
  <c r="B82" i="7"/>
  <c r="B81" i="7"/>
  <c r="D80" i="7"/>
  <c r="G80" i="7" s="1"/>
  <c r="C80" i="7"/>
  <c r="C92" i="4" s="1"/>
  <c r="B80" i="7"/>
  <c r="J79" i="7"/>
  <c r="G79" i="7"/>
  <c r="J91" i="4" s="1"/>
  <c r="C79" i="7"/>
  <c r="G71" i="8" s="1"/>
  <c r="B79" i="7"/>
  <c r="M78" i="7"/>
  <c r="M77" i="7"/>
  <c r="M76" i="7"/>
  <c r="M75" i="7"/>
  <c r="M74" i="7"/>
  <c r="M73" i="7"/>
  <c r="M72" i="7"/>
  <c r="M71" i="7"/>
  <c r="M70" i="7"/>
  <c r="M69" i="7"/>
  <c r="M68" i="7"/>
  <c r="M67" i="7"/>
  <c r="M66" i="7"/>
  <c r="M65" i="7"/>
  <c r="M64" i="7"/>
  <c r="M63" i="7"/>
  <c r="M62" i="7"/>
  <c r="M61" i="7"/>
  <c r="M60" i="7"/>
  <c r="M59" i="7"/>
  <c r="M58" i="7"/>
  <c r="M57" i="7"/>
  <c r="M56" i="7"/>
  <c r="M55" i="7"/>
  <c r="M54" i="7"/>
  <c r="M53" i="7"/>
  <c r="M52" i="7"/>
  <c r="M51" i="7"/>
  <c r="M50" i="7"/>
  <c r="M49" i="7"/>
  <c r="M48" i="7"/>
  <c r="M47" i="7"/>
  <c r="M46" i="7"/>
  <c r="M45" i="7"/>
  <c r="M44" i="7"/>
  <c r="M43" i="7"/>
  <c r="M42" i="7"/>
  <c r="M41" i="7"/>
  <c r="M40" i="7"/>
  <c r="M39" i="7"/>
  <c r="M38" i="7"/>
  <c r="M37" i="7"/>
  <c r="M36" i="7"/>
  <c r="M35" i="7"/>
  <c r="M34" i="7"/>
  <c r="M33" i="7"/>
  <c r="M32" i="7"/>
  <c r="M31" i="7"/>
  <c r="M30" i="7"/>
  <c r="M29" i="7"/>
  <c r="M28" i="7"/>
  <c r="M27" i="7"/>
  <c r="M26" i="7"/>
  <c r="M25" i="7"/>
  <c r="M24" i="7"/>
  <c r="M23" i="7"/>
  <c r="M22" i="7"/>
  <c r="M21" i="7"/>
  <c r="M20" i="7"/>
  <c r="M19" i="7"/>
  <c r="M18" i="7"/>
  <c r="M17" i="7"/>
  <c r="M16" i="7"/>
  <c r="M15" i="7"/>
  <c r="M14" i="7"/>
  <c r="M13" i="7"/>
  <c r="M12" i="7"/>
  <c r="M11" i="7"/>
  <c r="M10" i="7"/>
  <c r="M9" i="7"/>
  <c r="M8" i="7"/>
  <c r="M7" i="7"/>
  <c r="M6" i="7"/>
  <c r="M5" i="7"/>
  <c r="M4" i="7"/>
  <c r="M3" i="7"/>
  <c r="R135" i="5"/>
  <c r="O135" i="5"/>
  <c r="N135" i="5"/>
  <c r="M135" i="5"/>
  <c r="L135" i="5"/>
  <c r="K135" i="5"/>
  <c r="J135" i="5"/>
  <c r="I135" i="5"/>
  <c r="H135" i="5"/>
  <c r="G135" i="5"/>
  <c r="E135" i="5"/>
  <c r="D135" i="5"/>
  <c r="C135" i="5"/>
  <c r="BS110" i="5"/>
  <c r="BR110" i="5" s="1"/>
  <c r="R96" i="5"/>
  <c r="Q96" i="5"/>
  <c r="P96" i="5"/>
  <c r="O96" i="5"/>
  <c r="L96" i="5"/>
  <c r="J96" i="5"/>
  <c r="I96" i="5"/>
  <c r="H96" i="5"/>
  <c r="G96" i="5"/>
  <c r="F96" i="5"/>
  <c r="E96" i="5"/>
  <c r="D96" i="5"/>
  <c r="R95" i="5"/>
  <c r="Q95" i="5"/>
  <c r="P95" i="5"/>
  <c r="O95" i="5"/>
  <c r="L95" i="5"/>
  <c r="J95" i="5"/>
  <c r="I95" i="5"/>
  <c r="H95" i="5"/>
  <c r="G95" i="5"/>
  <c r="F95" i="5"/>
  <c r="E95" i="5"/>
  <c r="D95" i="5"/>
  <c r="R94" i="5"/>
  <c r="Q94" i="5"/>
  <c r="P94" i="5"/>
  <c r="O94" i="5"/>
  <c r="L94" i="5"/>
  <c r="J94" i="5"/>
  <c r="I94" i="5"/>
  <c r="H94" i="5"/>
  <c r="G94" i="5"/>
  <c r="F94" i="5"/>
  <c r="E94" i="5"/>
  <c r="D94" i="5"/>
  <c r="R93" i="5"/>
  <c r="Q93" i="5"/>
  <c r="P93" i="5"/>
  <c r="O93" i="5"/>
  <c r="L93" i="5"/>
  <c r="J93" i="5"/>
  <c r="I93" i="5"/>
  <c r="H93" i="5"/>
  <c r="G93" i="5"/>
  <c r="F93" i="5"/>
  <c r="E93" i="5"/>
  <c r="D93" i="5"/>
  <c r="R91" i="5"/>
  <c r="Q91" i="5"/>
  <c r="P91" i="5"/>
  <c r="O91" i="5"/>
  <c r="L91" i="5"/>
  <c r="J91" i="5"/>
  <c r="I91" i="5"/>
  <c r="H91" i="5"/>
  <c r="G91" i="5"/>
  <c r="F91" i="5"/>
  <c r="E91" i="5"/>
  <c r="D91" i="5"/>
  <c r="R90" i="5"/>
  <c r="Q90" i="5"/>
  <c r="P90" i="5"/>
  <c r="O90" i="5"/>
  <c r="L90" i="5"/>
  <c r="J90" i="5"/>
  <c r="I90" i="5"/>
  <c r="H90" i="5"/>
  <c r="G90" i="5"/>
  <c r="F90" i="5"/>
  <c r="E90" i="5"/>
  <c r="D90" i="5"/>
  <c r="R89" i="5"/>
  <c r="Q89" i="5"/>
  <c r="P89" i="5"/>
  <c r="O89" i="5"/>
  <c r="L89" i="5"/>
  <c r="J89" i="5"/>
  <c r="I89" i="5"/>
  <c r="H89" i="5"/>
  <c r="G89" i="5"/>
  <c r="F89" i="5"/>
  <c r="E89" i="5"/>
  <c r="D89" i="5"/>
  <c r="R88" i="5"/>
  <c r="Q88" i="5"/>
  <c r="P88" i="5"/>
  <c r="O88" i="5"/>
  <c r="L88" i="5"/>
  <c r="J88" i="5"/>
  <c r="I88" i="5"/>
  <c r="H88" i="5"/>
  <c r="G88" i="5"/>
  <c r="F88" i="5"/>
  <c r="E88" i="5"/>
  <c r="D88" i="5"/>
  <c r="R86" i="5"/>
  <c r="Q86" i="5"/>
  <c r="P86" i="5"/>
  <c r="O86" i="5"/>
  <c r="L86" i="5"/>
  <c r="J86" i="5"/>
  <c r="I86" i="5"/>
  <c r="H86" i="5"/>
  <c r="G86" i="5"/>
  <c r="F86" i="5"/>
  <c r="E86" i="5"/>
  <c r="D86" i="5"/>
  <c r="R85" i="5"/>
  <c r="Q85" i="5"/>
  <c r="P85" i="5"/>
  <c r="O85" i="5"/>
  <c r="L85" i="5"/>
  <c r="J85" i="5"/>
  <c r="I85" i="5"/>
  <c r="H85" i="5"/>
  <c r="G85" i="5"/>
  <c r="F85" i="5"/>
  <c r="E85" i="5"/>
  <c r="D85" i="5"/>
  <c r="AO84" i="5"/>
  <c r="AK84" i="5"/>
  <c r="AJ84" i="5"/>
  <c r="AI84" i="5"/>
  <c r="AH84" i="5"/>
  <c r="R84" i="5"/>
  <c r="Q84" i="5"/>
  <c r="P84" i="5"/>
  <c r="O84" i="5"/>
  <c r="L84" i="5"/>
  <c r="J84" i="5"/>
  <c r="I84" i="5"/>
  <c r="H84" i="5"/>
  <c r="G84" i="5"/>
  <c r="F84" i="5"/>
  <c r="E84" i="5"/>
  <c r="D84" i="5"/>
  <c r="R83" i="5"/>
  <c r="Q83" i="5"/>
  <c r="P83" i="5"/>
  <c r="O83" i="5"/>
  <c r="L83" i="5"/>
  <c r="J83" i="5"/>
  <c r="I83" i="5"/>
  <c r="H83" i="5"/>
  <c r="G83" i="5"/>
  <c r="F83" i="5"/>
  <c r="E83" i="5"/>
  <c r="D83" i="5"/>
  <c r="T82" i="5"/>
  <c r="S82" i="5"/>
  <c r="T81" i="5"/>
  <c r="S81" i="5"/>
  <c r="T80" i="5"/>
  <c r="S80" i="5"/>
  <c r="T79" i="5"/>
  <c r="S79" i="5"/>
  <c r="T78" i="5"/>
  <c r="S78" i="5"/>
  <c r="T77" i="5"/>
  <c r="S77" i="5"/>
  <c r="T76" i="5"/>
  <c r="S76" i="5"/>
  <c r="T75" i="5"/>
  <c r="S75" i="5"/>
  <c r="T74" i="5"/>
  <c r="S74" i="5"/>
  <c r="T73" i="5"/>
  <c r="S73" i="5"/>
  <c r="T72" i="5"/>
  <c r="S72" i="5"/>
  <c r="T71" i="5"/>
  <c r="S71" i="5"/>
  <c r="T70" i="5"/>
  <c r="S70" i="5"/>
  <c r="T69" i="5"/>
  <c r="S69" i="5"/>
  <c r="T68" i="5"/>
  <c r="S68" i="5"/>
  <c r="T67" i="5"/>
  <c r="S67" i="5"/>
  <c r="T66" i="5"/>
  <c r="S66" i="5"/>
  <c r="T65" i="5"/>
  <c r="S65" i="5"/>
  <c r="T64" i="5"/>
  <c r="S64" i="5"/>
  <c r="T63" i="5"/>
  <c r="S63" i="5"/>
  <c r="T62" i="5"/>
  <c r="S62" i="5"/>
  <c r="T61" i="5"/>
  <c r="S61" i="5"/>
  <c r="T60" i="5"/>
  <c r="S60" i="5"/>
  <c r="T59" i="5"/>
  <c r="S59" i="5"/>
  <c r="T58" i="5"/>
  <c r="S58" i="5"/>
  <c r="T57" i="5"/>
  <c r="S57" i="5"/>
  <c r="T56" i="5"/>
  <c r="S56" i="5"/>
  <c r="T55" i="5"/>
  <c r="S55" i="5"/>
  <c r="T54" i="5"/>
  <c r="S54" i="5"/>
  <c r="T53" i="5"/>
  <c r="S53" i="5"/>
  <c r="T52" i="5"/>
  <c r="S52" i="5"/>
  <c r="T51" i="5"/>
  <c r="S51" i="5"/>
  <c r="T50" i="5"/>
  <c r="S50" i="5"/>
  <c r="T49" i="5"/>
  <c r="S49" i="5"/>
  <c r="T48" i="5"/>
  <c r="S48" i="5"/>
  <c r="T47" i="5"/>
  <c r="S47" i="5"/>
  <c r="T46" i="5"/>
  <c r="S46" i="5"/>
  <c r="T45" i="5"/>
  <c r="S45" i="5"/>
  <c r="T44" i="5"/>
  <c r="S44" i="5"/>
  <c r="T43" i="5"/>
  <c r="S43" i="5"/>
  <c r="T42" i="5"/>
  <c r="S42" i="5"/>
  <c r="T41" i="5"/>
  <c r="S41" i="5"/>
  <c r="T40" i="5"/>
  <c r="S40" i="5"/>
  <c r="T39" i="5"/>
  <c r="S39" i="5"/>
  <c r="T38" i="5"/>
  <c r="S38" i="5"/>
  <c r="T37" i="5"/>
  <c r="S37" i="5"/>
  <c r="T36" i="5"/>
  <c r="S36" i="5"/>
  <c r="T35" i="5"/>
  <c r="S35" i="5"/>
  <c r="T34" i="5"/>
  <c r="S34" i="5"/>
  <c r="T33" i="5"/>
  <c r="S33" i="5"/>
  <c r="T32" i="5"/>
  <c r="S32" i="5"/>
  <c r="T31" i="5"/>
  <c r="S31" i="5"/>
  <c r="T30" i="5"/>
  <c r="S30" i="5"/>
  <c r="T29" i="5"/>
  <c r="S29" i="5"/>
  <c r="T28" i="5"/>
  <c r="S28" i="5"/>
  <c r="T27" i="5"/>
  <c r="S27" i="5"/>
  <c r="T26" i="5"/>
  <c r="S26" i="5"/>
  <c r="T25" i="5"/>
  <c r="S25" i="5"/>
  <c r="T24" i="5"/>
  <c r="S24" i="5"/>
  <c r="T23" i="5"/>
  <c r="S23" i="5"/>
  <c r="T22" i="5"/>
  <c r="S22" i="5"/>
  <c r="T21" i="5"/>
  <c r="S21" i="5"/>
  <c r="T20" i="5"/>
  <c r="S20" i="5"/>
  <c r="T19" i="5"/>
  <c r="S19" i="5"/>
  <c r="T18" i="5"/>
  <c r="S18" i="5"/>
  <c r="T17" i="5"/>
  <c r="S17" i="5"/>
  <c r="T16" i="5"/>
  <c r="S16" i="5"/>
  <c r="T15" i="5"/>
  <c r="S15" i="5"/>
  <c r="T14" i="5"/>
  <c r="S14" i="5"/>
  <c r="T13" i="5"/>
  <c r="S13" i="5"/>
  <c r="T12" i="5"/>
  <c r="S12" i="5"/>
  <c r="T11" i="5"/>
  <c r="S11" i="5"/>
  <c r="T10" i="5"/>
  <c r="S10" i="5"/>
  <c r="T9" i="5"/>
  <c r="S9" i="5"/>
  <c r="T8" i="5"/>
  <c r="S8" i="5"/>
  <c r="T7" i="5"/>
  <c r="S7" i="5"/>
  <c r="T6" i="5"/>
  <c r="S6" i="5"/>
  <c r="T5" i="5"/>
  <c r="S5" i="5"/>
  <c r="T4" i="5"/>
  <c r="S4" i="5"/>
  <c r="T3" i="5"/>
  <c r="S3" i="5"/>
  <c r="C94" i="4"/>
  <c r="AE91" i="4"/>
  <c r="AD91" i="4"/>
  <c r="Q91" i="4"/>
  <c r="C91" i="4"/>
  <c r="P90" i="4"/>
  <c r="T70" i="8" s="1"/>
  <c r="I90" i="4"/>
  <c r="M70" i="8" s="1"/>
  <c r="B90" i="4"/>
  <c r="O5" i="1" s="1"/>
  <c r="P89" i="4"/>
  <c r="T69" i="8" s="1"/>
  <c r="I89" i="4"/>
  <c r="M69" i="8" s="1"/>
  <c r="B89" i="4"/>
  <c r="F69" i="8" s="1"/>
  <c r="P88" i="4"/>
  <c r="T68" i="8" s="1"/>
  <c r="I88" i="4"/>
  <c r="M68" i="8" s="1"/>
  <c r="B88" i="4"/>
  <c r="F68" i="8" s="1"/>
  <c r="P87" i="4"/>
  <c r="T67" i="8" s="1"/>
  <c r="I87" i="4"/>
  <c r="M67" i="8" s="1"/>
  <c r="B87" i="4"/>
  <c r="F67" i="8" s="1"/>
  <c r="P86" i="4"/>
  <c r="T66" i="8" s="1"/>
  <c r="I86" i="4"/>
  <c r="M66" i="8" s="1"/>
  <c r="B86" i="4"/>
  <c r="N5" i="1" s="1"/>
  <c r="P85" i="4"/>
  <c r="T65" i="8" s="1"/>
  <c r="I85" i="4"/>
  <c r="M65" i="8" s="1"/>
  <c r="B85" i="4"/>
  <c r="F65" i="8" s="1"/>
  <c r="P84" i="4"/>
  <c r="T64" i="8" s="1"/>
  <c r="I84" i="4"/>
  <c r="M64" i="8" s="1"/>
  <c r="B84" i="4"/>
  <c r="F64" i="8" s="1"/>
  <c r="P83" i="4"/>
  <c r="T63" i="8" s="1"/>
  <c r="I83" i="4"/>
  <c r="M63" i="8" s="1"/>
  <c r="B83" i="4"/>
  <c r="F63" i="8" s="1"/>
  <c r="AF82" i="4"/>
  <c r="AF83" i="4" s="1"/>
  <c r="AD92" i="4" s="1"/>
  <c r="AD93" i="4" s="1"/>
  <c r="AD94" i="4" s="1"/>
  <c r="AD82" i="4"/>
  <c r="P82" i="4"/>
  <c r="T62" i="8" s="1"/>
  <c r="I82" i="4"/>
  <c r="M62" i="8" s="1"/>
  <c r="B82" i="4"/>
  <c r="M5" i="1" s="1"/>
  <c r="AE81" i="4"/>
  <c r="AG81" i="4" s="1"/>
  <c r="P81" i="4"/>
  <c r="T61" i="8" s="1"/>
  <c r="I81" i="4"/>
  <c r="M61" i="8" s="1"/>
  <c r="B81" i="4"/>
  <c r="F61" i="8" s="1"/>
  <c r="P80" i="4"/>
  <c r="T60" i="8" s="1"/>
  <c r="I80" i="4"/>
  <c r="M60" i="8" s="1"/>
  <c r="B80" i="4"/>
  <c r="F60" i="8" s="1"/>
  <c r="P79" i="4"/>
  <c r="T59" i="8" s="1"/>
  <c r="I79" i="4"/>
  <c r="M59" i="8" s="1"/>
  <c r="B79" i="4"/>
  <c r="F59" i="8" s="1"/>
  <c r="P78" i="4"/>
  <c r="T58" i="8" s="1"/>
  <c r="I78" i="4"/>
  <c r="M58" i="8" s="1"/>
  <c r="B78" i="4"/>
  <c r="L5" i="1" s="1"/>
  <c r="P77" i="4"/>
  <c r="T57" i="8" s="1"/>
  <c r="I77" i="4"/>
  <c r="M57" i="8" s="1"/>
  <c r="B77" i="4"/>
  <c r="F57" i="8" s="1"/>
  <c r="P76" i="4"/>
  <c r="T56" i="8" s="1"/>
  <c r="I76" i="4"/>
  <c r="M56" i="8" s="1"/>
  <c r="B76" i="4"/>
  <c r="F56" i="8" s="1"/>
  <c r="P75" i="4"/>
  <c r="T55" i="8" s="1"/>
  <c r="I75" i="4"/>
  <c r="M55" i="8" s="1"/>
  <c r="B75" i="4"/>
  <c r="F55" i="8" s="1"/>
  <c r="P74" i="4"/>
  <c r="T54" i="8" s="1"/>
  <c r="I74" i="4"/>
  <c r="M54" i="8" s="1"/>
  <c r="B74" i="4"/>
  <c r="K5" i="1" s="1"/>
  <c r="P73" i="4"/>
  <c r="T53" i="8" s="1"/>
  <c r="I73" i="4"/>
  <c r="M53" i="8" s="1"/>
  <c r="B73" i="4"/>
  <c r="F53" i="8" s="1"/>
  <c r="P72" i="4"/>
  <c r="T52" i="8" s="1"/>
  <c r="I72" i="4"/>
  <c r="M52" i="8" s="1"/>
  <c r="B72" i="4"/>
  <c r="F52" i="8" s="1"/>
  <c r="P71" i="4"/>
  <c r="T51" i="8" s="1"/>
  <c r="I71" i="4"/>
  <c r="M51" i="8" s="1"/>
  <c r="B71" i="4"/>
  <c r="F51" i="8" s="1"/>
  <c r="P70" i="4"/>
  <c r="T50" i="8" s="1"/>
  <c r="I70" i="4"/>
  <c r="M50" i="8" s="1"/>
  <c r="B70" i="4"/>
  <c r="P69" i="4"/>
  <c r="T49" i="8" s="1"/>
  <c r="I69" i="4"/>
  <c r="M49" i="8" s="1"/>
  <c r="B69" i="4"/>
  <c r="F49" i="8" s="1"/>
  <c r="P68" i="4"/>
  <c r="T48" i="8" s="1"/>
  <c r="I68" i="4"/>
  <c r="M48" i="8" s="1"/>
  <c r="B68" i="4"/>
  <c r="F48" i="8" s="1"/>
  <c r="P67" i="4"/>
  <c r="T47" i="8" s="1"/>
  <c r="I67" i="4"/>
  <c r="M47" i="8" s="1"/>
  <c r="B67" i="4"/>
  <c r="F47" i="8" s="1"/>
  <c r="P66" i="4"/>
  <c r="T46" i="8" s="1"/>
  <c r="I66" i="4"/>
  <c r="M46" i="8" s="1"/>
  <c r="B66" i="4"/>
  <c r="P65" i="4"/>
  <c r="T45" i="8" s="1"/>
  <c r="I65" i="4"/>
  <c r="M45" i="8" s="1"/>
  <c r="B65" i="4"/>
  <c r="F45" i="8" s="1"/>
  <c r="P64" i="4"/>
  <c r="T44" i="8" s="1"/>
  <c r="I64" i="4"/>
  <c r="M44" i="8" s="1"/>
  <c r="B64" i="4"/>
  <c r="F44" i="8" s="1"/>
  <c r="P63" i="4"/>
  <c r="T43" i="8" s="1"/>
  <c r="I63" i="4"/>
  <c r="M43" i="8" s="1"/>
  <c r="B63" i="4"/>
  <c r="F43" i="8" s="1"/>
  <c r="P62" i="4"/>
  <c r="T42" i="8" s="1"/>
  <c r="I62" i="4"/>
  <c r="M42" i="8" s="1"/>
  <c r="B62" i="4"/>
  <c r="P61" i="4"/>
  <c r="T41" i="8" s="1"/>
  <c r="I61" i="4"/>
  <c r="M41" i="8" s="1"/>
  <c r="B61" i="4"/>
  <c r="F41" i="8" s="1"/>
  <c r="P60" i="4"/>
  <c r="T40" i="8" s="1"/>
  <c r="I60" i="4"/>
  <c r="M40" i="8" s="1"/>
  <c r="B60" i="4"/>
  <c r="F40" i="8" s="1"/>
  <c r="P59" i="4"/>
  <c r="T39" i="8" s="1"/>
  <c r="I59" i="4"/>
  <c r="M39" i="8" s="1"/>
  <c r="B59" i="4"/>
  <c r="F39" i="8" s="1"/>
  <c r="P58" i="4"/>
  <c r="T38" i="8" s="1"/>
  <c r="I58" i="4"/>
  <c r="M38" i="8" s="1"/>
  <c r="B58" i="4"/>
  <c r="P57" i="4"/>
  <c r="T37" i="8" s="1"/>
  <c r="I57" i="4"/>
  <c r="M37" i="8" s="1"/>
  <c r="B57" i="4"/>
  <c r="F37" i="8" s="1"/>
  <c r="P56" i="4"/>
  <c r="T36" i="8" s="1"/>
  <c r="I56" i="4"/>
  <c r="M36" i="8" s="1"/>
  <c r="B56" i="4"/>
  <c r="F36" i="8" s="1"/>
  <c r="P55" i="4"/>
  <c r="T35" i="8" s="1"/>
  <c r="I55" i="4"/>
  <c r="M35" i="8" s="1"/>
  <c r="B55" i="4"/>
  <c r="F35" i="8" s="1"/>
  <c r="P54" i="4"/>
  <c r="T34" i="8" s="1"/>
  <c r="I54" i="4"/>
  <c r="M34" i="8" s="1"/>
  <c r="B54" i="4"/>
  <c r="P53" i="4"/>
  <c r="T33" i="8" s="1"/>
  <c r="I53" i="4"/>
  <c r="M33" i="8" s="1"/>
  <c r="B53" i="4"/>
  <c r="F33" i="8" s="1"/>
  <c r="P52" i="4"/>
  <c r="T32" i="8" s="1"/>
  <c r="I52" i="4"/>
  <c r="M32" i="8" s="1"/>
  <c r="B52" i="4"/>
  <c r="F32" i="8" s="1"/>
  <c r="P51" i="4"/>
  <c r="T31" i="8" s="1"/>
  <c r="I51" i="4"/>
  <c r="M31" i="8" s="1"/>
  <c r="B51" i="4"/>
  <c r="F31" i="8" s="1"/>
  <c r="P50" i="4"/>
  <c r="T30" i="8" s="1"/>
  <c r="I50" i="4"/>
  <c r="M30" i="8" s="1"/>
  <c r="B50" i="4"/>
  <c r="P49" i="4"/>
  <c r="T29" i="8" s="1"/>
  <c r="I49" i="4"/>
  <c r="M29" i="8" s="1"/>
  <c r="B49" i="4"/>
  <c r="F29" i="8" s="1"/>
  <c r="P48" i="4"/>
  <c r="T28" i="8" s="1"/>
  <c r="I48" i="4"/>
  <c r="M28" i="8" s="1"/>
  <c r="B48" i="4"/>
  <c r="F28" i="8" s="1"/>
  <c r="P47" i="4"/>
  <c r="T27" i="8" s="1"/>
  <c r="I47" i="4"/>
  <c r="M27" i="8" s="1"/>
  <c r="B47" i="4"/>
  <c r="F27" i="8" s="1"/>
  <c r="P46" i="4"/>
  <c r="T26" i="8" s="1"/>
  <c r="I46" i="4"/>
  <c r="M26" i="8" s="1"/>
  <c r="B46" i="4"/>
  <c r="P45" i="4"/>
  <c r="T25" i="8" s="1"/>
  <c r="I45" i="4"/>
  <c r="M25" i="8" s="1"/>
  <c r="B45" i="4"/>
  <c r="F25" i="8" s="1"/>
  <c r="P44" i="4"/>
  <c r="T24" i="8" s="1"/>
  <c r="I44" i="4"/>
  <c r="M24" i="8" s="1"/>
  <c r="B44" i="4"/>
  <c r="F24" i="8" s="1"/>
  <c r="P43" i="4"/>
  <c r="T23" i="8" s="1"/>
  <c r="I43" i="4"/>
  <c r="M23" i="8" s="1"/>
  <c r="B43" i="4"/>
  <c r="F23" i="8" s="1"/>
  <c r="P42" i="4"/>
  <c r="T22" i="8" s="1"/>
  <c r="I42" i="4"/>
  <c r="M22" i="8" s="1"/>
  <c r="B42" i="4"/>
  <c r="P41" i="4"/>
  <c r="T21" i="8" s="1"/>
  <c r="I41" i="4"/>
  <c r="M21" i="8" s="1"/>
  <c r="B41" i="4"/>
  <c r="F21" i="8" s="1"/>
  <c r="P40" i="4"/>
  <c r="T20" i="8" s="1"/>
  <c r="I40" i="4"/>
  <c r="M20" i="8" s="1"/>
  <c r="B40" i="4"/>
  <c r="F20" i="8" s="1"/>
  <c r="P39" i="4"/>
  <c r="T19" i="8" s="1"/>
  <c r="I39" i="4"/>
  <c r="M19" i="8" s="1"/>
  <c r="B39" i="4"/>
  <c r="F19" i="8" s="1"/>
  <c r="P38" i="4"/>
  <c r="T18" i="8" s="1"/>
  <c r="I38" i="4"/>
  <c r="M18" i="8" s="1"/>
  <c r="B38" i="4"/>
  <c r="P37" i="4"/>
  <c r="T17" i="8" s="1"/>
  <c r="I37" i="4"/>
  <c r="M17" i="8" s="1"/>
  <c r="B37" i="4"/>
  <c r="F17" i="8" s="1"/>
  <c r="P36" i="4"/>
  <c r="T16" i="8" s="1"/>
  <c r="I36" i="4"/>
  <c r="M16" i="8" s="1"/>
  <c r="B36" i="4"/>
  <c r="F16" i="8" s="1"/>
  <c r="P35" i="4"/>
  <c r="T15" i="8" s="1"/>
  <c r="I35" i="4"/>
  <c r="M15" i="8" s="1"/>
  <c r="B35" i="4"/>
  <c r="F15" i="8" s="1"/>
  <c r="P34" i="4"/>
  <c r="T14" i="8" s="1"/>
  <c r="I34" i="4"/>
  <c r="M14" i="8" s="1"/>
  <c r="B34" i="4"/>
  <c r="F14" i="8" s="1"/>
  <c r="P33" i="4"/>
  <c r="T13" i="8" s="1"/>
  <c r="I33" i="4"/>
  <c r="M13" i="8" s="1"/>
  <c r="B33" i="4"/>
  <c r="F13" i="8" s="1"/>
  <c r="P32" i="4"/>
  <c r="T12" i="8" s="1"/>
  <c r="I32" i="4"/>
  <c r="M12" i="8" s="1"/>
  <c r="B32" i="4"/>
  <c r="F12" i="8" s="1"/>
  <c r="P31" i="4"/>
  <c r="T11" i="8" s="1"/>
  <c r="I31" i="4"/>
  <c r="M11" i="8" s="1"/>
  <c r="B31" i="4"/>
  <c r="F11" i="8" s="1"/>
  <c r="P30" i="4"/>
  <c r="T10" i="8" s="1"/>
  <c r="I30" i="4"/>
  <c r="M10" i="8" s="1"/>
  <c r="B30" i="4"/>
  <c r="F10" i="8" s="1"/>
  <c r="P29" i="4"/>
  <c r="T9" i="8" s="1"/>
  <c r="I29" i="4"/>
  <c r="M9" i="8" s="1"/>
  <c r="B29" i="4"/>
  <c r="F9" i="8" s="1"/>
  <c r="P28" i="4"/>
  <c r="T8" i="8" s="1"/>
  <c r="I28" i="4"/>
  <c r="M8" i="8" s="1"/>
  <c r="B28" i="4"/>
  <c r="F8" i="8" s="1"/>
  <c r="P27" i="4"/>
  <c r="T7" i="8" s="1"/>
  <c r="I27" i="4"/>
  <c r="M7" i="8" s="1"/>
  <c r="B27" i="4"/>
  <c r="F7" i="8" s="1"/>
  <c r="P26" i="4"/>
  <c r="T6" i="8" s="1"/>
  <c r="I26" i="4"/>
  <c r="M6" i="8" s="1"/>
  <c r="B26" i="4"/>
  <c r="F6" i="8" s="1"/>
  <c r="P25" i="4"/>
  <c r="T5" i="8" s="1"/>
  <c r="I25" i="4"/>
  <c r="M5" i="8" s="1"/>
  <c r="B25" i="4"/>
  <c r="F5" i="8" s="1"/>
  <c r="P24" i="4"/>
  <c r="T4" i="8" s="1"/>
  <c r="I24" i="4"/>
  <c r="M4" i="8" s="1"/>
  <c r="B24" i="4"/>
  <c r="F4" i="8" s="1"/>
  <c r="P23" i="4"/>
  <c r="T3" i="8" s="1"/>
  <c r="I23" i="4"/>
  <c r="M3" i="8" s="1"/>
  <c r="B23" i="4"/>
  <c r="F3" i="8" s="1"/>
  <c r="P22" i="4"/>
  <c r="I22" i="4"/>
  <c r="B22" i="4"/>
  <c r="P21" i="4"/>
  <c r="I21" i="4"/>
  <c r="B21" i="4"/>
  <c r="P20" i="4"/>
  <c r="I20" i="4"/>
  <c r="B20" i="4"/>
  <c r="P19" i="4"/>
  <c r="I19" i="4"/>
  <c r="B19" i="4"/>
  <c r="P18" i="4"/>
  <c r="I18" i="4"/>
  <c r="B18" i="4"/>
  <c r="P17" i="4"/>
  <c r="I17" i="4"/>
  <c r="B17" i="4"/>
  <c r="P16" i="4"/>
  <c r="I16" i="4"/>
  <c r="B16" i="4"/>
  <c r="P15" i="4"/>
  <c r="I15" i="4"/>
  <c r="B15" i="4"/>
  <c r="P14" i="4"/>
  <c r="I14" i="4"/>
  <c r="B14" i="4"/>
  <c r="P13" i="4"/>
  <c r="I13" i="4"/>
  <c r="B13" i="4"/>
  <c r="P12" i="4"/>
  <c r="I12" i="4"/>
  <c r="B12" i="4"/>
  <c r="P11" i="4"/>
  <c r="I11" i="4"/>
  <c r="B11" i="4"/>
  <c r="P10" i="4"/>
  <c r="I10" i="4"/>
  <c r="B10" i="4"/>
  <c r="P9" i="4"/>
  <c r="I9" i="4"/>
  <c r="B9" i="4"/>
  <c r="P8" i="4"/>
  <c r="I8" i="4"/>
  <c r="B8" i="4"/>
  <c r="P7" i="4"/>
  <c r="I7" i="4"/>
  <c r="B7" i="4"/>
  <c r="AZ30" i="3"/>
  <c r="AZ31" i="3" s="1"/>
  <c r="AY30" i="3"/>
  <c r="AX30" i="3"/>
  <c r="AW30" i="3"/>
  <c r="AV30" i="3"/>
  <c r="AU30" i="3"/>
  <c r="AT30" i="3"/>
  <c r="AS30" i="3"/>
  <c r="AR30" i="3"/>
  <c r="AQ30" i="3"/>
  <c r="AP30" i="3"/>
  <c r="AO30" i="3"/>
  <c r="AN30" i="3"/>
  <c r="BM28" i="3"/>
  <c r="BL28" i="3"/>
  <c r="BK28" i="3"/>
  <c r="BI28" i="3"/>
  <c r="BH28" i="3"/>
  <c r="BG28" i="3"/>
  <c r="BE28" i="3"/>
  <c r="BD28" i="3"/>
  <c r="BC28" i="3"/>
  <c r="S27" i="3"/>
  <c r="R27" i="3"/>
  <c r="Q27" i="3"/>
  <c r="P27" i="3"/>
  <c r="O27" i="3"/>
  <c r="F27" i="3"/>
  <c r="BJ26" i="3"/>
  <c r="BF26" i="3"/>
  <c r="BB26" i="3"/>
  <c r="S26" i="3"/>
  <c r="R26" i="3"/>
  <c r="Q26" i="3"/>
  <c r="P26" i="3"/>
  <c r="O26" i="3"/>
  <c r="F26" i="3"/>
  <c r="BJ25" i="3"/>
  <c r="BF25" i="3"/>
  <c r="BB25" i="3"/>
  <c r="S25" i="3"/>
  <c r="R25" i="3"/>
  <c r="Q25" i="3"/>
  <c r="P25" i="3"/>
  <c r="O25" i="3"/>
  <c r="F25" i="3"/>
  <c r="BJ24" i="3"/>
  <c r="BF24" i="3"/>
  <c r="BB24" i="3"/>
  <c r="S24" i="3"/>
  <c r="R24" i="3"/>
  <c r="Q24" i="3"/>
  <c r="P24" i="3"/>
  <c r="O24" i="3"/>
  <c r="F24" i="3"/>
  <c r="BJ23" i="3"/>
  <c r="BF23" i="3"/>
  <c r="BB23" i="3"/>
  <c r="S23" i="3"/>
  <c r="R23" i="3"/>
  <c r="Q23" i="3"/>
  <c r="P23" i="3"/>
  <c r="O23" i="3"/>
  <c r="F23" i="3"/>
  <c r="BM22" i="3"/>
  <c r="BL22" i="3"/>
  <c r="BK22" i="3"/>
  <c r="BJ22" i="3"/>
  <c r="BI22" i="3"/>
  <c r="BH22" i="3"/>
  <c r="BG22" i="3"/>
  <c r="BF22" i="3"/>
  <c r="BE22" i="3"/>
  <c r="BD22" i="3"/>
  <c r="BC22" i="3"/>
  <c r="BB22" i="3"/>
  <c r="S22" i="3"/>
  <c r="R22" i="3"/>
  <c r="Q22" i="3"/>
  <c r="P22" i="3"/>
  <c r="O22" i="3"/>
  <c r="F22" i="3"/>
  <c r="BM21" i="3"/>
  <c r="BL21" i="3"/>
  <c r="BK21" i="3"/>
  <c r="BJ21" i="3"/>
  <c r="BI21" i="3"/>
  <c r="BH21" i="3"/>
  <c r="BG21" i="3"/>
  <c r="BF21" i="3"/>
  <c r="BE21" i="3"/>
  <c r="BD21" i="3"/>
  <c r="BC21" i="3"/>
  <c r="BB21" i="3"/>
  <c r="S21" i="3"/>
  <c r="R21" i="3"/>
  <c r="Q21" i="3"/>
  <c r="P21" i="3"/>
  <c r="O21" i="3"/>
  <c r="F21" i="3"/>
  <c r="BM20" i="3"/>
  <c r="BL20" i="3"/>
  <c r="BK20" i="3"/>
  <c r="BJ20" i="3"/>
  <c r="BI20" i="3"/>
  <c r="BH20" i="3"/>
  <c r="BG20" i="3"/>
  <c r="BF20" i="3"/>
  <c r="BE20" i="3"/>
  <c r="BD20" i="3"/>
  <c r="BC20" i="3"/>
  <c r="BB20" i="3"/>
  <c r="S20" i="3"/>
  <c r="R20" i="3"/>
  <c r="Q20" i="3"/>
  <c r="P20" i="3"/>
  <c r="O20" i="3"/>
  <c r="F20" i="3"/>
  <c r="BJ19" i="3"/>
  <c r="BF19" i="3"/>
  <c r="BB19" i="3"/>
  <c r="S19" i="3"/>
  <c r="R19" i="3"/>
  <c r="Q19" i="3"/>
  <c r="P19" i="3"/>
  <c r="O19" i="3"/>
  <c r="F19" i="3"/>
  <c r="BJ18" i="3"/>
  <c r="BF18" i="3"/>
  <c r="BB18" i="3"/>
  <c r="S18" i="3"/>
  <c r="R18" i="3"/>
  <c r="Q18" i="3"/>
  <c r="P18" i="3"/>
  <c r="O18" i="3"/>
  <c r="F18" i="3"/>
  <c r="BJ17" i="3"/>
  <c r="BF17" i="3"/>
  <c r="BB17" i="3"/>
  <c r="S17" i="3"/>
  <c r="R17" i="3"/>
  <c r="Q17" i="3"/>
  <c r="P17" i="3"/>
  <c r="O17" i="3"/>
  <c r="F17" i="3"/>
  <c r="BJ16" i="3"/>
  <c r="BF16" i="3"/>
  <c r="BB16" i="3"/>
  <c r="S16" i="3"/>
  <c r="R16" i="3"/>
  <c r="Q16" i="3"/>
  <c r="P16" i="3"/>
  <c r="O16" i="3"/>
  <c r="F16" i="3"/>
  <c r="BJ15" i="3"/>
  <c r="BF15" i="3"/>
  <c r="BB15" i="3"/>
  <c r="S15" i="3"/>
  <c r="R15" i="3"/>
  <c r="Q15" i="3"/>
  <c r="P15" i="3"/>
  <c r="O15" i="3"/>
  <c r="F15" i="3"/>
  <c r="BJ14" i="3"/>
  <c r="BF14" i="3"/>
  <c r="BB14" i="3"/>
  <c r="S14" i="3"/>
  <c r="R14" i="3"/>
  <c r="Q14" i="3"/>
  <c r="P14" i="3"/>
  <c r="O14" i="3"/>
  <c r="F14" i="3"/>
  <c r="BJ13" i="3"/>
  <c r="BF13" i="3"/>
  <c r="BB13" i="3"/>
  <c r="S13" i="3"/>
  <c r="R13" i="3"/>
  <c r="Q13" i="3"/>
  <c r="P13" i="3"/>
  <c r="O13" i="3"/>
  <c r="F13" i="3"/>
  <c r="BJ12" i="3"/>
  <c r="BF12" i="3"/>
  <c r="BB12" i="3"/>
  <c r="S12" i="3"/>
  <c r="R12" i="3"/>
  <c r="Q12" i="3"/>
  <c r="P12" i="3"/>
  <c r="O12" i="3"/>
  <c r="F12" i="3"/>
  <c r="BJ11" i="3"/>
  <c r="BF11" i="3"/>
  <c r="BB11" i="3"/>
  <c r="S11" i="3"/>
  <c r="R11" i="3"/>
  <c r="Q11" i="3"/>
  <c r="P11" i="3"/>
  <c r="O11" i="3"/>
  <c r="F11" i="3"/>
  <c r="BJ10" i="3"/>
  <c r="BF10" i="3"/>
  <c r="BB10" i="3"/>
  <c r="S10" i="3"/>
  <c r="R10" i="3"/>
  <c r="Q10" i="3"/>
  <c r="P10" i="3"/>
  <c r="O10" i="3"/>
  <c r="F10" i="3"/>
  <c r="BJ9" i="3"/>
  <c r="BF9" i="3"/>
  <c r="BB9" i="3"/>
  <c r="S9" i="3"/>
  <c r="R9" i="3"/>
  <c r="Q9" i="3"/>
  <c r="P9" i="3"/>
  <c r="O9" i="3"/>
  <c r="F9" i="3"/>
  <c r="BJ8" i="3"/>
  <c r="BF8" i="3"/>
  <c r="BB8" i="3"/>
  <c r="S8" i="3"/>
  <c r="R8" i="3"/>
  <c r="Q8" i="3"/>
  <c r="P8" i="3"/>
  <c r="O8" i="3"/>
  <c r="F8" i="3"/>
  <c r="BJ7" i="3"/>
  <c r="BF7" i="3"/>
  <c r="BB7" i="3"/>
  <c r="S7" i="3"/>
  <c r="O7" i="3"/>
  <c r="F7" i="3"/>
  <c r="BJ6" i="3"/>
  <c r="BF6" i="3"/>
  <c r="BB6" i="3"/>
  <c r="S6" i="3"/>
  <c r="O6" i="3"/>
  <c r="S5" i="3"/>
  <c r="S4" i="3"/>
  <c r="G413" i="2"/>
  <c r="G412" i="2"/>
  <c r="G411" i="2"/>
  <c r="G410" i="2"/>
  <c r="G409" i="2"/>
  <c r="G408" i="2"/>
  <c r="G407" i="2"/>
  <c r="G406" i="2"/>
  <c r="G405" i="2"/>
  <c r="G404" i="2"/>
  <c r="G403" i="2"/>
  <c r="G402" i="2"/>
  <c r="G401" i="2"/>
  <c r="G400" i="2"/>
  <c r="G399" i="2"/>
  <c r="G398" i="2"/>
  <c r="G397" i="2"/>
  <c r="G396" i="2"/>
  <c r="G395" i="2"/>
  <c r="G394" i="2"/>
  <c r="G393" i="2"/>
  <c r="G392" i="2"/>
  <c r="G391" i="2"/>
  <c r="G390" i="2"/>
  <c r="G389" i="2"/>
  <c r="G388" i="2"/>
  <c r="G387" i="2"/>
  <c r="G386" i="2"/>
  <c r="G385" i="2"/>
  <c r="G384" i="2"/>
  <c r="G383" i="2"/>
  <c r="G382" i="2"/>
  <c r="G381" i="2"/>
  <c r="G380" i="2"/>
  <c r="G379" i="2"/>
  <c r="G378" i="2"/>
  <c r="G377" i="2"/>
  <c r="G376" i="2"/>
  <c r="G375" i="2"/>
  <c r="G374" i="2"/>
  <c r="G373" i="2"/>
  <c r="G372" i="2"/>
  <c r="G371" i="2"/>
  <c r="G370" i="2"/>
  <c r="G369" i="2"/>
  <c r="G368" i="2"/>
  <c r="G367" i="2"/>
  <c r="G366" i="2"/>
  <c r="G365" i="2"/>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G305" i="2"/>
  <c r="G304" i="2"/>
  <c r="G303" i="2"/>
  <c r="G302" i="2"/>
  <c r="G301" i="2"/>
  <c r="G300" i="2"/>
  <c r="G299" i="2"/>
  <c r="G298" i="2"/>
  <c r="G297" i="2"/>
  <c r="G296" i="2"/>
  <c r="G295" i="2"/>
  <c r="G294" i="2"/>
  <c r="G293" i="2"/>
  <c r="G292" i="2"/>
  <c r="G291" i="2"/>
  <c r="G290" i="2"/>
  <c r="G289" i="2"/>
  <c r="G288" i="2"/>
  <c r="G287" i="2"/>
  <c r="G286" i="2"/>
  <c r="G285" i="2"/>
  <c r="G284" i="2"/>
  <c r="G283" i="2"/>
  <c r="G282" i="2"/>
  <c r="G281" i="2"/>
  <c r="G280" i="2"/>
  <c r="G279" i="2"/>
  <c r="G278" i="2"/>
  <c r="G277" i="2"/>
  <c r="G276" i="2"/>
  <c r="G275" i="2"/>
  <c r="G274" i="2"/>
  <c r="G273" i="2"/>
  <c r="G272" i="2"/>
  <c r="G271" i="2"/>
  <c r="G270" i="2"/>
  <c r="G269" i="2"/>
  <c r="G268" i="2"/>
  <c r="G267" i="2"/>
  <c r="G266" i="2"/>
  <c r="G265" i="2"/>
  <c r="G264" i="2"/>
  <c r="G263" i="2"/>
  <c r="G262" i="2"/>
  <c r="G261" i="2"/>
  <c r="G260" i="2"/>
  <c r="G259" i="2"/>
  <c r="G258" i="2"/>
  <c r="G257" i="2"/>
  <c r="G256" i="2"/>
  <c r="G255" i="2"/>
  <c r="G254" i="2"/>
  <c r="G253" i="2"/>
  <c r="G252" i="2"/>
  <c r="G251" i="2"/>
  <c r="G250" i="2"/>
  <c r="G249" i="2"/>
  <c r="G248" i="2"/>
  <c r="G247" i="2"/>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G184" i="2"/>
  <c r="G183" i="2"/>
  <c r="G182" i="2"/>
  <c r="G181" i="2"/>
  <c r="G180" i="2"/>
  <c r="G179" i="2"/>
  <c r="G178" i="2"/>
  <c r="G177" i="2"/>
  <c r="G176" i="2"/>
  <c r="G175" i="2"/>
  <c r="G174" i="2"/>
  <c r="G173" i="2"/>
  <c r="G172" i="2"/>
  <c r="G171" i="2"/>
  <c r="G170" i="2"/>
  <c r="G169" i="2"/>
  <c r="G168" i="2"/>
  <c r="G167" i="2"/>
  <c r="G166" i="2"/>
  <c r="G165" i="2"/>
  <c r="G164" i="2"/>
  <c r="G163" i="2"/>
  <c r="G162" i="2"/>
  <c r="G161" i="2"/>
  <c r="G160" i="2"/>
  <c r="G159" i="2"/>
  <c r="G158" i="2"/>
  <c r="G157" i="2"/>
  <c r="G156" i="2"/>
  <c r="G155" i="2"/>
  <c r="G154" i="2"/>
  <c r="G153" i="2"/>
  <c r="G152" i="2"/>
  <c r="G151" i="2"/>
  <c r="G150" i="2"/>
  <c r="G149" i="2"/>
  <c r="G148" i="2"/>
  <c r="G147" i="2"/>
  <c r="G146" i="2"/>
  <c r="G145" i="2"/>
  <c r="G144" i="2"/>
  <c r="G143" i="2"/>
  <c r="G142" i="2"/>
  <c r="G141" i="2"/>
  <c r="G140" i="2"/>
  <c r="G139" i="2"/>
  <c r="G138" i="2"/>
  <c r="G137" i="2"/>
  <c r="G136" i="2"/>
  <c r="G135" i="2"/>
  <c r="G134" i="2"/>
  <c r="G133" i="2"/>
  <c r="G132" i="2"/>
  <c r="G131" i="2"/>
  <c r="G130" i="2"/>
  <c r="G129" i="2"/>
  <c r="G128" i="2"/>
  <c r="G127" i="2"/>
  <c r="G126" i="2"/>
  <c r="G125" i="2"/>
  <c r="G124" i="2"/>
  <c r="G123" i="2"/>
  <c r="G122" i="2"/>
  <c r="G121" i="2"/>
  <c r="G120" i="2"/>
  <c r="G119" i="2"/>
  <c r="G118" i="2"/>
  <c r="G117" i="2"/>
  <c r="G116" i="2"/>
  <c r="G115" i="2"/>
  <c r="G114" i="2"/>
  <c r="G113" i="2"/>
  <c r="G112" i="2"/>
  <c r="G111" i="2"/>
  <c r="G110" i="2"/>
  <c r="G109" i="2"/>
  <c r="AY108" i="2"/>
  <c r="AX108" i="2"/>
  <c r="AU108" i="2"/>
  <c r="AR108" i="2"/>
  <c r="G108" i="2"/>
  <c r="AY107" i="2"/>
  <c r="AX107" i="2"/>
  <c r="AU107" i="2"/>
  <c r="AR107" i="2"/>
  <c r="G107" i="2"/>
  <c r="AY106" i="2"/>
  <c r="AX106" i="2"/>
  <c r="AU106" i="2"/>
  <c r="AR106" i="2"/>
  <c r="G106" i="2"/>
  <c r="AY105" i="2"/>
  <c r="AX105" i="2"/>
  <c r="AU105" i="2"/>
  <c r="AR105" i="2"/>
  <c r="G105" i="2"/>
  <c r="AY104" i="2"/>
  <c r="AX104" i="2"/>
  <c r="AU104" i="2"/>
  <c r="AR104" i="2"/>
  <c r="G104" i="2"/>
  <c r="AY103" i="2"/>
  <c r="AX103" i="2"/>
  <c r="AU103" i="2"/>
  <c r="AR103" i="2"/>
  <c r="G103" i="2"/>
  <c r="AY102" i="2"/>
  <c r="AX102" i="2"/>
  <c r="AU102" i="2"/>
  <c r="AR102" i="2"/>
  <c r="G102" i="2"/>
  <c r="AY101" i="2"/>
  <c r="AX101" i="2"/>
  <c r="AU101" i="2"/>
  <c r="AR101" i="2"/>
  <c r="G101" i="2"/>
  <c r="AY100" i="2"/>
  <c r="AX100" i="2"/>
  <c r="AU100" i="2"/>
  <c r="AR100" i="2"/>
  <c r="G100" i="2"/>
  <c r="AY99" i="2"/>
  <c r="AX99" i="2"/>
  <c r="AU99" i="2"/>
  <c r="AR99" i="2"/>
  <c r="G99" i="2"/>
  <c r="AY98" i="2"/>
  <c r="AX98" i="2"/>
  <c r="AU98" i="2"/>
  <c r="BB98" i="2" s="1"/>
  <c r="AR98" i="2"/>
  <c r="G98" i="2"/>
  <c r="AY97" i="2"/>
  <c r="AX97" i="2"/>
  <c r="AU97" i="2"/>
  <c r="AR97" i="2"/>
  <c r="G97" i="2"/>
  <c r="AY96" i="2"/>
  <c r="AX96" i="2"/>
  <c r="AU96" i="2"/>
  <c r="AR96" i="2"/>
  <c r="G96" i="2"/>
  <c r="AY95" i="2"/>
  <c r="AX95" i="2"/>
  <c r="AU95" i="2"/>
  <c r="AR95" i="2"/>
  <c r="G95" i="2"/>
  <c r="AY94" i="2"/>
  <c r="AX94" i="2"/>
  <c r="AU94" i="2"/>
  <c r="AR94" i="2"/>
  <c r="G94" i="2"/>
  <c r="AY93" i="2"/>
  <c r="AX93" i="2"/>
  <c r="AU93" i="2"/>
  <c r="AR93" i="2"/>
  <c r="G93" i="2"/>
  <c r="AY92" i="2"/>
  <c r="AX92" i="2"/>
  <c r="AU92" i="2"/>
  <c r="AR92" i="2"/>
  <c r="G92" i="2"/>
  <c r="AY91" i="2"/>
  <c r="AX91" i="2"/>
  <c r="AU91" i="2"/>
  <c r="AR91" i="2"/>
  <c r="G91" i="2"/>
  <c r="AY90" i="2"/>
  <c r="AX90" i="2"/>
  <c r="AU90" i="2"/>
  <c r="AR90" i="2"/>
  <c r="G90" i="2"/>
  <c r="AY89" i="2"/>
  <c r="AX89" i="2"/>
  <c r="AU89" i="2"/>
  <c r="AR89" i="2"/>
  <c r="G89" i="2"/>
  <c r="AY88" i="2"/>
  <c r="AX88" i="2"/>
  <c r="AU88" i="2"/>
  <c r="AR88" i="2"/>
  <c r="G88" i="2"/>
  <c r="AY87" i="2"/>
  <c r="AX87" i="2"/>
  <c r="BC87" i="2" s="1"/>
  <c r="AU87" i="2"/>
  <c r="AR87" i="2"/>
  <c r="G87" i="2"/>
  <c r="AY86" i="2"/>
  <c r="AX86" i="2"/>
  <c r="AU86" i="2"/>
  <c r="AR86" i="2"/>
  <c r="G86" i="2"/>
  <c r="AY85" i="2"/>
  <c r="AX85" i="2"/>
  <c r="AU85" i="2"/>
  <c r="AR85" i="2"/>
  <c r="G85" i="2"/>
  <c r="AY84" i="2"/>
  <c r="AX84" i="2"/>
  <c r="AU84" i="2"/>
  <c r="AR84" i="2"/>
  <c r="G84" i="2"/>
  <c r="AY83" i="2"/>
  <c r="AX83" i="2"/>
  <c r="AU83" i="2"/>
  <c r="AR83" i="2"/>
  <c r="G83" i="2"/>
  <c r="AY82" i="2"/>
  <c r="AX82" i="2"/>
  <c r="AU82" i="2"/>
  <c r="BB82" i="2" s="1"/>
  <c r="AR82" i="2"/>
  <c r="G82" i="2"/>
  <c r="AY81" i="2"/>
  <c r="AX81" i="2"/>
  <c r="AU81" i="2"/>
  <c r="AR81" i="2"/>
  <c r="G81" i="2"/>
  <c r="AY80" i="2"/>
  <c r="AX80" i="2"/>
  <c r="AU80" i="2"/>
  <c r="AR80" i="2"/>
  <c r="G80" i="2"/>
  <c r="AY79" i="2"/>
  <c r="AX79" i="2"/>
  <c r="AU79" i="2"/>
  <c r="AR79" i="2"/>
  <c r="G79" i="2"/>
  <c r="AY78" i="2"/>
  <c r="AX78" i="2"/>
  <c r="AU78" i="2"/>
  <c r="AR78" i="2"/>
  <c r="G78" i="2"/>
  <c r="AY77" i="2"/>
  <c r="AX77" i="2"/>
  <c r="AU77" i="2"/>
  <c r="AR77" i="2"/>
  <c r="G77" i="2"/>
  <c r="AY76" i="2"/>
  <c r="AX76" i="2"/>
  <c r="AU76" i="2"/>
  <c r="BB76" i="2" s="1"/>
  <c r="AR76" i="2"/>
  <c r="G76" i="2"/>
  <c r="AY75" i="2"/>
  <c r="AX75" i="2"/>
  <c r="AU75" i="2"/>
  <c r="AR75" i="2"/>
  <c r="G75" i="2"/>
  <c r="AY74" i="2"/>
  <c r="AX74" i="2"/>
  <c r="AU74" i="2"/>
  <c r="BB78" i="2" s="1"/>
  <c r="AR74" i="2"/>
  <c r="G74" i="2"/>
  <c r="AY73" i="2"/>
  <c r="AX73" i="2"/>
  <c r="AU73" i="2"/>
  <c r="AR73" i="2"/>
  <c r="G73" i="2"/>
  <c r="AY72" i="2"/>
  <c r="AX72" i="2"/>
  <c r="AU72" i="2"/>
  <c r="AR72" i="2"/>
  <c r="G72" i="2"/>
  <c r="AY71" i="2"/>
  <c r="AX71" i="2"/>
  <c r="AU71" i="2"/>
  <c r="AR71" i="2"/>
  <c r="G71" i="2"/>
  <c r="AY70" i="2"/>
  <c r="AX70" i="2"/>
  <c r="AU70" i="2"/>
  <c r="AR70" i="2"/>
  <c r="G70" i="2"/>
  <c r="AY69" i="2"/>
  <c r="AX69" i="2"/>
  <c r="AU69" i="2"/>
  <c r="AR69" i="2"/>
  <c r="G69" i="2"/>
  <c r="AY68" i="2"/>
  <c r="AX68" i="2"/>
  <c r="BC72" i="2" s="1"/>
  <c r="AU68" i="2"/>
  <c r="AR68" i="2"/>
  <c r="G68" i="2"/>
  <c r="AY67" i="2"/>
  <c r="AX67" i="2"/>
  <c r="AU67" i="2"/>
  <c r="AR67" i="2"/>
  <c r="G67" i="2"/>
  <c r="AY66" i="2"/>
  <c r="AX66" i="2"/>
  <c r="BC70" i="2" s="1"/>
  <c r="AU66" i="2"/>
  <c r="AR66" i="2"/>
  <c r="G66" i="2"/>
  <c r="AY65" i="2"/>
  <c r="AX65" i="2"/>
  <c r="AU65" i="2"/>
  <c r="AR65" i="2"/>
  <c r="G65" i="2"/>
  <c r="AY64" i="2"/>
  <c r="AX64" i="2"/>
  <c r="AU64" i="2"/>
  <c r="AR64" i="2"/>
  <c r="AK64" i="2"/>
  <c r="AJ64" i="2"/>
  <c r="AI64" i="2"/>
  <c r="AH64" i="2"/>
  <c r="AG64" i="2"/>
  <c r="AF64" i="2"/>
  <c r="AE64" i="2"/>
  <c r="AD64" i="2"/>
  <c r="AC64" i="2"/>
  <c r="AB64" i="2"/>
  <c r="AA64" i="2"/>
  <c r="Z64" i="2"/>
  <c r="Y64" i="2"/>
  <c r="X64" i="2"/>
  <c r="W64" i="2"/>
  <c r="V64" i="2"/>
  <c r="U64" i="2"/>
  <c r="T64" i="2"/>
  <c r="S64" i="2"/>
  <c r="R64" i="2"/>
  <c r="Q64" i="2"/>
  <c r="P64" i="2"/>
  <c r="O64" i="2"/>
  <c r="N64" i="2"/>
  <c r="M64" i="2"/>
  <c r="G64" i="2"/>
  <c r="AY63" i="2"/>
  <c r="AX63" i="2"/>
  <c r="AU63" i="2"/>
  <c r="AR63" i="2"/>
  <c r="AK63" i="2"/>
  <c r="AJ63" i="2"/>
  <c r="AI63" i="2"/>
  <c r="AH63" i="2"/>
  <c r="AG63" i="2"/>
  <c r="AF63" i="2"/>
  <c r="AE63" i="2"/>
  <c r="AD63" i="2"/>
  <c r="AC63" i="2"/>
  <c r="AB63" i="2"/>
  <c r="AA63" i="2"/>
  <c r="Z63" i="2"/>
  <c r="Y63" i="2"/>
  <c r="X63" i="2"/>
  <c r="W63" i="2"/>
  <c r="V63" i="2"/>
  <c r="U63" i="2"/>
  <c r="T63" i="2"/>
  <c r="S63" i="2"/>
  <c r="R63" i="2"/>
  <c r="Q63" i="2"/>
  <c r="P63" i="2"/>
  <c r="O63" i="2"/>
  <c r="N63" i="2"/>
  <c r="M63" i="2"/>
  <c r="G63" i="2"/>
  <c r="AY62" i="2"/>
  <c r="AX62" i="2"/>
  <c r="AU62" i="2"/>
  <c r="AR62" i="2"/>
  <c r="AK62" i="2"/>
  <c r="AJ62" i="2"/>
  <c r="AI62" i="2"/>
  <c r="AH62" i="2"/>
  <c r="AG62" i="2"/>
  <c r="AF62" i="2"/>
  <c r="AE62" i="2"/>
  <c r="AD62" i="2"/>
  <c r="AC62" i="2"/>
  <c r="AB62" i="2"/>
  <c r="AA62" i="2"/>
  <c r="Z62" i="2"/>
  <c r="Y62" i="2"/>
  <c r="X62" i="2"/>
  <c r="W62" i="2"/>
  <c r="V62" i="2"/>
  <c r="U62" i="2"/>
  <c r="T62" i="2"/>
  <c r="S62" i="2"/>
  <c r="R62" i="2"/>
  <c r="Q62" i="2"/>
  <c r="P62" i="2"/>
  <c r="O62" i="2"/>
  <c r="N62" i="2"/>
  <c r="M62" i="2"/>
  <c r="G62" i="2"/>
  <c r="AY61" i="2"/>
  <c r="AX61" i="2"/>
  <c r="AU61" i="2"/>
  <c r="AR61" i="2"/>
  <c r="AK61" i="2"/>
  <c r="AJ61" i="2"/>
  <c r="AI61" i="2"/>
  <c r="AH61" i="2"/>
  <c r="AG61" i="2"/>
  <c r="AF61" i="2"/>
  <c r="AE61" i="2"/>
  <c r="AD61" i="2"/>
  <c r="AC61" i="2"/>
  <c r="AB61" i="2"/>
  <c r="AA61" i="2"/>
  <c r="Z61" i="2"/>
  <c r="Y61" i="2"/>
  <c r="X61" i="2"/>
  <c r="W61" i="2"/>
  <c r="V61" i="2"/>
  <c r="U61" i="2"/>
  <c r="T61" i="2"/>
  <c r="S61" i="2"/>
  <c r="R61" i="2"/>
  <c r="Q61" i="2"/>
  <c r="P61" i="2"/>
  <c r="O61" i="2"/>
  <c r="N61" i="2"/>
  <c r="M61" i="2"/>
  <c r="G61" i="2"/>
  <c r="AY60" i="2"/>
  <c r="AX60" i="2"/>
  <c r="AU60" i="2"/>
  <c r="AR60" i="2"/>
  <c r="AK60" i="2"/>
  <c r="AJ60" i="2"/>
  <c r="AI60" i="2"/>
  <c r="AH60" i="2"/>
  <c r="AG60" i="2"/>
  <c r="AF60" i="2"/>
  <c r="AE60" i="2"/>
  <c r="AD60" i="2"/>
  <c r="AC60" i="2"/>
  <c r="AB60" i="2"/>
  <c r="AA60" i="2"/>
  <c r="Z60" i="2"/>
  <c r="Y60" i="2"/>
  <c r="X60" i="2"/>
  <c r="W60" i="2"/>
  <c r="V60" i="2"/>
  <c r="U60" i="2"/>
  <c r="T60" i="2"/>
  <c r="S60" i="2"/>
  <c r="R60" i="2"/>
  <c r="Q60" i="2"/>
  <c r="P60" i="2"/>
  <c r="O60" i="2"/>
  <c r="N60" i="2"/>
  <c r="M60" i="2"/>
  <c r="G60" i="2"/>
  <c r="AY59" i="2"/>
  <c r="AX59" i="2"/>
  <c r="AU59" i="2"/>
  <c r="AR59" i="2"/>
  <c r="AK59" i="2"/>
  <c r="AJ59" i="2"/>
  <c r="AI59" i="2"/>
  <c r="AH59" i="2"/>
  <c r="AG59" i="2"/>
  <c r="AF59" i="2"/>
  <c r="AE59" i="2"/>
  <c r="AD59" i="2"/>
  <c r="AC59" i="2"/>
  <c r="AB59" i="2"/>
  <c r="AA59" i="2"/>
  <c r="Z59" i="2"/>
  <c r="Y59" i="2"/>
  <c r="X59" i="2"/>
  <c r="W59" i="2"/>
  <c r="V59" i="2"/>
  <c r="U59" i="2"/>
  <c r="T59" i="2"/>
  <c r="S59" i="2"/>
  <c r="R59" i="2"/>
  <c r="Q59" i="2"/>
  <c r="P59" i="2"/>
  <c r="O59" i="2"/>
  <c r="N59" i="2"/>
  <c r="M59" i="2"/>
  <c r="G59" i="2"/>
  <c r="AY58" i="2"/>
  <c r="AX58" i="2"/>
  <c r="AU58" i="2"/>
  <c r="AR58" i="2"/>
  <c r="AK58" i="2"/>
  <c r="AJ58" i="2"/>
  <c r="AI58" i="2"/>
  <c r="AH58" i="2"/>
  <c r="AG58" i="2"/>
  <c r="AF58" i="2"/>
  <c r="AE58" i="2"/>
  <c r="AD58" i="2"/>
  <c r="AC58" i="2"/>
  <c r="AB58" i="2"/>
  <c r="AA58" i="2"/>
  <c r="Z58" i="2"/>
  <c r="Y58" i="2"/>
  <c r="X58" i="2"/>
  <c r="W58" i="2"/>
  <c r="V58" i="2"/>
  <c r="U58" i="2"/>
  <c r="T58" i="2"/>
  <c r="S58" i="2"/>
  <c r="R58" i="2"/>
  <c r="Q58" i="2"/>
  <c r="P58" i="2"/>
  <c r="O58" i="2"/>
  <c r="N58" i="2"/>
  <c r="M58" i="2"/>
  <c r="G58" i="2"/>
  <c r="AY57" i="2"/>
  <c r="AX57" i="2"/>
  <c r="AU57" i="2"/>
  <c r="AR57" i="2"/>
  <c r="AK57" i="2"/>
  <c r="AK65" i="2" s="1"/>
  <c r="AJ57" i="2"/>
  <c r="AI57" i="2"/>
  <c r="AH57" i="2"/>
  <c r="AG57" i="2"/>
  <c r="AF57" i="2"/>
  <c r="AE57" i="2"/>
  <c r="AD57" i="2"/>
  <c r="AC57" i="2"/>
  <c r="AB57" i="2"/>
  <c r="AA57" i="2"/>
  <c r="Z57" i="2"/>
  <c r="Y57" i="2"/>
  <c r="X57" i="2"/>
  <c r="W57" i="2"/>
  <c r="V57" i="2"/>
  <c r="U57" i="2"/>
  <c r="U65" i="2" s="1"/>
  <c r="T57" i="2"/>
  <c r="S57" i="2"/>
  <c r="R57" i="2"/>
  <c r="Q57" i="2"/>
  <c r="P57" i="2"/>
  <c r="O57" i="2"/>
  <c r="N57" i="2"/>
  <c r="M57" i="2"/>
  <c r="M65" i="2" s="1"/>
  <c r="G57" i="2"/>
  <c r="AY56" i="2"/>
  <c r="AX56" i="2"/>
  <c r="AU56" i="2"/>
  <c r="AR56" i="2"/>
  <c r="G56" i="2"/>
  <c r="AY55" i="2"/>
  <c r="AX55" i="2"/>
  <c r="AU55" i="2"/>
  <c r="AR55" i="2"/>
  <c r="G55" i="2"/>
  <c r="AY54" i="2"/>
  <c r="AX54" i="2"/>
  <c r="AU54" i="2"/>
  <c r="AR54" i="2"/>
  <c r="AI54" i="2"/>
  <c r="AH54" i="2"/>
  <c r="AG54" i="2"/>
  <c r="AF54" i="2"/>
  <c r="AE54" i="2"/>
  <c r="AD54" i="2"/>
  <c r="AC54" i="2"/>
  <c r="AB54" i="2"/>
  <c r="AA54" i="2"/>
  <c r="Z54" i="2"/>
  <c r="Y54" i="2"/>
  <c r="X54" i="2"/>
  <c r="W54" i="2"/>
  <c r="V54" i="2"/>
  <c r="U54" i="2"/>
  <c r="T54" i="2"/>
  <c r="S54" i="2"/>
  <c r="R54" i="2"/>
  <c r="Q54" i="2"/>
  <c r="P54" i="2"/>
  <c r="O54" i="2"/>
  <c r="N54" i="2"/>
  <c r="G54" i="2"/>
  <c r="AY53" i="2"/>
  <c r="AX53" i="2"/>
  <c r="AU53" i="2"/>
  <c r="AR53" i="2"/>
  <c r="G53" i="2"/>
  <c r="AY52" i="2"/>
  <c r="AX52" i="2"/>
  <c r="AU52" i="2"/>
  <c r="BB56" i="2" s="1"/>
  <c r="AR52" i="2"/>
  <c r="AI52" i="2"/>
  <c r="AH52" i="2"/>
  <c r="AG52" i="2"/>
  <c r="AF52" i="2"/>
  <c r="AE52" i="2"/>
  <c r="AD52" i="2"/>
  <c r="AC52" i="2"/>
  <c r="AB52" i="2"/>
  <c r="AA52" i="2"/>
  <c r="Z52" i="2"/>
  <c r="Y52" i="2"/>
  <c r="X52" i="2"/>
  <c r="W52" i="2"/>
  <c r="V52" i="2"/>
  <c r="U52" i="2"/>
  <c r="T52" i="2"/>
  <c r="S52" i="2"/>
  <c r="R52" i="2"/>
  <c r="Q52" i="2"/>
  <c r="P52" i="2"/>
  <c r="O52" i="2"/>
  <c r="N52" i="2"/>
  <c r="G52" i="2"/>
  <c r="AY51" i="2"/>
  <c r="AX51" i="2"/>
  <c r="AU51" i="2"/>
  <c r="AR51" i="2"/>
  <c r="AI51" i="2"/>
  <c r="AH51" i="2"/>
  <c r="AG51" i="2"/>
  <c r="AF51" i="2"/>
  <c r="AE51" i="2"/>
  <c r="AD51" i="2"/>
  <c r="AC51" i="2"/>
  <c r="AB51" i="2"/>
  <c r="AA51" i="2"/>
  <c r="Z51" i="2"/>
  <c r="Y51" i="2"/>
  <c r="X51" i="2"/>
  <c r="W51" i="2"/>
  <c r="V51" i="2"/>
  <c r="U51" i="2"/>
  <c r="T51" i="2"/>
  <c r="S51" i="2"/>
  <c r="R51" i="2"/>
  <c r="Q51" i="2"/>
  <c r="P51" i="2"/>
  <c r="O51" i="2"/>
  <c r="N51" i="2"/>
  <c r="G51" i="2"/>
  <c r="AY50" i="2"/>
  <c r="AX50" i="2"/>
  <c r="AU50" i="2"/>
  <c r="AR50" i="2"/>
  <c r="AI50" i="2"/>
  <c r="AH50" i="2"/>
  <c r="AG50" i="2"/>
  <c r="AF50" i="2"/>
  <c r="AE50" i="2"/>
  <c r="AD50" i="2"/>
  <c r="AC50" i="2"/>
  <c r="AB50" i="2"/>
  <c r="AA50" i="2"/>
  <c r="Z50" i="2"/>
  <c r="Y50" i="2"/>
  <c r="X50" i="2"/>
  <c r="W50" i="2"/>
  <c r="V50" i="2"/>
  <c r="U50" i="2"/>
  <c r="T50" i="2"/>
  <c r="S50" i="2"/>
  <c r="R50" i="2"/>
  <c r="Q50" i="2"/>
  <c r="P50" i="2"/>
  <c r="O50" i="2"/>
  <c r="N50" i="2"/>
  <c r="G50" i="2"/>
  <c r="AY49" i="2"/>
  <c r="AX49" i="2"/>
  <c r="AU49" i="2"/>
  <c r="AR49" i="2"/>
  <c r="G49" i="2"/>
  <c r="AY48" i="2"/>
  <c r="AX48" i="2"/>
  <c r="AU48" i="2"/>
  <c r="AR48" i="2"/>
  <c r="G48" i="2"/>
  <c r="AY47" i="2"/>
  <c r="AX47" i="2"/>
  <c r="AU47" i="2"/>
  <c r="AR47" i="2"/>
  <c r="G47" i="2"/>
  <c r="AY46" i="2"/>
  <c r="AX46" i="2"/>
  <c r="AU46" i="2"/>
  <c r="AR46" i="2"/>
  <c r="G46" i="2"/>
  <c r="AY45" i="2"/>
  <c r="AX45" i="2"/>
  <c r="AU45" i="2"/>
  <c r="AR45" i="2"/>
  <c r="G45" i="2"/>
  <c r="AY44" i="2"/>
  <c r="AX44" i="2"/>
  <c r="AU44" i="2"/>
  <c r="AR44" i="2"/>
  <c r="G44" i="2"/>
  <c r="AY43" i="2"/>
  <c r="AX43" i="2"/>
  <c r="AU43" i="2"/>
  <c r="AR43" i="2"/>
  <c r="G43" i="2"/>
  <c r="AY42" i="2"/>
  <c r="AX42" i="2"/>
  <c r="AU42" i="2"/>
  <c r="AR42" i="2"/>
  <c r="G42" i="2"/>
  <c r="AY41" i="2"/>
  <c r="AX41" i="2"/>
  <c r="AU41" i="2"/>
  <c r="AR41" i="2"/>
  <c r="G41" i="2"/>
  <c r="AY40" i="2"/>
  <c r="AX40" i="2"/>
  <c r="AU40" i="2"/>
  <c r="AR40" i="2"/>
  <c r="G40" i="2"/>
  <c r="AY39" i="2"/>
  <c r="AX39" i="2"/>
  <c r="AU39" i="2"/>
  <c r="AR39" i="2"/>
  <c r="G39" i="2"/>
  <c r="AY38" i="2"/>
  <c r="AX38" i="2"/>
  <c r="AU38" i="2"/>
  <c r="AR38" i="2"/>
  <c r="AL17" i="2"/>
  <c r="G38" i="2"/>
  <c r="AY37" i="2"/>
  <c r="AX37" i="2"/>
  <c r="AU37" i="2"/>
  <c r="AR37" i="2"/>
  <c r="AL16" i="2"/>
  <c r="BO32" i="2" s="1"/>
  <c r="G37" i="2"/>
  <c r="BA36" i="2"/>
  <c r="AY36" i="2"/>
  <c r="AX36" i="2"/>
  <c r="AU36" i="2"/>
  <c r="AR36" i="2"/>
  <c r="G36" i="2"/>
  <c r="AY35" i="2"/>
  <c r="AX35" i="2"/>
  <c r="U20" i="4" s="1"/>
  <c r="V20" i="4" s="1"/>
  <c r="AU35" i="2"/>
  <c r="AR35" i="2"/>
  <c r="BA35" i="2" s="1"/>
  <c r="G35" i="2"/>
  <c r="AY34" i="2"/>
  <c r="AX34" i="2"/>
  <c r="AU34" i="2"/>
  <c r="AR34" i="2"/>
  <c r="AM84" i="5"/>
  <c r="G34" i="2"/>
  <c r="AY33" i="2"/>
  <c r="AX33" i="2"/>
  <c r="AU33" i="2"/>
  <c r="AR33" i="2"/>
  <c r="G33" i="2"/>
  <c r="AY32" i="2"/>
  <c r="AX32" i="2"/>
  <c r="AU32" i="2"/>
  <c r="AR32" i="2"/>
  <c r="AG84" i="5"/>
  <c r="G32" i="2"/>
  <c r="AX31" i="2"/>
  <c r="AU31" i="2"/>
  <c r="AR31" i="2"/>
  <c r="S135" i="5"/>
  <c r="G31" i="2"/>
  <c r="AX30" i="2"/>
  <c r="AU30" i="2"/>
  <c r="AR30" i="2"/>
  <c r="G30" i="2"/>
  <c r="AX29" i="2"/>
  <c r="AU29" i="2"/>
  <c r="AR29" i="2"/>
  <c r="G29" i="2"/>
  <c r="G28" i="2"/>
  <c r="G27" i="2"/>
  <c r="Q135" i="5"/>
  <c r="G26" i="2"/>
  <c r="G25" i="2"/>
  <c r="P135" i="5"/>
  <c r="G24" i="2"/>
  <c r="AL23" i="2"/>
  <c r="G23" i="2"/>
  <c r="AL22" i="2"/>
  <c r="BH22" i="2" s="1"/>
  <c r="G22" i="2"/>
  <c r="AL21" i="2"/>
  <c r="G21" i="2"/>
  <c r="AL20" i="2"/>
  <c r="AX20" i="2" s="1"/>
  <c r="G20" i="2"/>
  <c r="AL19" i="2"/>
  <c r="BH19" i="2" s="1"/>
  <c r="G19" i="2"/>
  <c r="AL18" i="2"/>
  <c r="G18" i="2"/>
  <c r="G17" i="2"/>
  <c r="G16" i="2"/>
  <c r="AL15" i="2"/>
  <c r="BH15" i="2" s="1"/>
  <c r="G15" i="2"/>
  <c r="AL14" i="2"/>
  <c r="BF14" i="2" s="1"/>
  <c r="G14" i="2"/>
  <c r="AL13" i="2"/>
  <c r="G13" i="2"/>
  <c r="BB12" i="2"/>
  <c r="AL12" i="2"/>
  <c r="G12" i="2"/>
  <c r="G11" i="2"/>
  <c r="G10" i="2"/>
  <c r="AL9" i="2"/>
  <c r="BG9" i="2" s="1"/>
  <c r="G9" i="2"/>
  <c r="BE8" i="2"/>
  <c r="AL8" i="2"/>
  <c r="AX8" i="2" s="1"/>
  <c r="G8" i="2"/>
  <c r="AL7" i="2"/>
  <c r="G7" i="2"/>
  <c r="G6" i="2"/>
  <c r="AL5" i="2"/>
  <c r="G5" i="2"/>
  <c r="G4" i="2"/>
  <c r="G3" i="2"/>
  <c r="G2" i="2"/>
  <c r="T67" i="9" l="1"/>
  <c r="M112" i="9"/>
  <c r="AD72" i="9"/>
  <c r="T13" i="9"/>
  <c r="F99" i="9"/>
  <c r="M108" i="9"/>
  <c r="N108" i="9" s="1"/>
  <c r="G114" i="9"/>
  <c r="AC50" i="9"/>
  <c r="AJ74" i="9" s="1"/>
  <c r="T58" i="9"/>
  <c r="AD58" i="9" s="1"/>
  <c r="T63" i="9"/>
  <c r="AD63" i="9" s="1"/>
  <c r="T74" i="9"/>
  <c r="AD74" i="9" s="1"/>
  <c r="AD40" i="9"/>
  <c r="AJ60" i="9" s="1"/>
  <c r="AH60" i="9"/>
  <c r="C11" i="1"/>
  <c r="AN57" i="9"/>
  <c r="G11" i="1"/>
  <c r="AN61" i="9"/>
  <c r="J11" i="1"/>
  <c r="AN64" i="9"/>
  <c r="E75" i="9"/>
  <c r="M11" i="1"/>
  <c r="AN67" i="9"/>
  <c r="G75" i="9"/>
  <c r="G76" i="9" s="1"/>
  <c r="B11" i="1"/>
  <c r="AN56" i="9"/>
  <c r="F11" i="1"/>
  <c r="AN60" i="9"/>
  <c r="G101" i="9"/>
  <c r="K11" i="1"/>
  <c r="AN65" i="9"/>
  <c r="T7" i="9"/>
  <c r="AD7" i="9" s="1"/>
  <c r="AU38" i="9" s="1"/>
  <c r="AV38" i="9" s="1"/>
  <c r="T15" i="9"/>
  <c r="AD15" i="9" s="1"/>
  <c r="AU46" i="9" s="1"/>
  <c r="AV46" i="9" s="1"/>
  <c r="T19" i="9"/>
  <c r="AD19" i="9" s="1"/>
  <c r="AU50" i="9" s="1"/>
  <c r="AV50" i="9" s="1"/>
  <c r="E11" i="1"/>
  <c r="AN59" i="9"/>
  <c r="N11" i="1"/>
  <c r="AN68" i="9"/>
  <c r="T42" i="9"/>
  <c r="T46" i="9"/>
  <c r="T48" i="9"/>
  <c r="H11" i="1"/>
  <c r="AN62" i="9"/>
  <c r="I11" i="1"/>
  <c r="AN63" i="9"/>
  <c r="T6" i="9"/>
  <c r="T10" i="9"/>
  <c r="AD10" i="9" s="1"/>
  <c r="AE10" i="9" s="1"/>
  <c r="AM56" i="9" s="1"/>
  <c r="T18" i="9"/>
  <c r="AD18" i="9" s="1"/>
  <c r="AE18" i="9" s="1"/>
  <c r="AM64" i="9" s="1"/>
  <c r="D11" i="1"/>
  <c r="AN58" i="9"/>
  <c r="L11" i="1"/>
  <c r="AN66" i="9"/>
  <c r="T12" i="9"/>
  <c r="AD12" i="9" s="1"/>
  <c r="T16" i="9"/>
  <c r="AD16" i="9" s="1"/>
  <c r="T20" i="9"/>
  <c r="AD20" i="9" s="1"/>
  <c r="AE20" i="9" s="1"/>
  <c r="T37" i="9"/>
  <c r="T71" i="9"/>
  <c r="AD71" i="9" s="1"/>
  <c r="AE71" i="9" s="1"/>
  <c r="AJ19" i="9" s="1"/>
  <c r="F18" i="8"/>
  <c r="B5" i="1"/>
  <c r="F50" i="8"/>
  <c r="J5" i="1"/>
  <c r="AZ14" i="2"/>
  <c r="AX22" i="2"/>
  <c r="BB58" i="2"/>
  <c r="J94" i="4"/>
  <c r="C13" i="12"/>
  <c r="J13" i="12" s="1"/>
  <c r="C45" i="12"/>
  <c r="J45" i="12" s="1"/>
  <c r="C77" i="12"/>
  <c r="J77" i="12" s="1"/>
  <c r="T11" i="9"/>
  <c r="AD11" i="9" s="1"/>
  <c r="AU42" i="9" s="1"/>
  <c r="AV42" i="9" s="1"/>
  <c r="T41" i="9"/>
  <c r="T43" i="9"/>
  <c r="T45" i="9"/>
  <c r="E49" i="9"/>
  <c r="V47" i="5"/>
  <c r="U69" i="4"/>
  <c r="V69" i="4" s="1"/>
  <c r="AZ22" i="2"/>
  <c r="U19" i="4"/>
  <c r="V19" i="4" s="1"/>
  <c r="V14" i="5"/>
  <c r="V17" i="5"/>
  <c r="V25" i="5"/>
  <c r="U37" i="4"/>
  <c r="V37" i="4" s="1"/>
  <c r="V57" i="5"/>
  <c r="V81" i="5"/>
  <c r="Q94" i="4"/>
  <c r="K83" i="5"/>
  <c r="J80" i="7"/>
  <c r="Q92" i="4" s="1"/>
  <c r="E23" i="9"/>
  <c r="T35" i="9"/>
  <c r="AH55" i="9" s="1"/>
  <c r="F49" i="9"/>
  <c r="F50" i="9" s="1"/>
  <c r="AD64" i="9"/>
  <c r="AE64" i="9" s="1"/>
  <c r="AJ12" i="9" s="1"/>
  <c r="T69" i="9"/>
  <c r="AD69" i="9" s="1"/>
  <c r="AE69" i="9" s="1"/>
  <c r="AJ17" i="9" s="1"/>
  <c r="V79" i="5"/>
  <c r="V10" i="5"/>
  <c r="BC22" i="2"/>
  <c r="N41" i="4"/>
  <c r="O41" i="4" s="1"/>
  <c r="N45" i="4"/>
  <c r="O45" i="4" s="1"/>
  <c r="V78" i="5"/>
  <c r="N6" i="1" s="1"/>
  <c r="F22" i="8"/>
  <c r="C5" i="1"/>
  <c r="F30" i="8"/>
  <c r="E5" i="1"/>
  <c r="F38" i="8"/>
  <c r="G5" i="1"/>
  <c r="F46" i="8"/>
  <c r="I5" i="1"/>
  <c r="F23" i="9"/>
  <c r="F24" i="9" s="1"/>
  <c r="T33" i="9"/>
  <c r="G49" i="9"/>
  <c r="G50" i="9" s="1"/>
  <c r="T59" i="9"/>
  <c r="AD59" i="9" s="1"/>
  <c r="G102" i="9"/>
  <c r="G112" i="9"/>
  <c r="V29" i="5"/>
  <c r="V63" i="5"/>
  <c r="D81" i="7"/>
  <c r="C81" i="7" s="1"/>
  <c r="AA118" i="7"/>
  <c r="G23" i="9"/>
  <c r="G24" i="9" s="1"/>
  <c r="T44" i="9"/>
  <c r="AD67" i="9"/>
  <c r="T70" i="9"/>
  <c r="AD70" i="9" s="1"/>
  <c r="AE70" i="9" s="1"/>
  <c r="AJ18" i="9" s="1"/>
  <c r="F26" i="8"/>
  <c r="D5" i="1"/>
  <c r="V48" i="5"/>
  <c r="V56" i="5"/>
  <c r="V64" i="5"/>
  <c r="V80" i="5"/>
  <c r="AD13" i="9"/>
  <c r="AU44" i="9" s="1"/>
  <c r="AV44" i="9" s="1"/>
  <c r="AD60" i="9"/>
  <c r="AE60" i="9" s="1"/>
  <c r="AJ8" i="9" s="1"/>
  <c r="F34" i="8"/>
  <c r="F5" i="1"/>
  <c r="F42" i="8"/>
  <c r="H5" i="1"/>
  <c r="N44" i="4"/>
  <c r="O44" i="4" s="1"/>
  <c r="V21" i="5"/>
  <c r="N40" i="4"/>
  <c r="O40" i="4" s="1"/>
  <c r="V35" i="5"/>
  <c r="V39" i="5"/>
  <c r="V45" i="5"/>
  <c r="BC78" i="2"/>
  <c r="N72" i="4"/>
  <c r="O72" i="4" s="1"/>
  <c r="BG96" i="2"/>
  <c r="V77" i="5"/>
  <c r="AW31" i="3"/>
  <c r="AA116" i="7"/>
  <c r="AA124" i="7"/>
  <c r="T9" i="9"/>
  <c r="AD9" i="9" s="1"/>
  <c r="AE9" i="9" s="1"/>
  <c r="T17" i="9"/>
  <c r="AD17" i="9" s="1"/>
  <c r="AE17" i="9" s="1"/>
  <c r="AM63" i="9" s="1"/>
  <c r="T21" i="9"/>
  <c r="AD21" i="9" s="1"/>
  <c r="AU52" i="9" s="1"/>
  <c r="AV52" i="9" s="1"/>
  <c r="T68" i="9"/>
  <c r="AD68" i="9" s="1"/>
  <c r="BB21" i="2"/>
  <c r="BG21" i="2"/>
  <c r="BO37" i="2"/>
  <c r="AY15" i="2"/>
  <c r="AW8" i="2"/>
  <c r="BC9" i="2"/>
  <c r="AZ19" i="2"/>
  <c r="BC21" i="2"/>
  <c r="AY9" i="2"/>
  <c r="BF23" i="2"/>
  <c r="BO39" i="2"/>
  <c r="BH8" i="2"/>
  <c r="BO24" i="2"/>
  <c r="BF19" i="2"/>
  <c r="BO35" i="2"/>
  <c r="BD5" i="2"/>
  <c r="BO21" i="2"/>
  <c r="BA8" i="2"/>
  <c r="BD14" i="2"/>
  <c r="BO30" i="2"/>
  <c r="BD22" i="2"/>
  <c r="BO38" i="2"/>
  <c r="AZ23" i="2"/>
  <c r="BB9" i="2"/>
  <c r="BO25" i="2"/>
  <c r="BF8" i="2"/>
  <c r="BD18" i="2"/>
  <c r="BO34" i="2"/>
  <c r="BF15" i="2"/>
  <c r="BO31" i="2"/>
  <c r="BH20" i="2"/>
  <c r="BO36" i="2"/>
  <c r="BF7" i="2"/>
  <c r="BO23" i="2"/>
  <c r="BH12" i="2"/>
  <c r="BG12" i="2"/>
  <c r="BO28" i="2"/>
  <c r="BF18" i="2"/>
  <c r="BF20" i="2"/>
  <c r="BA22" i="2"/>
  <c r="BB17" i="2"/>
  <c r="BO33" i="2"/>
  <c r="BB13" i="2"/>
  <c r="BO29" i="2"/>
  <c r="AL6" i="2"/>
  <c r="BO22" i="2" s="1"/>
  <c r="AL11" i="2"/>
  <c r="BG11" i="2" s="1"/>
  <c r="BB8" i="2"/>
  <c r="AW22" i="2"/>
  <c r="V9" i="5"/>
  <c r="V12" i="5"/>
  <c r="U21" i="4"/>
  <c r="V21" i="4" s="1"/>
  <c r="V16" i="5"/>
  <c r="U30" i="4"/>
  <c r="V30" i="4" s="1"/>
  <c r="G32" i="4"/>
  <c r="H32" i="4" s="1"/>
  <c r="V24" i="5"/>
  <c r="G36" i="4"/>
  <c r="H36" i="4" s="1"/>
  <c r="V28" i="5"/>
  <c r="G38" i="4"/>
  <c r="H38" i="4" s="1"/>
  <c r="V30" i="5"/>
  <c r="B6" i="1" s="1"/>
  <c r="V32" i="5"/>
  <c r="V72" i="5"/>
  <c r="BA41" i="2"/>
  <c r="V18" i="5"/>
  <c r="V26" i="5"/>
  <c r="V42" i="5"/>
  <c r="E6" i="1" s="1"/>
  <c r="V50" i="5"/>
  <c r="G6" i="1" s="1"/>
  <c r="V58" i="5"/>
  <c r="I6" i="1" s="1"/>
  <c r="V66" i="5"/>
  <c r="K6" i="1" s="1"/>
  <c r="V74" i="5"/>
  <c r="M6" i="1" s="1"/>
  <c r="V82" i="5"/>
  <c r="O6" i="1" s="1"/>
  <c r="AE72" i="9"/>
  <c r="AJ20" i="9" s="1"/>
  <c r="BA84" i="2"/>
  <c r="V61" i="5"/>
  <c r="BA92" i="2"/>
  <c r="V69" i="5"/>
  <c r="G14" i="4"/>
  <c r="H14" i="4" s="1"/>
  <c r="V6" i="5"/>
  <c r="BN5" i="2"/>
  <c r="V8" i="5"/>
  <c r="BA34" i="2"/>
  <c r="V11" i="5"/>
  <c r="BA38" i="2"/>
  <c r="V15" i="5"/>
  <c r="V23" i="5"/>
  <c r="BA58" i="2"/>
  <c r="V31" i="5"/>
  <c r="G42" i="4"/>
  <c r="H42" i="4" s="1"/>
  <c r="V34" i="5"/>
  <c r="C6" i="1" s="1"/>
  <c r="G46" i="4"/>
  <c r="H46" i="4" s="1"/>
  <c r="E46" i="4" s="1"/>
  <c r="V38" i="5"/>
  <c r="D6" i="1" s="1"/>
  <c r="BC66" i="2"/>
  <c r="BA78" i="2"/>
  <c r="V55" i="5"/>
  <c r="BB89" i="2"/>
  <c r="V71" i="5"/>
  <c r="AY19" i="2"/>
  <c r="BB22" i="2"/>
  <c r="N19" i="4"/>
  <c r="O19" i="4" s="1"/>
  <c r="BB38" i="2"/>
  <c r="U26" i="4"/>
  <c r="V26" i="4" s="1"/>
  <c r="G28" i="4"/>
  <c r="H28" i="4" s="1"/>
  <c r="V20" i="5"/>
  <c r="U34" i="4"/>
  <c r="V34" i="4" s="1"/>
  <c r="N42" i="4"/>
  <c r="O42" i="4" s="1"/>
  <c r="N46" i="4"/>
  <c r="O46" i="4" s="1"/>
  <c r="L46" i="4" s="1"/>
  <c r="V44" i="5"/>
  <c r="BB74" i="2"/>
  <c r="V52" i="5"/>
  <c r="V60" i="5"/>
  <c r="G76" i="4"/>
  <c r="H76" i="4" s="1"/>
  <c r="V68" i="5"/>
  <c r="G84" i="4"/>
  <c r="H84" i="4" s="1"/>
  <c r="V76" i="5"/>
  <c r="BA54" i="2"/>
  <c r="V27" i="5"/>
  <c r="V33" i="5"/>
  <c r="V37" i="5"/>
  <c r="V41" i="5"/>
  <c r="BA72" i="2"/>
  <c r="V49" i="5"/>
  <c r="BF91" i="2"/>
  <c r="V65" i="5"/>
  <c r="BF99" i="2"/>
  <c r="V73" i="5"/>
  <c r="AY17" i="2"/>
  <c r="V7" i="5"/>
  <c r="N18" i="4"/>
  <c r="O18" i="4" s="1"/>
  <c r="G21" i="4"/>
  <c r="H21" i="4" s="1"/>
  <c r="V13" i="5"/>
  <c r="BB40" i="2"/>
  <c r="V22" i="5"/>
  <c r="N35" i="4"/>
  <c r="O35" i="4" s="1"/>
  <c r="V46" i="5"/>
  <c r="F6" i="1" s="1"/>
  <c r="BB72" i="2"/>
  <c r="V54" i="5"/>
  <c r="H6" i="1" s="1"/>
  <c r="BA85" i="2"/>
  <c r="V62" i="5"/>
  <c r="J6" i="1" s="1"/>
  <c r="N73" i="4"/>
  <c r="O73" i="4" s="1"/>
  <c r="BA93" i="2"/>
  <c r="V70" i="5"/>
  <c r="L6" i="1" s="1"/>
  <c r="BA76" i="2"/>
  <c r="V53" i="5"/>
  <c r="BC40" i="2"/>
  <c r="V19" i="5"/>
  <c r="U35" i="4"/>
  <c r="V35" i="4" s="1"/>
  <c r="U41" i="4"/>
  <c r="V41" i="4" s="1"/>
  <c r="S45" i="4" s="1"/>
  <c r="V36" i="5"/>
  <c r="U45" i="4"/>
  <c r="V45" i="4" s="1"/>
  <c r="BA67" i="2"/>
  <c r="V40" i="5"/>
  <c r="U49" i="4"/>
  <c r="V49" i="4" s="1"/>
  <c r="V43" i="5"/>
  <c r="BA74" i="2"/>
  <c r="V51" i="5"/>
  <c r="V59" i="5"/>
  <c r="G75" i="4"/>
  <c r="H75" i="4" s="1"/>
  <c r="V67" i="5"/>
  <c r="V75" i="5"/>
  <c r="U89" i="4"/>
  <c r="V89" i="4" s="1"/>
  <c r="AE67" i="9"/>
  <c r="AJ15" i="9" s="1"/>
  <c r="F101" i="9"/>
  <c r="AE68" i="9"/>
  <c r="AJ16" i="9" s="1"/>
  <c r="G108" i="9"/>
  <c r="AE58" i="9"/>
  <c r="AJ6" i="9" s="1"/>
  <c r="AE63" i="9"/>
  <c r="AJ11" i="9" s="1"/>
  <c r="F114" i="9"/>
  <c r="M107" i="9"/>
  <c r="R107" i="9" s="1"/>
  <c r="AE40" i="9"/>
  <c r="AI14" i="9" s="1"/>
  <c r="AE74" i="9"/>
  <c r="AJ22" i="9" s="1"/>
  <c r="AE59" i="9"/>
  <c r="AJ7" i="9" s="1"/>
  <c r="G98" i="9"/>
  <c r="D6" i="12"/>
  <c r="D18" i="12"/>
  <c r="D22" i="12"/>
  <c r="D26" i="12"/>
  <c r="D30" i="12"/>
  <c r="D34" i="12"/>
  <c r="D38" i="12"/>
  <c r="D42" i="12"/>
  <c r="D46" i="12"/>
  <c r="D50" i="12"/>
  <c r="D54" i="12"/>
  <c r="D58" i="12"/>
  <c r="D62" i="12"/>
  <c r="D66" i="12"/>
  <c r="D70" i="12"/>
  <c r="D74" i="12"/>
  <c r="D78" i="12"/>
  <c r="D82" i="12"/>
  <c r="BF12" i="2"/>
  <c r="AW14" i="2"/>
  <c r="BN11" i="2" s="1"/>
  <c r="AX18" i="2"/>
  <c r="N24" i="4"/>
  <c r="O24" i="4" s="1"/>
  <c r="BC43" i="2"/>
  <c r="T65" i="2"/>
  <c r="U71" i="2" s="1"/>
  <c r="AJ65" i="2"/>
  <c r="G43" i="4"/>
  <c r="H43" i="4" s="1"/>
  <c r="U44" i="4"/>
  <c r="V44" i="4" s="1"/>
  <c r="G47" i="4"/>
  <c r="H47" i="4" s="1"/>
  <c r="U48" i="4"/>
  <c r="V48" i="4" s="1"/>
  <c r="BG73" i="2"/>
  <c r="BG82" i="2"/>
  <c r="U70" i="4"/>
  <c r="V70" i="4" s="1"/>
  <c r="F70" i="8"/>
  <c r="D11" i="12"/>
  <c r="T8" i="9"/>
  <c r="AD8" i="9" s="1"/>
  <c r="AE8" i="9" s="1"/>
  <c r="T32" i="9"/>
  <c r="T47" i="9"/>
  <c r="F98" i="9"/>
  <c r="F102" i="9"/>
  <c r="F105" i="9"/>
  <c r="F6" i="12"/>
  <c r="I6" i="12"/>
  <c r="F14" i="12"/>
  <c r="I14" i="12"/>
  <c r="F22" i="12"/>
  <c r="I22" i="12"/>
  <c r="F30" i="12"/>
  <c r="I30" i="12"/>
  <c r="F38" i="12"/>
  <c r="I38" i="12"/>
  <c r="F46" i="12"/>
  <c r="I46" i="12"/>
  <c r="F54" i="12"/>
  <c r="I54" i="12"/>
  <c r="F62" i="12"/>
  <c r="I62" i="12"/>
  <c r="F70" i="12"/>
  <c r="I70" i="12"/>
  <c r="F78" i="12"/>
  <c r="I78" i="12"/>
  <c r="AZ7" i="2"/>
  <c r="BC7" i="2"/>
  <c r="AX14" i="2"/>
  <c r="AZ18" i="2"/>
  <c r="AW20" i="2"/>
  <c r="AY21" i="2"/>
  <c r="AY23" i="2"/>
  <c r="U16" i="4"/>
  <c r="V16" i="4" s="1"/>
  <c r="S20" i="4" s="1"/>
  <c r="G18" i="4"/>
  <c r="H18" i="4" s="1"/>
  <c r="E18" i="4" s="1"/>
  <c r="G27" i="4"/>
  <c r="H27" i="4" s="1"/>
  <c r="BH55" i="2"/>
  <c r="AK76" i="2"/>
  <c r="BG61" i="2"/>
  <c r="BA65" i="2"/>
  <c r="BC103" i="2"/>
  <c r="F58" i="8"/>
  <c r="C16" i="12"/>
  <c r="C20" i="12"/>
  <c r="C24" i="12"/>
  <c r="C28" i="12"/>
  <c r="C32" i="12"/>
  <c r="C36" i="12"/>
  <c r="C40" i="12"/>
  <c r="C44" i="12"/>
  <c r="C48" i="12"/>
  <c r="C52" i="12"/>
  <c r="C56" i="12"/>
  <c r="C60" i="12"/>
  <c r="C64" i="12"/>
  <c r="C68" i="12"/>
  <c r="C72" i="12"/>
  <c r="C76" i="12"/>
  <c r="C80" i="12"/>
  <c r="AA119" i="7"/>
  <c r="AA127" i="7"/>
  <c r="AD6" i="9"/>
  <c r="AE6" i="9" s="1"/>
  <c r="T39" i="9"/>
  <c r="T65" i="9"/>
  <c r="AD65" i="9" s="1"/>
  <c r="AE65" i="9" s="1"/>
  <c r="AJ13" i="9" s="1"/>
  <c r="G100" i="9"/>
  <c r="G105" i="9"/>
  <c r="F112" i="9"/>
  <c r="M113" i="9"/>
  <c r="R113" i="9" s="1"/>
  <c r="I7" i="12"/>
  <c r="F7" i="12"/>
  <c r="I15" i="12"/>
  <c r="F15" i="12"/>
  <c r="I23" i="12"/>
  <c r="F23" i="12"/>
  <c r="I31" i="12"/>
  <c r="F31" i="12"/>
  <c r="I39" i="12"/>
  <c r="F39" i="12"/>
  <c r="I47" i="12"/>
  <c r="F47" i="12"/>
  <c r="I55" i="12"/>
  <c r="F55" i="12"/>
  <c r="I63" i="12"/>
  <c r="F63" i="12"/>
  <c r="I71" i="12"/>
  <c r="F71" i="12"/>
  <c r="I79" i="12"/>
  <c r="F79" i="12"/>
  <c r="BA18" i="2"/>
  <c r="BH40" i="2"/>
  <c r="BF59" i="2"/>
  <c r="BH61" i="2"/>
  <c r="BH85" i="2"/>
  <c r="BG88" i="2"/>
  <c r="D8" i="12"/>
  <c r="D16" i="12"/>
  <c r="AA125" i="7"/>
  <c r="F8" i="12"/>
  <c r="I8" i="12"/>
  <c r="F16" i="12"/>
  <c r="I16" i="12"/>
  <c r="F24" i="12"/>
  <c r="I24" i="12"/>
  <c r="F32" i="12"/>
  <c r="I32" i="12"/>
  <c r="F40" i="12"/>
  <c r="I40" i="12"/>
  <c r="F48" i="12"/>
  <c r="I48" i="12"/>
  <c r="F56" i="12"/>
  <c r="I56" i="12"/>
  <c r="F64" i="12"/>
  <c r="I64" i="12"/>
  <c r="F72" i="12"/>
  <c r="I72" i="12"/>
  <c r="F80" i="12"/>
  <c r="I80" i="12"/>
  <c r="BH7" i="2"/>
  <c r="AW12" i="2"/>
  <c r="AY13" i="2"/>
  <c r="BA14" i="2"/>
  <c r="BO11" i="2" s="1"/>
  <c r="AZ15" i="2"/>
  <c r="BC17" i="2"/>
  <c r="BB18" i="2"/>
  <c r="BA20" i="2"/>
  <c r="BC23" i="2"/>
  <c r="BC33" i="2"/>
  <c r="G22" i="4"/>
  <c r="H22" i="4" s="1"/>
  <c r="N32" i="4"/>
  <c r="O32" i="4" s="1"/>
  <c r="N36" i="4"/>
  <c r="O36" i="4" s="1"/>
  <c r="L40" i="4" s="1"/>
  <c r="N38" i="4"/>
  <c r="O38" i="4" s="1"/>
  <c r="L42" i="4" s="1"/>
  <c r="G68" i="4"/>
  <c r="H68" i="4" s="1"/>
  <c r="BB90" i="2"/>
  <c r="N81" i="4"/>
  <c r="O81" i="4" s="1"/>
  <c r="G45" i="12"/>
  <c r="T61" i="9"/>
  <c r="AD61" i="9" s="1"/>
  <c r="AE61" i="9" s="1"/>
  <c r="AJ9" i="9" s="1"/>
  <c r="T66" i="9"/>
  <c r="AD66" i="9" s="1"/>
  <c r="AE66" i="9" s="1"/>
  <c r="AJ14" i="9" s="1"/>
  <c r="AC76" i="9"/>
  <c r="AJ75" i="9" s="1"/>
  <c r="G110" i="9"/>
  <c r="M111" i="9"/>
  <c r="N111" i="9" s="1"/>
  <c r="I9" i="12"/>
  <c r="F9" i="12"/>
  <c r="I17" i="12"/>
  <c r="F17" i="12"/>
  <c r="I25" i="12"/>
  <c r="F25" i="12"/>
  <c r="I33" i="12"/>
  <c r="F33" i="12"/>
  <c r="I41" i="12"/>
  <c r="F41" i="12"/>
  <c r="I49" i="12"/>
  <c r="F49" i="12"/>
  <c r="I57" i="12"/>
  <c r="F57" i="12"/>
  <c r="I65" i="12"/>
  <c r="F65" i="12"/>
  <c r="I73" i="12"/>
  <c r="F73" i="12"/>
  <c r="I81" i="12"/>
  <c r="F81" i="12"/>
  <c r="BO5" i="2"/>
  <c r="BG7" i="2"/>
  <c r="AY11" i="2"/>
  <c r="AX12" i="2"/>
  <c r="BC13" i="2"/>
  <c r="BB14" i="2"/>
  <c r="BC15" i="2"/>
  <c r="BG17" i="2"/>
  <c r="BC18" i="2"/>
  <c r="BC19" i="2"/>
  <c r="BB20" i="2"/>
  <c r="BE22" i="2"/>
  <c r="BG23" i="2"/>
  <c r="N29" i="4"/>
  <c r="O29" i="4" s="1"/>
  <c r="BA49" i="2"/>
  <c r="BC53" i="2"/>
  <c r="G45" i="4"/>
  <c r="H45" i="4" s="1"/>
  <c r="BH64" i="2"/>
  <c r="BC74" i="2"/>
  <c r="BG75" i="2"/>
  <c r="BG80" i="2"/>
  <c r="F66" i="8"/>
  <c r="D13" i="12"/>
  <c r="D81" i="12"/>
  <c r="AA120" i="7"/>
  <c r="T73" i="9"/>
  <c r="AD73" i="9" s="1"/>
  <c r="AE73" i="9" s="1"/>
  <c r="AJ21" i="9" s="1"/>
  <c r="G103" i="9"/>
  <c r="M110" i="9"/>
  <c r="R110" i="9" s="1"/>
  <c r="F10" i="12"/>
  <c r="I10" i="12"/>
  <c r="F18" i="12"/>
  <c r="I18" i="12"/>
  <c r="F26" i="12"/>
  <c r="I26" i="12"/>
  <c r="F34" i="12"/>
  <c r="I34" i="12"/>
  <c r="F42" i="12"/>
  <c r="I42" i="12"/>
  <c r="F50" i="12"/>
  <c r="I50" i="12"/>
  <c r="F58" i="12"/>
  <c r="I58" i="12"/>
  <c r="F66" i="12"/>
  <c r="I66" i="12"/>
  <c r="F74" i="12"/>
  <c r="I74" i="12"/>
  <c r="F82" i="12"/>
  <c r="I82" i="12"/>
  <c r="BP5" i="2"/>
  <c r="BA12" i="2"/>
  <c r="BG13" i="2"/>
  <c r="BE14" i="2"/>
  <c r="BP11" i="2" s="1"/>
  <c r="BG15" i="2"/>
  <c r="BE18" i="2"/>
  <c r="BG19" i="2"/>
  <c r="BE20" i="2"/>
  <c r="BF22" i="2"/>
  <c r="BH23" i="2"/>
  <c r="N17" i="4"/>
  <c r="O17" i="4" s="1"/>
  <c r="BB33" i="2"/>
  <c r="BB36" i="2"/>
  <c r="N25" i="4"/>
  <c r="O25" i="4" s="1"/>
  <c r="BB41" i="2"/>
  <c r="U29" i="4"/>
  <c r="V29" i="4" s="1"/>
  <c r="G31" i="4"/>
  <c r="H31" i="4" s="1"/>
  <c r="BB49" i="2"/>
  <c r="G37" i="4"/>
  <c r="H37" i="4" s="1"/>
  <c r="G40" i="4"/>
  <c r="H40" i="4" s="1"/>
  <c r="E40" i="4" s="1"/>
  <c r="N49" i="4"/>
  <c r="O49" i="4" s="1"/>
  <c r="BC67" i="2"/>
  <c r="N65" i="4"/>
  <c r="O65" i="4" s="1"/>
  <c r="U78" i="4"/>
  <c r="V78" i="4" s="1"/>
  <c r="BF104" i="2"/>
  <c r="N3" i="1" s="1"/>
  <c r="F54" i="8"/>
  <c r="C6" i="12"/>
  <c r="C10" i="12"/>
  <c r="T38" i="9"/>
  <c r="T62" i="9"/>
  <c r="AD62" i="9" s="1"/>
  <c r="AE62" i="9" s="1"/>
  <c r="AJ10" i="9" s="1"/>
  <c r="G99" i="9"/>
  <c r="M109" i="9"/>
  <c r="N109" i="9" s="1"/>
  <c r="I11" i="12"/>
  <c r="F11" i="12"/>
  <c r="I19" i="12"/>
  <c r="F19" i="12"/>
  <c r="I27" i="12"/>
  <c r="F27" i="12"/>
  <c r="I35" i="12"/>
  <c r="F35" i="12"/>
  <c r="I43" i="12"/>
  <c r="F43" i="12"/>
  <c r="I51" i="12"/>
  <c r="F51" i="12"/>
  <c r="I59" i="12"/>
  <c r="F59" i="12"/>
  <c r="I67" i="12"/>
  <c r="F67" i="12"/>
  <c r="I75" i="12"/>
  <c r="F75" i="12"/>
  <c r="U17" i="4"/>
  <c r="V17" i="4" s="1"/>
  <c r="BF38" i="2"/>
  <c r="BB46" i="2"/>
  <c r="BA53" i="2"/>
  <c r="BG71" i="2"/>
  <c r="F62" i="8"/>
  <c r="F12" i="12"/>
  <c r="I12" i="12"/>
  <c r="F20" i="12"/>
  <c r="I20" i="12"/>
  <c r="F28" i="12"/>
  <c r="I28" i="12"/>
  <c r="F36" i="12"/>
  <c r="I36" i="12"/>
  <c r="F44" i="12"/>
  <c r="I44" i="12"/>
  <c r="F52" i="12"/>
  <c r="I52" i="12"/>
  <c r="F60" i="12"/>
  <c r="I60" i="12"/>
  <c r="F68" i="12"/>
  <c r="I68" i="12"/>
  <c r="F76" i="12"/>
  <c r="I76" i="12"/>
  <c r="AY7" i="2"/>
  <c r="BE12" i="2"/>
  <c r="BH14" i="2"/>
  <c r="AW18" i="2"/>
  <c r="BH18" i="2"/>
  <c r="N20" i="4"/>
  <c r="O20" i="4" s="1"/>
  <c r="G24" i="4"/>
  <c r="H24" i="4" s="1"/>
  <c r="BF53" i="2"/>
  <c r="BB53" i="2"/>
  <c r="BC56" i="2"/>
  <c r="AK69" i="2"/>
  <c r="L44" i="4"/>
  <c r="U73" i="2"/>
  <c r="AK73" i="2"/>
  <c r="N48" i="4"/>
  <c r="O48" i="4" s="1"/>
  <c r="L48" i="4" s="1"/>
  <c r="N51" i="4"/>
  <c r="O51" i="4" s="1"/>
  <c r="BF77" i="2"/>
  <c r="BF78" i="2"/>
  <c r="U77" i="4"/>
  <c r="V77" i="4" s="1"/>
  <c r="BC95" i="2"/>
  <c r="U86" i="4"/>
  <c r="V86" i="4" s="1"/>
  <c r="C11" i="12"/>
  <c r="C15" i="12"/>
  <c r="T14" i="9"/>
  <c r="AD14" i="9" s="1"/>
  <c r="AE14" i="9" s="1"/>
  <c r="AM60" i="9" s="1"/>
  <c r="T22" i="9"/>
  <c r="AD22" i="9" s="1"/>
  <c r="AU53" i="9" s="1"/>
  <c r="AV53" i="9" s="1"/>
  <c r="T34" i="9"/>
  <c r="G106" i="9"/>
  <c r="M115" i="9"/>
  <c r="N115" i="9" s="1"/>
  <c r="I13" i="12"/>
  <c r="F13" i="12"/>
  <c r="I21" i="12"/>
  <c r="F21" i="12"/>
  <c r="I29" i="12"/>
  <c r="F29" i="12"/>
  <c r="I37" i="12"/>
  <c r="F37" i="12"/>
  <c r="I45" i="12"/>
  <c r="F45" i="12"/>
  <c r="I53" i="12"/>
  <c r="F53" i="12"/>
  <c r="I61" i="12"/>
  <c r="F61" i="12"/>
  <c r="I69" i="12"/>
  <c r="F69" i="12"/>
  <c r="I77" i="12"/>
  <c r="F77" i="12"/>
  <c r="AK72" i="2"/>
  <c r="AK71" i="2"/>
  <c r="AK75" i="2"/>
  <c r="BE6" i="2"/>
  <c r="BP7" i="2" s="1"/>
  <c r="AW6" i="2"/>
  <c r="BN7" i="2" s="1"/>
  <c r="BD6" i="2"/>
  <c r="BC6" i="2"/>
  <c r="BB6" i="2"/>
  <c r="BA6" i="2"/>
  <c r="BO7" i="2" s="1"/>
  <c r="BG6" i="2"/>
  <c r="AY6" i="2"/>
  <c r="BF6" i="2"/>
  <c r="BH6" i="2"/>
  <c r="AZ6" i="2"/>
  <c r="AX6" i="2"/>
  <c r="AK70" i="2"/>
  <c r="AK74" i="2"/>
  <c r="BA16" i="2"/>
  <c r="BH16" i="2"/>
  <c r="AZ16" i="2"/>
  <c r="BE16" i="2"/>
  <c r="BG16" i="2"/>
  <c r="AY16" i="2"/>
  <c r="BF16" i="2"/>
  <c r="AX16" i="2"/>
  <c r="AW16" i="2"/>
  <c r="BD16" i="2"/>
  <c r="BC16" i="2"/>
  <c r="BB16" i="2"/>
  <c r="BG37" i="2"/>
  <c r="BH39" i="2"/>
  <c r="BG42" i="2"/>
  <c r="BB43" i="2"/>
  <c r="BF45" i="2"/>
  <c r="BA46" i="2"/>
  <c r="BH47" i="2"/>
  <c r="BC48" i="2"/>
  <c r="BH51" i="2"/>
  <c r="BG52" i="2"/>
  <c r="BH57" i="2"/>
  <c r="N70" i="2"/>
  <c r="V70" i="2"/>
  <c r="BB61" i="2"/>
  <c r="BG62" i="2"/>
  <c r="BC64" i="2"/>
  <c r="P65" i="2"/>
  <c r="Q70" i="2" s="1"/>
  <c r="X65" i="2"/>
  <c r="Y70" i="2" s="1"/>
  <c r="AF65" i="2"/>
  <c r="N50" i="4"/>
  <c r="O50" i="4" s="1"/>
  <c r="BG68" i="2"/>
  <c r="BH65" i="2"/>
  <c r="BC68" i="2"/>
  <c r="U54" i="4"/>
  <c r="V54" i="4" s="1"/>
  <c r="BH72" i="2"/>
  <c r="U56" i="4"/>
  <c r="V56" i="4" s="1"/>
  <c r="BH74" i="2"/>
  <c r="U58" i="4"/>
  <c r="V58" i="4" s="1"/>
  <c r="BH76" i="2"/>
  <c r="U60" i="4"/>
  <c r="V60" i="4" s="1"/>
  <c r="BH78" i="2"/>
  <c r="U62" i="4"/>
  <c r="V62" i="4" s="1"/>
  <c r="BC77" i="2"/>
  <c r="BC81" i="2"/>
  <c r="BH80" i="2"/>
  <c r="BC79" i="2"/>
  <c r="BB81" i="2"/>
  <c r="BA107" i="2"/>
  <c r="BE5" i="2"/>
  <c r="BD9" i="2"/>
  <c r="BD13" i="2"/>
  <c r="BD17" i="2"/>
  <c r="AX5" i="2"/>
  <c r="BF5" i="2"/>
  <c r="BA7" i="2"/>
  <c r="BC8" i="2"/>
  <c r="AW9" i="2"/>
  <c r="BN8" i="2" s="1"/>
  <c r="BE9" i="2"/>
  <c r="BP8" i="2" s="1"/>
  <c r="BC12" i="2"/>
  <c r="AW13" i="2"/>
  <c r="BN10" i="2" s="1"/>
  <c r="BE13" i="2"/>
  <c r="BP10" i="2" s="1"/>
  <c r="AY14" i="2"/>
  <c r="AL62" i="2" s="1"/>
  <c r="AL73" i="2" s="1"/>
  <c r="BG14" i="2"/>
  <c r="BA15" i="2"/>
  <c r="BO12" i="2" s="1"/>
  <c r="AW17" i="2"/>
  <c r="BE17" i="2"/>
  <c r="AY18" i="2"/>
  <c r="BG18" i="2"/>
  <c r="BA19" i="2"/>
  <c r="BC20" i="2"/>
  <c r="AW21" i="2"/>
  <c r="BE21" i="2"/>
  <c r="AY22" i="2"/>
  <c r="BG22" i="2"/>
  <c r="BA23" i="2"/>
  <c r="N14" i="4"/>
  <c r="O14" i="4" s="1"/>
  <c r="L18" i="4" s="1"/>
  <c r="G16" i="4"/>
  <c r="H16" i="4" s="1"/>
  <c r="BB34" i="2"/>
  <c r="BB35" i="2"/>
  <c r="N22" i="4"/>
  <c r="O22" i="4" s="1"/>
  <c r="L22" i="4" s="1"/>
  <c r="BH37" i="2"/>
  <c r="U24" i="4"/>
  <c r="V24" i="4" s="1"/>
  <c r="S24" i="4" s="1"/>
  <c r="BF40" i="2"/>
  <c r="N27" i="4"/>
  <c r="O27" i="4" s="1"/>
  <c r="BH42" i="2"/>
  <c r="G30" i="4"/>
  <c r="H30" i="4" s="1"/>
  <c r="BG45" i="2"/>
  <c r="U32" i="4"/>
  <c r="V32" i="4" s="1"/>
  <c r="BF48" i="2"/>
  <c r="U36" i="4"/>
  <c r="V36" i="4" s="1"/>
  <c r="N37" i="4"/>
  <c r="O37" i="4" s="1"/>
  <c r="L41" i="4" s="1"/>
  <c r="BH52" i="2"/>
  <c r="BB54" i="2"/>
  <c r="U40" i="4"/>
  <c r="V40" i="4" s="1"/>
  <c r="BF56" i="2"/>
  <c r="B3" i="1" s="1"/>
  <c r="U42" i="4"/>
  <c r="V42" i="4" s="1"/>
  <c r="G44" i="4"/>
  <c r="H44" i="4" s="1"/>
  <c r="BG59" i="2"/>
  <c r="BC61" i="2"/>
  <c r="N47" i="4"/>
  <c r="O47" i="4" s="1"/>
  <c r="BH62" i="2"/>
  <c r="BA63" i="2"/>
  <c r="N75" i="2"/>
  <c r="V75" i="2"/>
  <c r="BF64" i="2"/>
  <c r="D3" i="1" s="1"/>
  <c r="Q65" i="2"/>
  <c r="Q76" i="2" s="1"/>
  <c r="Y65" i="2"/>
  <c r="Z70" i="2" s="1"/>
  <c r="AG65" i="2"/>
  <c r="AG76" i="2" s="1"/>
  <c r="U50" i="4"/>
  <c r="V50" i="4" s="1"/>
  <c r="BH68" i="2"/>
  <c r="BF66" i="2"/>
  <c r="AK68" i="2"/>
  <c r="U61" i="4"/>
  <c r="V61" i="4" s="1"/>
  <c r="BC76" i="2"/>
  <c r="BC80" i="2"/>
  <c r="U83" i="4"/>
  <c r="V83" i="4" s="1"/>
  <c r="BC98" i="2"/>
  <c r="N86" i="4"/>
  <c r="O86" i="4" s="1"/>
  <c r="BB105" i="2"/>
  <c r="BG104" i="2"/>
  <c r="BB101" i="2"/>
  <c r="BF107" i="2"/>
  <c r="AW5" i="2"/>
  <c r="BD21" i="2"/>
  <c r="AY5" i="2"/>
  <c r="BG5" i="2"/>
  <c r="BB7" i="2"/>
  <c r="BD8" i="2"/>
  <c r="AX9" i="2"/>
  <c r="BF9" i="2"/>
  <c r="BB11" i="2"/>
  <c r="BD12" i="2"/>
  <c r="AX13" i="2"/>
  <c r="BF13" i="2"/>
  <c r="BB15" i="2"/>
  <c r="AX17" i="2"/>
  <c r="BF17" i="2"/>
  <c r="BB19" i="2"/>
  <c r="BD20" i="2"/>
  <c r="AX21" i="2"/>
  <c r="BF21" i="2"/>
  <c r="BB23" i="2"/>
  <c r="U14" i="4"/>
  <c r="V14" i="4" s="1"/>
  <c r="N16" i="4"/>
  <c r="O16" i="4" s="1"/>
  <c r="BC34" i="2"/>
  <c r="BC35" i="2"/>
  <c r="BC36" i="2"/>
  <c r="U22" i="4"/>
  <c r="V22" i="4" s="1"/>
  <c r="BC38" i="2"/>
  <c r="G25" i="4"/>
  <c r="H25" i="4" s="1"/>
  <c r="BG40" i="2"/>
  <c r="U27" i="4"/>
  <c r="V27" i="4" s="1"/>
  <c r="BF43" i="2"/>
  <c r="BA44" i="2"/>
  <c r="N30" i="4"/>
  <c r="O30" i="4" s="1"/>
  <c r="BH45" i="2"/>
  <c r="BC46" i="2"/>
  <c r="G33" i="4"/>
  <c r="H33" i="4" s="1"/>
  <c r="BG48" i="2"/>
  <c r="BA50" i="2"/>
  <c r="BC54" i="2"/>
  <c r="G41" i="4"/>
  <c r="H41" i="4" s="1"/>
  <c r="BG56" i="2"/>
  <c r="BC58" i="2"/>
  <c r="BH59" i="2"/>
  <c r="BA60" i="2"/>
  <c r="N72" i="2"/>
  <c r="V72" i="2"/>
  <c r="BF61" i="2"/>
  <c r="U47" i="4"/>
  <c r="V47" i="4" s="1"/>
  <c r="BB63" i="2"/>
  <c r="G49" i="4"/>
  <c r="H49" i="4" s="1"/>
  <c r="BF67" i="2"/>
  <c r="BG64" i="2"/>
  <c r="R65" i="2"/>
  <c r="R76" i="2" s="1"/>
  <c r="Z65" i="2"/>
  <c r="AH65" i="2"/>
  <c r="AI69" i="2" s="1"/>
  <c r="BF69" i="2"/>
  <c r="G51" i="4"/>
  <c r="H51" i="4" s="1"/>
  <c r="E51" i="4" s="1"/>
  <c r="BG66" i="2"/>
  <c r="BC69" i="2"/>
  <c r="BC71" i="2"/>
  <c r="BC73" i="2"/>
  <c r="BC75" i="2"/>
  <c r="BA79" i="2"/>
  <c r="G67" i="4"/>
  <c r="H67" i="4" s="1"/>
  <c r="BA86" i="2"/>
  <c r="BF85" i="2"/>
  <c r="BA82" i="2"/>
  <c r="BC102" i="2"/>
  <c r="N89" i="4"/>
  <c r="O89" i="4" s="1"/>
  <c r="BG107" i="2"/>
  <c r="BB104" i="2"/>
  <c r="BF36" i="2"/>
  <c r="BA39" i="2"/>
  <c r="BC41" i="2"/>
  <c r="BG43" i="2"/>
  <c r="BB44" i="2"/>
  <c r="BF46" i="2"/>
  <c r="BA47" i="2"/>
  <c r="N33" i="4"/>
  <c r="O33" i="4" s="1"/>
  <c r="BH48" i="2"/>
  <c r="BC49" i="2"/>
  <c r="BB50" i="2"/>
  <c r="BA51" i="2"/>
  <c r="BG53" i="2"/>
  <c r="BF54" i="2"/>
  <c r="BA55" i="2"/>
  <c r="BH56" i="2"/>
  <c r="BA57" i="2"/>
  <c r="N69" i="2"/>
  <c r="V69" i="2"/>
  <c r="BF58" i="2"/>
  <c r="BB60" i="2"/>
  <c r="R73" i="2"/>
  <c r="AH73" i="2"/>
  <c r="BC63" i="2"/>
  <c r="S65" i="2"/>
  <c r="AA65" i="2"/>
  <c r="AB69" i="2" s="1"/>
  <c r="AI65" i="2"/>
  <c r="AJ71" i="2" s="1"/>
  <c r="BH66" i="2"/>
  <c r="BG67" i="2"/>
  <c r="BG69" i="2"/>
  <c r="BH77" i="2"/>
  <c r="BH79" i="2"/>
  <c r="U75" i="4"/>
  <c r="V75" i="4" s="1"/>
  <c r="BC90" i="2"/>
  <c r="N78" i="4"/>
  <c r="O78" i="4" s="1"/>
  <c r="BB93" i="2"/>
  <c r="G81" i="4"/>
  <c r="H81" i="4" s="1"/>
  <c r="BA96" i="2"/>
  <c r="BH5" i="2"/>
  <c r="BA5" i="2"/>
  <c r="BD7" i="2"/>
  <c r="AZ9" i="2"/>
  <c r="BH9" i="2"/>
  <c r="BD11" i="2"/>
  <c r="AZ13" i="2"/>
  <c r="BH13" i="2"/>
  <c r="BD15" i="2"/>
  <c r="AZ17" i="2"/>
  <c r="BH17" i="2"/>
  <c r="BD19" i="2"/>
  <c r="AZ21" i="2"/>
  <c r="BH21" i="2"/>
  <c r="BD23" i="2"/>
  <c r="G15" i="4"/>
  <c r="H15" i="4" s="1"/>
  <c r="G19" i="4"/>
  <c r="H19" i="4" s="1"/>
  <c r="G20" i="4"/>
  <c r="H20" i="4" s="1"/>
  <c r="BG36" i="2"/>
  <c r="BA37" i="2"/>
  <c r="G23" i="4"/>
  <c r="H23" i="4" s="1"/>
  <c r="BG38" i="2"/>
  <c r="BB39" i="2"/>
  <c r="U25" i="4"/>
  <c r="V25" i="4" s="1"/>
  <c r="BF41" i="2"/>
  <c r="BA42" i="2"/>
  <c r="N28" i="4"/>
  <c r="O28" i="4" s="1"/>
  <c r="BH43" i="2"/>
  <c r="BC44" i="2"/>
  <c r="BG46" i="2"/>
  <c r="BB47" i="2"/>
  <c r="U33" i="4"/>
  <c r="V33" i="4" s="1"/>
  <c r="BF49" i="2"/>
  <c r="BC50" i="2"/>
  <c r="BB51" i="2"/>
  <c r="BA52" i="2"/>
  <c r="BH53" i="2"/>
  <c r="G39" i="4"/>
  <c r="H39" i="4" s="1"/>
  <c r="BG54" i="2"/>
  <c r="BB55" i="2"/>
  <c r="BB57" i="2"/>
  <c r="BG58" i="2"/>
  <c r="AH70" i="2"/>
  <c r="BC60" i="2"/>
  <c r="AA73" i="2"/>
  <c r="BA62" i="2"/>
  <c r="N74" i="2"/>
  <c r="V74" i="2"/>
  <c r="BF63" i="2"/>
  <c r="AB65" i="2"/>
  <c r="AB76" i="2" s="1"/>
  <c r="BB65" i="2"/>
  <c r="U51" i="4"/>
  <c r="V51" i="4" s="1"/>
  <c r="BH67" i="2"/>
  <c r="U53" i="4"/>
  <c r="V53" i="4" s="1"/>
  <c r="BH69" i="2"/>
  <c r="U55" i="4"/>
  <c r="V55" i="4" s="1"/>
  <c r="BH71" i="2"/>
  <c r="U57" i="4"/>
  <c r="V57" i="4" s="1"/>
  <c r="BH73" i="2"/>
  <c r="U59" i="4"/>
  <c r="V59" i="4" s="1"/>
  <c r="BH75" i="2"/>
  <c r="U67" i="4"/>
  <c r="V67" i="4" s="1"/>
  <c r="BC82" i="2"/>
  <c r="BF83" i="2"/>
  <c r="BC94" i="2"/>
  <c r="BH101" i="2"/>
  <c r="AZ5" i="2"/>
  <c r="BB5" i="2"/>
  <c r="AW7" i="2"/>
  <c r="BE7" i="2"/>
  <c r="AY8" i="2"/>
  <c r="BG8" i="2"/>
  <c r="BA9" i="2"/>
  <c r="BO8" i="2" s="1"/>
  <c r="AW11" i="2"/>
  <c r="BE11" i="2"/>
  <c r="AY12" i="2"/>
  <c r="BA13" i="2"/>
  <c r="BO10" i="2" s="1"/>
  <c r="BC14" i="2"/>
  <c r="AW15" i="2"/>
  <c r="BN12" i="2" s="1"/>
  <c r="BE15" i="2"/>
  <c r="BP12" i="2" s="1"/>
  <c r="BA17" i="2"/>
  <c r="AW19" i="2"/>
  <c r="BE19" i="2"/>
  <c r="AY20" i="2"/>
  <c r="BG20" i="2"/>
  <c r="BA21" i="2"/>
  <c r="AW23" i="2"/>
  <c r="BE23" i="2"/>
  <c r="N15" i="4"/>
  <c r="O15" i="4" s="1"/>
  <c r="U18" i="4"/>
  <c r="V18" i="4" s="1"/>
  <c r="N21" i="4"/>
  <c r="O21" i="4" s="1"/>
  <c r="BH36" i="2"/>
  <c r="BB37" i="2"/>
  <c r="N23" i="4"/>
  <c r="O23" i="4" s="1"/>
  <c r="BH38" i="2"/>
  <c r="BC39" i="2"/>
  <c r="G26" i="4"/>
  <c r="H26" i="4" s="1"/>
  <c r="BG41" i="2"/>
  <c r="BB42" i="2"/>
  <c r="U28" i="4"/>
  <c r="V28" i="4" s="1"/>
  <c r="BF44" i="2"/>
  <c r="BA45" i="2"/>
  <c r="N31" i="4"/>
  <c r="O31" i="4" s="1"/>
  <c r="BH46" i="2"/>
  <c r="BC47" i="2"/>
  <c r="G34" i="4"/>
  <c r="H34" i="4" s="1"/>
  <c r="BG49" i="2"/>
  <c r="BF50" i="2"/>
  <c r="BC51" i="2"/>
  <c r="BB52" i="2"/>
  <c r="U38" i="4"/>
  <c r="V38" i="4" s="1"/>
  <c r="S38" i="4" s="1"/>
  <c r="N39" i="4"/>
  <c r="O39" i="4" s="1"/>
  <c r="BH54" i="2"/>
  <c r="BC55" i="2"/>
  <c r="BC57" i="2"/>
  <c r="N43" i="4"/>
  <c r="O43" i="4" s="1"/>
  <c r="BH58" i="2"/>
  <c r="BA59" i="2"/>
  <c r="N71" i="2"/>
  <c r="V71" i="2"/>
  <c r="BF60" i="2"/>
  <c r="C3" i="1" s="1"/>
  <c r="U46" i="4"/>
  <c r="V46" i="4" s="1"/>
  <c r="T73" i="2"/>
  <c r="AB73" i="2"/>
  <c r="BB62" i="2"/>
  <c r="G48" i="4"/>
  <c r="H48" i="4" s="1"/>
  <c r="BG63" i="2"/>
  <c r="R75" i="2"/>
  <c r="AC65" i="2"/>
  <c r="AD73" i="2" s="1"/>
  <c r="BC65" i="2"/>
  <c r="G52" i="4"/>
  <c r="H52" i="4" s="1"/>
  <c r="BF70" i="2"/>
  <c r="G65" i="4"/>
  <c r="H65" i="4" s="1"/>
  <c r="BA80" i="2"/>
  <c r="N70" i="4"/>
  <c r="O70" i="4" s="1"/>
  <c r="BB85" i="2"/>
  <c r="G73" i="4"/>
  <c r="H73" i="4" s="1"/>
  <c r="BA88" i="2"/>
  <c r="BB97" i="2"/>
  <c r="F135" i="5"/>
  <c r="M86" i="5" s="1"/>
  <c r="AF84" i="5"/>
  <c r="AE84" i="5"/>
  <c r="BC5" i="2"/>
  <c r="AX7" i="2"/>
  <c r="AZ8" i="2"/>
  <c r="AL10" i="2"/>
  <c r="AX11" i="2"/>
  <c r="AZ12" i="2"/>
  <c r="AX15" i="2"/>
  <c r="AX19" i="2"/>
  <c r="AZ20" i="2"/>
  <c r="AX23" i="2"/>
  <c r="U15" i="4"/>
  <c r="V15" i="4" s="1"/>
  <c r="S19" i="4" s="1"/>
  <c r="G17" i="4"/>
  <c r="H17" i="4" s="1"/>
  <c r="E21" i="4" s="1"/>
  <c r="BC37" i="2"/>
  <c r="U23" i="4"/>
  <c r="V23" i="4" s="1"/>
  <c r="S23" i="4" s="1"/>
  <c r="BF39" i="2"/>
  <c r="BA40" i="2"/>
  <c r="N26" i="4"/>
  <c r="O26" i="4" s="1"/>
  <c r="BH41" i="2"/>
  <c r="BC42" i="2"/>
  <c r="G29" i="4"/>
  <c r="H29" i="4" s="1"/>
  <c r="BG44" i="2"/>
  <c r="BB45" i="2"/>
  <c r="U31" i="4"/>
  <c r="V31" i="4" s="1"/>
  <c r="BF47" i="2"/>
  <c r="BA48" i="2"/>
  <c r="N34" i="4"/>
  <c r="O34" i="4" s="1"/>
  <c r="BH49" i="2"/>
  <c r="G35" i="4"/>
  <c r="H35" i="4" s="1"/>
  <c r="BG50" i="2"/>
  <c r="BF51" i="2"/>
  <c r="BC52" i="2"/>
  <c r="U39" i="4"/>
  <c r="V39" i="4" s="1"/>
  <c r="BF55" i="2"/>
  <c r="BA56" i="2"/>
  <c r="N68" i="2"/>
  <c r="V68" i="2"/>
  <c r="AD68" i="2"/>
  <c r="BF57" i="2"/>
  <c r="U43" i="4"/>
  <c r="V43" i="4" s="1"/>
  <c r="BB59" i="2"/>
  <c r="BG60" i="2"/>
  <c r="R72" i="2"/>
  <c r="AH72" i="2"/>
  <c r="BC62" i="2"/>
  <c r="BH63" i="2"/>
  <c r="AA75" i="2"/>
  <c r="BA64" i="2"/>
  <c r="N65" i="2"/>
  <c r="N76" i="2" s="1"/>
  <c r="V65" i="2"/>
  <c r="V76" i="2" s="1"/>
  <c r="AD65" i="2"/>
  <c r="AE68" i="2" s="1"/>
  <c r="BF65" i="2"/>
  <c r="BA66" i="2"/>
  <c r="N52" i="4"/>
  <c r="O52" i="4" s="1"/>
  <c r="BB67" i="2"/>
  <c r="BG70" i="2"/>
  <c r="BA68" i="2"/>
  <c r="G54" i="4"/>
  <c r="H54" i="4" s="1"/>
  <c r="BA69" i="2"/>
  <c r="BF72" i="2"/>
  <c r="F3" i="1" s="1"/>
  <c r="BA70" i="2"/>
  <c r="G56" i="4"/>
  <c r="H56" i="4" s="1"/>
  <c r="BA71" i="2"/>
  <c r="BF74" i="2"/>
  <c r="G58" i="4"/>
  <c r="H58" i="4" s="1"/>
  <c r="BA73" i="2"/>
  <c r="BF76" i="2"/>
  <c r="G3" i="1" s="1"/>
  <c r="G60" i="4"/>
  <c r="H60" i="4" s="1"/>
  <c r="BA75" i="2"/>
  <c r="BA77" i="2"/>
  <c r="BC86" i="2"/>
  <c r="BH93" i="2"/>
  <c r="BA100" i="2"/>
  <c r="AY30" i="9"/>
  <c r="G90" i="4"/>
  <c r="H90" i="4" s="1"/>
  <c r="BF106" i="2"/>
  <c r="BF108" i="2"/>
  <c r="O3" i="1" s="1"/>
  <c r="BA105" i="2"/>
  <c r="BA33" i="2"/>
  <c r="AN84" i="5"/>
  <c r="AL84" i="5"/>
  <c r="BF37" i="2"/>
  <c r="BG39" i="2"/>
  <c r="BF42" i="2"/>
  <c r="BA43" i="2"/>
  <c r="BH44" i="2"/>
  <c r="BC45" i="2"/>
  <c r="BG47" i="2"/>
  <c r="BB48" i="2"/>
  <c r="BH50" i="2"/>
  <c r="BG51" i="2"/>
  <c r="BF52" i="2"/>
  <c r="BG55" i="2"/>
  <c r="E42" i="4"/>
  <c r="BG57" i="2"/>
  <c r="R69" i="2"/>
  <c r="AH69" i="2"/>
  <c r="BC59" i="2"/>
  <c r="L45" i="4"/>
  <c r="BH60" i="2"/>
  <c r="BA61" i="2"/>
  <c r="N73" i="2"/>
  <c r="V73" i="2"/>
  <c r="BF62" i="2"/>
  <c r="T75" i="2"/>
  <c r="AB75" i="2"/>
  <c r="AJ75" i="2"/>
  <c r="BB64" i="2"/>
  <c r="O65" i="2"/>
  <c r="O76" i="2" s="1"/>
  <c r="W65" i="2"/>
  <c r="AE65" i="2"/>
  <c r="G50" i="4"/>
  <c r="H50" i="4" s="1"/>
  <c r="E50" i="4" s="1"/>
  <c r="BF68" i="2"/>
  <c r="E3" i="1" s="1"/>
  <c r="BG65" i="2"/>
  <c r="BB66" i="2"/>
  <c r="U52" i="4"/>
  <c r="V52" i="4" s="1"/>
  <c r="BH70" i="2"/>
  <c r="BB68" i="2"/>
  <c r="N54" i="4"/>
  <c r="O54" i="4" s="1"/>
  <c r="L54" i="4" s="1"/>
  <c r="BB69" i="2"/>
  <c r="BG72" i="2"/>
  <c r="BB70" i="2"/>
  <c r="N56" i="4"/>
  <c r="O56" i="4" s="1"/>
  <c r="BB71" i="2"/>
  <c r="BG74" i="2"/>
  <c r="N58" i="4"/>
  <c r="O58" i="4" s="1"/>
  <c r="BB73" i="2"/>
  <c r="BG76" i="2"/>
  <c r="N60" i="4"/>
  <c r="O60" i="4" s="1"/>
  <c r="BG77" i="2"/>
  <c r="BB75" i="2"/>
  <c r="BG78" i="2"/>
  <c r="N62" i="4"/>
  <c r="O62" i="4" s="1"/>
  <c r="BB77" i="2"/>
  <c r="N64" i="4"/>
  <c r="O64" i="4" s="1"/>
  <c r="BB83" i="2"/>
  <c r="BB79" i="2"/>
  <c r="BG83" i="2"/>
  <c r="BB84" i="2"/>
  <c r="BF86" i="2"/>
  <c r="BA87" i="2"/>
  <c r="BH88" i="2"/>
  <c r="BC89" i="2"/>
  <c r="BG91" i="2"/>
  <c r="BB92" i="2"/>
  <c r="BF94" i="2"/>
  <c r="BA95" i="2"/>
  <c r="BH96" i="2"/>
  <c r="BC97" i="2"/>
  <c r="BG99" i="2"/>
  <c r="BB100" i="2"/>
  <c r="BF102" i="2"/>
  <c r="BA103" i="2"/>
  <c r="G63" i="4"/>
  <c r="H63" i="4" s="1"/>
  <c r="U65" i="4"/>
  <c r="V65" i="4" s="1"/>
  <c r="S65" i="4" s="1"/>
  <c r="BF81" i="2"/>
  <c r="N68" i="4"/>
  <c r="O68" i="4" s="1"/>
  <c r="BH83" i="2"/>
  <c r="BC84" i="2"/>
  <c r="G71" i="4"/>
  <c r="H71" i="4" s="1"/>
  <c r="BG86" i="2"/>
  <c r="BB87" i="2"/>
  <c r="U73" i="4"/>
  <c r="V73" i="4" s="1"/>
  <c r="BF89" i="2"/>
  <c r="BA90" i="2"/>
  <c r="N76" i="4"/>
  <c r="O76" i="4" s="1"/>
  <c r="BH91" i="2"/>
  <c r="BC92" i="2"/>
  <c r="G79" i="4"/>
  <c r="H79" i="4" s="1"/>
  <c r="E79" i="4" s="1"/>
  <c r="BG94" i="2"/>
  <c r="BB95" i="2"/>
  <c r="U81" i="4"/>
  <c r="V81" i="4" s="1"/>
  <c r="BF97" i="2"/>
  <c r="BA98" i="2"/>
  <c r="N84" i="4"/>
  <c r="O84" i="4" s="1"/>
  <c r="BH99" i="2"/>
  <c r="BC100" i="2"/>
  <c r="G87" i="4"/>
  <c r="H87" i="4" s="1"/>
  <c r="BA106" i="2"/>
  <c r="BF105" i="2"/>
  <c r="BG102" i="2"/>
  <c r="BB103" i="2"/>
  <c r="BA30" i="9"/>
  <c r="U90" i="4"/>
  <c r="V90" i="4" s="1"/>
  <c r="BC107" i="2"/>
  <c r="N63" i="4"/>
  <c r="O63" i="4" s="1"/>
  <c r="G66" i="4"/>
  <c r="H66" i="4" s="1"/>
  <c r="BG81" i="2"/>
  <c r="U68" i="4"/>
  <c r="V68" i="4" s="1"/>
  <c r="BF84" i="2"/>
  <c r="I3" i="1" s="1"/>
  <c r="N71" i="4"/>
  <c r="O71" i="4" s="1"/>
  <c r="BH86" i="2"/>
  <c r="G74" i="4"/>
  <c r="H74" i="4" s="1"/>
  <c r="BG89" i="2"/>
  <c r="U76" i="4"/>
  <c r="V76" i="4" s="1"/>
  <c r="BF92" i="2"/>
  <c r="K3" i="1" s="1"/>
  <c r="N79" i="4"/>
  <c r="O79" i="4" s="1"/>
  <c r="BH94" i="2"/>
  <c r="G82" i="4"/>
  <c r="H82" i="4" s="1"/>
  <c r="BG97" i="2"/>
  <c r="U84" i="4"/>
  <c r="V84" i="4" s="1"/>
  <c r="BF100" i="2"/>
  <c r="M3" i="1" s="1"/>
  <c r="BA101" i="2"/>
  <c r="N87" i="4"/>
  <c r="O87" i="4" s="1"/>
  <c r="BH102" i="2"/>
  <c r="BC106" i="2"/>
  <c r="G53" i="4"/>
  <c r="H53" i="4" s="1"/>
  <c r="G55" i="4"/>
  <c r="H55" i="4" s="1"/>
  <c r="G57" i="4"/>
  <c r="H57" i="4" s="1"/>
  <c r="G59" i="4"/>
  <c r="H59" i="4" s="1"/>
  <c r="G61" i="4"/>
  <c r="H61" i="4" s="1"/>
  <c r="U63" i="4"/>
  <c r="V63" i="4" s="1"/>
  <c r="BF79" i="2"/>
  <c r="N66" i="4"/>
  <c r="O66" i="4" s="1"/>
  <c r="BH81" i="2"/>
  <c r="G69" i="4"/>
  <c r="H69" i="4" s="1"/>
  <c r="BG84" i="2"/>
  <c r="U71" i="4"/>
  <c r="V71" i="4" s="1"/>
  <c r="BF87" i="2"/>
  <c r="N74" i="4"/>
  <c r="O74" i="4" s="1"/>
  <c r="BH89" i="2"/>
  <c r="G77" i="4"/>
  <c r="H77" i="4" s="1"/>
  <c r="BG92" i="2"/>
  <c r="U79" i="4"/>
  <c r="V79" i="4" s="1"/>
  <c r="BF95" i="2"/>
  <c r="N82" i="4"/>
  <c r="O82" i="4" s="1"/>
  <c r="BH97" i="2"/>
  <c r="G85" i="4"/>
  <c r="H85" i="4" s="1"/>
  <c r="BG100" i="2"/>
  <c r="U87" i="4"/>
  <c r="V87" i="4" s="1"/>
  <c r="BH105" i="2"/>
  <c r="BF103" i="2"/>
  <c r="BB108" i="2"/>
  <c r="N53" i="4"/>
  <c r="O53" i="4" s="1"/>
  <c r="N55" i="4"/>
  <c r="O55" i="4" s="1"/>
  <c r="N57" i="4"/>
  <c r="O57" i="4" s="1"/>
  <c r="N59" i="4"/>
  <c r="O59" i="4" s="1"/>
  <c r="N61" i="4"/>
  <c r="O61" i="4" s="1"/>
  <c r="G64" i="4"/>
  <c r="H64" i="4" s="1"/>
  <c r="BG79" i="2"/>
  <c r="BB80" i="2"/>
  <c r="U66" i="4"/>
  <c r="V66" i="4" s="1"/>
  <c r="S66" i="4" s="1"/>
  <c r="BF82" i="2"/>
  <c r="BA83" i="2"/>
  <c r="N69" i="4"/>
  <c r="O69" i="4" s="1"/>
  <c r="BH84" i="2"/>
  <c r="BC85" i="2"/>
  <c r="G72" i="4"/>
  <c r="H72" i="4" s="1"/>
  <c r="BG87" i="2"/>
  <c r="BB88" i="2"/>
  <c r="U74" i="4"/>
  <c r="V74" i="4" s="1"/>
  <c r="S74" i="4" s="1"/>
  <c r="BF90" i="2"/>
  <c r="BA91" i="2"/>
  <c r="N77" i="4"/>
  <c r="O77" i="4" s="1"/>
  <c r="BH92" i="2"/>
  <c r="BC93" i="2"/>
  <c r="G80" i="4"/>
  <c r="H80" i="4" s="1"/>
  <c r="BG95" i="2"/>
  <c r="BB96" i="2"/>
  <c r="U82" i="4"/>
  <c r="V82" i="4" s="1"/>
  <c r="BF98" i="2"/>
  <c r="BA99" i="2"/>
  <c r="N85" i="4"/>
  <c r="O85" i="4" s="1"/>
  <c r="BH100" i="2"/>
  <c r="BC101" i="2"/>
  <c r="G88" i="4"/>
  <c r="H88" i="4" s="1"/>
  <c r="E88" i="4" s="1"/>
  <c r="BG103" i="2"/>
  <c r="BB106" i="2"/>
  <c r="BH87" i="2"/>
  <c r="BC88" i="2"/>
  <c r="BG90" i="2"/>
  <c r="BB91" i="2"/>
  <c r="BF93" i="2"/>
  <c r="BA94" i="2"/>
  <c r="N80" i="4"/>
  <c r="O80" i="4" s="1"/>
  <c r="BH95" i="2"/>
  <c r="BC96" i="2"/>
  <c r="G83" i="4"/>
  <c r="H83" i="4" s="1"/>
  <c r="BG98" i="2"/>
  <c r="BB99" i="2"/>
  <c r="U85" i="4"/>
  <c r="V85" i="4" s="1"/>
  <c r="BH103" i="2"/>
  <c r="BF101" i="2"/>
  <c r="BA102" i="2"/>
  <c r="N88" i="4"/>
  <c r="O88" i="4" s="1"/>
  <c r="BG106" i="2"/>
  <c r="BH104" i="2"/>
  <c r="BC105" i="2"/>
  <c r="BH108" i="2"/>
  <c r="BF71" i="2"/>
  <c r="BF73" i="2"/>
  <c r="BF75" i="2"/>
  <c r="G62" i="4"/>
  <c r="H62" i="4" s="1"/>
  <c r="U64" i="4"/>
  <c r="V64" i="4" s="1"/>
  <c r="BF80" i="2"/>
  <c r="H3" i="1" s="1"/>
  <c r="BA81" i="2"/>
  <c r="N67" i="4"/>
  <c r="O67" i="4" s="1"/>
  <c r="BH82" i="2"/>
  <c r="BC83" i="2"/>
  <c r="G70" i="4"/>
  <c r="H70" i="4" s="1"/>
  <c r="BG85" i="2"/>
  <c r="BB86" i="2"/>
  <c r="U72" i="4"/>
  <c r="V72" i="4" s="1"/>
  <c r="BF88" i="2"/>
  <c r="J3" i="1" s="1"/>
  <c r="BA89" i="2"/>
  <c r="N75" i="4"/>
  <c r="O75" i="4" s="1"/>
  <c r="BH90" i="2"/>
  <c r="BC91" i="2"/>
  <c r="G78" i="4"/>
  <c r="H78" i="4" s="1"/>
  <c r="BG93" i="2"/>
  <c r="BB94" i="2"/>
  <c r="U80" i="4"/>
  <c r="V80" i="4" s="1"/>
  <c r="BF96" i="2"/>
  <c r="L3" i="1" s="1"/>
  <c r="BA97" i="2"/>
  <c r="N83" i="4"/>
  <c r="O83" i="4" s="1"/>
  <c r="BH98" i="2"/>
  <c r="BC99" i="2"/>
  <c r="G86" i="4"/>
  <c r="H86" i="4" s="1"/>
  <c r="BG101" i="2"/>
  <c r="BB102" i="2"/>
  <c r="U88" i="4"/>
  <c r="V88" i="4" s="1"/>
  <c r="BH106" i="2"/>
  <c r="G89" i="4"/>
  <c r="H89" i="4" s="1"/>
  <c r="BA108" i="2"/>
  <c r="BA104" i="2"/>
  <c r="BG105" i="2"/>
  <c r="BH107" i="2"/>
  <c r="BC108" i="2"/>
  <c r="N90" i="4"/>
  <c r="O90" i="4" s="1"/>
  <c r="AZ30" i="9"/>
  <c r="BG108" i="2"/>
  <c r="BC104" i="2"/>
  <c r="BB107" i="2"/>
  <c r="AA123" i="7"/>
  <c r="C93" i="4"/>
  <c r="AA126" i="7"/>
  <c r="AE82" i="4"/>
  <c r="AG82" i="4" s="1"/>
  <c r="AE116" i="7"/>
  <c r="AA121" i="7"/>
  <c r="AD83" i="4"/>
  <c r="AD116" i="7"/>
  <c r="J92" i="4"/>
  <c r="AA117" i="7"/>
  <c r="AA122" i="7"/>
  <c r="AF116" i="7"/>
  <c r="G107" i="9"/>
  <c r="F107" i="9"/>
  <c r="G115" i="9"/>
  <c r="F115" i="9"/>
  <c r="D10" i="12"/>
  <c r="D15" i="12"/>
  <c r="D20" i="12"/>
  <c r="D24" i="12"/>
  <c r="D28" i="12"/>
  <c r="D32" i="12"/>
  <c r="D36" i="12"/>
  <c r="D40" i="12"/>
  <c r="D44" i="12"/>
  <c r="D48" i="12"/>
  <c r="D52" i="12"/>
  <c r="D56" i="12"/>
  <c r="D60" i="12"/>
  <c r="D64" i="12"/>
  <c r="D68" i="12"/>
  <c r="D72" i="12"/>
  <c r="D76" i="12"/>
  <c r="D80" i="12"/>
  <c r="K88" i="5"/>
  <c r="AE16" i="9"/>
  <c r="AM62" i="9" s="1"/>
  <c r="AU47" i="9"/>
  <c r="AV47" i="9" s="1"/>
  <c r="G104" i="9"/>
  <c r="F104" i="9"/>
  <c r="N107" i="9"/>
  <c r="C8" i="12"/>
  <c r="C18" i="12"/>
  <c r="C21" i="12"/>
  <c r="C25" i="12"/>
  <c r="C29" i="12"/>
  <c r="C33" i="12"/>
  <c r="C37" i="12"/>
  <c r="C41" i="12"/>
  <c r="C49" i="12"/>
  <c r="C53" i="12"/>
  <c r="C57" i="12"/>
  <c r="C61" i="12"/>
  <c r="C65" i="12"/>
  <c r="C69" i="12"/>
  <c r="C73" i="12"/>
  <c r="C81" i="12"/>
  <c r="K93" i="5"/>
  <c r="G81" i="7"/>
  <c r="T36" i="9"/>
  <c r="AU37" i="9"/>
  <c r="AV37" i="9" s="1"/>
  <c r="M106" i="9"/>
  <c r="G113" i="9"/>
  <c r="F113" i="9"/>
  <c r="M114" i="9"/>
  <c r="D21" i="12"/>
  <c r="D25" i="12"/>
  <c r="D29" i="12"/>
  <c r="D33" i="12"/>
  <c r="D37" i="12"/>
  <c r="D41" i="12"/>
  <c r="D45" i="12"/>
  <c r="D49" i="12"/>
  <c r="D53" i="12"/>
  <c r="D57" i="12"/>
  <c r="D61" i="12"/>
  <c r="D65" i="12"/>
  <c r="D69" i="12"/>
  <c r="D73" i="12"/>
  <c r="D77" i="12"/>
  <c r="AE12" i="9"/>
  <c r="AM58" i="9" s="1"/>
  <c r="AU43" i="9"/>
  <c r="AV43" i="9" s="1"/>
  <c r="C22" i="12"/>
  <c r="C26" i="12"/>
  <c r="C30" i="12"/>
  <c r="C34" i="12"/>
  <c r="C38" i="12"/>
  <c r="C42" i="12"/>
  <c r="C46" i="12"/>
  <c r="C50" i="12"/>
  <c r="C54" i="12"/>
  <c r="C58" i="12"/>
  <c r="C62" i="12"/>
  <c r="C66" i="12"/>
  <c r="C70" i="12"/>
  <c r="C74" i="12"/>
  <c r="C78" i="12"/>
  <c r="C82" i="12"/>
  <c r="J81" i="7"/>
  <c r="G111" i="9"/>
  <c r="F111" i="9"/>
  <c r="R112" i="9"/>
  <c r="N112" i="9"/>
  <c r="B86" i="12"/>
  <c r="B84" i="12"/>
  <c r="B83" i="12"/>
  <c r="B85" i="12"/>
  <c r="AU39" i="9"/>
  <c r="AV39" i="9" s="1"/>
  <c r="AE13" i="9"/>
  <c r="AM59" i="9" s="1"/>
  <c r="R111" i="9"/>
  <c r="C7" i="12"/>
  <c r="C9" i="12"/>
  <c r="C12" i="12"/>
  <c r="C14" i="12"/>
  <c r="C17" i="12"/>
  <c r="C19" i="12"/>
  <c r="C23" i="12"/>
  <c r="C27" i="12"/>
  <c r="C31" i="12"/>
  <c r="C35" i="12"/>
  <c r="C39" i="12"/>
  <c r="C43" i="12"/>
  <c r="C47" i="12"/>
  <c r="C51" i="12"/>
  <c r="C55" i="12"/>
  <c r="C59" i="12"/>
  <c r="C63" i="12"/>
  <c r="C67" i="12"/>
  <c r="C71" i="12"/>
  <c r="C75" i="12"/>
  <c r="C79" i="12"/>
  <c r="AE11" i="9"/>
  <c r="AM57" i="9" s="1"/>
  <c r="AE22" i="9"/>
  <c r="AC24" i="9"/>
  <c r="AJ73" i="9" s="1"/>
  <c r="G109" i="9"/>
  <c r="F109" i="9"/>
  <c r="D7" i="12"/>
  <c r="D9" i="12"/>
  <c r="D12" i="12"/>
  <c r="D14" i="12"/>
  <c r="D17" i="12"/>
  <c r="D19" i="12"/>
  <c r="D23" i="12"/>
  <c r="D27" i="12"/>
  <c r="D31" i="12"/>
  <c r="D35" i="12"/>
  <c r="D39" i="12"/>
  <c r="D43" i="12"/>
  <c r="D47" i="12"/>
  <c r="D51" i="12"/>
  <c r="D55" i="12"/>
  <c r="D59" i="12"/>
  <c r="D63" i="12"/>
  <c r="D67" i="12"/>
  <c r="D71" i="12"/>
  <c r="D75" i="12"/>
  <c r="D79" i="12"/>
  <c r="F103" i="9"/>
  <c r="F100" i="9"/>
  <c r="F106" i="9"/>
  <c r="F108" i="9"/>
  <c r="F110" i="9"/>
  <c r="G13" i="12" l="1"/>
  <c r="R108" i="9"/>
  <c r="T75" i="9"/>
  <c r="AD75" i="9" s="1"/>
  <c r="AE75" i="9" s="1"/>
  <c r="AJ23" i="9" s="1"/>
  <c r="AD35" i="9"/>
  <c r="AE7" i="9"/>
  <c r="AM53" i="9" s="1"/>
  <c r="AU41" i="9"/>
  <c r="AV41" i="9" s="1"/>
  <c r="AE15" i="9"/>
  <c r="AM61" i="9" s="1"/>
  <c r="AU48" i="9"/>
  <c r="AV48" i="9" s="1"/>
  <c r="R109" i="9"/>
  <c r="AU40" i="9"/>
  <c r="AV40" i="9" s="1"/>
  <c r="T23" i="9"/>
  <c r="AD23" i="9" s="1"/>
  <c r="AE23" i="9" s="1"/>
  <c r="AE19" i="9"/>
  <c r="K10" i="1" s="1"/>
  <c r="N10" i="1"/>
  <c r="AM68" i="9"/>
  <c r="AU49" i="9"/>
  <c r="AV49" i="9" s="1"/>
  <c r="O11" i="1"/>
  <c r="AN69" i="9"/>
  <c r="AH6" i="9"/>
  <c r="AM52" i="9"/>
  <c r="AD33" i="9"/>
  <c r="AH53" i="9"/>
  <c r="AH7" i="9"/>
  <c r="L10" i="1"/>
  <c r="AM66" i="9"/>
  <c r="AD48" i="9"/>
  <c r="AH68" i="9"/>
  <c r="AD45" i="9"/>
  <c r="AH65" i="9"/>
  <c r="AD37" i="9"/>
  <c r="AH57" i="9"/>
  <c r="AD46" i="9"/>
  <c r="AH66" i="9"/>
  <c r="AU51" i="9"/>
  <c r="AV51" i="9" s="1"/>
  <c r="AD38" i="9"/>
  <c r="AH58" i="9"/>
  <c r="AD47" i="9"/>
  <c r="AH67" i="9"/>
  <c r="AD43" i="9"/>
  <c r="AH63" i="9"/>
  <c r="AD42" i="9"/>
  <c r="AH62" i="9"/>
  <c r="AD36" i="9"/>
  <c r="AH56" i="9"/>
  <c r="AD34" i="9"/>
  <c r="AH54" i="9"/>
  <c r="AD32" i="9"/>
  <c r="AH52" i="9"/>
  <c r="AH9" i="9"/>
  <c r="AM55" i="9"/>
  <c r="AD44" i="9"/>
  <c r="AH64" i="9"/>
  <c r="AD41" i="9"/>
  <c r="AH61" i="9"/>
  <c r="AE35" i="9"/>
  <c r="AI9" i="9" s="1"/>
  <c r="AJ55" i="9"/>
  <c r="AD39" i="9"/>
  <c r="AH59" i="9"/>
  <c r="AH8" i="9"/>
  <c r="AM54" i="9"/>
  <c r="BP38" i="2"/>
  <c r="BQ38" i="2"/>
  <c r="L50" i="4"/>
  <c r="E32" i="4"/>
  <c r="L72" i="4"/>
  <c r="S28" i="4"/>
  <c r="S34" i="4"/>
  <c r="L28" i="4"/>
  <c r="L49" i="4"/>
  <c r="L88" i="4"/>
  <c r="L83" i="4"/>
  <c r="S73" i="4"/>
  <c r="S41" i="4"/>
  <c r="L90" i="4"/>
  <c r="E36" i="4"/>
  <c r="L34" i="4"/>
  <c r="E72" i="4"/>
  <c r="S90" i="4"/>
  <c r="L31" i="4"/>
  <c r="E64" i="4"/>
  <c r="E53" i="4"/>
  <c r="Z69" i="2"/>
  <c r="Z68" i="2"/>
  <c r="U72" i="2"/>
  <c r="G77" i="12"/>
  <c r="AU45" i="9"/>
  <c r="AV45" i="9" s="1"/>
  <c r="L77" i="4"/>
  <c r="E77" i="4"/>
  <c r="L76" i="4"/>
  <c r="W76" i="2"/>
  <c r="Z72" i="2"/>
  <c r="AJ73" i="2"/>
  <c r="AI73" i="2"/>
  <c r="S33" i="4"/>
  <c r="S25" i="4"/>
  <c r="Z73" i="2"/>
  <c r="E28" i="4"/>
  <c r="U76" i="2"/>
  <c r="T49" i="9"/>
  <c r="S82" i="4"/>
  <c r="E85" i="4"/>
  <c r="L74" i="4"/>
  <c r="S63" i="4"/>
  <c r="S81" i="4"/>
  <c r="AI75" i="2"/>
  <c r="L26" i="4"/>
  <c r="AH75" i="2"/>
  <c r="Z76" i="2"/>
  <c r="BA11" i="2"/>
  <c r="AZ11" i="2"/>
  <c r="L20" i="4"/>
  <c r="U74" i="2"/>
  <c r="U75" i="2"/>
  <c r="AE21" i="9"/>
  <c r="Z75" i="2"/>
  <c r="S80" i="4"/>
  <c r="U68" i="2"/>
  <c r="U69" i="2"/>
  <c r="S49" i="4"/>
  <c r="S77" i="4"/>
  <c r="S75" i="2"/>
  <c r="S60" i="4"/>
  <c r="L36" i="4"/>
  <c r="U70" i="2"/>
  <c r="BC11" i="2"/>
  <c r="BO26" i="2"/>
  <c r="BG10" i="2"/>
  <c r="BG24" i="2" s="1"/>
  <c r="AV111" i="2" s="1"/>
  <c r="AW25" i="2"/>
  <c r="AL57" i="2"/>
  <c r="AL68" i="2" s="1"/>
  <c r="BO15" i="2"/>
  <c r="BF11" i="2"/>
  <c r="BO27" i="2"/>
  <c r="BH11" i="2"/>
  <c r="S53" i="4"/>
  <c r="E24" i="4"/>
  <c r="E25" i="4"/>
  <c r="S30" i="4"/>
  <c r="S26" i="4"/>
  <c r="S46" i="4"/>
  <c r="S18" i="4"/>
  <c r="L33" i="4"/>
  <c r="S21" i="4"/>
  <c r="E80" i="4"/>
  <c r="L39" i="4"/>
  <c r="L85" i="4"/>
  <c r="AE76" i="2"/>
  <c r="BP15" i="2"/>
  <c r="BP6" i="2"/>
  <c r="BN14" i="2"/>
  <c r="L80" i="4"/>
  <c r="L35" i="4"/>
  <c r="L23" i="4"/>
  <c r="R68" i="2"/>
  <c r="BP14" i="2"/>
  <c r="BN6" i="2"/>
  <c r="BP13" i="2"/>
  <c r="E22" i="4"/>
  <c r="BN15" i="2"/>
  <c r="S85" i="4"/>
  <c r="AC76" i="2"/>
  <c r="R70" i="2"/>
  <c r="S76" i="2"/>
  <c r="T71" i="2"/>
  <c r="E45" i="4"/>
  <c r="Y76" i="2"/>
  <c r="E47" i="4"/>
  <c r="BO6" i="2"/>
  <c r="BO14" i="2"/>
  <c r="B85" i="5"/>
  <c r="S39" i="4"/>
  <c r="BN13" i="2"/>
  <c r="BO13" i="2"/>
  <c r="S64" i="4"/>
  <c r="L19" i="4"/>
  <c r="S73" i="2"/>
  <c r="S40" i="4"/>
  <c r="L82" i="4"/>
  <c r="S71" i="4"/>
  <c r="S44" i="4"/>
  <c r="E78" i="4"/>
  <c r="S79" i="4"/>
  <c r="E55" i="4"/>
  <c r="L52" i="4"/>
  <c r="E34" i="4"/>
  <c r="E70" i="4"/>
  <c r="S57" i="4"/>
  <c r="E44" i="4"/>
  <c r="L65" i="4"/>
  <c r="E89" i="4"/>
  <c r="S69" i="4"/>
  <c r="L69" i="4"/>
  <c r="E49" i="4"/>
  <c r="L55" i="4"/>
  <c r="L53" i="4"/>
  <c r="E35" i="4"/>
  <c r="E29" i="4"/>
  <c r="E71" i="4"/>
  <c r="S48" i="4"/>
  <c r="E69" i="4"/>
  <c r="L51" i="4"/>
  <c r="AH16" i="9"/>
  <c r="H10" i="1"/>
  <c r="L64" i="4"/>
  <c r="AH14" i="9"/>
  <c r="F10" i="1"/>
  <c r="AH18" i="9"/>
  <c r="J10" i="1"/>
  <c r="AH10" i="9"/>
  <c r="B10" i="1"/>
  <c r="L67" i="4"/>
  <c r="AH15" i="9"/>
  <c r="G10" i="1"/>
  <c r="AH11" i="9"/>
  <c r="C10" i="1"/>
  <c r="S31" i="4"/>
  <c r="E31" i="4"/>
  <c r="AH17" i="9"/>
  <c r="I10" i="1"/>
  <c r="E58" i="4"/>
  <c r="AH13" i="9"/>
  <c r="E10" i="1"/>
  <c r="AH12" i="9"/>
  <c r="D10" i="1"/>
  <c r="E48" i="4"/>
  <c r="N113" i="9"/>
  <c r="N110" i="9"/>
  <c r="R115" i="9"/>
  <c r="L75" i="4"/>
  <c r="S87" i="4"/>
  <c r="E41" i="4"/>
  <c r="S88" i="4"/>
  <c r="E56" i="4"/>
  <c r="L57" i="4"/>
  <c r="S52" i="4"/>
  <c r="L21" i="4"/>
  <c r="E83" i="4"/>
  <c r="E59" i="4"/>
  <c r="S51" i="4"/>
  <c r="E20" i="4"/>
  <c r="E37" i="4"/>
  <c r="E62" i="4"/>
  <c r="E75" i="4"/>
  <c r="E26" i="4"/>
  <c r="M83" i="5"/>
  <c r="M90" i="5"/>
  <c r="B95" i="5"/>
  <c r="B94" i="5"/>
  <c r="M94" i="5"/>
  <c r="M84" i="5"/>
  <c r="M96" i="5"/>
  <c r="B86" i="5"/>
  <c r="M85" i="5"/>
  <c r="B96" i="5"/>
  <c r="B84" i="5"/>
  <c r="M93" i="5"/>
  <c r="M95" i="5"/>
  <c r="B91" i="5"/>
  <c r="B93" i="5"/>
  <c r="B88" i="5"/>
  <c r="B83" i="5"/>
  <c r="M91" i="5"/>
  <c r="J63" i="12"/>
  <c r="G63" i="12"/>
  <c r="J31" i="12"/>
  <c r="G31" i="12"/>
  <c r="G7" i="12"/>
  <c r="J7" i="12"/>
  <c r="G82" i="12"/>
  <c r="J82" i="12"/>
  <c r="J50" i="12"/>
  <c r="G50" i="12"/>
  <c r="J65" i="12"/>
  <c r="G65" i="12"/>
  <c r="J29" i="12"/>
  <c r="G29" i="12"/>
  <c r="X74" i="2"/>
  <c r="G56" i="12"/>
  <c r="J56" i="12"/>
  <c r="J24" i="12"/>
  <c r="G24" i="12"/>
  <c r="L24" i="4"/>
  <c r="J59" i="12"/>
  <c r="G59" i="12"/>
  <c r="J27" i="12"/>
  <c r="G27" i="12"/>
  <c r="F85" i="12"/>
  <c r="I85" i="12"/>
  <c r="G78" i="12"/>
  <c r="J78" i="12"/>
  <c r="J46" i="12"/>
  <c r="G46" i="12"/>
  <c r="J61" i="12"/>
  <c r="G61" i="12"/>
  <c r="J25" i="12"/>
  <c r="G25" i="12"/>
  <c r="G52" i="12"/>
  <c r="J52" i="12"/>
  <c r="G20" i="12"/>
  <c r="J20" i="12"/>
  <c r="J55" i="12"/>
  <c r="G55" i="12"/>
  <c r="J23" i="12"/>
  <c r="G23" i="12"/>
  <c r="I83" i="12"/>
  <c r="F83" i="12"/>
  <c r="J74" i="12"/>
  <c r="G74" i="12"/>
  <c r="J42" i="12"/>
  <c r="G42" i="12"/>
  <c r="J57" i="12"/>
  <c r="G57" i="12"/>
  <c r="J21" i="12"/>
  <c r="G21" i="12"/>
  <c r="J15" i="12"/>
  <c r="G15" i="12"/>
  <c r="J80" i="12"/>
  <c r="G80" i="12"/>
  <c r="J48" i="12"/>
  <c r="G48" i="12"/>
  <c r="J16" i="12"/>
  <c r="G16" i="12"/>
  <c r="AH20" i="9"/>
  <c r="J51" i="12"/>
  <c r="G51" i="12"/>
  <c r="J19" i="12"/>
  <c r="G19" i="12"/>
  <c r="I84" i="12"/>
  <c r="F84" i="12"/>
  <c r="J70" i="12"/>
  <c r="G70" i="12"/>
  <c r="J38" i="12"/>
  <c r="G38" i="12"/>
  <c r="J53" i="12"/>
  <c r="G53" i="12"/>
  <c r="J18" i="12"/>
  <c r="G18" i="12"/>
  <c r="L62" i="4"/>
  <c r="G11" i="12"/>
  <c r="J11" i="12"/>
  <c r="J10" i="12"/>
  <c r="G10" i="12"/>
  <c r="J76" i="12"/>
  <c r="G76" i="12"/>
  <c r="G44" i="12"/>
  <c r="J44" i="12"/>
  <c r="J79" i="12"/>
  <c r="G79" i="12"/>
  <c r="J47" i="12"/>
  <c r="G47" i="12"/>
  <c r="J17" i="12"/>
  <c r="G17" i="12"/>
  <c r="I86" i="12"/>
  <c r="F86" i="12"/>
  <c r="J66" i="12"/>
  <c r="G66" i="12"/>
  <c r="J34" i="12"/>
  <c r="G34" i="12"/>
  <c r="J49" i="12"/>
  <c r="G49" i="12"/>
  <c r="J8" i="12"/>
  <c r="G8" i="12"/>
  <c r="S72" i="4"/>
  <c r="E52" i="4"/>
  <c r="S55" i="4"/>
  <c r="G6" i="12"/>
  <c r="J6" i="12"/>
  <c r="G72" i="12"/>
  <c r="J72" i="12"/>
  <c r="J40" i="12"/>
  <c r="G40" i="12"/>
  <c r="J75" i="12"/>
  <c r="G75" i="12"/>
  <c r="J43" i="12"/>
  <c r="G43" i="12"/>
  <c r="G14" i="12"/>
  <c r="J14" i="12"/>
  <c r="G62" i="12"/>
  <c r="J62" i="12"/>
  <c r="J30" i="12"/>
  <c r="G30" i="12"/>
  <c r="J81" i="12"/>
  <c r="G81" i="12"/>
  <c r="J41" i="12"/>
  <c r="G41" i="12"/>
  <c r="E86" i="4"/>
  <c r="AL64" i="2"/>
  <c r="AL75" i="2" s="1"/>
  <c r="G68" i="12"/>
  <c r="J68" i="12"/>
  <c r="G36" i="12"/>
  <c r="J36" i="12"/>
  <c r="AH22" i="9"/>
  <c r="J71" i="12"/>
  <c r="G71" i="12"/>
  <c r="J39" i="12"/>
  <c r="G39" i="12"/>
  <c r="J12" i="12"/>
  <c r="G12" i="12"/>
  <c r="J58" i="12"/>
  <c r="G58" i="12"/>
  <c r="G26" i="12"/>
  <c r="J26" i="12"/>
  <c r="J73" i="12"/>
  <c r="G73" i="12"/>
  <c r="J37" i="12"/>
  <c r="G37" i="12"/>
  <c r="E57" i="4"/>
  <c r="S89" i="4"/>
  <c r="Q68" i="2"/>
  <c r="L29" i="4"/>
  <c r="J64" i="12"/>
  <c r="G64" i="12"/>
  <c r="J32" i="12"/>
  <c r="G32" i="12"/>
  <c r="J67" i="12"/>
  <c r="G67" i="12"/>
  <c r="J35" i="12"/>
  <c r="G35" i="12"/>
  <c r="G9" i="12"/>
  <c r="J9" i="12"/>
  <c r="J54" i="12"/>
  <c r="G54" i="12"/>
  <c r="J22" i="12"/>
  <c r="G22" i="12"/>
  <c r="J69" i="12"/>
  <c r="G69" i="12"/>
  <c r="J33" i="12"/>
  <c r="G33" i="12"/>
  <c r="AG116" i="7"/>
  <c r="W68" i="2"/>
  <c r="AD76" i="2"/>
  <c r="AI76" i="2"/>
  <c r="S62" i="4"/>
  <c r="J60" i="12"/>
  <c r="G60" i="12"/>
  <c r="J28" i="12"/>
  <c r="G28" i="12"/>
  <c r="S70" i="4"/>
  <c r="E73" i="4"/>
  <c r="O74" i="2"/>
  <c r="E39" i="4"/>
  <c r="AD72" i="2"/>
  <c r="AF70" i="2"/>
  <c r="L30" i="4"/>
  <c r="AL58" i="2"/>
  <c r="AE70" i="2"/>
  <c r="E30" i="4"/>
  <c r="AF76" i="2"/>
  <c r="S69" i="2"/>
  <c r="AF75" i="2"/>
  <c r="W75" i="2"/>
  <c r="AE71" i="2"/>
  <c r="T74" i="2"/>
  <c r="AC75" i="2"/>
  <c r="Q69" i="2"/>
  <c r="Q74" i="2"/>
  <c r="AI68" i="2"/>
  <c r="AG75" i="2"/>
  <c r="E61" i="4"/>
  <c r="L79" i="4"/>
  <c r="S68" i="4"/>
  <c r="E84" i="4"/>
  <c r="P74" i="2"/>
  <c r="S43" i="4"/>
  <c r="AL61" i="2"/>
  <c r="AL72" i="2" s="1"/>
  <c r="E81" i="4"/>
  <c r="L89" i="4"/>
  <c r="X70" i="2"/>
  <c r="L47" i="4"/>
  <c r="W70" i="2"/>
  <c r="S54" i="4"/>
  <c r="X76" i="2"/>
  <c r="S29" i="4"/>
  <c r="X75" i="2"/>
  <c r="O75" i="2"/>
  <c r="W71" i="2"/>
  <c r="AJ70" i="2"/>
  <c r="AC71" i="2"/>
  <c r="AE73" i="2"/>
  <c r="S68" i="2"/>
  <c r="Y75" i="2"/>
  <c r="AE83" i="4"/>
  <c r="AE92" i="4"/>
  <c r="AE93" i="4" s="1"/>
  <c r="AE94" i="4" s="1"/>
  <c r="AG83" i="4"/>
  <c r="AG84" i="4" s="1"/>
  <c r="AG85" i="4" s="1"/>
  <c r="L87" i="4"/>
  <c r="L84" i="4"/>
  <c r="E76" i="4"/>
  <c r="L56" i="4"/>
  <c r="L70" i="4"/>
  <c r="L38" i="4"/>
  <c r="E23" i="4"/>
  <c r="AB71" i="2"/>
  <c r="P70" i="2"/>
  <c r="S37" i="4"/>
  <c r="S61" i="4"/>
  <c r="O70" i="2"/>
  <c r="L27" i="4"/>
  <c r="P76" i="2"/>
  <c r="P75" i="2"/>
  <c r="X73" i="2"/>
  <c r="O71" i="2"/>
  <c r="AB70" i="2"/>
  <c r="AI74" i="2"/>
  <c r="X69" i="2"/>
  <c r="W73" i="2"/>
  <c r="AE69" i="2"/>
  <c r="AJ72" i="2"/>
  <c r="Q75" i="2"/>
  <c r="R114" i="9"/>
  <c r="N114" i="9"/>
  <c r="S76" i="4"/>
  <c r="E66" i="4"/>
  <c r="E68" i="4"/>
  <c r="C95" i="5"/>
  <c r="N94" i="5"/>
  <c r="C86" i="5"/>
  <c r="N85" i="5"/>
  <c r="C90" i="5"/>
  <c r="N89" i="5"/>
  <c r="C94" i="5"/>
  <c r="N93" i="5"/>
  <c r="C85" i="5"/>
  <c r="C83" i="5"/>
  <c r="C89" i="5"/>
  <c r="N88" i="5"/>
  <c r="N96" i="5"/>
  <c r="C93" i="5"/>
  <c r="N91" i="5"/>
  <c r="N84" i="5"/>
  <c r="C96" i="5"/>
  <c r="N95" i="5"/>
  <c r="C88" i="5"/>
  <c r="N86" i="5"/>
  <c r="C91" i="5"/>
  <c r="N90" i="5"/>
  <c r="C84" i="5"/>
  <c r="N83" i="5"/>
  <c r="AL63" i="2"/>
  <c r="AL74" i="2" s="1"/>
  <c r="L78" i="4"/>
  <c r="S27" i="4"/>
  <c r="AH71" i="2"/>
  <c r="AJ69" i="2"/>
  <c r="L37" i="4"/>
  <c r="AJ68" i="2"/>
  <c r="AD70" i="2"/>
  <c r="AF68" i="2"/>
  <c r="S35" i="4"/>
  <c r="AF71" i="2"/>
  <c r="AC74" i="2"/>
  <c r="T70" i="2"/>
  <c r="AA74" i="2"/>
  <c r="AI70" i="2"/>
  <c r="AF73" i="2"/>
  <c r="O73" i="2"/>
  <c r="W69" i="2"/>
  <c r="AB72" i="2"/>
  <c r="AC73" i="2"/>
  <c r="AI72" i="2"/>
  <c r="AU54" i="9"/>
  <c r="AV54" i="9" s="1"/>
  <c r="L63" i="4"/>
  <c r="L68" i="4"/>
  <c r="L81" i="4"/>
  <c r="L60" i="4"/>
  <c r="E65" i="4"/>
  <c r="L43" i="4"/>
  <c r="AD74" i="2"/>
  <c r="AF72" i="2"/>
  <c r="E43" i="4"/>
  <c r="L25" i="4"/>
  <c r="AI71" i="2"/>
  <c r="AH68" i="2"/>
  <c r="AD75" i="2"/>
  <c r="Z71" i="2"/>
  <c r="S36" i="4"/>
  <c r="T68" i="2"/>
  <c r="AH74" i="2"/>
  <c r="X68" i="2"/>
  <c r="E27" i="4"/>
  <c r="X71" i="2"/>
  <c r="AC70" i="2"/>
  <c r="S74" i="2"/>
  <c r="AA70" i="2"/>
  <c r="AF69" i="2"/>
  <c r="O69" i="2"/>
  <c r="T72" i="2"/>
  <c r="AC69" i="2"/>
  <c r="AA72" i="2"/>
  <c r="J93" i="4"/>
  <c r="S84" i="4"/>
  <c r="E74" i="4"/>
  <c r="L73" i="4"/>
  <c r="O68" i="2"/>
  <c r="E90" i="4"/>
  <c r="E60" i="4"/>
  <c r="B90" i="5"/>
  <c r="M89" i="5"/>
  <c r="B89" i="5"/>
  <c r="M88" i="5"/>
  <c r="S67" i="4"/>
  <c r="X72" i="2"/>
  <c r="S75" i="4"/>
  <c r="AA76" i="2"/>
  <c r="AE72" i="2"/>
  <c r="AA71" i="2"/>
  <c r="E33" i="4"/>
  <c r="L86" i="4"/>
  <c r="R71" i="2"/>
  <c r="T69" i="2"/>
  <c r="S58" i="4"/>
  <c r="Z74" i="2"/>
  <c r="P68" i="2"/>
  <c r="P71" i="2"/>
  <c r="AG72" i="2"/>
  <c r="AG73" i="2"/>
  <c r="S70" i="2"/>
  <c r="P69" i="2"/>
  <c r="AC72" i="2"/>
  <c r="AC68" i="2"/>
  <c r="AJ76" i="2"/>
  <c r="AA68" i="2"/>
  <c r="S72" i="2"/>
  <c r="R106" i="9"/>
  <c r="N106" i="9"/>
  <c r="L61" i="4"/>
  <c r="L66" i="4"/>
  <c r="S86" i="4"/>
  <c r="AE74" i="2"/>
  <c r="P72" i="2"/>
  <c r="E19" i="4"/>
  <c r="W72" i="2"/>
  <c r="AD69" i="2"/>
  <c r="E67" i="4"/>
  <c r="S47" i="4"/>
  <c r="S71" i="2"/>
  <c r="S42" i="4"/>
  <c r="S32" i="4"/>
  <c r="R74" i="2"/>
  <c r="L32" i="4"/>
  <c r="Y72" i="2"/>
  <c r="AG68" i="2"/>
  <c r="AJ74" i="2"/>
  <c r="P73" i="2"/>
  <c r="Y73" i="2"/>
  <c r="AG69" i="2"/>
  <c r="AG74" i="2"/>
  <c r="AB68" i="2"/>
  <c r="AG71" i="2"/>
  <c r="Q93" i="4"/>
  <c r="L59" i="4"/>
  <c r="E82" i="4"/>
  <c r="L71" i="4"/>
  <c r="E87" i="4"/>
  <c r="E63" i="4"/>
  <c r="S78" i="4"/>
  <c r="L58" i="4"/>
  <c r="E54" i="4"/>
  <c r="AF74" i="2"/>
  <c r="BE10" i="2"/>
  <c r="BD10" i="2"/>
  <c r="BD24" i="2" s="1"/>
  <c r="AS112" i="2" s="1"/>
  <c r="BC10" i="2"/>
  <c r="BC24" i="2" s="1"/>
  <c r="AS111" i="2" s="1"/>
  <c r="BA10" i="2"/>
  <c r="BB10" i="2"/>
  <c r="BB24" i="2" s="1"/>
  <c r="AS110" i="2" s="1"/>
  <c r="BH10" i="2"/>
  <c r="BH24" i="2" s="1"/>
  <c r="AV112" i="2" s="1"/>
  <c r="AZ10" i="2"/>
  <c r="AZ24" i="2" s="1"/>
  <c r="AP112" i="2" s="1"/>
  <c r="BF10" i="2"/>
  <c r="BF24" i="2" s="1"/>
  <c r="AV110" i="2" s="1"/>
  <c r="AX10" i="2"/>
  <c r="AX24" i="2" s="1"/>
  <c r="AP110" i="2" s="1"/>
  <c r="AY10" i="2"/>
  <c r="AY24" i="2" s="1"/>
  <c r="AP111" i="2" s="1"/>
  <c r="AW10" i="2"/>
  <c r="W74" i="2"/>
  <c r="AD71" i="2"/>
  <c r="S59" i="4"/>
  <c r="O72" i="2"/>
  <c r="E38" i="4"/>
  <c r="AH76" i="2"/>
  <c r="S22" i="4"/>
  <c r="S83" i="4"/>
  <c r="S50" i="4"/>
  <c r="AL59" i="2"/>
  <c r="AL70" i="2" s="1"/>
  <c r="S56" i="4"/>
  <c r="AA69" i="2"/>
  <c r="AE75" i="2"/>
  <c r="Q72" i="2"/>
  <c r="Y68" i="2"/>
  <c r="AB74" i="2"/>
  <c r="Q73" i="2"/>
  <c r="Y69" i="2"/>
  <c r="Y74" i="2"/>
  <c r="AG70" i="2"/>
  <c r="Q71" i="2"/>
  <c r="T76" i="2"/>
  <c r="Y71" i="2"/>
  <c r="AH19" i="9" l="1"/>
  <c r="AM65" i="9"/>
  <c r="M10" i="1"/>
  <c r="AM67" i="9"/>
  <c r="AJ65" i="9"/>
  <c r="AE45" i="9"/>
  <c r="AI19" i="9" s="1"/>
  <c r="AE33" i="9"/>
  <c r="AI7" i="9" s="1"/>
  <c r="AJ53" i="9"/>
  <c r="O10" i="1"/>
  <c r="AM69" i="9"/>
  <c r="AE39" i="9"/>
  <c r="AI13" i="9" s="1"/>
  <c r="AJ59" i="9"/>
  <c r="AJ64" i="9"/>
  <c r="AE44" i="9"/>
  <c r="AI18" i="9" s="1"/>
  <c r="AE36" i="9"/>
  <c r="AI10" i="9" s="1"/>
  <c r="AJ56" i="9"/>
  <c r="AE38" i="9"/>
  <c r="AI12" i="9" s="1"/>
  <c r="AJ58" i="9"/>
  <c r="AJ68" i="9"/>
  <c r="AE48" i="9"/>
  <c r="AI22" i="9" s="1"/>
  <c r="AJ62" i="9"/>
  <c r="AE42" i="9"/>
  <c r="AI16" i="9" s="1"/>
  <c r="AJ66" i="9"/>
  <c r="AE46" i="9"/>
  <c r="AI20" i="9" s="1"/>
  <c r="AE32" i="9"/>
  <c r="AI6" i="9" s="1"/>
  <c r="AJ52" i="9"/>
  <c r="AJ63" i="9"/>
  <c r="AE43" i="9"/>
  <c r="AI17" i="9" s="1"/>
  <c r="AJ57" i="9"/>
  <c r="AE37" i="9"/>
  <c r="AI11" i="9" s="1"/>
  <c r="AH21" i="9"/>
  <c r="AD49" i="9"/>
  <c r="AH69" i="9"/>
  <c r="AJ61" i="9"/>
  <c r="AE41" i="9"/>
  <c r="AI15" i="9" s="1"/>
  <c r="AE34" i="9"/>
  <c r="AI8" i="9" s="1"/>
  <c r="AJ54" i="9"/>
  <c r="AE47" i="9"/>
  <c r="AI21" i="9" s="1"/>
  <c r="AJ67" i="9"/>
  <c r="AW24" i="2"/>
  <c r="BN9" i="2"/>
  <c r="BA24" i="2"/>
  <c r="BO9" i="2"/>
  <c r="BE24" i="2"/>
  <c r="BP9" i="2"/>
  <c r="S91" i="5"/>
  <c r="N118" i="9"/>
  <c r="S86" i="5"/>
  <c r="S85" i="5"/>
  <c r="T93" i="5"/>
  <c r="S96" i="5"/>
  <c r="T88" i="5"/>
  <c r="S84" i="5"/>
  <c r="S93" i="5"/>
  <c r="T83" i="5"/>
  <c r="D83" i="12" s="1"/>
  <c r="T95" i="5"/>
  <c r="AH23" i="9"/>
  <c r="T94" i="5"/>
  <c r="T85" i="5"/>
  <c r="T96" i="5"/>
  <c r="T86" i="5"/>
  <c r="R118" i="9"/>
  <c r="AT111" i="2"/>
  <c r="AU111" i="2" s="1"/>
  <c r="BB111" i="2" s="1"/>
  <c r="AQ110" i="2"/>
  <c r="AR110" i="2" s="1"/>
  <c r="AW111" i="2"/>
  <c r="AX111" i="2" s="1"/>
  <c r="BC111" i="2" s="1"/>
  <c r="AW110" i="2"/>
  <c r="AX110" i="2" s="1"/>
  <c r="BC110" i="2" s="1"/>
  <c r="AT112" i="2"/>
  <c r="AU112" i="2" s="1"/>
  <c r="BB112" i="2" s="1"/>
  <c r="AQ111" i="2"/>
  <c r="AR111" i="2" s="1"/>
  <c r="AQ112" i="2"/>
  <c r="AR112" i="2" s="1"/>
  <c r="AW112" i="2"/>
  <c r="AX112" i="2" s="1"/>
  <c r="BC112" i="2" s="1"/>
  <c r="T84" i="5"/>
  <c r="T89" i="5"/>
  <c r="S89" i="5"/>
  <c r="S83" i="5"/>
  <c r="S95" i="5"/>
  <c r="S94" i="5"/>
  <c r="T90" i="5"/>
  <c r="S90" i="5"/>
  <c r="S88" i="5"/>
  <c r="T91" i="5"/>
  <c r="AL69" i="2"/>
  <c r="AT110" i="2"/>
  <c r="AU110" i="2" s="1"/>
  <c r="BB110" i="2" s="1"/>
  <c r="AL60" i="2"/>
  <c r="AL71" i="2" s="1"/>
  <c r="AE49" i="9" l="1"/>
  <c r="AI23" i="9" s="1"/>
  <c r="AJ69" i="9"/>
  <c r="AW26" i="2"/>
  <c r="AV25" i="2" s="1"/>
  <c r="BN16" i="2"/>
  <c r="AV109" i="2"/>
  <c r="D76" i="9" s="1"/>
  <c r="BP16" i="2"/>
  <c r="AS109" i="2"/>
  <c r="AT109" i="2" s="1"/>
  <c r="AU109" i="2" s="1"/>
  <c r="BB109" i="2" s="1"/>
  <c r="W85" i="3" s="1"/>
  <c r="BO16" i="2"/>
  <c r="AP109" i="2"/>
  <c r="D24" i="9" s="1"/>
  <c r="V88" i="5"/>
  <c r="J83" i="12"/>
  <c r="J86" i="12"/>
  <c r="K86" i="12" s="1"/>
  <c r="G86" i="12"/>
  <c r="H86" i="12" s="1"/>
  <c r="G85" i="12"/>
  <c r="H85" i="12" s="1"/>
  <c r="U90" i="5" s="1"/>
  <c r="G84" i="12"/>
  <c r="H84" i="12" s="1"/>
  <c r="U89" i="5" s="1"/>
  <c r="V89" i="5" s="1"/>
  <c r="Z87" i="5" s="1"/>
  <c r="G83" i="12"/>
  <c r="J84" i="12"/>
  <c r="K84" i="12" s="1"/>
  <c r="U94" i="5" s="1"/>
  <c r="J85" i="12"/>
  <c r="K85" i="12" s="1"/>
  <c r="U95" i="5" s="1"/>
  <c r="BA112" i="2"/>
  <c r="I87" i="3" s="1"/>
  <c r="BA111" i="2"/>
  <c r="I86" i="3" s="1"/>
  <c r="BG112" i="2"/>
  <c r="Q3" i="1" s="1"/>
  <c r="N91" i="4"/>
  <c r="BG110" i="2"/>
  <c r="S76" i="10" s="1"/>
  <c r="N93" i="4"/>
  <c r="BG111" i="2"/>
  <c r="S77" i="10" s="1"/>
  <c r="BA110" i="2"/>
  <c r="D85" i="12"/>
  <c r="E85" i="12" s="1"/>
  <c r="U85" i="5" s="1"/>
  <c r="D84" i="12"/>
  <c r="E84" i="12" s="1"/>
  <c r="U84" i="5" s="1"/>
  <c r="AL65" i="2"/>
  <c r="AL76" i="2" s="1"/>
  <c r="D86" i="12"/>
  <c r="E86" i="12" s="1"/>
  <c r="C86" i="12"/>
  <c r="C84" i="12"/>
  <c r="C83" i="12"/>
  <c r="C85" i="12"/>
  <c r="N94" i="4" l="1"/>
  <c r="I85" i="3"/>
  <c r="N92" i="4"/>
  <c r="BG109" i="2"/>
  <c r="S75" i="10" s="1"/>
  <c r="V94" i="5"/>
  <c r="AA87" i="5" s="1"/>
  <c r="AW109" i="2"/>
  <c r="AX109" i="2" s="1"/>
  <c r="V95" i="5" s="1"/>
  <c r="AA88" i="5" s="1"/>
  <c r="D50" i="9"/>
  <c r="AQ109" i="2"/>
  <c r="AR109" i="2" s="1"/>
  <c r="V83" i="5" s="1"/>
  <c r="B28" i="3"/>
  <c r="C28" i="3" s="1"/>
  <c r="E28" i="3" s="1"/>
  <c r="D28" i="3" s="1"/>
  <c r="O28" i="3" s="1"/>
  <c r="C116" i="9"/>
  <c r="V90" i="5"/>
  <c r="Z88" i="5" s="1"/>
  <c r="Q15" i="1"/>
  <c r="U91" i="5"/>
  <c r="V91" i="5" s="1"/>
  <c r="R15" i="1"/>
  <c r="U96" i="5"/>
  <c r="P15" i="1"/>
  <c r="U86" i="5"/>
  <c r="S78" i="10"/>
  <c r="Q6" i="1" l="1"/>
  <c r="Z89" i="5"/>
  <c r="AY111" i="2"/>
  <c r="D116" i="9"/>
  <c r="G94" i="4"/>
  <c r="BA109" i="2"/>
  <c r="V85" i="3" s="1"/>
  <c r="V86" i="5"/>
  <c r="BF110" i="2"/>
  <c r="B80" i="6" s="1"/>
  <c r="C80" i="6" s="1"/>
  <c r="V84" i="5"/>
  <c r="Y87" i="5" s="1"/>
  <c r="AY109" i="2"/>
  <c r="BF112" i="2"/>
  <c r="P3" i="1" s="1"/>
  <c r="BF111" i="2"/>
  <c r="G77" i="10" s="1"/>
  <c r="V85" i="5"/>
  <c r="Y88" i="5" s="1"/>
  <c r="BF109" i="2"/>
  <c r="B79" i="6" s="1"/>
  <c r="C79" i="6" s="1"/>
  <c r="AY112" i="2"/>
  <c r="G92" i="4"/>
  <c r="AY110" i="2"/>
  <c r="G91" i="4"/>
  <c r="V96" i="5"/>
  <c r="V93" i="5"/>
  <c r="BH112" i="2"/>
  <c r="U92" i="4"/>
  <c r="U91" i="4"/>
  <c r="U94" i="4"/>
  <c r="BH111" i="2"/>
  <c r="AE77" i="10" s="1"/>
  <c r="BC109" i="2"/>
  <c r="X85" i="3" s="1"/>
  <c r="U93" i="4"/>
  <c r="BH109" i="2"/>
  <c r="AE75" i="10" s="1"/>
  <c r="G93" i="4"/>
  <c r="BH110" i="2"/>
  <c r="AE76" i="10" s="1"/>
  <c r="AQ117" i="2"/>
  <c r="AQ118" i="2" s="1"/>
  <c r="S28" i="3"/>
  <c r="I84" i="3"/>
  <c r="G75" i="10"/>
  <c r="G78" i="10"/>
  <c r="B82" i="6"/>
  <c r="C82" i="6" s="1"/>
  <c r="AQ120" i="2"/>
  <c r="AQ121" i="2"/>
  <c r="G76" i="10"/>
  <c r="P6" i="1" l="1"/>
  <c r="Y89" i="5"/>
  <c r="R6" i="1"/>
  <c r="AA89" i="5"/>
  <c r="B81" i="6"/>
  <c r="C81" i="6" s="1"/>
  <c r="W89" i="3"/>
  <c r="W86" i="3" s="1"/>
  <c r="W87" i="3" s="1"/>
  <c r="X89" i="3"/>
  <c r="X86" i="3" s="1"/>
  <c r="X87" i="3" s="1"/>
  <c r="V89" i="3"/>
  <c r="V86" i="3" s="1"/>
  <c r="V87" i="3" s="1"/>
  <c r="AQ119" i="2"/>
  <c r="R3" i="1"/>
  <c r="AE78" i="10"/>
  <c r="E79" i="7"/>
  <c r="M79" i="7" s="1"/>
  <c r="D79" i="6"/>
  <c r="D91" i="4"/>
  <c r="K84" i="3"/>
  <c r="K85" i="3" s="1"/>
  <c r="K86" i="3" s="1"/>
  <c r="K87" i="3" s="1"/>
  <c r="Q28" i="3" s="1"/>
  <c r="J84" i="3"/>
  <c r="J85" i="3" s="1"/>
  <c r="J86" i="3" s="1"/>
  <c r="J87" i="3" s="1"/>
  <c r="P28" i="3" s="1"/>
  <c r="L84" i="3"/>
  <c r="L85" i="3" s="1"/>
  <c r="L86" i="3" s="1"/>
  <c r="L87" i="3" s="1"/>
  <c r="R28" i="3" s="1"/>
  <c r="D92" i="4" l="1"/>
  <c r="D80" i="6"/>
  <c r="E80" i="7"/>
  <c r="M80" i="7" s="1"/>
  <c r="BC4" i="3"/>
  <c r="BC27" i="3" s="1"/>
  <c r="BC29" i="3" s="1"/>
  <c r="BC30" i="3" s="1"/>
  <c r="G72" i="8"/>
  <c r="F91" i="4"/>
  <c r="H91" i="4" s="1"/>
  <c r="E91" i="4" s="1"/>
  <c r="B91" i="4" s="1"/>
  <c r="BC33" i="3"/>
  <c r="H79" i="7"/>
  <c r="K91" i="4"/>
  <c r="N71" i="8"/>
  <c r="R91" i="4"/>
  <c r="K79" i="7"/>
  <c r="U71" i="8"/>
  <c r="BC34" i="3" l="1"/>
  <c r="F71" i="8"/>
  <c r="E71" i="8" s="1"/>
  <c r="Z74" i="8" s="1"/>
  <c r="D81" i="6"/>
  <c r="D93" i="4"/>
  <c r="E81" i="7"/>
  <c r="M81" i="7" s="1"/>
  <c r="P4" i="1"/>
  <c r="BD4" i="3"/>
  <c r="BD27" i="3" s="1"/>
  <c r="BD29" i="3" s="1"/>
  <c r="BD30" i="3" s="1"/>
  <c r="G73" i="8"/>
  <c r="T91" i="4"/>
  <c r="V91" i="4" s="1"/>
  <c r="S91" i="4" s="1"/>
  <c r="P91" i="4" s="1"/>
  <c r="K80" i="7"/>
  <c r="R92" i="4"/>
  <c r="BK4" i="3"/>
  <c r="BK27" i="3" s="1"/>
  <c r="BK29" i="3" s="1"/>
  <c r="BK30" i="3" s="1"/>
  <c r="U72" i="8"/>
  <c r="F92" i="4"/>
  <c r="H92" i="4" s="1"/>
  <c r="E92" i="4" s="1"/>
  <c r="B92" i="4" s="1"/>
  <c r="BC26" i="3"/>
  <c r="BC24" i="3"/>
  <c r="BC18" i="3"/>
  <c r="BC16" i="3"/>
  <c r="BC14" i="3"/>
  <c r="BC12" i="3"/>
  <c r="BC10" i="3"/>
  <c r="BC8" i="3"/>
  <c r="BC25" i="3"/>
  <c r="BC23" i="3"/>
  <c r="BC19" i="3"/>
  <c r="BC17" i="3"/>
  <c r="BC15" i="3"/>
  <c r="BC13" i="3"/>
  <c r="BC11" i="3"/>
  <c r="BC9" i="3"/>
  <c r="BC7" i="3"/>
  <c r="BC6" i="3"/>
  <c r="K92" i="4"/>
  <c r="H80" i="7"/>
  <c r="BG4" i="3"/>
  <c r="BG27" i="3" s="1"/>
  <c r="BG29" i="3" s="1"/>
  <c r="BG30" i="3" s="1"/>
  <c r="N72" i="8"/>
  <c r="M91" i="4"/>
  <c r="O91" i="4" s="1"/>
  <c r="L91" i="4" s="1"/>
  <c r="I91" i="4" s="1"/>
  <c r="M71" i="8" l="1"/>
  <c r="L71" i="8" s="1"/>
  <c r="AA74" i="8" s="1"/>
  <c r="F72" i="8"/>
  <c r="E72" i="8" s="1"/>
  <c r="Z75" i="8" s="1"/>
  <c r="T71" i="8"/>
  <c r="S71" i="8" s="1"/>
  <c r="AB74" i="8" s="1"/>
  <c r="K81" i="7"/>
  <c r="R93" i="4"/>
  <c r="BL4" i="3"/>
  <c r="BL27" i="3" s="1"/>
  <c r="BL29" i="3" s="1"/>
  <c r="BL30" i="3" s="1"/>
  <c r="R4" i="1"/>
  <c r="U73" i="8"/>
  <c r="H81" i="7"/>
  <c r="K93" i="4"/>
  <c r="Q4" i="1"/>
  <c r="BH4" i="3"/>
  <c r="BH27" i="3" s="1"/>
  <c r="BH29" i="3" s="1"/>
  <c r="BH30" i="3" s="1"/>
  <c r="N73" i="8"/>
  <c r="M92" i="4"/>
  <c r="O92" i="4" s="1"/>
  <c r="L92" i="4" s="1"/>
  <c r="I92" i="4" s="1"/>
  <c r="BG25" i="3"/>
  <c r="BG23" i="3"/>
  <c r="BG19" i="3"/>
  <c r="BG17" i="3"/>
  <c r="BG15" i="3"/>
  <c r="BG13" i="3"/>
  <c r="BG11" i="3"/>
  <c r="BG9" i="3"/>
  <c r="BG7" i="3"/>
  <c r="BG6" i="3"/>
  <c r="BG26" i="3"/>
  <c r="BG24" i="3"/>
  <c r="BG18" i="3"/>
  <c r="BG16" i="3"/>
  <c r="BG14" i="3"/>
  <c r="BG12" i="3"/>
  <c r="BG10" i="3"/>
  <c r="BG8" i="3"/>
  <c r="T92" i="4"/>
  <c r="V92" i="4" s="1"/>
  <c r="S92" i="4" s="1"/>
  <c r="P92" i="4" s="1"/>
  <c r="BK26" i="3"/>
  <c r="BK24" i="3"/>
  <c r="BK18" i="3"/>
  <c r="BK16" i="3"/>
  <c r="BK14" i="3"/>
  <c r="BK12" i="3"/>
  <c r="BK10" i="3"/>
  <c r="BK8" i="3"/>
  <c r="BK25" i="3"/>
  <c r="BK23" i="3"/>
  <c r="BK19" i="3"/>
  <c r="BK17" i="3"/>
  <c r="BK15" i="3"/>
  <c r="BK13" i="3"/>
  <c r="BK11" i="3"/>
  <c r="BK9" i="3"/>
  <c r="BK7" i="3"/>
  <c r="BK6" i="3"/>
  <c r="F93" i="4"/>
  <c r="H93" i="4" s="1"/>
  <c r="E93" i="4" s="1"/>
  <c r="B93" i="4" s="1"/>
  <c r="Y93" i="4" s="1"/>
  <c r="BD25" i="3"/>
  <c r="BD23" i="3"/>
  <c r="BD19" i="3"/>
  <c r="BD17" i="3"/>
  <c r="BD15" i="3"/>
  <c r="BD13" i="3"/>
  <c r="BD11" i="3"/>
  <c r="BD9" i="3"/>
  <c r="BD7" i="3"/>
  <c r="BD6" i="3"/>
  <c r="BD14" i="3"/>
  <c r="BD16" i="3"/>
  <c r="BD8" i="3"/>
  <c r="BD24" i="3"/>
  <c r="BD18" i="3"/>
  <c r="BD10" i="3"/>
  <c r="BD26" i="3"/>
  <c r="BD12" i="3"/>
  <c r="D94" i="4"/>
  <c r="E82" i="7"/>
  <c r="M82" i="7" s="1"/>
  <c r="D82" i="6"/>
  <c r="BE4" i="3"/>
  <c r="BE27" i="3" s="1"/>
  <c r="BE29" i="3" s="1"/>
  <c r="BE30" i="3" s="1"/>
  <c r="G74" i="8"/>
  <c r="M72" i="8" l="1"/>
  <c r="L72" i="8" s="1"/>
  <c r="AA75" i="8" s="1"/>
  <c r="K82" i="7"/>
  <c r="R94" i="4"/>
  <c r="BM4" i="3"/>
  <c r="BM27" i="3" s="1"/>
  <c r="BM29" i="3" s="1"/>
  <c r="BM30" i="3" s="1"/>
  <c r="U74" i="8"/>
  <c r="T93" i="4"/>
  <c r="V93" i="4" s="1"/>
  <c r="S93" i="4" s="1"/>
  <c r="P93" i="4" s="1"/>
  <c r="AA93" i="4" s="1"/>
  <c r="BL25" i="3"/>
  <c r="BL23" i="3"/>
  <c r="BL19" i="3"/>
  <c r="BL17" i="3"/>
  <c r="BL15" i="3"/>
  <c r="BL13" i="3"/>
  <c r="BL11" i="3"/>
  <c r="BL9" i="3"/>
  <c r="BL7" i="3"/>
  <c r="BL6" i="3"/>
  <c r="BL24" i="3"/>
  <c r="BL18" i="3"/>
  <c r="BL10" i="3"/>
  <c r="BL26" i="3"/>
  <c r="BL12" i="3"/>
  <c r="BL14" i="3"/>
  <c r="BL8" i="3"/>
  <c r="BL16" i="3"/>
  <c r="K116" i="9"/>
  <c r="F94" i="4"/>
  <c r="H94" i="4" s="1"/>
  <c r="E94" i="4" s="1"/>
  <c r="B94" i="4" s="1"/>
  <c r="BE25" i="3"/>
  <c r="BE23" i="3"/>
  <c r="BE19" i="3"/>
  <c r="BE17" i="3"/>
  <c r="BE15" i="3"/>
  <c r="BE13" i="3"/>
  <c r="BE11" i="3"/>
  <c r="BE9" i="3"/>
  <c r="BE7" i="3"/>
  <c r="BE6" i="3"/>
  <c r="BE26" i="3"/>
  <c r="BE24" i="3"/>
  <c r="BE18" i="3"/>
  <c r="BE16" i="3"/>
  <c r="BE14" i="3"/>
  <c r="BE12" i="3"/>
  <c r="BE10" i="3"/>
  <c r="BE8" i="3"/>
  <c r="AF91" i="4" a="1"/>
  <c r="M93" i="4"/>
  <c r="O93" i="4" s="1"/>
  <c r="L93" i="4" s="1"/>
  <c r="I93" i="4" s="1"/>
  <c r="Z93" i="4" s="1"/>
  <c r="BH6" i="3"/>
  <c r="BH26" i="3"/>
  <c r="BH24" i="3"/>
  <c r="BH18" i="3"/>
  <c r="BH16" i="3"/>
  <c r="BH14" i="3"/>
  <c r="BH12" i="3"/>
  <c r="BH10" i="3"/>
  <c r="BH8" i="3"/>
  <c r="BH13" i="3"/>
  <c r="BH15" i="3"/>
  <c r="BH7" i="3"/>
  <c r="BH23" i="3"/>
  <c r="BH17" i="3"/>
  <c r="BH9" i="3"/>
  <c r="BH25" i="3"/>
  <c r="BH11" i="3"/>
  <c r="BH19" i="3"/>
  <c r="T72" i="8"/>
  <c r="S72" i="8" s="1"/>
  <c r="AB75" i="8" s="1"/>
  <c r="K94" i="4"/>
  <c r="H82" i="7"/>
  <c r="BI4" i="3"/>
  <c r="BI27" i="3" s="1"/>
  <c r="BI29" i="3" s="1"/>
  <c r="BI30" i="3" s="1"/>
  <c r="N74" i="8"/>
  <c r="F73" i="8"/>
  <c r="P5" i="1" l="1"/>
  <c r="Y94" i="4"/>
  <c r="F74" i="8"/>
  <c r="M73" i="8"/>
  <c r="T73" i="8"/>
  <c r="AH91" i="4" a="1"/>
  <c r="AF93" i="4"/>
  <c r="AI93" i="4" s="1"/>
  <c r="AF92" i="4"/>
  <c r="AF91" i="4"/>
  <c r="AF94" i="4"/>
  <c r="AI94" i="4" s="1"/>
  <c r="M94" i="4"/>
  <c r="O94" i="4" s="1"/>
  <c r="L94" i="4" s="1"/>
  <c r="Q5" i="1" s="1"/>
  <c r="BI26" i="3"/>
  <c r="BI24" i="3"/>
  <c r="BI18" i="3"/>
  <c r="BI16" i="3"/>
  <c r="BI14" i="3"/>
  <c r="BI12" i="3"/>
  <c r="BI10" i="3"/>
  <c r="BI8" i="3"/>
  <c r="BI25" i="3"/>
  <c r="BI23" i="3"/>
  <c r="BI19" i="3"/>
  <c r="BI17" i="3"/>
  <c r="BI15" i="3"/>
  <c r="BI13" i="3"/>
  <c r="BI11" i="3"/>
  <c r="BI9" i="3"/>
  <c r="BI7" i="3"/>
  <c r="BI6" i="3"/>
  <c r="AG91" i="4" a="1"/>
  <c r="T94" i="4"/>
  <c r="V94" i="4" s="1"/>
  <c r="S94" i="4" s="1"/>
  <c r="R5" i="1" s="1"/>
  <c r="BM25" i="3"/>
  <c r="BM23" i="3"/>
  <c r="BM19" i="3"/>
  <c r="BM17" i="3"/>
  <c r="BM15" i="3"/>
  <c r="BM13" i="3"/>
  <c r="BM11" i="3"/>
  <c r="BM9" i="3"/>
  <c r="BM7" i="3"/>
  <c r="BM6" i="3"/>
  <c r="BM26" i="3"/>
  <c r="BM24" i="3"/>
  <c r="BM18" i="3"/>
  <c r="BM16" i="3"/>
  <c r="BM14" i="3"/>
  <c r="BM12" i="3"/>
  <c r="BM10" i="3"/>
  <c r="BM8" i="3"/>
  <c r="Y92" i="4" l="1"/>
  <c r="AI92" i="4"/>
  <c r="Y91" i="4"/>
  <c r="AI91" i="4"/>
  <c r="I94" i="4"/>
  <c r="Z94" i="4" s="1"/>
  <c r="P94" i="4"/>
  <c r="AA94" i="4" s="1"/>
  <c r="AH94" i="4"/>
  <c r="AH93" i="4"/>
  <c r="AK93" i="4" s="1"/>
  <c r="AH92" i="4"/>
  <c r="AH91" i="4"/>
  <c r="AG91" i="4"/>
  <c r="AG94" i="4"/>
  <c r="AG93" i="4"/>
  <c r="AJ93" i="4" s="1"/>
  <c r="AG92" i="4"/>
  <c r="E24" i="9" l="1"/>
  <c r="L116" i="9"/>
  <c r="J116" i="9" s="1"/>
  <c r="K24" i="9"/>
  <c r="T24" i="9" s="1"/>
  <c r="AK91" i="4"/>
  <c r="AA91" i="4"/>
  <c r="AK92" i="4"/>
  <c r="AA92" i="4"/>
  <c r="Z91" i="4"/>
  <c r="AJ91" i="4"/>
  <c r="AJ92" i="4"/>
  <c r="Z92" i="4"/>
  <c r="M74" i="8"/>
  <c r="AJ94" i="4"/>
  <c r="T74" i="8"/>
  <c r="AK94" i="4"/>
  <c r="AD24" i="9" l="1"/>
  <c r="AI73" i="9"/>
  <c r="K76" i="9"/>
  <c r="E76" i="9"/>
  <c r="E50" i="9"/>
  <c r="M116" i="9"/>
  <c r="K50" i="9"/>
  <c r="AE24" i="9"/>
  <c r="P10" i="1" l="1"/>
  <c r="AO73" i="9"/>
  <c r="AV31" i="9"/>
  <c r="AY31" i="9" s="1"/>
  <c r="AK73" i="9"/>
  <c r="T76" i="9"/>
  <c r="T50" i="9"/>
  <c r="AH24" i="9"/>
  <c r="E78" i="10" s="1"/>
  <c r="P11" i="1" l="1"/>
  <c r="AP73" i="9"/>
  <c r="D78" i="10"/>
  <c r="D75" i="10" s="1"/>
  <c r="D76" i="10" s="1"/>
  <c r="D77" i="10" s="1"/>
  <c r="AD76" i="9"/>
  <c r="AI75" i="9"/>
  <c r="AD50" i="9"/>
  <c r="AI74" i="9"/>
  <c r="E75" i="10"/>
  <c r="J75" i="10" l="1"/>
  <c r="AW31" i="9"/>
  <c r="AZ31" i="9" s="1"/>
  <c r="AK74" i="9"/>
  <c r="AX31" i="9"/>
  <c r="BA31" i="9" s="1"/>
  <c r="AK75" i="9"/>
  <c r="AE76" i="9"/>
  <c r="AE50" i="9"/>
  <c r="AO74" i="9" s="1"/>
  <c r="J78" i="10"/>
  <c r="Q10" i="1"/>
  <c r="E76" i="10"/>
  <c r="L75" i="10"/>
  <c r="K75" i="10" s="1"/>
  <c r="L76" i="10" l="1"/>
  <c r="B76" i="10" s="1"/>
  <c r="E76" i="11" s="1"/>
  <c r="B76" i="11" s="1"/>
  <c r="R11" i="1"/>
  <c r="AP75" i="9"/>
  <c r="AB78" i="10"/>
  <c r="R10" i="1"/>
  <c r="AO75" i="9"/>
  <c r="AJ24" i="9"/>
  <c r="AC78" i="10" s="1"/>
  <c r="AC75" i="10" s="1"/>
  <c r="AC76" i="10" s="1"/>
  <c r="AC77" i="10" s="1"/>
  <c r="AI24" i="9"/>
  <c r="Q78" i="10" s="1"/>
  <c r="AP74" i="9"/>
  <c r="Q11" i="1"/>
  <c r="P78" i="10"/>
  <c r="P75" i="10" s="1"/>
  <c r="P76" i="10" s="1"/>
  <c r="P77" i="10" s="1"/>
  <c r="E77" i="10"/>
  <c r="J77" i="10" s="1"/>
  <c r="J76" i="10"/>
  <c r="C77" i="11" l="1"/>
  <c r="N76" i="11"/>
  <c r="V78" i="10"/>
  <c r="K76" i="10"/>
  <c r="Q75" i="10"/>
  <c r="Q76" i="10" s="1"/>
  <c r="V76" i="10" s="1"/>
  <c r="AB75" i="10"/>
  <c r="AH78" i="10"/>
  <c r="L77" i="10"/>
  <c r="B77" i="10" s="1"/>
  <c r="E77" i="11" s="1"/>
  <c r="B77" i="11" s="1"/>
  <c r="C78" i="11" l="1"/>
  <c r="S78" i="11" s="1"/>
  <c r="N77" i="11"/>
  <c r="H73" i="8"/>
  <c r="E73" i="8" s="1"/>
  <c r="Z76" i="8" s="1"/>
  <c r="S77" i="11"/>
  <c r="Q77" i="10"/>
  <c r="V77" i="10" s="1"/>
  <c r="V75" i="10"/>
  <c r="X75" i="10"/>
  <c r="AB76" i="10"/>
  <c r="AJ75" i="10"/>
  <c r="AH75" i="10"/>
  <c r="H74" i="8"/>
  <c r="E74" i="8" s="1"/>
  <c r="P14" i="1"/>
  <c r="K77" i="10"/>
  <c r="L78" i="10" s="1"/>
  <c r="B78" i="10" s="1"/>
  <c r="P12" i="1" s="1"/>
  <c r="P9" i="1" l="1"/>
  <c r="Z77" i="8"/>
  <c r="W75" i="10"/>
  <c r="X76" i="10" s="1"/>
  <c r="N76" i="10" s="1"/>
  <c r="H76" i="11" s="1"/>
  <c r="F76" i="11" s="1"/>
  <c r="AI75" i="10"/>
  <c r="AJ76" i="10" s="1"/>
  <c r="Z76" i="10" s="1"/>
  <c r="AB77" i="10"/>
  <c r="AH77" i="10" s="1"/>
  <c r="AH76" i="10"/>
  <c r="E78" i="11"/>
  <c r="B78" i="11" s="1"/>
  <c r="K78" i="10"/>
  <c r="P13" i="1" l="1"/>
  <c r="N78" i="11"/>
  <c r="G77" i="11"/>
  <c r="O76" i="11"/>
  <c r="W76" i="10"/>
  <c r="X77" i="10" s="1"/>
  <c r="N77" i="10" s="1"/>
  <c r="W77" i="10" s="1"/>
  <c r="X78" i="10" s="1"/>
  <c r="N78" i="10" s="1"/>
  <c r="Q12" i="1" s="1"/>
  <c r="K76" i="11"/>
  <c r="I76" i="11" s="1"/>
  <c r="AI76" i="10"/>
  <c r="AJ77" i="10" s="1"/>
  <c r="Z77" i="10" s="1"/>
  <c r="H77" i="11"/>
  <c r="F77" i="11" s="1"/>
  <c r="G78" i="11" l="1"/>
  <c r="T78" i="11" s="1"/>
  <c r="O77" i="11"/>
  <c r="W78" i="10"/>
  <c r="H78" i="11"/>
  <c r="O73" i="8"/>
  <c r="L73" i="8" s="1"/>
  <c r="AA76" i="8" s="1"/>
  <c r="T77" i="11"/>
  <c r="J77" i="11"/>
  <c r="P76" i="11"/>
  <c r="K77" i="11"/>
  <c r="I77" i="11" s="1"/>
  <c r="AI77" i="10"/>
  <c r="AJ78" i="10" s="1"/>
  <c r="Z78" i="10" s="1"/>
  <c r="O74" i="8"/>
  <c r="L74" i="8" s="1"/>
  <c r="Q14" i="1"/>
  <c r="F78" i="11"/>
  <c r="Q13" i="1" l="1"/>
  <c r="O78" i="11"/>
  <c r="J78" i="11"/>
  <c r="U78" i="11" s="1"/>
  <c r="P77" i="11"/>
  <c r="V73" i="8"/>
  <c r="S73" i="8" s="1"/>
  <c r="AB76" i="8" s="1"/>
  <c r="U77" i="11"/>
  <c r="Q9" i="1"/>
  <c r="AA77" i="8"/>
  <c r="R12" i="1"/>
  <c r="AI78" i="10"/>
  <c r="K78" i="11"/>
  <c r="I78" i="11" s="1"/>
  <c r="R14" i="1"/>
  <c r="V74" i="8"/>
  <c r="S74" i="8" s="1"/>
  <c r="R13" i="1" l="1"/>
  <c r="P78" i="11"/>
  <c r="R9" i="1"/>
  <c r="AB77" i="8"/>
</calcChain>
</file>

<file path=xl/comments1.xml><?xml version="1.0" encoding="utf-8"?>
<comments xmlns="http://schemas.openxmlformats.org/spreadsheetml/2006/main">
  <authors>
    <author/>
  </authors>
  <commentList>
    <comment ref="BY2" authorId="0" shapeId="0">
      <text>
        <r>
          <rPr>
            <sz val="11"/>
            <color theme="1"/>
            <rFont val="Arial"/>
            <family val="2"/>
            <charset val="238"/>
          </rPr>
          <t>======
ID#AAAAJgo0oEc
bambas    (2020-05-06 12:31:32)
eur/hrk tečaj (prosjek zadnja 4 kvartala)</t>
        </r>
      </text>
    </comment>
  </commentList>
</comments>
</file>

<file path=xl/comments2.xml><?xml version="1.0" encoding="utf-8"?>
<comments xmlns="http://schemas.openxmlformats.org/spreadsheetml/2006/main">
  <authors>
    <author/>
  </authors>
  <commentList>
    <comment ref="C2" authorId="0" shapeId="0">
      <text>
        <r>
          <rPr>
            <sz val="11"/>
            <color theme="1"/>
            <rFont val="Arial"/>
            <family val="2"/>
            <charset val="238"/>
          </rPr>
          <t>======
ID#AAAAGaakBYk
Author    (2020-04-15 07:23:50)
tablica J1 (HNB) stupac L</t>
        </r>
      </text>
    </comment>
    <comment ref="D2" authorId="0" shapeId="0">
      <text>
        <r>
          <rPr>
            <sz val="11"/>
            <color theme="1"/>
            <rFont val="Arial"/>
            <family val="2"/>
            <charset val="238"/>
          </rPr>
          <t>======
ID#AAAAGaakBYQ
Author    (2020-04-15 07:23:50)
administrativna stopa nezaposlenosti iz biltena</t>
        </r>
      </text>
    </comment>
    <comment ref="F2" authorId="0" shapeId="0">
      <text>
        <r>
          <rPr>
            <sz val="11"/>
            <color theme="1"/>
            <rFont val="Arial"/>
            <family val="2"/>
            <charset val="238"/>
          </rPr>
          <t>======
ID#AAAAGaakBYM
Author    (2020-04-15 07:23:50)
provjeriti da li su podaci konzistentni s podacima iz sheet-a nezaposlenost</t>
        </r>
      </text>
    </comment>
    <comment ref="J2" authorId="0" shapeId="0">
      <text>
        <r>
          <rPr>
            <sz val="11"/>
            <color theme="1"/>
            <rFont val="Arial"/>
            <family val="2"/>
            <charset val="238"/>
          </rPr>
          <t>======
ID#AAAAGaakBYU
Author    (2020-04-15 07:23:50)
tablica J1 (HNB) stupac L</t>
        </r>
      </text>
    </comment>
    <comment ref="K2" authorId="0" shapeId="0">
      <text>
        <r>
          <rPr>
            <sz val="11"/>
            <color theme="1"/>
            <rFont val="Arial"/>
            <family val="2"/>
            <charset val="238"/>
          </rPr>
          <t>======
ID#AAAAGaakBYI
Author    (2020-04-15 07:23:50)
administrativna stopa nezaposlenosti iz biltena</t>
        </r>
      </text>
    </comment>
    <comment ref="M2" authorId="0" shapeId="0">
      <text>
        <r>
          <rPr>
            <sz val="11"/>
            <color theme="1"/>
            <rFont val="Arial"/>
            <family val="2"/>
            <charset val="238"/>
          </rPr>
          <t>======
ID#AAAAGaakBYc
Author    (2020-04-15 07:23:50)
provjeriti da li su podaci konzistentni s podacima iz sheet-a nezaposlenost</t>
        </r>
      </text>
    </comment>
    <comment ref="Q2" authorId="0" shapeId="0">
      <text>
        <r>
          <rPr>
            <sz val="11"/>
            <color theme="1"/>
            <rFont val="Arial"/>
            <family val="2"/>
            <charset val="238"/>
          </rPr>
          <t>======
ID#AAAAGaakBYE
Author    (2020-04-15 07:23:50)
tablica J1 (HNB) stupac L</t>
        </r>
      </text>
    </comment>
    <comment ref="R2" authorId="0" shapeId="0">
      <text>
        <r>
          <rPr>
            <sz val="11"/>
            <color theme="1"/>
            <rFont val="Arial"/>
            <family val="2"/>
            <charset val="238"/>
          </rPr>
          <t>======
ID#AAAAGaakBYY
Author    (2020-04-15 07:23:50)
administrativna stopa nezaposlenosti iz biltena</t>
        </r>
      </text>
    </comment>
    <comment ref="T2" authorId="0" shapeId="0">
      <text>
        <r>
          <rPr>
            <sz val="11"/>
            <color theme="1"/>
            <rFont val="Arial"/>
            <family val="2"/>
            <charset val="238"/>
          </rPr>
          <t>======
ID#AAAAGaakBYg
Author    (2020-04-15 07:23:50)
provjeriti da li su podaci konzistentni s podacima iz sheet-a nezaposlenost</t>
        </r>
      </text>
    </comment>
  </commentList>
  <extLst>
    <ext xmlns:r="http://schemas.openxmlformats.org/officeDocument/2006/relationships" uri="GoogleSheetsCustomDataVersion1">
      <go:sheetsCustomData xmlns:go="http://customooxmlschemas.google.com/" r:id="rId1" roundtripDataSignature="AMtx7mgSeJ1C8b+LYLK4UfTLSGlK09RJww=="/>
    </ext>
  </extLst>
</comments>
</file>

<file path=xl/comments3.xml><?xml version="1.0" encoding="utf-8"?>
<comments xmlns="http://schemas.openxmlformats.org/spreadsheetml/2006/main">
  <authors>
    <author/>
  </authors>
  <commentList>
    <comment ref="C2" authorId="0" shapeId="0">
      <text>
        <r>
          <rPr>
            <sz val="11"/>
            <color theme="1"/>
            <rFont val="Arial"/>
            <family val="2"/>
            <charset val="238"/>
          </rPr>
          <t>======
ID#AAAAGcoFQJc
bambas    (2020-04-24 17:57:38)
od 2008. zalijepljene su stope rasta plasmana na temelju transakcija iz biltena</t>
        </r>
      </text>
    </comment>
    <comment ref="E2" authorId="0" shapeId="0">
      <text>
        <r>
          <rPr>
            <sz val="11"/>
            <color theme="1"/>
            <rFont val="Arial"/>
            <family val="2"/>
            <charset val="238"/>
          </rPr>
          <t>======
ID#AAAAGcaDUIE
Author    (2020-04-23 10:28:26)
procijenjeno pomoću HP filtera za lambda=25000</t>
        </r>
      </text>
    </comment>
  </commentList>
  <extLst>
    <ext xmlns:r="http://schemas.openxmlformats.org/officeDocument/2006/relationships" uri="GoogleSheetsCustomDataVersion1">
      <go:sheetsCustomData xmlns:go="http://customooxmlschemas.google.com/" r:id="rId1" roundtripDataSignature="AMtx7mhzfo3WMFazTq28s8K9CXVYj+iZzQ=="/>
    </ext>
  </extLst>
</comments>
</file>

<file path=xl/comments4.xml><?xml version="1.0" encoding="utf-8"?>
<comments xmlns="http://schemas.openxmlformats.org/spreadsheetml/2006/main">
  <authors>
    <author/>
  </authors>
  <commentList>
    <comment ref="F2" authorId="0" shapeId="0">
      <text>
        <r>
          <rPr>
            <sz val="11"/>
            <color theme="1"/>
            <rFont val="Arial"/>
            <family val="2"/>
            <charset val="238"/>
          </rPr>
          <t>======
ID#AAAAGcaDUH4
Author    (2020-04-23 10:28:26)
procijenjeno pomoću HP filtera za lambda=25000</t>
        </r>
      </text>
    </comment>
    <comment ref="I2" authorId="0" shapeId="0">
      <text>
        <r>
          <rPr>
            <sz val="11"/>
            <color theme="1"/>
            <rFont val="Arial"/>
            <family val="2"/>
            <charset val="238"/>
          </rPr>
          <t>======
ID#AAAAGcaDUH8
Author    (2020-04-23 10:28:26)
procijenjeno pomoću HP filtera za lambda=25000</t>
        </r>
      </text>
    </comment>
    <comment ref="L2" authorId="0" shapeId="0">
      <text>
        <r>
          <rPr>
            <sz val="11"/>
            <color theme="1"/>
            <rFont val="Arial"/>
            <family val="2"/>
            <charset val="238"/>
          </rPr>
          <t>======
ID#AAAAGcaDUIA
Author    (2020-04-23 10:28:26)
procijenjeno pomoću HP filtera za lambda=25000</t>
        </r>
      </text>
    </comment>
    <comment ref="D82" authorId="0" shapeId="0">
      <text>
        <r>
          <rPr>
            <sz val="11"/>
            <color theme="1"/>
            <rFont val="Arial"/>
            <family val="2"/>
            <charset val="238"/>
          </rPr>
          <t>======
ID#AAAAGcaDUII
Author    (2020-04-23 10:28:26)
ECB projekcije iz ožujka
https://www.ecb.europa.eu/pub/projections/html/ecb.projections202003_ecbstaff~dfa19e18c4.en.html#toc6</t>
        </r>
      </text>
    </comment>
  </commentList>
  <extLst>
    <ext xmlns:r="http://schemas.openxmlformats.org/officeDocument/2006/relationships" uri="GoogleSheetsCustomDataVersion1">
      <go:sheetsCustomData xmlns:go="http://customooxmlschemas.google.com/" r:id="rId1" roundtripDataSignature="AMtx7mgAxxFviql401wPk5PEnNWhh+ORug=="/>
    </ext>
  </extLst>
</comments>
</file>

<file path=xl/comments5.xml><?xml version="1.0" encoding="utf-8"?>
<comments xmlns="http://schemas.openxmlformats.org/spreadsheetml/2006/main">
  <authors>
    <author/>
  </authors>
  <commentList>
    <comment ref="G2" authorId="0" shapeId="0">
      <text>
        <r>
          <rPr>
            <sz val="11"/>
            <color theme="1"/>
            <rFont val="Arial"/>
            <family val="2"/>
            <charset val="238"/>
          </rPr>
          <t>======
ID#AAAAGcoFQJY
bambas    (2020-04-24 17:57:38)
godišnja stopa promjene indeksa jada, pri čemu je jad=stopa_nezaposlenosti+inflacija</t>
        </r>
      </text>
    </comment>
    <comment ref="I2" authorId="0" shapeId="0">
      <text>
        <r>
          <rPr>
            <sz val="11"/>
            <color theme="1"/>
            <rFont val="Arial"/>
            <family val="2"/>
            <charset val="238"/>
          </rPr>
          <t>======
ID#AAAAGcoFQJg
bambas    (2020-04-24 17:57:38)
modeli su rađeni s kreditima kućanstvima, a ovdje su ukupni plasmani</t>
        </r>
      </text>
    </comment>
  </commentList>
  <extLst>
    <ext xmlns:r="http://schemas.openxmlformats.org/officeDocument/2006/relationships" uri="GoogleSheetsCustomDataVersion1">
      <go:sheetsCustomData xmlns:go="http://customooxmlschemas.google.com/" r:id="rId1" roundtripDataSignature="AMtx7mhKRQ/KRPFqq77uFSEF1BOtbvfQmg=="/>
    </ext>
  </extLst>
</comments>
</file>

<file path=xl/comments6.xml><?xml version="1.0" encoding="utf-8"?>
<comments xmlns="http://schemas.openxmlformats.org/spreadsheetml/2006/main">
  <authors>
    <author/>
  </authors>
  <commentList>
    <comment ref="E3" authorId="0" shapeId="0">
      <text>
        <r>
          <rPr>
            <sz val="11"/>
            <color theme="1"/>
            <rFont val="Arial"/>
            <family val="2"/>
            <charset val="238"/>
          </rPr>
          <t>======
ID#AAAAGcSicz8
Andrijana Kulisic    (2020-04-23 11:40:41)
2019. ukupno 26.661</t>
        </r>
      </text>
    </comment>
    <comment ref="C4" authorId="0" shapeId="0">
      <text>
        <r>
          <rPr>
            <sz val="11"/>
            <color theme="1"/>
            <rFont val="Arial"/>
            <family val="2"/>
            <charset val="238"/>
          </rPr>
          <t>======
ID#AAAAGaQ16SY
Author    (2020-04-16 14:05:37)
porez na imovinu
+
porez na korištenje fiksne imovine
+
poslovne licence
+
porez na onečišćenje
+
ostali</t>
        </r>
      </text>
    </comment>
    <comment ref="E4" authorId="0" shapeId="0">
      <text>
        <r>
          <rPr>
            <sz val="11"/>
            <color theme="1"/>
            <rFont val="Arial"/>
            <family val="2"/>
            <charset val="238"/>
          </rPr>
          <t>======
ID#AAAAGaQ16SM
Author    (2020-04-16 14:05:37)
porez na primanja
+
porez na dobit
+
porez na kapitalnu zaradu</t>
        </r>
      </text>
    </comment>
    <comment ref="AS4" authorId="0" shapeId="0">
      <text>
        <r>
          <rPr>
            <sz val="11"/>
            <color theme="1"/>
            <rFont val="Arial"/>
            <family val="2"/>
            <charset val="238"/>
          </rPr>
          <t>======
ID#AAAAJgo0oEI
bambas    (2020-05-06 12:31:32)
I3 tablica, link: https://www.hnb.hr/statistika/statisticki-podaci/opca-drzava/dug-opce-drzave</t>
        </r>
      </text>
    </comment>
    <comment ref="BM5" authorId="0" shapeId="0">
      <text>
        <r>
          <rPr>
            <sz val="10"/>
            <color theme="1"/>
            <rFont val="Liberation Sans"/>
            <charset val="238"/>
          </rPr>
          <t>Uz pretpostavku da broj korisnika ostaje kao i u travnju</t>
        </r>
      </text>
    </comment>
    <comment ref="BI6" authorId="0" shapeId="0">
      <text>
        <r>
          <rPr>
            <sz val="10"/>
            <color theme="1"/>
            <rFont val="Liberation Sans"/>
            <charset val="238"/>
          </rPr>
          <t>Pojašnjava da nova sredstva za medicinsku opremu nisu dodatna sredstva iz Bruxellesa, već su osigurana preraspodjelom unutar nacionalne alokacije.
"Za sada nema dodatnog novca iz Bruxellesa, trenutno imamo nacionalnu omotnicu, a zatražili smo fleksibilnost unutar europskih fondova i veći stupanj mogućnosti prebacivanja s prioriteta na prioritet", kaže Pavić</t>
        </r>
      </text>
    </comment>
    <comment ref="BM7" authorId="0" shapeId="0">
      <text>
        <r>
          <rPr>
            <sz val="10"/>
            <color theme="1"/>
            <rFont val="Liberation Sans"/>
            <charset val="238"/>
          </rPr>
          <t>Uz pretpostavku da će se broj korisnika povećati u istom broju (za 92 000) kao što se povećao i u travnju</t>
        </r>
      </text>
    </comment>
    <comment ref="CK8" authorId="0" shapeId="0">
      <text>
        <r>
          <rPr>
            <sz val="10"/>
            <color theme="1"/>
            <rFont val="Liberation Sans"/>
            <charset val="238"/>
          </rPr>
          <t>(000 EUR FX)</t>
        </r>
      </text>
    </comment>
    <comment ref="BI10" authorId="0" shapeId="0">
      <text>
        <r>
          <rPr>
            <sz val="10"/>
            <color theme="1"/>
            <rFont val="Liberation Sans"/>
            <charset val="238"/>
          </rPr>
          <t>24.3.2020. se isto navodilo</t>
        </r>
      </text>
    </comment>
    <comment ref="BX17" authorId="0" shapeId="0">
      <text>
        <r>
          <rPr>
            <sz val="10"/>
            <color theme="1"/>
            <rFont val="Liberation Sans"/>
            <charset val="238"/>
          </rPr>
          <t>Uzimajući u obzir diskontiranu cijenu po kojoj je prodano</t>
        </r>
      </text>
    </comment>
    <comment ref="CK19" authorId="0" shapeId="0">
      <text>
        <r>
          <rPr>
            <sz val="10"/>
            <color theme="1"/>
            <rFont val="Liberation Sans"/>
            <charset val="238"/>
          </rPr>
          <t>(000 EUR)</t>
        </r>
      </text>
    </comment>
    <comment ref="A23" authorId="0" shapeId="0">
      <text>
        <r>
          <rPr>
            <sz val="11"/>
            <color theme="1"/>
            <rFont val="Arial"/>
            <family val="2"/>
            <charset val="238"/>
          </rPr>
          <t>======
ID#AAAAGaQ16Sk
Author    (2020-04-16 14:05:37)
Brojevi za 2019. su "procijenjeni" tako da su uzeti kvartalni podaci za prva 3 kvartala 2019. i zadnji kvartal 2018.</t>
        </r>
      </text>
    </comment>
    <comment ref="T23" authorId="0" shapeId="0">
      <text>
        <r>
          <rPr>
            <sz val="11"/>
            <color theme="1"/>
            <rFont val="Arial"/>
            <family val="2"/>
            <charset val="238"/>
          </rPr>
          <t>======
ID#AAAAGcdCVQo
Andrijana Kulisic    (2020-04-23 12:19:38)
2019. : 190.097</t>
        </r>
      </text>
    </comment>
    <comment ref="AD23" authorId="0" shapeId="0">
      <text>
        <r>
          <rPr>
            <sz val="11"/>
            <color theme="1"/>
            <rFont val="Arial"/>
            <family val="2"/>
            <charset val="238"/>
          </rPr>
          <t>======
ID#AAAAGcUQzH8
Andrijana Kulisic    (2020-04-23 13:47:02)
2019. : 1.553</t>
        </r>
      </text>
    </comment>
    <comment ref="AE23" authorId="0" shapeId="0">
      <text>
        <r>
          <rPr>
            <sz val="11"/>
            <color theme="1"/>
            <rFont val="Arial"/>
            <family val="2"/>
            <charset val="238"/>
          </rPr>
          <t>======
ID#AAAAGcUQzII
Andrijana Kulisic    (2020-04-23 13:48:54)
2019. : 0.4</t>
        </r>
      </text>
    </comment>
    <comment ref="AG23" authorId="0" shapeId="0">
      <text>
        <r>
          <rPr>
            <sz val="11"/>
            <color theme="1"/>
            <rFont val="Arial"/>
            <family val="2"/>
            <charset val="238"/>
          </rPr>
          <t>======
ID#AAAAGaQ16Rw
Author    (2020-04-16 14:05:37)
Brojevi za 2019. su "procijenjeni" tako da su uzeti kvartalni podaci za prva 3 kvartala 2019. i zadnji kvartal 2018.</t>
        </r>
      </text>
    </comment>
    <comment ref="D24" authorId="0" shapeId="0">
      <text>
        <r>
          <rPr>
            <sz val="11"/>
            <color theme="1"/>
            <rFont val="Arial"/>
            <family val="2"/>
            <charset val="238"/>
          </rPr>
          <t>======
ID#AAAAGaQ16R8
Author    (2020-04-16 14:05:37)
Omjer ove porezne stavke i BDV-a se kretao između 24% i 20% (u kriznim periodima), trenutno je fiksirano na 21% jer je u proteklim godinama opažen uzlazni trend</t>
        </r>
      </text>
    </comment>
    <comment ref="E24" authorId="0" shapeId="0">
      <text>
        <r>
          <rPr>
            <sz val="11"/>
            <color theme="1"/>
            <rFont val="Arial"/>
            <family val="2"/>
            <charset val="238"/>
          </rPr>
          <t>======
ID#AAAAGaQ16S8
Author    (2020-04-16 14:05:37)
Omjer doprinosa i godišnje mase plaća fiksiran je na 9%, višegodišnji prosjek je na 9,1%</t>
        </r>
      </text>
    </comment>
    <comment ref="F24" authorId="0" shapeId="0">
      <text>
        <r>
          <rPr>
            <sz val="11"/>
            <color theme="1"/>
            <rFont val="Arial"/>
            <family val="2"/>
            <charset val="238"/>
          </rPr>
          <t>======
ID#AAAAGaQ16So
Author    (2020-04-16 14:05:37)
ovu stavku je jako teško nabosti jer ovisi ne samo o agregatnoj dobiti poduzeća (koju ne procjenjujemo jer nemamo podatke), nego i o tome koliko poduzeća će poslovati s gubitkom i prenijeti gubitke… u skladu s time sam lupio smanjenje ovog poreza za 40% u odnosu na prošlu godinu (u prošlo krizi je palo za 25%)</t>
        </r>
      </text>
    </comment>
    <comment ref="K24" authorId="0" shapeId="0">
      <text>
        <r>
          <rPr>
            <sz val="11"/>
            <color theme="1"/>
            <rFont val="Arial"/>
            <family val="2"/>
            <charset val="238"/>
          </rPr>
          <t>======
ID#AAAAGaQ16SI
Author    (2020-04-16 14:05:37)
Omjer doprinosa i godišnje mase plaća fiksiran je na 29%, iako je prosjek bliže 30%, no u zadnjih nekoliko godina je opažen trend pada</t>
        </r>
      </text>
    </comment>
    <comment ref="N24" authorId="0" shapeId="0">
      <text>
        <r>
          <rPr>
            <sz val="11"/>
            <color theme="1"/>
            <rFont val="Arial"/>
            <family val="2"/>
            <charset val="238"/>
          </rPr>
          <t>======
ID#AAAAJgo0oEM
bambas    (2020-05-06 12:31:32)
dodano 8,8 mlrd. HRK eu pomoći za koronu</t>
        </r>
      </text>
    </comment>
    <comment ref="V24" authorId="0" shapeId="0">
      <text>
        <r>
          <rPr>
            <sz val="11"/>
            <color theme="1"/>
            <rFont val="Arial"/>
            <family val="2"/>
            <charset val="238"/>
          </rPr>
          <t>======
ID#AAAAJdAFgtQ
Andrijana Kulisic    (2020-04-23 14:37:01)
+3% povećanje u odnosu na 2019. radi rasta plaća</t>
        </r>
      </text>
    </comment>
    <comment ref="X24" authorId="0" shapeId="0">
      <text>
        <r>
          <rPr>
            <sz val="11"/>
            <color theme="1"/>
            <rFont val="Arial"/>
            <family val="2"/>
            <charset val="238"/>
          </rPr>
          <t>======
ID#AAAAJdAFgts
Andrijana Kulisic    (2020-04-23 14:42:38)
nakon krize 2008. uslijedio je pad za oko 3,5% u 2009. godini, ovdje se uzeo pad od 5%</t>
        </r>
      </text>
    </comment>
    <comment ref="Z24" authorId="0" shapeId="0">
      <text>
        <r>
          <rPr>
            <sz val="11"/>
            <color theme="1"/>
            <rFont val="Arial"/>
            <family val="2"/>
            <charset val="238"/>
          </rPr>
          <t>======
ID#AAAAJdAFgt0
Andrijana Kulisic    (2020-04-23 14:43:14)
povećati za potencijalne novoizdane obveznice</t>
        </r>
      </text>
    </comment>
    <comment ref="AA24" authorId="0" shapeId="0">
      <text>
        <r>
          <rPr>
            <sz val="11"/>
            <color theme="1"/>
            <rFont val="Arial"/>
            <family val="2"/>
            <charset val="238"/>
          </rPr>
          <t>======
ID#AAAAJdAFguQ
Andrijana Kulisic    (2020-04-23 14:46:05)
uzete u obzir previđene procjene za izdatke za mirovine za 2020. te povećanje izdataka sa HZZ-a, kao i povećanje porodiljnih naknada od 1.4.2020.</t>
        </r>
      </text>
    </comment>
    <comment ref="AB24" authorId="0" shapeId="0">
      <text>
        <r>
          <rPr>
            <sz val="11"/>
            <color theme="1"/>
            <rFont val="Arial"/>
            <family val="2"/>
            <charset val="238"/>
          </rPr>
          <t>======
ID#AAAAJgo0oEQ
bambas    (2020-05-06 12:31:32)
mjere vlade za očuvanje radnih mjesta (minimalne plaće i socijalni doprinosi za ožujak, travanj i svibanj)</t>
        </r>
      </text>
    </comment>
    <comment ref="AC24" authorId="0" shapeId="0">
      <text>
        <r>
          <rPr>
            <sz val="11"/>
            <color theme="1"/>
            <rFont val="Arial"/>
            <family val="2"/>
            <charset val="238"/>
          </rPr>
          <t>======
ID#AAAAGcUQzH4
Andrijana Kulisic    (2020-04-23 13:45:57)
2019. : 188.543</t>
        </r>
      </text>
    </comment>
    <comment ref="BX24" authorId="0" shapeId="0">
      <text>
        <r>
          <rPr>
            <sz val="10"/>
            <color theme="1"/>
            <rFont val="Liberation Sans"/>
            <charset val="238"/>
          </rPr>
          <t>2.tranša
(datum izdanja: 27.11.2019.)</t>
        </r>
      </text>
    </comment>
    <comment ref="CK25" authorId="0" shapeId="0">
      <text>
        <r>
          <rPr>
            <sz val="10"/>
            <color theme="1"/>
            <rFont val="Liberation Sans"/>
            <charset val="238"/>
          </rPr>
          <t>(000 EUR)</t>
        </r>
      </text>
    </comment>
    <comment ref="CA27" authorId="0" shapeId="0">
      <text>
        <r>
          <rPr>
            <sz val="10"/>
            <color theme="1"/>
            <rFont val="Liberation Sans"/>
            <charset val="238"/>
          </rPr>
          <t xml:space="preserve">3.3.2020.
</t>
        </r>
        <r>
          <rPr>
            <sz val="10"/>
            <color theme="1"/>
            <rFont val="Arial"/>
            <family val="2"/>
            <charset val="238"/>
          </rPr>
          <t>Ukupno oko 15 milijardi kuna ministar Marić namjerava iskoristiti za iskup obveznica koje na naplatu dospijevaju 5. ožujka.</t>
        </r>
        <r>
          <rPr>
            <sz val="10"/>
            <color theme="1"/>
            <rFont val="Arial"/>
            <family val="2"/>
            <charset val="238"/>
          </rPr>
          <t xml:space="preserve">
Riječ je o dvije domaće obveznice ukupne vrijednosti od oko 12,5 milijardi kuna (jedna od milijardu eura, a druga pet milijardi kuna).</t>
        </r>
        <r>
          <rPr>
            <sz val="10"/>
            <color theme="1"/>
            <rFont val="Arial"/>
            <family val="2"/>
            <charset val="238"/>
          </rPr>
          <t xml:space="preserve">
Razlika od oko 2,5 milijardi kuna između ostvarenog izdanja i onoga koje dospijeva na naplatu iskoristit će se za isplatu</t>
        </r>
        <r>
          <rPr>
            <sz val="10"/>
            <color theme="1"/>
            <rFont val="Arial"/>
            <family val="2"/>
            <charset val="238"/>
          </rPr>
          <t xml:space="preserve">
Trezorskih zapisa koje će trebati iskupiti za nekoliko tjedana, ali i za tekuće potrebe proračuna.</t>
        </r>
      </text>
    </comment>
    <comment ref="CK27" authorId="0" shapeId="0">
      <text>
        <r>
          <rPr>
            <sz val="10"/>
            <color theme="1"/>
            <rFont val="Liberation Sans"/>
            <charset val="238"/>
          </rPr>
          <t>(000 EUR)</t>
        </r>
      </text>
    </comment>
    <comment ref="C30" authorId="0" shapeId="0">
      <text>
        <r>
          <rPr>
            <sz val="11"/>
            <color theme="1"/>
            <rFont val="Arial"/>
            <family val="2"/>
            <charset val="238"/>
          </rPr>
          <t>======
ID#AAAAGaQ16SQ
Author    (2020-04-16 14:05:37)
porez na imovinu
+
porez na korištenje fiksne imovine
+
poslovne licence
+
porez na onečišćenje
+
ostali</t>
        </r>
      </text>
    </comment>
    <comment ref="E30" authorId="0" shapeId="0">
      <text>
        <r>
          <rPr>
            <sz val="11"/>
            <color theme="1"/>
            <rFont val="Arial"/>
            <family val="2"/>
            <charset val="238"/>
          </rPr>
          <t>======
ID#AAAAGaQ16Ro
Author    (2020-04-16 14:05:37)
porez na primanja
+
porez na dobit
+
porez na kapitalnu zaradu</t>
        </r>
      </text>
    </comment>
    <comment ref="CK34" authorId="0" shapeId="0">
      <text>
        <r>
          <rPr>
            <sz val="10"/>
            <color theme="1"/>
            <rFont val="Liberation Sans"/>
            <charset val="238"/>
          </rPr>
          <t>Pokrivanje izdanim obveznicama u 03/2020</t>
        </r>
      </text>
    </comment>
    <comment ref="CK39" authorId="0" shapeId="0">
      <text>
        <r>
          <rPr>
            <b/>
            <sz val="10"/>
            <color theme="1"/>
            <rFont val="Calibri"/>
            <family val="2"/>
            <charset val="238"/>
          </rPr>
          <t>Ova obveznica je u cijelosti isplaćena po dospijeću</t>
        </r>
      </text>
    </comment>
    <comment ref="CK40" authorId="0" shapeId="0">
      <text>
        <r>
          <rPr>
            <b/>
            <sz val="10"/>
            <color theme="1"/>
            <rFont val="Calibri"/>
            <family val="2"/>
            <charset val="238"/>
          </rPr>
          <t>Ova obveznica je u cijelosti isplaćena po dospijeću</t>
        </r>
      </text>
    </comment>
    <comment ref="A49" authorId="0" shapeId="0">
      <text>
        <r>
          <rPr>
            <sz val="11"/>
            <color theme="1"/>
            <rFont val="Arial"/>
            <family val="2"/>
            <charset val="238"/>
          </rPr>
          <t>======
ID#AAAAGaQ16S4
Author    (2020-04-16 14:05:37)
Brojevi za 2019. su "procijenjeni" tako da su uzeti kvartalni podaci za prva 3 kvartala 2019. i zadnji kvartal 2018.</t>
        </r>
      </text>
    </comment>
    <comment ref="D50" authorId="0" shapeId="0">
      <text>
        <r>
          <rPr>
            <sz val="11"/>
            <color theme="1"/>
            <rFont val="Arial"/>
            <family val="2"/>
            <charset val="238"/>
          </rPr>
          <t>======
ID#AAAAGaQ16SE
Author    (2020-04-16 14:05:37)
Omjer ove porezne stavke i BDV-a se kretao između 24% i 20% (u kriznim periodima), trenutno je fiksirano na 21% jer je u proteklim godinama opažen uzlazni trend</t>
        </r>
      </text>
    </comment>
    <comment ref="E50" authorId="0" shapeId="0">
      <text>
        <r>
          <rPr>
            <sz val="11"/>
            <color theme="1"/>
            <rFont val="Arial"/>
            <family val="2"/>
            <charset val="238"/>
          </rPr>
          <t>======
ID#AAAAGaQ16SU
Author    (2020-04-16 14:05:37)
Omjer doprinosa i godišnje mase plaća fiksiran je na 9%, višegodišnji prosjek je na 9,1%</t>
        </r>
      </text>
    </comment>
    <comment ref="F50" authorId="0" shapeId="0">
      <text>
        <r>
          <rPr>
            <sz val="11"/>
            <color theme="1"/>
            <rFont val="Arial"/>
            <family val="2"/>
            <charset val="238"/>
          </rPr>
          <t>======
ID#AAAAGaQ16Sg
Author    (2020-04-16 14:05:37)
ovu stavku je jako teško nabosti jer ovisi ne samo o agregatnoj dobiti poduzeća (koju ne procjenjujemo jer nemamo podatke), nego i o tome koliko poduzeća će poslovati s gubitkom i prenijeti gubitke… u skladu s time sam lupio smanjenje ovog poreza za 40% u odnosu na prošlu godinu (u prošlo krizi je palo za 25%)</t>
        </r>
      </text>
    </comment>
    <comment ref="K50" authorId="0" shapeId="0">
      <text>
        <r>
          <rPr>
            <sz val="11"/>
            <color theme="1"/>
            <rFont val="Arial"/>
            <family val="2"/>
            <charset val="238"/>
          </rPr>
          <t>======
ID#AAAAGaQ16Sc
Author    (2020-04-16 14:05:37)
Omjer doprinosa i godišnje mase plaća fiksiran je na 29%, iako je prosjek bliže 30%, no u zadnjih nekoliko godina je opažen trend pada</t>
        </r>
      </text>
    </comment>
    <comment ref="C56" authorId="0" shapeId="0">
      <text>
        <r>
          <rPr>
            <sz val="11"/>
            <color theme="1"/>
            <rFont val="Arial"/>
            <family val="2"/>
            <charset val="238"/>
          </rPr>
          <t>======
ID#AAAAGaQ16TA
Author    (2020-04-16 14:05:37)
porez na imovinu
+
porez na korištenje fiksne imovine
+
poslovne licence
+
porez na onečišćenje
+
ostali</t>
        </r>
      </text>
    </comment>
    <comment ref="E56" authorId="0" shapeId="0">
      <text>
        <r>
          <rPr>
            <sz val="11"/>
            <color theme="1"/>
            <rFont val="Arial"/>
            <family val="2"/>
            <charset val="238"/>
          </rPr>
          <t>======
ID#AAAAGaQ16Rs
Author    (2020-04-16 14:05:37)
porez na primanja
+
porez na dobit
+
porez na kapitalnu zaradu</t>
        </r>
      </text>
    </comment>
    <comment ref="A75" authorId="0" shapeId="0">
      <text>
        <r>
          <rPr>
            <sz val="11"/>
            <color theme="1"/>
            <rFont val="Arial"/>
            <family val="2"/>
            <charset val="238"/>
          </rPr>
          <t>======
ID#AAAAGaQ16S0
Author    (2020-04-16 14:05:37)
Brojevi za 2019. su "procijenjeni" tako da su uzeti kvartalni podaci za prva 3 kvartala 2019. i zadnji kvartal 2018.</t>
        </r>
      </text>
    </comment>
    <comment ref="D76" authorId="0" shapeId="0">
      <text>
        <r>
          <rPr>
            <sz val="11"/>
            <color theme="1"/>
            <rFont val="Arial"/>
            <family val="2"/>
            <charset val="238"/>
          </rPr>
          <t>======
ID#AAAAGaQ16TE
Author    (2020-04-16 14:05:37)
Omjer ove porezne stavke i BDV-a se kretao između 24% i 20% (u kriznim periodima), trenutno je fiksirano na 21% jer je u proteklim godinama opažen uzlazni trend</t>
        </r>
      </text>
    </comment>
    <comment ref="E76" authorId="0" shapeId="0">
      <text>
        <r>
          <rPr>
            <sz val="11"/>
            <color theme="1"/>
            <rFont val="Arial"/>
            <family val="2"/>
            <charset val="238"/>
          </rPr>
          <t>======
ID#AAAAGaQ16SA
Author    (2020-04-16 14:05:37)
Omjer doprinosa i godišnje mase plaća fiksiran je na 9%, višegodišnji prosjek je na 9,1%</t>
        </r>
      </text>
    </comment>
    <comment ref="F76" authorId="0" shapeId="0">
      <text>
        <r>
          <rPr>
            <sz val="11"/>
            <color theme="1"/>
            <rFont val="Arial"/>
            <family val="2"/>
            <charset val="238"/>
          </rPr>
          <t>======
ID#AAAAGaQ16R0
Author    (2020-04-16 14:05:37)
ovu stavku je jako teško nabosti jer ovisi ne samo o agregatnoj dobiti poduzeća (koju ne procjenjujemo jer nemamo podatke), nego i o tome koliko poduzeća će poslovati s gubitkom i prenijeti gubitke… u skladu s time sam lupio smanjenje ovog poreza za 40% u odnosu na prošlu godinu (u prošlo krizi je palo za 25%)</t>
        </r>
      </text>
    </comment>
    <comment ref="K76" authorId="0" shapeId="0">
      <text>
        <r>
          <rPr>
            <sz val="11"/>
            <color theme="1"/>
            <rFont val="Arial"/>
            <family val="2"/>
            <charset val="238"/>
          </rPr>
          <t>======
ID#AAAAGaQ16R4
Author    (2020-04-16 14:05:37)
Omjer doprinosa i godišnje mase plaća fiksiran je na 29%, iako je prosjek bliže 30%, no u zadnjih nekoliko godina je opažen trend pada</t>
        </r>
      </text>
    </comment>
    <comment ref="E94" authorId="0" shapeId="0">
      <text>
        <r>
          <rPr>
            <sz val="11"/>
            <color theme="1"/>
            <rFont val="Arial"/>
            <family val="2"/>
            <charset val="238"/>
          </rPr>
          <t>======
ID#AAAAGaQ16Sw
Author    (2020-04-16 14:05:37)
nemamo podatke o podstavkama na kvartalnoj razini, tako da ćemo svaku od stavki dignuti za 6% koliko je ukupni income tax rastao</t>
        </r>
      </text>
    </comment>
    <comment ref="I115" authorId="0" shapeId="0">
      <text>
        <r>
          <rPr>
            <sz val="11"/>
            <color theme="1"/>
            <rFont val="Arial"/>
            <family val="2"/>
            <charset val="238"/>
          </rPr>
          <t>======
ID#AAAAGaQ16Ss
Author    (2020-04-16 14:05:37)
Brojevi za 2019. su "procijenjeni" tako da su uzeti kvartalni podaci za prva 3 kvartala 2019. i zadnji kvartal 2018.
------
ID#AAAAGcUQzKk
Andrijana Kulisic    (2020-04-23 14:05:05)
update-an podatak</t>
        </r>
      </text>
    </comment>
  </commentList>
  <extLst>
    <ext xmlns:r="http://schemas.openxmlformats.org/officeDocument/2006/relationships" uri="GoogleSheetsCustomDataVersion1">
      <go:sheetsCustomData xmlns:go="http://customooxmlschemas.google.com/" r:id="rId1" roundtripDataSignature="AMtx7mi6Exijl1k9opGpvBRJI7qVCI7M5A=="/>
    </ext>
  </extLst>
</comments>
</file>

<file path=xl/comments7.xml><?xml version="1.0" encoding="utf-8"?>
<comments xmlns="http://schemas.openxmlformats.org/spreadsheetml/2006/main">
  <authors>
    <author/>
    <author>bambas</author>
  </authors>
  <commentList>
    <comment ref="B2" authorId="0" shapeId="0">
      <text>
        <r>
          <rPr>
            <sz val="11"/>
            <color theme="1"/>
            <rFont val="Arial"/>
            <family val="2"/>
            <charset val="238"/>
          </rPr>
          <t>======
ID#AAAAJgo0oEE
bambas    (2020-05-06 12:31:32)
Međunarodne pričuve iz platne bilance (prosjek zadnja 4 kvartala)</t>
        </r>
      </text>
    </comment>
    <comment ref="C2" authorId="0" shapeId="0">
      <text>
        <r>
          <rPr>
            <sz val="11"/>
            <color theme="1"/>
            <rFont val="Arial"/>
            <family val="2"/>
            <charset val="238"/>
          </rPr>
          <t>======
ID#AAAAJgo0oEY
bambas    (2020-05-06 12:31:32)
Tekući račun (prosjek zadnja 4 kvartala)</t>
        </r>
      </text>
    </comment>
    <comment ref="D2" authorId="0" shapeId="0">
      <text>
        <r>
          <rPr>
            <sz val="11"/>
            <color theme="1"/>
            <rFont val="Arial"/>
            <family val="2"/>
            <charset val="238"/>
          </rPr>
          <t>======
ID#AAAAJgo0oEU
bambas    (2020-05-06 12:31:32)
Platna bilanca bez međunarodnih pričuva (prosjek zadnja 4 kvartala)</t>
        </r>
      </text>
    </comment>
    <comment ref="E2" authorId="0" shapeId="0">
      <text>
        <r>
          <rPr>
            <sz val="11"/>
            <color theme="1"/>
            <rFont val="Arial"/>
            <family val="2"/>
            <charset val="238"/>
          </rPr>
          <t>======
ID#AAAAJgo0oEc
bambas    (2020-05-06 12:31:32)
eur/hrk tečaj (prosjek zadnja 4 kvartala)</t>
        </r>
      </text>
    </comment>
    <comment ref="F2" authorId="1" shapeId="0">
      <text>
        <r>
          <rPr>
            <b/>
            <sz val="9"/>
            <color indexed="81"/>
            <rFont val="Tahoma"/>
            <family val="2"/>
            <charset val="238"/>
          </rPr>
          <t>bambas:</t>
        </r>
        <r>
          <rPr>
            <sz val="9"/>
            <color indexed="81"/>
            <rFont val="Tahoma"/>
            <family val="2"/>
            <charset val="238"/>
          </rPr>
          <t xml:space="preserve">
Međunarodne pričuve iz platne bilance (prosjek zadnja 4 kvartala)</t>
        </r>
      </text>
    </comment>
    <comment ref="G2" authorId="1" shapeId="0">
      <text>
        <r>
          <rPr>
            <b/>
            <sz val="9"/>
            <color indexed="81"/>
            <rFont val="Tahoma"/>
            <family val="2"/>
            <charset val="238"/>
          </rPr>
          <t>bambas:</t>
        </r>
        <r>
          <rPr>
            <sz val="9"/>
            <color indexed="81"/>
            <rFont val="Tahoma"/>
            <family val="2"/>
            <charset val="238"/>
          </rPr>
          <t xml:space="preserve">
Tekući račun (prosjek zadnja 4 kvartala)</t>
        </r>
      </text>
    </comment>
    <comment ref="I2" authorId="1" shapeId="0">
      <text>
        <r>
          <rPr>
            <b/>
            <sz val="9"/>
            <color indexed="81"/>
            <rFont val="Tahoma"/>
            <family val="2"/>
            <charset val="238"/>
          </rPr>
          <t>bambas:</t>
        </r>
        <r>
          <rPr>
            <sz val="9"/>
            <color indexed="81"/>
            <rFont val="Tahoma"/>
            <family val="2"/>
            <charset val="238"/>
          </rPr>
          <t xml:space="preserve">
Međunarodne pričuve iz platne bilance (prosjek zadnja 4 kvartala)</t>
        </r>
      </text>
    </comment>
    <comment ref="J2" authorId="1" shapeId="0">
      <text>
        <r>
          <rPr>
            <b/>
            <sz val="9"/>
            <color indexed="81"/>
            <rFont val="Tahoma"/>
            <family val="2"/>
            <charset val="238"/>
          </rPr>
          <t>bambas:</t>
        </r>
        <r>
          <rPr>
            <sz val="9"/>
            <color indexed="81"/>
            <rFont val="Tahoma"/>
            <family val="2"/>
            <charset val="238"/>
          </rPr>
          <t xml:space="preserve">
Tekući račun (prosjek zadnja 4 kvartala)</t>
        </r>
      </text>
    </comment>
    <comment ref="N2" authorId="0" shapeId="0">
      <text>
        <r>
          <rPr>
            <sz val="11"/>
            <color theme="1"/>
            <rFont val="Arial"/>
            <family val="2"/>
            <charset val="238"/>
          </rPr>
          <t>======
ID#AAAAJgo0oEc
bambas    (2020-05-06 12:31:32)
eur/hrk tečaj (prosjek zadnja 4 kvartala)</t>
        </r>
      </text>
    </comment>
  </commentList>
  <extLst>
    <ext xmlns:r="http://schemas.openxmlformats.org/officeDocument/2006/relationships" uri="GoogleSheetsCustomDataVersion1">
      <go:sheetsCustomData xmlns:go="http://customooxmlschemas.google.com/" r:id="rId1" roundtripDataSignature="AMtx7mjXSv2Lpk//ifMWAk0RojOf7TTZfQ=="/>
    </ext>
  </extLst>
</comments>
</file>

<file path=xl/comments8.xml><?xml version="1.0" encoding="utf-8"?>
<comments xmlns="http://schemas.openxmlformats.org/spreadsheetml/2006/main">
  <authors>
    <author>Ime i prezime</author>
  </authors>
  <commentList>
    <comment ref="C1" authorId="0" shapeId="0">
      <text>
        <r>
          <rPr>
            <b/>
            <sz val="9"/>
            <color indexed="81"/>
            <rFont val="Tahoma"/>
            <family val="2"/>
            <charset val="238"/>
          </rPr>
          <t xml:space="preserve">Ime i prezime:
</t>
        </r>
        <r>
          <rPr>
            <sz val="9"/>
            <color indexed="81"/>
            <rFont val="Tahoma"/>
            <family val="2"/>
            <charset val="238"/>
          </rPr>
          <t>Cijena na početku mjeseca</t>
        </r>
      </text>
    </comment>
    <comment ref="D1" authorId="0" shapeId="0">
      <text>
        <r>
          <rPr>
            <b/>
            <sz val="9"/>
            <color indexed="81"/>
            <rFont val="Tahoma"/>
            <family val="2"/>
            <charset val="238"/>
          </rPr>
          <t>Ime i prezime:</t>
        </r>
        <r>
          <rPr>
            <sz val="9"/>
            <color indexed="81"/>
            <rFont val="Tahoma"/>
            <family val="2"/>
            <charset val="238"/>
          </rPr>
          <t xml:space="preserve">
Maksimalna postignuta cijena u mjesecu</t>
        </r>
      </text>
    </comment>
    <comment ref="E1" authorId="0" shapeId="0">
      <text>
        <r>
          <rPr>
            <b/>
            <sz val="9"/>
            <color indexed="81"/>
            <rFont val="Tahoma"/>
            <family val="2"/>
            <charset val="238"/>
          </rPr>
          <t>Ime i prezime:</t>
        </r>
        <r>
          <rPr>
            <sz val="9"/>
            <color indexed="81"/>
            <rFont val="Tahoma"/>
            <family val="2"/>
            <charset val="238"/>
          </rPr>
          <t xml:space="preserve">
Minimalna ostvarena cijena u mjesecu</t>
        </r>
      </text>
    </comment>
    <comment ref="F1" authorId="0" shapeId="0">
      <text>
        <r>
          <rPr>
            <b/>
            <sz val="9"/>
            <color indexed="81"/>
            <rFont val="Tahoma"/>
            <family val="2"/>
            <charset val="238"/>
          </rPr>
          <t>Ime i prezime:</t>
        </r>
        <r>
          <rPr>
            <sz val="9"/>
            <color indexed="81"/>
            <rFont val="Tahoma"/>
            <family val="2"/>
            <charset val="238"/>
          </rPr>
          <t xml:space="preserve">
Prosječna vrijednost svih dnevnih zadnja cijena </t>
        </r>
      </text>
    </comment>
    <comment ref="G1" authorId="0" shapeId="0">
      <text>
        <r>
          <rPr>
            <b/>
            <sz val="9"/>
            <color indexed="81"/>
            <rFont val="Tahoma"/>
            <family val="2"/>
            <charset val="238"/>
          </rPr>
          <t>Ime i prezime:</t>
        </r>
        <r>
          <rPr>
            <sz val="9"/>
            <color indexed="81"/>
            <rFont val="Tahoma"/>
            <family val="2"/>
            <charset val="238"/>
          </rPr>
          <t xml:space="preserve">
Zadnja cijena u mjesecu</t>
        </r>
      </text>
    </comment>
    <comment ref="H1" authorId="0" shapeId="0">
      <text>
        <r>
          <rPr>
            <b/>
            <sz val="9"/>
            <color indexed="81"/>
            <rFont val="Tahoma"/>
            <family val="2"/>
            <charset val="238"/>
          </rPr>
          <t>Ime i prezime:</t>
        </r>
        <r>
          <rPr>
            <sz val="9"/>
            <color indexed="81"/>
            <rFont val="Tahoma"/>
            <family val="2"/>
            <charset val="238"/>
          </rPr>
          <t xml:space="preserve">
Maksimum svih dnevnih promjena cijena</t>
        </r>
      </text>
    </comment>
    <comment ref="I1" authorId="0" shapeId="0">
      <text>
        <r>
          <rPr>
            <b/>
            <sz val="9"/>
            <color indexed="81"/>
            <rFont val="Tahoma"/>
            <family val="2"/>
            <charset val="238"/>
          </rPr>
          <t>Ime i prezime:</t>
        </r>
        <r>
          <rPr>
            <sz val="9"/>
            <color indexed="81"/>
            <rFont val="Tahoma"/>
            <family val="2"/>
            <charset val="238"/>
          </rPr>
          <t xml:space="preserve">
Minimum svih dnevnih promjena cijena</t>
        </r>
      </text>
    </comment>
    <comment ref="J1" authorId="0" shapeId="0">
      <text>
        <r>
          <rPr>
            <b/>
            <sz val="9"/>
            <color indexed="81"/>
            <rFont val="Tahoma"/>
            <family val="2"/>
            <charset val="238"/>
          </rPr>
          <t>Ime i prezime:</t>
        </r>
        <r>
          <rPr>
            <sz val="9"/>
            <color indexed="81"/>
            <rFont val="Tahoma"/>
            <family val="2"/>
            <charset val="238"/>
          </rPr>
          <t xml:space="preserve">
Ukupni ostvareni promjet u mjesecu</t>
        </r>
      </text>
    </comment>
  </commentList>
</comments>
</file>

<file path=xl/sharedStrings.xml><?xml version="1.0" encoding="utf-8"?>
<sst xmlns="http://schemas.openxmlformats.org/spreadsheetml/2006/main" count="3301" uniqueCount="1337">
  <si>
    <t>OLS 1998-2019</t>
  </si>
  <si>
    <t>Dragica modeli</t>
  </si>
  <si>
    <t>primjer na scenariju 1</t>
  </si>
  <si>
    <t>Model izbora:</t>
  </si>
  <si>
    <t>unemp_q2</t>
  </si>
  <si>
    <t>Scenarij 1</t>
  </si>
  <si>
    <t>Scenarij 2</t>
  </si>
  <si>
    <t>Scenarij 3</t>
  </si>
  <si>
    <t>Odabran je q2 model</t>
  </si>
  <si>
    <t>datum</t>
  </si>
  <si>
    <t>bdp</t>
  </si>
  <si>
    <t>dbdp_r</t>
  </si>
  <si>
    <t>unemp</t>
  </si>
  <si>
    <t>dunemp</t>
  </si>
  <si>
    <t>mdl_unemp</t>
  </si>
  <si>
    <t>unemp_q1</t>
  </si>
  <si>
    <t>unemp_q3</t>
  </si>
  <si>
    <t>OLS '98-'19</t>
  </si>
  <si>
    <t>Prosjek</t>
  </si>
  <si>
    <t>OLS '00-'19</t>
  </si>
  <si>
    <t>OLS '08-'19</t>
  </si>
  <si>
    <t>dbdp_r - desno</t>
  </si>
  <si>
    <t>S1</t>
  </si>
  <si>
    <t>S2</t>
  </si>
  <si>
    <t>S3</t>
  </si>
  <si>
    <t>Aktivno stanovništvo</t>
  </si>
  <si>
    <t>Administrativni izvori</t>
  </si>
  <si>
    <t>Broj zaposlenih (u 000)</t>
  </si>
  <si>
    <t>razina1</t>
  </si>
  <si>
    <t>razina2</t>
  </si>
  <si>
    <t>razina3</t>
  </si>
  <si>
    <t>razina4</t>
  </si>
  <si>
    <t>iznos</t>
  </si>
  <si>
    <t>ponder</t>
  </si>
  <si>
    <t>umanjenje</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</si>
  <si>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</si>
  <si>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</si>
  <si>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</si>
  <si>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</si>
  <si>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</si>
  <si>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</si>
  <si>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</si>
  <si>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</si>
  <si>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</si>
  <si>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</si>
  <si>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</si>
  <si>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</si>
  <si>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</si>
  <si>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</si>
  <si>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</si>
  <si>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</si>
  <si>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</si>
  <si>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</si>
  <si>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</si>
  <si>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</si>
  <si>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</si>
  <si>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</si>
  <si>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</si>
  <si>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Ponder umanjenja</t>
  </si>
  <si>
    <t xml:space="preserve">A </t>
  </si>
  <si>
    <t>Poljoprivreda, šumarstvo i ribarstvo</t>
  </si>
  <si>
    <t>Efektivna porezna stopa %</t>
  </si>
  <si>
    <t>B. RUDARSTVO I VAĐENJE</t>
  </si>
  <si>
    <t>6. Vađenje sirove nafte i prirodnog plina</t>
  </si>
  <si>
    <t>6.2. Vađenje prirodnog plina</t>
  </si>
  <si>
    <t>A</t>
  </si>
  <si>
    <t>7. Vađenje metalnih ruda</t>
  </si>
  <si>
    <t>8.1. Vađenje kamena, pijeska i gline</t>
  </si>
  <si>
    <t>8.11. Vađenje ukrasnoga kamena i kamena za gradnju, vapnenca, gipsa, krede i škriljevca</t>
  </si>
  <si>
    <t>B</t>
  </si>
  <si>
    <t>Rudarstvo i vađenje</t>
  </si>
  <si>
    <t>NKD 2007</t>
  </si>
  <si>
    <t>8.12. Djelatnosti šljunčara i pješčara; vađenje gline i kaolina</t>
  </si>
  <si>
    <t>C</t>
  </si>
  <si>
    <t>Proizvodnja prehrambenih proizvoda</t>
  </si>
  <si>
    <t>Prerađivačka industrija</t>
  </si>
  <si>
    <t>8.9. Rudarstvo i vađenje, d. n.</t>
  </si>
  <si>
    <t>8.93. Vađenje soli</t>
  </si>
  <si>
    <t>D</t>
  </si>
  <si>
    <t>Opskrba električnom energijom, plinom, parom i klimatizacija</t>
  </si>
  <si>
    <t>Proizvodnja pića</t>
  </si>
  <si>
    <t>8.99. Vađenje ostalih ruda i kamena, d. n.</t>
  </si>
  <si>
    <t>Proizvodnja duhanskih proizvoda</t>
  </si>
  <si>
    <t>E</t>
  </si>
  <si>
    <t>Opskrba vodom; uklanjanje otpadnih voda, gospodarenje otpadom te djelatnosti sanacije okoliša</t>
  </si>
  <si>
    <t>9. Pomoćne uslužne djelatnosti u rudarstvu</t>
  </si>
  <si>
    <t>9.1. Pomoćne djelatnosti za vađenje nafte i prirodnog plina</t>
  </si>
  <si>
    <t>Proizvodnja tekstila</t>
  </si>
  <si>
    <t>F</t>
  </si>
  <si>
    <t>Građevinarstvo</t>
  </si>
  <si>
    <t>9.9. Pomoćne djelatnosti za ostalo rudarstvo i vađenje</t>
  </si>
  <si>
    <t>Proizvodnja odjeće</t>
  </si>
  <si>
    <t>G</t>
  </si>
  <si>
    <t>Trgovina na veliko i na malo; popravak motornih vozila i motocikala</t>
  </si>
  <si>
    <t>Opskrba vodom; uklanjanje otpadnih voda,  gospodarenje otpadom te djelatnosti sanacije i okoliša</t>
  </si>
  <si>
    <t>C. PRERAĐIVAČKA INDUSTRIJA</t>
  </si>
  <si>
    <t>10. Proizvodnja prehrambenih proizvoda</t>
  </si>
  <si>
    <t>10.1. Prerada i konzerviranje mesa i proizvodnja mesnih proizvoda</t>
  </si>
  <si>
    <t>10.11. Prerada i konzerviranje mesa</t>
  </si>
  <si>
    <t>Proizvodnja kože i srodnih proizvoda</t>
  </si>
  <si>
    <t>H</t>
  </si>
  <si>
    <t>Prijevoz i skladištenje</t>
  </si>
  <si>
    <t>10.12. Prerada i konzerviranje mesa peradi</t>
  </si>
  <si>
    <t>Prerada drva i proizvoda od drva i pluta, osim namještaja; proizvodnja proizvoda od slame i pletarskih materijala</t>
  </si>
  <si>
    <t>Trgovina na veliko i malo; popravak motornih vozila i motocikala</t>
  </si>
  <si>
    <t>I</t>
  </si>
  <si>
    <t>Djelatnosti pružanja smještaja te pripreme i usluživanja hrane</t>
  </si>
  <si>
    <t>10.13. Proizvodnja proizvoda od mesa i mesa peradi</t>
  </si>
  <si>
    <t>Proizvodnja papira i proizvoda od
papira</t>
  </si>
  <si>
    <t>10.2. Prerada i konzerviranje riba, rakova i školjki</t>
  </si>
  <si>
    <t>Tiskanje i umnožavanje snimljenih zapisa</t>
  </si>
  <si>
    <t>J</t>
  </si>
  <si>
    <t>Informacije i komunikacije</t>
  </si>
  <si>
    <t>10.3. Prerada i konzerviranje voća i povrća</t>
  </si>
  <si>
    <t>10.39. Ostala prerada i konzerviranje voća i povrća</t>
  </si>
  <si>
    <t>Proizvodnja koksa i rafiniranih naftnih proizvoda</t>
  </si>
  <si>
    <t>K</t>
  </si>
  <si>
    <t>Financijske djelatnosti i djelatnosti osiguranja</t>
  </si>
  <si>
    <t>10.41. Proizvodnja ulja i masti</t>
  </si>
  <si>
    <t>Proizvodnja kemikalija i kemijskih proizvoda</t>
  </si>
  <si>
    <t>L</t>
  </si>
  <si>
    <t>Poslovanje nekretninama</t>
  </si>
  <si>
    <t>10.7. Proizvodnja pekarskih i brašneno-konditorskih proizvoda</t>
  </si>
  <si>
    <t>10.71. Proizvodnja kruha; proizvodnja svježih peciva, slastičarskih proizvoda i kolača</t>
  </si>
  <si>
    <t>Proizvodnja osnovnih farmaceutskih proizvoda i farmaceutskih pripravaka</t>
  </si>
  <si>
    <t>10.72. Proizvodnja dvopeka, keksa i srodnih proizvoda; proizvodnja trajnih peciva, slastičarskih proizvoda i kolača</t>
  </si>
  <si>
    <t>M</t>
  </si>
  <si>
    <t>Stručne, znanstvene i tehničke djelatnosti</t>
  </si>
  <si>
    <t>Proizvodnja proizvoda od gume i plastike</t>
  </si>
  <si>
    <t>10.73. Proizvodnja makarona, njoka, kuskusa i slične tjestenine</t>
  </si>
  <si>
    <t>Proizvodnja ostalih nemetalnih mineralnih proizvoda</t>
  </si>
  <si>
    <t>N</t>
  </si>
  <si>
    <t>Administrativne i pomoćne uslužne djelatnosti</t>
  </si>
  <si>
    <t>10.8. Proizvodnja ostalih prehrambenih proizvoda</t>
  </si>
  <si>
    <t>10.81. Proizvodnja šećera</t>
  </si>
  <si>
    <t>Proizvodnja metala</t>
  </si>
  <si>
    <t>O</t>
  </si>
  <si>
    <t>Javna uprava i obrana; obvezno socijalno osiguranje</t>
  </si>
  <si>
    <t>10.82. Proizvodnja kakao, čokoladnih i bombonskih proizvoda</t>
  </si>
  <si>
    <t>Proizvodnja gotovih metalnih proizvoda, osim strojeva i opreme</t>
  </si>
  <si>
    <t>P</t>
  </si>
  <si>
    <t>Obrazovanje</t>
  </si>
  <si>
    <t>10.83. Prerada čaja i kave</t>
  </si>
  <si>
    <t>Proizvodnja računala te elektroničkih i optičkih proizvoda</t>
  </si>
  <si>
    <t>Q</t>
  </si>
  <si>
    <t>Djelatnosti zdravstvene zaštite i socijalne skrbi</t>
  </si>
  <si>
    <t>10.85. Proizvodnja gotove hrane i jela</t>
  </si>
  <si>
    <t>Proizvodnja električne opreme</t>
  </si>
  <si>
    <t>R</t>
  </si>
  <si>
    <t>Umjetnost, zabava i rekreacija</t>
  </si>
  <si>
    <t>10.89. Proizvodnja ostalih prehrambenih proizvoda, d. n.</t>
  </si>
  <si>
    <t>Proizvodnja strojeva i uređaja, d. n.</t>
  </si>
  <si>
    <t>S</t>
  </si>
  <si>
    <t>Ostale uslužne djelatnosti</t>
  </si>
  <si>
    <t>10.9. Proizvodnja pripremljene hrane za životinje</t>
  </si>
  <si>
    <t>10.91. Proizvodnja pripremljene stočne hrane</t>
  </si>
  <si>
    <t>Proizvodnja motornih vozila,
prikolica i poluprikolica</t>
  </si>
  <si>
    <t>T</t>
  </si>
  <si>
    <t>Djelatnosti kućanstava kao poslodavaca; djelatnosti kućanstava koja proizvode različitu robu i obavljaju različite usluge za vlastite potrebe</t>
  </si>
  <si>
    <t>10.92. Proizvodnja pripremljene hrane za kućne ljubimce</t>
  </si>
  <si>
    <t>Proizvodnja ostalih prijevoznih
sredstava</t>
  </si>
  <si>
    <t xml:space="preserve"> BRUTO DODANA VRIJEDNOST (BAZIČNE CIJENE)</t>
  </si>
  <si>
    <r>
      <t>Zaposleni u obrtu i slobodnim profesijama</t>
    </r>
    <r>
      <rPr>
        <vertAlign val="superscript"/>
        <sz val="9"/>
        <color theme="1"/>
        <rFont val="Arial"/>
        <family val="2"/>
        <charset val="238"/>
      </rPr>
      <t>2)</t>
    </r>
  </si>
  <si>
    <t>11. Proizvodnja pića</t>
  </si>
  <si>
    <t>11.02. Proizvodnja vina od grožđa</t>
  </si>
  <si>
    <t>Proizvodnja namještaja</t>
  </si>
  <si>
    <t>11.03. Proizvodnja jabukovače i ostalih voćnih vina</t>
  </si>
  <si>
    <t>Ostala prerađivačka industrija</t>
  </si>
  <si>
    <r>
      <t>Zaposleni osiguranici poljoprivrednici</t>
    </r>
    <r>
      <rPr>
        <vertAlign val="superscript"/>
        <sz val="9"/>
        <color theme="1"/>
        <rFont val="Arial"/>
        <family val="2"/>
        <charset val="238"/>
      </rPr>
      <t>2)</t>
    </r>
  </si>
  <si>
    <t>11.05. Proizvodnja piva</t>
  </si>
  <si>
    <t>Popravak i instaliranje strojeva
i opreme</t>
  </si>
  <si>
    <t>Kvartalne stope rasta (yoy)</t>
  </si>
  <si>
    <t>11.07. Proizvodnja osvježavajućih napitaka; proizvodnja mineralne i drugih flaširanih voda</t>
  </si>
  <si>
    <t>Ukupno zaposleni</t>
  </si>
  <si>
    <t>BDV</t>
  </si>
  <si>
    <t>Porez</t>
  </si>
  <si>
    <t>BDP</t>
  </si>
  <si>
    <t>13. Proizvodnja tekstila</t>
  </si>
  <si>
    <t>13.1. Priprema i predenje tekstilnih vlakana</t>
  </si>
  <si>
    <t>Opskrba vodom; uklanjanje otpadnih
voda, gospodarenje otpadom te djelatnosti sanacije okoliša</t>
  </si>
  <si>
    <t>13.2. Tkanje tekstila</t>
  </si>
  <si>
    <t>13.3. Dovršavanje tekstila</t>
  </si>
  <si>
    <t>Trgovina na veliko i na malo; popravak motornih vozila i motocikla</t>
  </si>
  <si>
    <t>broj nezaposlenih</t>
  </si>
  <si>
    <t>13.9. Proizvodnja ostalog tekstila</t>
  </si>
  <si>
    <t>13.91. Proizvodnja pletenih i kukičanih tkanina</t>
  </si>
  <si>
    <t>Model</t>
  </si>
  <si>
    <t>kvota nezaposlenosti</t>
  </si>
  <si>
    <t>13.92. Proizvodnja gotovih tekstilnih proizvoda, osim odjeće</t>
  </si>
  <si>
    <t>Estimate</t>
  </si>
  <si>
    <t>Std. Error</t>
  </si>
  <si>
    <t>t value</t>
  </si>
  <si>
    <t>Pr(&gt;|t|)</t>
  </si>
  <si>
    <t>(Intercept)</t>
  </si>
  <si>
    <t>***</t>
  </si>
  <si>
    <t>13.93. Proizvodnja tepiha i sagova</t>
  </si>
  <si>
    <t>13.94. Proizvodnja užadi, konopaca, upletenoga konca i mreža</t>
  </si>
  <si>
    <t>13.95. Proizvodnja netkanog tekstila i proizvoda od netkanog tekstila, osim odjeće</t>
  </si>
  <si>
    <t>13.96. Proizvodnja ostaloga tehničkog i industrijskog tekstila</t>
  </si>
  <si>
    <t>13.99. Proizvodnja ostalog tekstila, d. n.</t>
  </si>
  <si>
    <t>Administrativne i pomoćne uslužne
djelatnosti</t>
  </si>
  <si>
    <t>14. Proizvodnja odjeće</t>
  </si>
  <si>
    <t>14.1. Proizvodnja odjeće, osim krznene odjeće</t>
  </si>
  <si>
    <t>14.11. Proizvodnja kožne odjeće</t>
  </si>
  <si>
    <t>Javna uprava i obrana; obvezno
socijalno osiguranje</t>
  </si>
  <si>
    <t>14.12. Proizvodnja radne odjeće</t>
  </si>
  <si>
    <t>Verzija Q1</t>
  </si>
  <si>
    <t>Verzija Q2</t>
  </si>
  <si>
    <t>Verzija Q3</t>
  </si>
  <si>
    <t>14.13. Proizvodnja ostale vanjske odjeće</t>
  </si>
  <si>
    <t>Djelatnosti zdravstvene zaštite i
socijalne skrbi</t>
  </si>
  <si>
    <t>14.14. Proizvodnja rublja</t>
  </si>
  <si>
    <t>14.19. Proizvodnja ostale odjeće i pribora za odjeću</t>
  </si>
  <si>
    <t>14.2. Proizvodnja proizvoda od krzna</t>
  </si>
  <si>
    <t>Djelatnosti kućanstava kao poslodavaca; djelatnosti kućanstava koje proizvode različitu robu i pružaju različite usluge za vlastite potrebe</t>
  </si>
  <si>
    <t>14.3. Proizvodnja pletene i kukičane odjeće</t>
  </si>
  <si>
    <t>14.31. Proizvodnja pletenih i kukičanih čarapa</t>
  </si>
  <si>
    <t>U</t>
  </si>
  <si>
    <t>Djelatnosti izvanteritorijalnih
organizacija i tijela</t>
  </si>
  <si>
    <t>-</t>
  </si>
  <si>
    <t>14.39. Proizvodnja ostale pletene i kukičane odjeće</t>
  </si>
  <si>
    <t>Bruto dodana vrijednost
(bazične cijene)</t>
  </si>
  <si>
    <t>15. Proizvodnja kože i srodnih proizvoda</t>
  </si>
  <si>
    <t>15.1. Štavljenje i obrada kože; proizvodnja putnih i ručnih torba, sedlarskih i remenarskih proizvoda; dorada i bojenje krzna</t>
  </si>
  <si>
    <t>15.11. Štavljenje i obrada kože; dorada i bojenje krzna</t>
  </si>
  <si>
    <t>Porezi na proizvode minus subvencije
na proizvode</t>
  </si>
  <si>
    <t>15.12. Proizvodnja putnih i ručnih torba i slično, sedlarskih i remenarskih proizvoda</t>
  </si>
  <si>
    <t>Bruto domaći proizvod (tržišne cijene)</t>
  </si>
  <si>
    <t>15.2. Proizvodnja obuće</t>
  </si>
  <si>
    <t>16. Prerada drva i proizvoda od drva i pluta, osim namještaja; proizvodnja proizvoda od slame i pletarskih materijala</t>
  </si>
  <si>
    <t>16.1. Piljenje i blanjanje drva</t>
  </si>
  <si>
    <t>16.2. Proizvodnja proizvoda od drva, pluta, slame i pletarskih materijala</t>
  </si>
  <si>
    <t>16.21. Proizvodnja furnira i ostalih ploča od drva</t>
  </si>
  <si>
    <t>16.22. Proizvodnja sastavljenog parketa</t>
  </si>
  <si>
    <t>16.23. Proizvodnja ostale građevne stolarije i elemenata</t>
  </si>
  <si>
    <t>16.24. Proizvodnja ambalaže od drva</t>
  </si>
  <si>
    <t>16.29. Proizvodnja ostalih proizvoda od drva, proizvoda od pluta, slame i pletarskih materijala</t>
  </si>
  <si>
    <t>17. Proizvodnja papira i proizvoda od papira</t>
  </si>
  <si>
    <t>17.2. Proizvodnja proizvoda od papira i kartona</t>
  </si>
  <si>
    <t>17.21. Proizvodnja valovitog papira i kartona te ambalaže od papira i kartona</t>
  </si>
  <si>
    <t>Stanje</t>
  </si>
  <si>
    <t>17.22. Proizvodnja robe za kućanstvo i higijenu te toaletnih potrepština od papira</t>
  </si>
  <si>
    <t>Poljoprivreda</t>
  </si>
  <si>
    <t>17.29. Proizvodnja ostalih proizvoda od papira i kartona</t>
  </si>
  <si>
    <t>Industrija</t>
  </si>
  <si>
    <t>18. Tiskanje i umnožavanje snimljenih zapisa</t>
  </si>
  <si>
    <t>18.1. Tiskanje i uslužne djelatnosti povezane s tiskanjem</t>
  </si>
  <si>
    <t>18.11. Tiskanje novina</t>
  </si>
  <si>
    <t>Građevina</t>
  </si>
  <si>
    <t>18.12. Ostalo tiskanje</t>
  </si>
  <si>
    <t>Trgovina</t>
  </si>
  <si>
    <t>18.13. Usluge pripreme za tisak i objavljivanje</t>
  </si>
  <si>
    <t>Usluge</t>
  </si>
  <si>
    <t>18.14. Knjigoveške i srodne usluge</t>
  </si>
  <si>
    <t>Financije</t>
  </si>
  <si>
    <t>18.2. Umnožavanje snimljenih zapisa</t>
  </si>
  <si>
    <t>Promet nekretninama</t>
  </si>
  <si>
    <t>20. Proizvodnja kemikalija i kemijskih proizvoda</t>
  </si>
  <si>
    <t>20.1. Proizvodnja osnovnih kemikalija, gnojiva i dušičnih spojeva, plastike i sintetičkoga kaučuka u primarnim oblicima</t>
  </si>
  <si>
    <t>20.11. Proizvodnja industrijskih plinova</t>
  </si>
  <si>
    <t>Javne usluge</t>
  </si>
  <si>
    <t>20.12. Proizvodnja koloranata i pigmenata</t>
  </si>
  <si>
    <t>Ukupno</t>
  </si>
  <si>
    <t>20.13. Proizvodnja ostalih anorganskih osnovnih kemikalija</t>
  </si>
  <si>
    <t>20.14. Proizvodnja ostalih organskih osnovnih kemikalija</t>
  </si>
  <si>
    <t>Doprinosi</t>
  </si>
  <si>
    <t>20.3. Proizvodnja boja, lakova i sličnih premaza, grafičkih boja i kitova</t>
  </si>
  <si>
    <t>20.4. Proizvodnja sapuna i deterdženata, sredstava za čišćenje i poliranje, parfema i toaletno-kozmetičkih preparata</t>
  </si>
  <si>
    <t>20.41. Proizvodnja sapuna i deterdženata, sredstava za čišćenje i poliranje</t>
  </si>
  <si>
    <t>20.42. Proizvodnja parfema i toaletno-kozmetičkih preparata</t>
  </si>
  <si>
    <t>20.5. Proizvodnja ostalih kemijskih proizvoda</t>
  </si>
  <si>
    <t>20.52. Proizvodnja ljepila</t>
  </si>
  <si>
    <t>20.53. Proizvodnja eteričnih ulja</t>
  </si>
  <si>
    <t>20.59. Proizvodnja ostalih kemijskih proizvoda, d. n.</t>
  </si>
  <si>
    <t>dwage</t>
  </si>
  <si>
    <t>infl</t>
  </si>
  <si>
    <t>dprod</t>
  </si>
  <si>
    <t>Broj zaposlenih</t>
  </si>
  <si>
    <t>Nominalni BDP</t>
  </si>
  <si>
    <t>Produktivnost</t>
  </si>
  <si>
    <t>21. Proizvodnja osnovnih farmaceutskih proizvoda i farmaceutskih pripravaka</t>
  </si>
  <si>
    <t>21.2. Proizvodnja farmaceutskih pripravaka</t>
  </si>
  <si>
    <t>22. Proizvodnja proizvoda od gume i plastike</t>
  </si>
  <si>
    <t>22.1. Proizvodnja proizvoda od gume</t>
  </si>
  <si>
    <t>22.11. Proizvodnja vanjskih i unutrašnjih guma za vozila; protektiranje vanjskih guma</t>
  </si>
  <si>
    <t>22.19. Proizvodnja ostalih proizvoda od gume</t>
  </si>
  <si>
    <t>22.2. Proizvodnja proizvoda od plastike</t>
  </si>
  <si>
    <t>22.21. Proizvodnja ploča, listova, cijevi i profila od plastike</t>
  </si>
  <si>
    <t>22.22. Proizvodnja ambalaže od plastike</t>
  </si>
  <si>
    <t>22.23. Proizvodnja proizvoda od plastike za građevinarstvo</t>
  </si>
  <si>
    <t>22.29. Proizvodnja ostalih proizvoda od plastike</t>
  </si>
  <si>
    <t>23. Proizvodnja ostalih nemetalnih mineralnih proizvoda</t>
  </si>
  <si>
    <t>23.1. Proizvodnja stakla i proizvoda od stakla</t>
  </si>
  <si>
    <t>23.12. Oblikovanje i obrada ravnog stakla</t>
  </si>
  <si>
    <t>23.19. Proizvodnja i obrada ostalog stakla uključujući tehničku robu od stakla</t>
  </si>
  <si>
    <t>23.2. Proizvodnja vatrostalnih proizvoda</t>
  </si>
  <si>
    <t>23.4. Proizvodnja ostalih proizvoda od porculana i keramike</t>
  </si>
  <si>
    <t>23.41. Proizvodnja keramičkih proizvoda za kućanstvo i ukrasnih predmeta</t>
  </si>
  <si>
    <t>23.49. Proizvodnja ostalih proizvoda od keramike</t>
  </si>
  <si>
    <t>23.5. Proizvodnja cementa, vapna i gipsa</t>
  </si>
  <si>
    <t>23.51. Proizvodnja cementa</t>
  </si>
  <si>
    <t>23.52. Proizvodnja vapna i gipsa</t>
  </si>
  <si>
    <t>23.6. Proizvodnja proizvoda od betona, cementa i gipsa</t>
  </si>
  <si>
    <t>23.61. Proizvodnja proizvoda od betona za građevinarstvo</t>
  </si>
  <si>
    <t>23.62. Proizvodnja proizvoda od gipsa za građevinarstvo</t>
  </si>
  <si>
    <t>23.63. Proizvodnja gotove betonske smjese</t>
  </si>
  <si>
    <t>23.64. Proizvodnja žbuke</t>
  </si>
  <si>
    <t>23.69. Proizvodnja ostalih proizvoda od betona, cementa i gipsa</t>
  </si>
  <si>
    <t>23.7. Rezanje, oblikovanje i obrada kamena</t>
  </si>
  <si>
    <t>23.9. Proizvodnja brusnih proizvoda i nemetalnih mineralnih proizvoda, d. n.</t>
  </si>
  <si>
    <t>23.91. Proizvodnja brusnih proizvoda</t>
  </si>
  <si>
    <t>23.99. Proizvodnja ostalih nemetalnih mineralnih proizvoda, d. n.</t>
  </si>
  <si>
    <t>24. Proizvodnja metala</t>
  </si>
  <si>
    <t>24.1. Proizvodnja sirovog željeza, čelika i ferolegura</t>
  </si>
  <si>
    <t>24.2. Proizvodnja čeličnih cijevi i pribora</t>
  </si>
  <si>
    <t>24.3. Proizvodnja ostalih proizvoda primarne prerade čelika</t>
  </si>
  <si>
    <t>24.33. Hladno oblikovanje i profiliranje</t>
  </si>
  <si>
    <t>24.4. Proizvodnja plemenitih i ostalih obojenih metala</t>
  </si>
  <si>
    <t>24.42. Proizvodnja aluminija</t>
  </si>
  <si>
    <t>24.5. Lijevanje metala</t>
  </si>
  <si>
    <t>24.51. Lijevanje željeza</t>
  </si>
  <si>
    <t>24.53. Lijevanje lakih metala</t>
  </si>
  <si>
    <t>25. Proizvodnja gotovih metalnih proizvoda, osim strojeva i opreme</t>
  </si>
  <si>
    <t>25.1. Proizvodnja metalnih konstrukcija</t>
  </si>
  <si>
    <t>25.11. Proizvodnja metalnih konstrukcija i njihovih dijelova</t>
  </si>
  <si>
    <t>25.12. Proizvodnja vrata i prozora od metala</t>
  </si>
  <si>
    <t>25.2. Proizvodnja metalnih cisterni, rezervoara i sličnih posuda</t>
  </si>
  <si>
    <t>25.21. Proizvodnja radijatora i kotlova za centralno grijanje</t>
  </si>
  <si>
    <t>25.29. Proizvodnja ostalih metalnih cisterni, rezervoara i sličnih posuda</t>
  </si>
  <si>
    <t>25.3. Proizvodnja parnih kotlova, osim kotlova za centralno grijanje toplom vodom</t>
  </si>
  <si>
    <t>25.6. Obrada i prevlačenje metala; strojna obrada metala</t>
  </si>
  <si>
    <t>25.61. Obrada i prevlačenje metala</t>
  </si>
  <si>
    <t>25.62. Strojna obrada metala</t>
  </si>
  <si>
    <t>25.7. Proizvodnja sječiva, alata i opće željezne robe</t>
  </si>
  <si>
    <t>25.71. Proizvodnja sječiva</t>
  </si>
  <si>
    <t>25.72. Proizvodnja brava i okova</t>
  </si>
  <si>
    <t>25.73. Proizvodnja alata</t>
  </si>
  <si>
    <t>25.9. Proizvodnja ostalih gotovih proizvoda od metala</t>
  </si>
  <si>
    <t>25.91. Proizvodnja čeličnih bačava i sličnih posuda</t>
  </si>
  <si>
    <t>25.92. Proizvodnja ambalaže od lakih metala</t>
  </si>
  <si>
    <t>25.93. Proizvodnja proizvoda od žice, lanaca i opruga</t>
  </si>
  <si>
    <t>25.94. Proizvodnja zakovica i vijčane robe</t>
  </si>
  <si>
    <t>25.99. Proizvodnja ostalih gotovih proizvoda od metala, d. n.</t>
  </si>
  <si>
    <t>26. Proizvodnja računala te elektroničkih i optičkih proizvoda</t>
  </si>
  <si>
    <t>26.1. Proizvodnja elektroničkih komponenata i ploča</t>
  </si>
  <si>
    <t>26.11. Proizvodnja elektroničkih komponenata</t>
  </si>
  <si>
    <t>Ukupni godišnji pad</t>
  </si>
  <si>
    <t>26.12. Proizvodnja punih elektroničkih ploča</t>
  </si>
  <si>
    <t>Q1 doprinos</t>
  </si>
  <si>
    <t>26.2. Proizvodnja računala i periferne opreme</t>
  </si>
  <si>
    <t>Q2 doprinos</t>
  </si>
  <si>
    <t>26.5. Proizvodnja instrumenata i aparata za mjerenje, ispitivanje i navigaciju; proizvodnja satova</t>
  </si>
  <si>
    <t>26.51. Proizvodnja instrumenata i aparata za mjerenje,  ispitivanje i navigaciju</t>
  </si>
  <si>
    <t>Q3 doprinos</t>
  </si>
  <si>
    <t>26.52. Proizvodnja satova</t>
  </si>
  <si>
    <t>Q4 doprinos</t>
  </si>
  <si>
    <t>26.6. Proizvodnja opreme za zračenje, elektromedicinske i elektroterapeutske opreme</t>
  </si>
  <si>
    <t>27. Proizvodnja električne opreme</t>
  </si>
  <si>
    <t>27.1. Proizvodnja elektromotora, generatora, transformatora te uređaja za distribuciju i kontrolu električne energije</t>
  </si>
  <si>
    <t>27.11. Proizvodnja elektromotora, generatora i transformatora</t>
  </si>
  <si>
    <t>27.12. Proizvodnja uređaja za distribuciju i kontrolu električne energije</t>
  </si>
  <si>
    <t>27.2. Proizvodnja baterija i akumulatora</t>
  </si>
  <si>
    <t>27.3. Proizvodnja žice i elektroinstalacijskog materijala</t>
  </si>
  <si>
    <t>27.32. Proizvodnja ostalih elektroničkih i električnih žica i kablova</t>
  </si>
  <si>
    <t>27.33. Proizvodnja elektroinstalacijskog materijala</t>
  </si>
  <si>
    <t>27.4. Proizvodnja električne opreme za rasvjetu</t>
  </si>
  <si>
    <t>27.5. Proizvodnja aparata za kućanstvo</t>
  </si>
  <si>
    <t>27.51. Proizvodnja električnih aparata za kućanstvo</t>
  </si>
  <si>
    <t>27.52. Proizvodnja neelektričnih aparata za kućanstvo</t>
  </si>
  <si>
    <t>27.9. Proizvodnja ostale električne opreme</t>
  </si>
  <si>
    <t>28. Proizvodnja strojeva i uređaja, d. n.</t>
  </si>
  <si>
    <t>28.1. Proizvodnja strojeva za opće namjene</t>
  </si>
  <si>
    <t>28.11. Proizvodnja motora i turbina, osim motora za zrakoplove i motorna vozila</t>
  </si>
  <si>
    <t>28.12. Proizvodnja hidrauličnih pogonskih uređaja</t>
  </si>
  <si>
    <t>28.13. Proizvodnja ostalih crpki i kompresora</t>
  </si>
  <si>
    <t>28.14. Proizvodnja ostalih slavina i ventila</t>
  </si>
  <si>
    <t>28.15. Proizvodnja ležajeva, prijenosnika te prijenosnih i pogonskih elemenata</t>
  </si>
  <si>
    <t>28.2. Proizvodnja ostalih strojeva za opće namjene</t>
  </si>
  <si>
    <t>28.21. Proizvodnja peći i plamenika</t>
  </si>
  <si>
    <t>28.22. Proizvodnja uređaja za dizanje i prenošenje</t>
  </si>
  <si>
    <t>28.23. Proizvodnja uredskih strojeva i opreme (osim proizvodnje računala i periferne opreme)</t>
  </si>
  <si>
    <t>28.24. Proizvodnja mehaniziranoga ručnog alata</t>
  </si>
  <si>
    <t>28.25. Proizvodnja rashladne i ventilacijske opreme, osim za kućanstvo</t>
  </si>
  <si>
    <t>28.29. Proizvodnja ostalih strojeva za opće namjene, d. n.</t>
  </si>
  <si>
    <t>28.3. Proizvodnja strojeva za poljoprivredu i šumarstvo</t>
  </si>
  <si>
    <t>28.4. Proizvodnja strojeva za obradu metala i alatnih strojeva</t>
  </si>
  <si>
    <t>28.41. Proizvodnja strojeva za obradu metala</t>
  </si>
  <si>
    <t>28.49. Proizvodnja ostalih alatnih strojeva</t>
  </si>
  <si>
    <t>28.9. Proizvodnja ostalih strojeva za posebne namjene</t>
  </si>
  <si>
    <t>28.91. Proizvodnja strojeva za metalurgiju</t>
  </si>
  <si>
    <t>28.92. Proizvodnja strojeva za rudnike, kamenolome i građevinarstvo</t>
  </si>
  <si>
    <t>28.93. Proizvodnja strojeva za industriju hrane, pića i duhana</t>
  </si>
  <si>
    <t>28.99. Proizvodnja ostalih strojeva za posebne namjene, d. n.</t>
  </si>
  <si>
    <t>29. Proizvodnja motornih vozila, prikolica i poluprikolica</t>
  </si>
  <si>
    <t>29.1. Proizvodnja motornih vozila</t>
  </si>
  <si>
    <t>29.2. Proizvodnja karoserija za motorna vozila, prikolica i poluprikolica</t>
  </si>
  <si>
    <t>29.3. Proizvodnja dijelova i pribora za motorna vozila</t>
  </si>
  <si>
    <t>29.31. Proizvodnja električne i elektroničke opreme za motorna vozila</t>
  </si>
  <si>
    <t>29.32. Proizvodnja ostalih dijelova i pribora za motorna vozila</t>
  </si>
  <si>
    <t>30. Proizvodnja ostalih prijevoznih sredstava</t>
  </si>
  <si>
    <t>30.1. Gradnja brodova i čamaca</t>
  </si>
  <si>
    <t>30.11. Gradnja brodova i plutajućih objekata</t>
  </si>
  <si>
    <t>30.12. Gradnja čamaca za razonodu i sportskih čamaca</t>
  </si>
  <si>
    <t>30.2. Proizvodnja željezničkih lokomotiva i tračničkih vozila</t>
  </si>
  <si>
    <t>30.3. Proizvodnja zrakoplova i svemirskih letjelica te srodnih prijevoznih sredstava i opreme</t>
  </si>
  <si>
    <t>30.9. Proizvodnja prijevoznih sredstava, d. n.</t>
  </si>
  <si>
    <t>30.91. Proizvodnja motocikala</t>
  </si>
  <si>
    <t>30.92. Proizvodnja bicikala i invalidskih kolica</t>
  </si>
  <si>
    <t>30.99. Proizvodnja ostalih prijevoznih sredstava, d. n.</t>
  </si>
  <si>
    <t>31. Proizvodnja namještaja</t>
  </si>
  <si>
    <t>31.01. Proizvodnja namještaja za poslovne i prodajne prostore</t>
  </si>
  <si>
    <t>31.02. Proizvodnja kuhinjskog namještaja</t>
  </si>
  <si>
    <t>31.03. Proizvodnja madraca</t>
  </si>
  <si>
    <t>31.09. Proizvodnja ostalog namještaja</t>
  </si>
  <si>
    <t>32. Ostala prerađivačka industrija</t>
  </si>
  <si>
    <t>32.1. Proizvodnja nakita, imitacije nakita (bižuterije) i srodnih proizvoda</t>
  </si>
  <si>
    <t>32.12. Proizvodnja nakita i srodnih proizvoda</t>
  </si>
  <si>
    <t>32.2. Proizvodnja glazbenih instrumenata</t>
  </si>
  <si>
    <t>j. rashodi za mjere za očuvanje radnih mjesta</t>
  </si>
  <si>
    <t>32.3. Proizvodnja sportske opreme</t>
  </si>
  <si>
    <t>32.4. Proizvodnja igara i igračaka</t>
  </si>
  <si>
    <t>32.5. Proizvodnja medicinskih i stomatoloških instrumenata i pribora</t>
  </si>
  <si>
    <t>32.9. Prerađivačka industrija, d. n.</t>
  </si>
  <si>
    <t>32.91. Proizvodnja metla i četaka</t>
  </si>
  <si>
    <t>prosječna naknada</t>
  </si>
  <si>
    <t>32.99. Ostala prerađivačka industrija, d. n.</t>
  </si>
  <si>
    <t>doprinos</t>
  </si>
  <si>
    <t>broj naknada</t>
  </si>
  <si>
    <t>ukupna davanja</t>
  </si>
  <si>
    <t>mjesečno povećanje broja naknada</t>
  </si>
  <si>
    <t>33. Popravak i instaliranje strojeva i opreme</t>
  </si>
  <si>
    <t>33.1. Popravak proizvoda od metala, strojeva i opreme</t>
  </si>
  <si>
    <t>33.11. Popravak proizvoda od metala</t>
  </si>
  <si>
    <t>33.12. Popravak strojeva</t>
  </si>
  <si>
    <t>ožujak</t>
  </si>
  <si>
    <t>33.13. Popravak elektroničke i optičke opreme</t>
  </si>
  <si>
    <t>33.14. Popravak električne opreme</t>
  </si>
  <si>
    <t>33.15. Popravak i održavanje brodova i čamaca</t>
  </si>
  <si>
    <t>33.16. Popravak i održavanje zrakoplova i svemirskih letjelica</t>
  </si>
  <si>
    <t>33.17. Popravak i održavanje ostalih prijevoznih sredstava</t>
  </si>
  <si>
    <t>travanj</t>
  </si>
  <si>
    <t>33.19. Popravak ostale opreme</t>
  </si>
  <si>
    <t>33.2. Instaliranje industrijskih strojeva i opreme</t>
  </si>
  <si>
    <t>svibanj</t>
  </si>
  <si>
    <t>D. OPSKRBA ELEKTRIČNOM ENERGIJOM, PLINOM, PAROM I KLIMATIZACIJA</t>
  </si>
  <si>
    <t>35. Opskrba električnom energijom, plinom, parom i klimatizacija</t>
  </si>
  <si>
    <t>35.1. Proizvodnja, prijenos i distribucija električne energije</t>
  </si>
  <si>
    <t>35.11. Proizvodnja električne energije</t>
  </si>
  <si>
    <t>35.13. Distribucija električne energije</t>
  </si>
  <si>
    <t>Ukupno:</t>
  </si>
  <si>
    <t>35.2. Proizvodnja plina; distribucija plinovitih goriva distribucijskom mrežom</t>
  </si>
  <si>
    <t>35.22. Distribucija plinovitih goriva distribucijskom mrežom</t>
  </si>
  <si>
    <t>35.23. Trgovina plinom distribucijskom mrežom</t>
  </si>
  <si>
    <t>u odnosu na očekivano</t>
  </si>
  <si>
    <t>35.3. Opskrba parom i klimatizacija</t>
  </si>
  <si>
    <t>E. OPSKRBA VODOM; UKLANJANJE OTPADNIH VODA, GOSPODARENJE OTPADOM TE DJELATNOSTI SANACIJE OKOLIŠA</t>
  </si>
  <si>
    <t>36. Skupljanje, pročišćavanje i opskrba vodom</t>
  </si>
  <si>
    <t>37. Uklanjanje otpadnih voda</t>
  </si>
  <si>
    <t>38. Skupljanje otpada, djelatnosti obrade i zbrinjavanja otpada; oporaba materijala</t>
  </si>
  <si>
    <t>38.1. Skupljanje otpada</t>
  </si>
  <si>
    <t>38.11. Skupljanje neopasnog otpada</t>
  </si>
  <si>
    <t>Pretpostavka: do kraja godine će se zaposlenicima za koje je korištena mjera isplaćivati 4.000 kn</t>
  </si>
  <si>
    <t>38.12. Skupljanje opasnog otpada</t>
  </si>
  <si>
    <t>38.2. Obrada i zbrinjavanje otpada</t>
  </si>
  <si>
    <t>38.21. Obrada i zbrinjavanje neopasnog otpada</t>
  </si>
  <si>
    <t>38.22. Obrada i zbrinjavanje opasnog otpada</t>
  </si>
  <si>
    <t>39. Djelatnosti sanacije okoliša te ostale djelatnosti gospodarenja otpadom</t>
  </si>
  <si>
    <t>pretpostavke</t>
  </si>
  <si>
    <t>ukupan broj zaposlenih</t>
  </si>
  <si>
    <t>F. GRAĐEVINARSTVO</t>
  </si>
  <si>
    <t>41. Gradnja zgrada</t>
  </si>
  <si>
    <t>41.1. Organizacija izvedbe projekata za zgrade</t>
  </si>
  <si>
    <t>"korigirane" plaće</t>
  </si>
  <si>
    <t>41.2. Gradnja stambenih i nestambenih zgrada</t>
  </si>
  <si>
    <t>42. Gradnja građevina niskogradnje</t>
  </si>
  <si>
    <t>42.1. Gradnja cesta i željezničkih pruga</t>
  </si>
  <si>
    <t>42.11. Gradnja cesta i autocesta</t>
  </si>
  <si>
    <t>bruto plaća prema isplaćenoj naknadi</t>
  </si>
  <si>
    <t>42.2. Gradnja cjevovoda, vodova za električnu struju i telekomunikacije</t>
  </si>
  <si>
    <t>42.21. Gradnja cjevovoda za tekućine i plinove</t>
  </si>
  <si>
    <t>42.22. Gradnja vodova za električnu struju i telekomunikacije</t>
  </si>
  <si>
    <t>42.9. Gradnja ostalih građevina niskogradnje</t>
  </si>
  <si>
    <t>42.91. Gradnja vodnih građevina</t>
  </si>
  <si>
    <t>42.99. Gradnja ostalih građevina niskogradnje, d. n.</t>
  </si>
  <si>
    <t>43. Specijalizirane građevinske djelatnosti</t>
  </si>
  <si>
    <t>43.1. Uklanjanje građevina i pripremni radovi na gradilištu</t>
  </si>
  <si>
    <t>43.11. Uklanjanje građevina</t>
  </si>
  <si>
    <t>43.12. Pripremni radovi na gradilištu</t>
  </si>
  <si>
    <t>43.13. Pokusno bušenje i sondiranje terena za gradnju</t>
  </si>
  <si>
    <t>43.2. Elektroinstalacijski radovi, uvođenje instalacija vodovoda, kanalizacije i plina i ostali građevinski instalacijski radovi</t>
  </si>
  <si>
    <t>43.21. Elektroinstalacijski radovi</t>
  </si>
  <si>
    <t>43.22. Uvođenje instalacija vodovoda, kanalizacije i plina i instalacija za grijanje i klimatizaciju</t>
  </si>
  <si>
    <t>43.29. Ostali građevinski instalacijski radovi</t>
  </si>
  <si>
    <t>43.3. Završni građevinski radovi</t>
  </si>
  <si>
    <t>43.31. Fasadni i štukaturski radovi</t>
  </si>
  <si>
    <t>43.32. Ugradnja stolarije</t>
  </si>
  <si>
    <t>43.33. Postavljanje podnih i zidnih obloga</t>
  </si>
  <si>
    <t>43.34. Soboslikarski i staklarski radovi</t>
  </si>
  <si>
    <t>43.39. Ostali završni građevinski radovi</t>
  </si>
  <si>
    <t>43.9. Ostale specijalizirane građevinske djelatnosti</t>
  </si>
  <si>
    <t>43.91. Radovi na krovištu</t>
  </si>
  <si>
    <t>43.99. Ostale specijalizirane građevinske djelatnosti, d. n.</t>
  </si>
  <si>
    <t>G. TRGOVINA NA VELIKO I NA MALO; POPRAVAK MOTORNIH VOZILA I MOTOCIKALA</t>
  </si>
  <si>
    <t>45. Trgovina na veliko i na malo motornim vozilima i motociklima; popravak motornih vozila i motocikala</t>
  </si>
  <si>
    <t>45.1. Trgovina motornim vozilima</t>
  </si>
  <si>
    <t>45.11. Trgovina automobilima i motornim vozilima lake kategorije</t>
  </si>
  <si>
    <t>45.19. Trgovina ostalim motornim vozilima</t>
  </si>
  <si>
    <t>45.2. Održavanje i popravak motornih vozila</t>
  </si>
  <si>
    <t>45.3. Trgovina dijelovima i priborom za motorna vozila</t>
  </si>
  <si>
    <t>45.31. Trgovina na veliko dijelovima i priborom za motorna vozila</t>
  </si>
  <si>
    <t>45.32. Trgovina na malo dijelovima i priborom za motorna vozila</t>
  </si>
  <si>
    <t>45.4. Trgovina motociklima, dijelovima i priborom za motocikle te održavanje i popravak motocikala</t>
  </si>
  <si>
    <t>46. Trgovina na veliko, osim trgovine motornim vozilima i motociklima</t>
  </si>
  <si>
    <t>46.1. Trgovina na veliko uz naplatu ili na osnovi ugovora</t>
  </si>
  <si>
    <t>46.11. Posredovanje u trgovini poljoprivrednim sirovinama, živom stokom, tekstilnim sirovinama i poluproizvodima</t>
  </si>
  <si>
    <t>46.12. Posredovanje u trgovini gorivima, rudama, metalima i industrijskim kemijskim proizvodima</t>
  </si>
  <si>
    <t>46.13. Posredovanje u trgovini drvom i građevinskim materijalom</t>
  </si>
  <si>
    <t>46.14. Posredovanje u trgovini strojevima, industrijskom opremom, brodovima i zrakoplovima</t>
  </si>
  <si>
    <t>Coefficients:</t>
  </si>
  <si>
    <t>46.15. Posredovanje u trgovini namještajem, proizvodima za kućanstvo i željeznom robom</t>
  </si>
  <si>
    <t>.</t>
  </si>
  <si>
    <t>46.16. Posredovanje u trgovini tekstilom, odjećom, krznom, obućom i kožnim proizvodima</t>
  </si>
  <si>
    <t>46.17. Posredovanje u trgovini hranom, pićima i duhanom</t>
  </si>
  <si>
    <t>46.18. Posredovanje u trgovini specijaliziranoj za određene proizvode</t>
  </si>
  <si>
    <t>46.19. Posredovanje u trgovini raznovrsnim proizvodima</t>
  </si>
  <si>
    <t>46.2. Trgovina na veliko poljoprivrednim sirovinama i živom stokom</t>
  </si>
  <si>
    <t>46.21. Trgovina na veliko žitaricama, sirovim duhanom, sjemenjem i stočnom hranom</t>
  </si>
  <si>
    <t>46.22. Trgovina na veliko cvijećem i sadnicama</t>
  </si>
  <si>
    <t>46.23. Trgovina na veliko živom stokom</t>
  </si>
  <si>
    <t>46.24. Trgovina na veliko sirovim i štavljenim kožama</t>
  </si>
  <si>
    <t>46.3. Trgovina na veliko hranom, pićima i duhanom</t>
  </si>
  <si>
    <t>46.31. Trgovina na veliko voćem i povrćem</t>
  </si>
  <si>
    <t>46.32. Trgovina na veliko mesom i mesnim proizvodima</t>
  </si>
  <si>
    <t>46.33. Trgovina na veliko mlijekom, mliječnim proizvodima, jajima, jestivim uljima i mastima</t>
  </si>
  <si>
    <t>46.34. Trgovina na veliko pićima</t>
  </si>
  <si>
    <t>46.35. Trgovina na veliko duhanskim proizvodima</t>
  </si>
  <si>
    <t>46.36. Trgovina na veliko šećerom, čokoladom i bombonima</t>
  </si>
  <si>
    <t>46.37. Trgovina na veliko kavom, čajem, kakaom i začinima</t>
  </si>
  <si>
    <t>46.38. Trgovina na veliko ostalom hranom uključujući ribe, rakove i školjke</t>
  </si>
  <si>
    <t>46.39. Nespecijalizirana trgovina na veliko hranom, pićima i duhanskim proizvodima</t>
  </si>
  <si>
    <t>46.4. Trgovina na veliko proizvodima za kućanstvo</t>
  </si>
  <si>
    <t>46.41. Trgovina na veliko tekstilom</t>
  </si>
  <si>
    <t>46.42. Trgovina na veliko odjećom i obućom</t>
  </si>
  <si>
    <t>46.43. Trgovina na veliko električnim aparatima za kućanstvo</t>
  </si>
  <si>
    <t>46.44. Trgovina na veliko porculanom, staklom i sredstvima za čišćenje</t>
  </si>
  <si>
    <t>46.45. Trgovina na veliko parfemima i kozmetikom</t>
  </si>
  <si>
    <t>46.46. Trgovina na veliko farmaceutskim proizvodima</t>
  </si>
  <si>
    <t>46.47. Trgovina na veliko namještajem, sagovima i opremom za rasvjetu</t>
  </si>
  <si>
    <t>46.48. Trgovina na veliko satovima i nakitom</t>
  </si>
  <si>
    <t>46.49. Trgovina na veliko ostalim proizvodima za kućanstvo</t>
  </si>
  <si>
    <t>46.5. Trgovina na veliko informacijsko-komunikacijskom opremom</t>
  </si>
  <si>
    <t>46.51. Trgovina na veliko računalima, perifernom opremom i softverom</t>
  </si>
  <si>
    <t>46.52. Trgovina na veliko elektroničkim i telekomunikacijskim dijelovima i opremom</t>
  </si>
  <si>
    <t>46.6. Trgovina na veliko ostalim strojevima, opremom i priborom</t>
  </si>
  <si>
    <t>46.61. Trgovina na veliko poljoprivrednim strojevima, opremom i priborom</t>
  </si>
  <si>
    <t>46.62. Trgovina na veliko alatnim strojevima</t>
  </si>
  <si>
    <t>46.63. Trgovina na veliko strojevima za rudnike i građevinarstvo</t>
  </si>
  <si>
    <t>46.64. Trgovina na veliko strojevima za tekstilnu industriju te strojevima za šivanje i pletenje</t>
  </si>
  <si>
    <t>46.65. Trgovina na veliko uredskim namještajem</t>
  </si>
  <si>
    <t>46.66. Trgovina na veliko ostalim uredskim strojevima i opremom</t>
  </si>
  <si>
    <t>46.69. Trgovina na veliko ostalim strojevima i opremom</t>
  </si>
  <si>
    <t>46.7. Ostala specijalizirana trgovina na veliko</t>
  </si>
  <si>
    <t>46.71. Trgovina na veliko krutim, tekućim i plinovitim gorivima i srodnim proizvodima</t>
  </si>
  <si>
    <t>46.72. Trgovina na veliko metalima i metalnim rudama</t>
  </si>
  <si>
    <t>46.73. Trgovina na veliko drvom, građevinskim materijalom i sanitarnom opremom</t>
  </si>
  <si>
    <t>46.74. Trgovina na veliko željeznom robom, instalacijskim materijalom i opremom za vodovod i grijanje</t>
  </si>
  <si>
    <t>46.75. Trgovina na veliko kemijskim proizvodima</t>
  </si>
  <si>
    <t>46.76. Trgovina na veliko ostalim poluproizvodima</t>
  </si>
  <si>
    <t>46.77. Trgovina na veliko ostacima i otpacima</t>
  </si>
  <si>
    <t>46.9. Nespecijalizirana trgovina na veliko</t>
  </si>
  <si>
    <t>47. Trgovina na malo, osim trgovine motornim vozilima i motociklima</t>
  </si>
  <si>
    <t>47.1. Trgovina na malo u nespecijaliziranim prodavaonicama</t>
  </si>
  <si>
    <t>47.11. Trgovina na malo u nespecijaliziranim prodavaonicama pretežno hranom, pićima i duhanskim proizvodima</t>
  </si>
  <si>
    <t>47.19. Ostala trgovina na malo u nespecijaliziranim prodavaonicama</t>
  </si>
  <si>
    <t>47.2. Trgovina na malo hranom, pićima i duhanskim proizvodima u specijaliziranim prodavaonicama</t>
  </si>
  <si>
    <t>47.21. Trgovina na malo voćem i povrćem u specijaliziranim prodavaonicama</t>
  </si>
  <si>
    <t>47.22. Trgovina na malo mesom i mesnim proizvodima u specijaliziranim prodavaonicama</t>
  </si>
  <si>
    <t>47.23. Trgovina na malo ribama, rakovima i školjkama u specijaliziranim prodavaonicama</t>
  </si>
  <si>
    <t>47.24. Trgovina na malo kruhom, pecivom, kolačima, tjesteninama, bombonima i slatkišima u specijaliziranim prodavaonicama</t>
  </si>
  <si>
    <t>Credit</t>
  </si>
  <si>
    <t>Debit</t>
  </si>
  <si>
    <t>STK_FLOW</t>
  </si>
  <si>
    <t>47.25. Trgovina na malo pićima u specijaliziranim prodavaonicama</t>
  </si>
  <si>
    <t>47.26. Trgovina na malo duhanskim proizvodima u specijaliziranim prodavaonicama</t>
  </si>
  <si>
    <t>međunarodne pričuve</t>
  </si>
  <si>
    <t>pričuve_qoq</t>
  </si>
  <si>
    <t>Robe</t>
  </si>
  <si>
    <t>47.29. Ostala trgovina na malo prehrambenim proizvodima u specijaliziranim prodavaonicama</t>
  </si>
  <si>
    <t>Primarni dohodak</t>
  </si>
  <si>
    <t>Sekundarni dohodak</t>
  </si>
  <si>
    <t>Kapitalne transakcije</t>
  </si>
  <si>
    <t>Izravna ulaganja</t>
  </si>
  <si>
    <t>Portfeljna ulaganja</t>
  </si>
  <si>
    <t>Financijske izvedenice</t>
  </si>
  <si>
    <t>Ostala ulaganja</t>
  </si>
  <si>
    <t>Međunarodne pričuve</t>
  </si>
  <si>
    <t>Neto greške i propusti</t>
  </si>
  <si>
    <t>Tekuće transakcije</t>
  </si>
  <si>
    <t>Platna bilanca</t>
  </si>
  <si>
    <t>47.3. Trgovina na malo motornim gorivima i mazivima u specijaliziranim prodavaonicama</t>
  </si>
  <si>
    <t>Services</t>
  </si>
  <si>
    <t>Manufacturing services on physical inputs owned by others</t>
  </si>
  <si>
    <t>Maintenance and repair services n.i.e.</t>
  </si>
  <si>
    <t>Transport</t>
  </si>
  <si>
    <t>Travel</t>
  </si>
  <si>
    <t>Construction</t>
  </si>
  <si>
    <t>Insurance and pension services</t>
  </si>
  <si>
    <t>Financial services</t>
  </si>
  <si>
    <t>Charges for the use of intellectual property n.i.e.</t>
  </si>
  <si>
    <t>Telecommunications, computer, and information services</t>
  </si>
  <si>
    <t>Other business services</t>
  </si>
  <si>
    <t>Personal, cultural, and recreational services</t>
  </si>
  <si>
    <t>Government goods and services n.i.e.</t>
  </si>
  <si>
    <t>Services: Manufacturing services on physical inputs owned by others</t>
  </si>
  <si>
    <t>Services: Maintenance and repair services n.i.e.</t>
  </si>
  <si>
    <t>Services: Transport</t>
  </si>
  <si>
    <t>47.4. Trgovina na malo informacijsko-komunikacijskom opremom u specijaliziranim prodavaonicama</t>
  </si>
  <si>
    <t>47.41. Trgovina na malo računalima, perifernim jedinicama i softverom u specijaliziranim prodavaonicama</t>
  </si>
  <si>
    <t>Services: Travel</t>
  </si>
  <si>
    <t>Services: Construction</t>
  </si>
  <si>
    <t>Services: Insurance and pension services</t>
  </si>
  <si>
    <t>Services: Financial services</t>
  </si>
  <si>
    <t>Services: Charges for the use of intellectual property n.i.e.</t>
  </si>
  <si>
    <t>Services: Telecommunications, computer, and information services</t>
  </si>
  <si>
    <t>Services: Other business services</t>
  </si>
  <si>
    <t>Services: Personal, cultural, and recreational services</t>
  </si>
  <si>
    <t>Services: Government goods and services n.i.e.</t>
  </si>
  <si>
    <t>TIME/BOP_ITEM</t>
  </si>
  <si>
    <t>Primary income</t>
  </si>
  <si>
    <t>Compensation of employees</t>
  </si>
  <si>
    <t>47.42. Trgovina na malo telekomunikacijskom opremom u specijaliziranim prodavaonicama</t>
  </si>
  <si>
    <t>Investment income</t>
  </si>
  <si>
    <t>Secondary income</t>
  </si>
  <si>
    <t>Secondary income: Miscellaneous current transfers</t>
  </si>
  <si>
    <t>47.43. Trgovina na malo audio i videoopremom u specijaliziranim prodavaonicama</t>
  </si>
  <si>
    <t>47.5. Trgovina na malo ostalom opremom za kućanstvo u specijaliziranim prodavaonicama</t>
  </si>
  <si>
    <t>47.51. Trgovina na malo tekstilom u specijaliziranim prodavaonicama</t>
  </si>
  <si>
    <t>47.52. Trgovina na malo željeznom robom, bojama i staklom u specijaliziranim prodavaonicama</t>
  </si>
  <si>
    <t>47.53. Trgovina na malo sagovima i prostiračima za pod, zidnim i podnim oblogama u specijaliziranim prodavaonicama</t>
  </si>
  <si>
    <t>47.54. Trgovina na malo električnim aparatima za kućanstvo u specijaliziranim prodavaonicama</t>
  </si>
  <si>
    <t>47.59. Trgovina na malo namještajem, opremom za rasvjetu i ostalim proizvodima za kućanstvo u specijaliziranim prodavaonicama</t>
  </si>
  <si>
    <t>47.6. Trgovina na malo proizvodima za kulturu i rekreaciju u specijaliziranim prodavaonicama</t>
  </si>
  <si>
    <t>47.62. Trgovina na malo novinama, papirnatom robom i pisaćim priborom u specijaliziranim prodavaonicama</t>
  </si>
  <si>
    <t>47.65. Trgovina na malo igrama i igračkama u specijaliziranim prodavaonicama</t>
  </si>
  <si>
    <t>47.7. Trgovina na malo ostalom robom u specijaliziranim prodavaonicama</t>
  </si>
  <si>
    <t>47.71. Trgovina na malo odjećom u specijaliziranim prodavaonicama</t>
  </si>
  <si>
    <t>47.73. Ljekarne</t>
  </si>
  <si>
    <t>47.74. Trgovina na malo medicinskim pripravcima i ortopedskim pomagalima u specijaliziranim prodavaonicama</t>
  </si>
  <si>
    <t>u % BDP-a</t>
  </si>
  <si>
    <t>47.76. Trgovina na malo cvijećem, sadnicama, sjemenjem, gnojivom, kućnim ljubimcima i hranom za kućne ljubimce u specijaliziranim prodavaonicama</t>
  </si>
  <si>
    <t>47.77. Trgovina na malo satovima i nakitom u specijaliziranim prodavaonicama</t>
  </si>
  <si>
    <t>47.78. Ostala trgovina na malo novom robom u specijaliziranim prodavaonicama</t>
  </si>
  <si>
    <t>47.79. Trgovina na malo rabljenom robom u specijaliziranim prodavaonicama</t>
  </si>
  <si>
    <t>47.8. Trgovina na malo na štandovima i tržnicama</t>
  </si>
  <si>
    <t>47.81. Trgovina na malo hranom, pićima i duhanskim proizvodima na štandovima i tržnicama</t>
  </si>
  <si>
    <t>47.82. Trgovina na malo tekstilom, odjećom i obućom na štandovima i tržnicama</t>
  </si>
  <si>
    <t>47.89. Trgovina na malo ostalom robom na štandovima i tržnicama</t>
  </si>
  <si>
    <t>47.9. Trgovina na malo izvan prodavaonica, štandova i tržnica</t>
  </si>
  <si>
    <t>47.91. Trgovina na malo preko pošte ili interneta</t>
  </si>
  <si>
    <t>47.99. Ostala trgovina na malo izvan prodavaonica, štandova i tržnica</t>
  </si>
  <si>
    <t>H. PRIJEVOZ I SKLADIŠTENJE</t>
  </si>
  <si>
    <t>49. Kopneni prijevoz i cjevovodni transport</t>
  </si>
  <si>
    <t>49.2. Željeznički prijevoz robe</t>
  </si>
  <si>
    <t>49.3. Ostali kopneni prijevoz putnika</t>
  </si>
  <si>
    <t>49.31. Gradski i prigradski kopneni prijevoz putnika</t>
  </si>
  <si>
    <t>49.32. Taksi služba</t>
  </si>
  <si>
    <t>49.39. Ostali kopneni prijevoz putnika, d. n.</t>
  </si>
  <si>
    <t>49.4. Cestovni prijevoz robe i usluge preseljenja</t>
  </si>
  <si>
    <t>49.41. Cestovni prijevoz robe</t>
  </si>
  <si>
    <t>49.42. Usluge preseljenja</t>
  </si>
  <si>
    <t>50. Vodeni prijevoz</t>
  </si>
  <si>
    <t>50.1. Pomorski i obalni prijevoz putnika</t>
  </si>
  <si>
    <t>50.2. Pomorski i obalni prijevoz robe</t>
  </si>
  <si>
    <t>50.3. Prijevoz putnika unutrašnjim vodenim putovima</t>
  </si>
  <si>
    <t>50.4. Prijevoz robe unutrašnjim vodenim putovima</t>
  </si>
  <si>
    <t>52. Skladištenje i prateće djelatnosti u prijevozu</t>
  </si>
  <si>
    <t>52.1. Skladištenje robe</t>
  </si>
  <si>
    <t>52.2. Prateće djelatnosti u prijevozu</t>
  </si>
  <si>
    <t>52.21. Uslužne djelatnosti u vezi s kopnenim prijevozom</t>
  </si>
  <si>
    <t>52.22. Uslužne djelatnosti u vezi s vodenim prijevozom</t>
  </si>
  <si>
    <t>52.23. Uslužne djelatnosti u vezi sa zračnim prijevozom</t>
  </si>
  <si>
    <t>52.24. Prekrcaj tereta</t>
  </si>
  <si>
    <t>52.29. Ostale prateće djelatnosti u prijevozu</t>
  </si>
  <si>
    <t>53. Poštanske i kurirske djelatnosti</t>
  </si>
  <si>
    <t>53.2. Djelatnosti pružanja ostalih poštanskih i kurirskih usluga</t>
  </si>
  <si>
    <t>I. DJELATNOSTI PRUŽANJA SMJEŠTAJA TE PRIPREME I USLUŽIVANJA HRANE</t>
  </si>
  <si>
    <t>55. Smještaj</t>
  </si>
  <si>
    <t>55.1. Hoteli i sličan smještaj</t>
  </si>
  <si>
    <t>55.2. Odmarališta i slični objekti za kraći odmor</t>
  </si>
  <si>
    <t>55.3. Kampovi i prostori za kampiranje</t>
  </si>
  <si>
    <t>55.9. Ostali smještaj</t>
  </si>
  <si>
    <t>56. Djelatnosti pripreme i usluživanja hrane i pića</t>
  </si>
  <si>
    <t>56.1. Djelatnosti restorana i ostalih objekata za pripremu i usluživanje hrane</t>
  </si>
  <si>
    <t>56.2. Djelatnosti keteringa i ostale djelatnosti pripreme i usluživanja hrane</t>
  </si>
  <si>
    <t>56.21. Djelatnosti keteringa</t>
  </si>
  <si>
    <t>56.29. Ostale djelatnosti pripreme i usluživanja hrane</t>
  </si>
  <si>
    <t>56.3. Djelatnosti pripreme i usluživanja pića</t>
  </si>
  <si>
    <t>J. INFORMACIJE I KOMUNIKACIJE</t>
  </si>
  <si>
    <t>58. Izdavačke djelatnosti</t>
  </si>
  <si>
    <t>58.1. Izdavanje knjiga, periodičnih publikacija i ostale izdavačke djelatnosti</t>
  </si>
  <si>
    <t>58.11. Izdavanje knjiga</t>
  </si>
  <si>
    <t>58.13. Izdavanje novina</t>
  </si>
  <si>
    <t>58.14. Izdavanje časopisa i periodičnih publikacija</t>
  </si>
  <si>
    <t>59. Proizvodnja filmova, videofilmova i televizijskog programa, djelatnosti snimanja zvučnih zapisa i izdavanja glazbenih zapisa</t>
  </si>
  <si>
    <t>59.1. Proizvodnja i distribucija filmova, videofilmova i televizijskog programa</t>
  </si>
  <si>
    <t>59.11. Proizvodnja filmova, videofilmova i televizijskog programa</t>
  </si>
  <si>
    <t>59.12. Djelatnosti koje slijede nakon proizvodnje filmova, videofilmova i televizijskog programa</t>
  </si>
  <si>
    <t>59.13. Distribucija filmova, videofilmova i televizijskog programa</t>
  </si>
  <si>
    <t>59.14. Djelatnosti prikazivanja filmova</t>
  </si>
  <si>
    <t>59.2. Djelatnosti snimanja zvučnih zapisa i izdavanja glazbenih zapisa</t>
  </si>
  <si>
    <t>60. Emitiranje programa</t>
  </si>
  <si>
    <t>60.1. Emitiranje radijskog programa</t>
  </si>
  <si>
    <t>60.2. Emitiranje televizijskog</t>
  </si>
  <si>
    <t>60.2. Emitiranje televizijskog programa</t>
  </si>
  <si>
    <t>61. Telekomunikacije</t>
  </si>
  <si>
    <t>61.1. Djelatnosti žičane telekomunikacije</t>
  </si>
  <si>
    <t>61.2. Djelatnosti bežične telekomunikacije</t>
  </si>
  <si>
    <t>61.3. Djelatnosti satelitske telekomunikacije</t>
  </si>
  <si>
    <t>61.9. Ostale telekomunikacijske djelatnosti</t>
  </si>
  <si>
    <t>62. Računalno programiranje, savjetovanje i djelatnosti povezane s njima</t>
  </si>
  <si>
    <t>62.01. Računalno programiranje</t>
  </si>
  <si>
    <t>62.02. Savjetovanje u vezi s računalima</t>
  </si>
  <si>
    <t>62.03. Upravljanje računalnom opremom i sustavom</t>
  </si>
  <si>
    <t>62.09. Ostale uslužne djelatnosti u vezi s informacijskom tehnologijom i računalima</t>
  </si>
  <si>
    <t>63. Informacijske uslužne djelatnosti</t>
  </si>
  <si>
    <t>63.1. Obrada podataka, usluge poslužitelja i djelatnosti povezane s njima; internetski portali</t>
  </si>
  <si>
    <t>63.11. Obrada podataka, usluge poslužitelja i djelatnosti povezane s njima</t>
  </si>
  <si>
    <t>63.12. Internetski portali</t>
  </si>
  <si>
    <t>63.9. Ostale informacijske uslužne djelatnosti</t>
  </si>
  <si>
    <t>63.91. Djelatnosti novinskih agencija</t>
  </si>
  <si>
    <t>63.99. Ostale informacijske uslužne djelatnosti, d. n.</t>
  </si>
  <si>
    <t>K. FINANCIJSKE DJELATNOSTI I DJELATNOSTI OSIGURANJA</t>
  </si>
  <si>
    <t>64. Financijske uslužne djelatnosti, osim osiguranja i mirovinskih fondova</t>
  </si>
  <si>
    <t>64.1. Novčarsko posredovanje</t>
  </si>
  <si>
    <t>64.11. Središnje bankarstvo</t>
  </si>
  <si>
    <t>64.19. Ostalo novčarsko posredovanje</t>
  </si>
  <si>
    <t>65. Osiguranje, reosiguranje i mirovinski fondovi, osim, obveznoga socijalnog osiguranja</t>
  </si>
  <si>
    <t>65.1. Osiguranje</t>
  </si>
  <si>
    <t>65.11. Životno osiguranje</t>
  </si>
  <si>
    <t>65.12. Ostalo osiguranje</t>
  </si>
  <si>
    <t>65.2. Reosiguranje</t>
  </si>
  <si>
    <t>65.3. Mirovinski fondovi</t>
  </si>
  <si>
    <t>L. POSLOVANJE NEKRETNINAMA</t>
  </si>
  <si>
    <t>68. Poslovanje nekretninama</t>
  </si>
  <si>
    <t>68.1. Kupnja i prodaja vlastitih nekretnina</t>
  </si>
  <si>
    <t>68.2. Iznajmljivanje i upravljanje vlastitim nekretninama ili nekretninama uzetim u zakup (leasing)</t>
  </si>
  <si>
    <t>68.3. Poslovanje nekretninama uz naplatu ili na osnovi ugovora</t>
  </si>
  <si>
    <t>68.31. Agencije za poslovanje nekretninama</t>
  </si>
  <si>
    <t>68.32. Upravljanje nekretninama uz naplatu ili na osnovi ugovora</t>
  </si>
  <si>
    <t>M. STRUČNE, ZNANSTVENE I TEHNIČKE DJELATNOSTI</t>
  </si>
  <si>
    <t>69. Pravne i računovodstvene djelatnosti</t>
  </si>
  <si>
    <t>69.1. Pravne djelatnosti</t>
  </si>
  <si>
    <t>69.2. Računovodstvene, knjigovodstvene i revizijske djelatnosti; porezno savjetovanje</t>
  </si>
  <si>
    <t>70. Upravljačke djelatnosti; savjetovanje u vezi s upravljanjem</t>
  </si>
  <si>
    <t>70.1. Upravljačke djelatnosti</t>
  </si>
  <si>
    <t>70.2. Savjetovanje u vezi s upravljanjem</t>
  </si>
  <si>
    <t>70.21. Odnosi s javnošću i djelatnosti priopćivanja</t>
  </si>
  <si>
    <t>70.22. Savjetovanje u vezi s poslovanjem i ostalim upravljanjem</t>
  </si>
  <si>
    <t>71. Arhitektonske djelatnosti i inženjerstvo; tehničko ispitivanje i analiza</t>
  </si>
  <si>
    <t>71.1. Arhitektonske djelatnosti i inženjerstvo te s njima povezano tehničko savjetovanje</t>
  </si>
  <si>
    <t>71.11. Arhitektonske djelatnosti</t>
  </si>
  <si>
    <t>71.12. Inženjerstvo i s njim povezano tehničko savjetovanje</t>
  </si>
  <si>
    <t>71.2. Tehničko ispitivanje i analiza</t>
  </si>
  <si>
    <t>72. Znanstveno istraživanje i razvoj</t>
  </si>
  <si>
    <t>72.1. Istraživanje i eksperimentalni razvoj u prirodnim, tehničkim i tehnološkim znanostima</t>
  </si>
  <si>
    <t>72.11. Istraživanje i eksperimentalni razvoj u biotehnologiji</t>
  </si>
  <si>
    <t>72.19. Ostalo istraživanje i eksperimentalni razvoj u prirodnim, tehničkim i tehnološkim znanostima</t>
  </si>
  <si>
    <t>72.2. Istraživanje i eksperimentalni razvoj u društvenim i humanističkim znanostima</t>
  </si>
  <si>
    <t>73. Promidžba (reklama i propaganda) i istraživanje tržišta</t>
  </si>
  <si>
    <t>73.1. Promidžba (reklama i propaganda)</t>
  </si>
  <si>
    <t>73.11. Agencije za promidžbu (reklamu i propagandu)</t>
  </si>
  <si>
    <t>73.12. Oglašavanje preko medija</t>
  </si>
  <si>
    <t>73.2. Istraživanje tržišta i ispitivanje javnoga mnijenja</t>
  </si>
  <si>
    <t>74. Ostale stručne, znanstvene i tehničke djelatnosti</t>
  </si>
  <si>
    <t>74.1. Specijalizirane dizajnerske djelatnosti</t>
  </si>
  <si>
    <t>74.2. Fotografske djelatnosti</t>
  </si>
  <si>
    <t>74.3. Prevoditeljske djelatnosti i usluge tumača</t>
  </si>
  <si>
    <t>74.9. Ostale stručne, znanstvene i tehničke djelatnosti, d. n.</t>
  </si>
  <si>
    <t>75. Veterinarske djelatnosti</t>
  </si>
  <si>
    <t>N. ADMINISTRATIVNE I POMOĆNE USLUŽNE DJELATNOSTI</t>
  </si>
  <si>
    <t>77. Djelatnosti iznajmljivanja i davanja u zakup (leasing)</t>
  </si>
  <si>
    <t>77.1. Iznajmljivanje i davanje u zakup (leasing) motornih vozila</t>
  </si>
  <si>
    <t>77.11. Iznajmljivanje i davanje u zakup (leasing) automobila i motornih vozila lake kategorije</t>
  </si>
  <si>
    <t>77.12. Iznajmljivanje i davanje u zakup (leasing) kamiona</t>
  </si>
  <si>
    <t>77.2. Iznajmljivanje i davanje u zakup (leasing) predmeta za osobnu uporabu i kućanstvo</t>
  </si>
  <si>
    <t>77.21. Iznajmljivanje i davanje u zakup (lea­sing) opreme za rekreaciju i sport</t>
  </si>
  <si>
    <t>77.29. Iznajmljivanje i davanje u zakup (leasing) ostalih predmeta za osobnu uporabu i kućanstvo</t>
  </si>
  <si>
    <t>77.3. Iznajmljivanje i davanje u zakup (leasing) ostalih strojeva, opreme te materijalnih dobara</t>
  </si>
  <si>
    <t>77.31. Iznajmljivanje i davanje u zakup (leasing) poljoprivrednih strojeva i opreme</t>
  </si>
  <si>
    <t>77.32. Iznajmljivanje i davanje u zakup (leasing) strojeva i opreme za građevinarstvo i inženjerstvo</t>
  </si>
  <si>
    <t>77.33. Iznajmljivanje i davanje u zakup (leasing) uredskih strojeva i opreme (uključujući računala)</t>
  </si>
  <si>
    <t>77.34. Iznajmljivanje i davanje u zakup (leasing) plovnih prijevoznih sredstava</t>
  </si>
  <si>
    <t>77.35. Iznajmljivanje i davanje u zakup (leasing) zračnih prijevoznih sredstava</t>
  </si>
  <si>
    <t>77.39. Iznajmljivanje i davanje u zakup (leasing) ostalih strojeva, opreme i materijalnih dobara, d. n.</t>
  </si>
  <si>
    <t>78. Djelatnosti zapošljavanja</t>
  </si>
  <si>
    <t>78.1. Djelatnosti agencija za zapošljavanje</t>
  </si>
  <si>
    <t>78.2. Djelatnosti agencija za privremeno zapošljavanje</t>
  </si>
  <si>
    <t>78.3. Ostalo ustupanje ljudskih resursa</t>
  </si>
  <si>
    <t>79. Putničke agencije, organizatori putovanja (turoperatori) i ostale rezervacijske usluge te djelatnosti povezane s njima</t>
  </si>
  <si>
    <t>79.1. Djelatnosti putničkih agencija i organizatora putovanja (turoperatora)</t>
  </si>
  <si>
    <t>79.11. Djelatnosti putničkih agencija</t>
  </si>
  <si>
    <t>79.12. Djelatnosti organizatora putovanja (turoperatora)</t>
  </si>
  <si>
    <t>79.9. Ostale rezervacijske usluge i djelatnosti povezane s njima</t>
  </si>
  <si>
    <t>80. Zaštitne i istražne djelatnosti</t>
  </si>
  <si>
    <t>80.1. Djelatnosti privatne zaštite</t>
  </si>
  <si>
    <t>80.2. Usluge zaštite uz pomoć sigurnosnih sustava</t>
  </si>
  <si>
    <t>80.3. Istražne djelatnosti</t>
  </si>
  <si>
    <t>81. Usluge u vezi s upravljanjem i održavanjem zgrada te djelatnosti uređenja i održavanja krajolika</t>
  </si>
  <si>
    <t>81.1. Upravljanje zgradama</t>
  </si>
  <si>
    <t>81.2. Djelatnosti čišćenja</t>
  </si>
  <si>
    <t>81.21. Osnovno čišćenje zgrada</t>
  </si>
  <si>
    <t>81.22. Ostale djelatnosti čišćenja zgrada i objekata</t>
  </si>
  <si>
    <t>81.29. Ostale djelatnosti čišćenja</t>
  </si>
  <si>
    <t>81.3. Uslužne djelatnosti uređenja i održavanja krajolika</t>
  </si>
  <si>
    <t>82. Uredske administrativne i pomoćne djelatnosti te ostale poslovne pomoćne djelatnosti</t>
  </si>
  <si>
    <t>82.1. Uredske administrativne i pomoćne djelatnosti</t>
  </si>
  <si>
    <t>82.11. Kombinirane uredske administrativne uslužne djelatnosti</t>
  </si>
  <si>
    <t>82.19. Fotokopiranje, priprema dokumenata i ostale specijalizirane uredske pomoćne djelatnosti</t>
  </si>
  <si>
    <t>82.2. Djelatnosti pozivnih centara</t>
  </si>
  <si>
    <t>82.3. Organizacija sastanaka i poslovnih sajmova</t>
  </si>
  <si>
    <t>82.9. Poslovne pomoćne uslužne djelatnosti, d. n.</t>
  </si>
  <si>
    <t>82.91. Djelatnosti agencija za prikupljanje i naplatu računa te kreditnih ureda</t>
  </si>
  <si>
    <t>82.92. Djelatnosti pakiranja</t>
  </si>
  <si>
    <t>82.99. Ostale poslovne pomoćne uslužne djelatnosti, d. n.</t>
  </si>
  <si>
    <t>S. OSTALE USLUŽNE</t>
  </si>
  <si>
    <t>95. Popravak računala i predmeta za osobnu uporabu i kućanstvo</t>
  </si>
  <si>
    <t>95.1. Popravak računala i komunikacijske opreme</t>
  </si>
  <si>
    <t>95.11. Popravak računala i periferne opreme</t>
  </si>
  <si>
    <t>95.12. Popravak komunikacijske opreme</t>
  </si>
  <si>
    <t>95.2. Popravak predmeta za osobnu uporabu i kućanstvo</t>
  </si>
  <si>
    <t>95.21. Popravak elektroničkih uređaja za široku potrošnju</t>
  </si>
  <si>
    <t>95.22. Popravak aparata za kućanstvo te opreme za kuću i vrt</t>
  </si>
  <si>
    <t>95.23. Popravak obuće i proizvoda od kože</t>
  </si>
  <si>
    <t>95.24. Popravak namještaja i pokućstva</t>
  </si>
  <si>
    <t>95.25. Popravak satova i nakita</t>
  </si>
  <si>
    <t>95.29. Popravak ostalih predmeta za osobnu uporabu i kućanstvo</t>
  </si>
  <si>
    <t>CA</t>
  </si>
  <si>
    <t>CB</t>
  </si>
  <si>
    <t>CC</t>
  </si>
  <si>
    <t>CD</t>
  </si>
  <si>
    <t>CE</t>
  </si>
  <si>
    <t>CF</t>
  </si>
  <si>
    <t>CG</t>
  </si>
  <si>
    <t>CH</t>
  </si>
  <si>
    <t>CI</t>
  </si>
  <si>
    <t>CJ</t>
  </si>
  <si>
    <t>CK</t>
  </si>
  <si>
    <t>CL</t>
  </si>
  <si>
    <t>CM</t>
  </si>
  <si>
    <t>Ostalo</t>
  </si>
  <si>
    <t>Neraspoređeno</t>
  </si>
  <si>
    <t>Uvoz</t>
  </si>
  <si>
    <t>Proizvodnja prehrambenih proizvoda, pića i duhanskih proizvoda</t>
  </si>
  <si>
    <t>Proizvodnja tekstila, odjeće, kože i srodnih proizvoda</t>
  </si>
  <si>
    <t>Proizvodnja proizvoda od drva i papira, tiskanje</t>
  </si>
  <si>
    <t xml:space="preserve">Proizvodnja kemikalija i kemijskih proizvoda </t>
  </si>
  <si>
    <t>Proizvodnja proizvoda od gume i plastike te proizvodnja ostalih nemetalnih mineralnih proizvoda</t>
  </si>
  <si>
    <t xml:space="preserve">Proizvodnja osnovnih metala i proizvodnja izrađenih metalnih proizvoda, osim strojeva i opreme </t>
  </si>
  <si>
    <t xml:space="preserve">Proizvodnja računala te elektroničkih i optičkih proizvoda </t>
  </si>
  <si>
    <t>Proizvodnja strojeva i opreme, d. n.</t>
  </si>
  <si>
    <t>Proizvodnja prijevoznih sredstava</t>
  </si>
  <si>
    <t>Ostala prerađivačka industrija, popravak i instaliranje strojeva i opreme</t>
  </si>
  <si>
    <t>Proizvodnja koksa i rafiniranih naftnih
proizvoda</t>
  </si>
  <si>
    <t>Devizne intervencije</t>
  </si>
  <si>
    <t>Ekspertna procjena!</t>
  </si>
  <si>
    <t>dkred</t>
  </si>
  <si>
    <t>unemp_gap</t>
  </si>
  <si>
    <t>Krediti kućanstvima i nfc</t>
  </si>
  <si>
    <t>Krediti kućanstvima</t>
  </si>
  <si>
    <t>Krediti nefinancijskim društvima</t>
  </si>
  <si>
    <t>12.93.</t>
  </si>
  <si>
    <t>06.94.</t>
  </si>
  <si>
    <t>09.94.</t>
  </si>
  <si>
    <t>12.94.</t>
  </si>
  <si>
    <t>03.95.</t>
  </si>
  <si>
    <t>06.95.</t>
  </si>
  <si>
    <t>09.95.</t>
  </si>
  <si>
    <t>12.95.</t>
  </si>
  <si>
    <t>03.96.</t>
  </si>
  <si>
    <t>06.96.</t>
  </si>
  <si>
    <t>09.96.</t>
  </si>
  <si>
    <t>12.96.</t>
  </si>
  <si>
    <t>03.97.</t>
  </si>
  <si>
    <t>06.97.</t>
  </si>
  <si>
    <t>09.97.</t>
  </si>
  <si>
    <t>12.97.</t>
  </si>
  <si>
    <t>03.98.</t>
  </si>
  <si>
    <t>06.98.</t>
  </si>
  <si>
    <t>09.98.</t>
  </si>
  <si>
    <t>12.98.</t>
  </si>
  <si>
    <t>03.99.</t>
  </si>
  <si>
    <t>06.99.</t>
  </si>
  <si>
    <t>09.99.</t>
  </si>
  <si>
    <t>12.99.3)</t>
  </si>
  <si>
    <t>03.00.</t>
  </si>
  <si>
    <t>06.00.</t>
  </si>
  <si>
    <t>09.00.</t>
  </si>
  <si>
    <t>12.00.</t>
  </si>
  <si>
    <t>03.01.</t>
  </si>
  <si>
    <t>06.01.</t>
  </si>
  <si>
    <t>09.01.</t>
  </si>
  <si>
    <t>12.01.</t>
  </si>
  <si>
    <t>03.02.</t>
  </si>
  <si>
    <t>06.02.</t>
  </si>
  <si>
    <t>09.02.</t>
  </si>
  <si>
    <t>12.02.</t>
  </si>
  <si>
    <t>03.03.</t>
  </si>
  <si>
    <t>06.03.</t>
  </si>
  <si>
    <t>09.03.</t>
  </si>
  <si>
    <t>12.03.</t>
  </si>
  <si>
    <t>03.04.</t>
  </si>
  <si>
    <t>infl_core_s1</t>
  </si>
  <si>
    <t>infl_eu</t>
  </si>
  <si>
    <t>unemp_s1</t>
  </si>
  <si>
    <t>unemp_s1_gap</t>
  </si>
  <si>
    <t>infl_core_s2</t>
  </si>
  <si>
    <t>unemp_s2</t>
  </si>
  <si>
    <t>unemp_s2_gap</t>
  </si>
  <si>
    <t>infl_core_s3</t>
  </si>
  <si>
    <t>unemp_s3</t>
  </si>
  <si>
    <t>unemp_s3_gap</t>
  </si>
  <si>
    <t>unemp_trend</t>
  </si>
  <si>
    <t>06.04.</t>
  </si>
  <si>
    <t>09.04.</t>
  </si>
  <si>
    <t>12.04.</t>
  </si>
  <si>
    <t>03.05.</t>
  </si>
  <si>
    <t>06.05.</t>
  </si>
  <si>
    <t>09.05.</t>
  </si>
  <si>
    <t>12.05.</t>
  </si>
  <si>
    <t>03.06.</t>
  </si>
  <si>
    <t>06.06.</t>
  </si>
  <si>
    <t>09.06.</t>
  </si>
  <si>
    <t>12.06.</t>
  </si>
  <si>
    <t>03.07.</t>
  </si>
  <si>
    <t>06.07.</t>
  </si>
  <si>
    <t>09.07.</t>
  </si>
  <si>
    <t>12.07.</t>
  </si>
  <si>
    <t>03.08.</t>
  </si>
  <si>
    <t>06.08.</t>
  </si>
  <si>
    <t>09.08.</t>
  </si>
  <si>
    <t>12.08.</t>
  </si>
  <si>
    <t>03.09.</t>
  </si>
  <si>
    <t>06.09.</t>
  </si>
  <si>
    <t>09.09.</t>
  </si>
  <si>
    <t>12.09.</t>
  </si>
  <si>
    <t>03.10.</t>
  </si>
  <si>
    <t>06.10.</t>
  </si>
  <si>
    <t>09.10.</t>
  </si>
  <si>
    <t>12.10.</t>
  </si>
  <si>
    <t>03.11.</t>
  </si>
  <si>
    <t>06.11.</t>
  </si>
  <si>
    <t>09.11.</t>
  </si>
  <si>
    <t>12.11.</t>
  </si>
  <si>
    <t>03.12.</t>
  </si>
  <si>
    <t>06.12.</t>
  </si>
  <si>
    <t>09.12.</t>
  </si>
  <si>
    <t>12.12.4)</t>
  </si>
  <si>
    <t>03.13.</t>
  </si>
  <si>
    <t>06.13.</t>
  </si>
  <si>
    <t>09.13.</t>
  </si>
  <si>
    <t>12.13.</t>
  </si>
  <si>
    <t>03.14.</t>
  </si>
  <si>
    <t>06.14.</t>
  </si>
  <si>
    <t>*</t>
  </si>
  <si>
    <t>09.14.</t>
  </si>
  <si>
    <t>12.14.</t>
  </si>
  <si>
    <t>03.15.</t>
  </si>
  <si>
    <t>06.15.</t>
  </si>
  <si>
    <t>09.15.</t>
  </si>
  <si>
    <t>12.15.</t>
  </si>
  <si>
    <t>lag(dkred, 4)</t>
  </si>
  <si>
    <t>03.16.</t>
  </si>
  <si>
    <t>&lt; 2e-16</t>
  </si>
  <si>
    <t>06.16.</t>
  </si>
  <si>
    <t>09.16.</t>
  </si>
  <si>
    <t>12.16.</t>
  </si>
  <si>
    <t>03.17.</t>
  </si>
  <si>
    <t>infl_core</t>
  </si>
  <si>
    <t>06.17.</t>
  </si>
  <si>
    <t>09.17.</t>
  </si>
  <si>
    <t>12.17.</t>
  </si>
  <si>
    <t>03.18.</t>
  </si>
  <si>
    <t>06.18.</t>
  </si>
  <si>
    <t>09.18.</t>
  </si>
  <si>
    <t>12.18.</t>
  </si>
  <si>
    <t>03.19.</t>
  </si>
  <si>
    <t>06.19.</t>
  </si>
  <si>
    <t>09.19.</t>
  </si>
  <si>
    <t>12.19.</t>
  </si>
  <si>
    <t>03.20.</t>
  </si>
  <si>
    <t>06.20.</t>
  </si>
  <si>
    <t>09.20.</t>
  </si>
  <si>
    <t>12.20.</t>
  </si>
  <si>
    <t>**</t>
  </si>
  <si>
    <t>min(2008-2009)</t>
  </si>
  <si>
    <t>prosjek 2008</t>
  </si>
  <si>
    <t>prosjek 2009</t>
  </si>
  <si>
    <t>HICP (2015 = 100) - monthly data (annual rate of change) [prc_hicp_manr]</t>
  </si>
  <si>
    <t>MODEL6</t>
  </si>
  <si>
    <t>icn</t>
  </si>
  <si>
    <t>placa</t>
  </si>
  <si>
    <t>jad</t>
  </si>
  <si>
    <t>ks_promjene</t>
  </si>
  <si>
    <t>krediti</t>
  </si>
  <si>
    <t>All-items HICP</t>
  </si>
  <si>
    <t>Call:</t>
  </si>
  <si>
    <t>lm(formula = icn ~ lagicn + jad + ks_promjene + krediti, data = podaci)</t>
  </si>
  <si>
    <t>Food and non-alcoholic beverages</t>
  </si>
  <si>
    <t>Residuals:</t>
  </si>
  <si>
    <t xml:space="preserve">    Min      1Q  Median      3Q     Max </t>
  </si>
  <si>
    <t xml:space="preserve">-5.3978 -1.3409  0.2442  1.2180  4.1063 </t>
  </si>
  <si>
    <t>Alcoholic beverages, tobacco and narcotics</t>
  </si>
  <si>
    <t>Clothing and footwear</t>
  </si>
  <si>
    <t xml:space="preserve">            Estimate Std. Error t value Pr(&gt;|t|)    </t>
  </si>
  <si>
    <t xml:space="preserve">(Intercept) -0.84738    0.38403  -2.207 0.031248 *  </t>
  </si>
  <si>
    <t>lagicn       0.71678    0.07467   9.599 1.16e-13 ***</t>
  </si>
  <si>
    <t>Housing, water, electricity, gas and other fuels</t>
  </si>
  <si>
    <t xml:space="preserve">jad         -0.39958    0.12415  -3.218 0.002096 ** </t>
  </si>
  <si>
    <t>ks_promjene -1.76652    0.48011  -3.679 0.000508 ***</t>
  </si>
  <si>
    <t xml:space="preserve">krediti      0.14710    0.05895   2.495 0.015408 *  </t>
  </si>
  <si>
    <t>Furnishings, household equipment and routine household maintenance</t>
  </si>
  <si>
    <t>---</t>
  </si>
  <si>
    <t>Signif. codes:  0 ‘***’ 0.001 ‘**’ 0.01 ‘*’ 0.05 ‘.’ 0.1 ‘ ’ 1</t>
  </si>
  <si>
    <t>Residual standard error: 2.169 on 59 degrees of freedom</t>
  </si>
  <si>
    <t>Health</t>
  </si>
  <si>
    <t xml:space="preserve">  (4 observations deleted due to missingness)</t>
  </si>
  <si>
    <t xml:space="preserve">Multiple R-squared:  0.9203,    Adjusted R-squared:  0.9149 </t>
  </si>
  <si>
    <t>F-statistic: 170.4 on 4 and 59 DF,  p-value: &lt; 2.2e-16</t>
  </si>
  <si>
    <t>x</t>
  </si>
  <si>
    <t>Communications</t>
  </si>
  <si>
    <t>lagicn</t>
  </si>
  <si>
    <t>Recreation and culture</t>
  </si>
  <si>
    <t>Education</t>
  </si>
  <si>
    <t>Restaurants and hotels</t>
  </si>
  <si>
    <t>Miscellaneous goods and services</t>
  </si>
  <si>
    <t>Special value:</t>
  </si>
  <si>
    <t>:</t>
  </si>
  <si>
    <t>not available</t>
  </si>
  <si>
    <t>bottom-up procjena inflacije</t>
  </si>
  <si>
    <t>HICP - item weights [prc_hicp_inw]</t>
  </si>
  <si>
    <t>2011</t>
  </si>
  <si>
    <t>2012</t>
  </si>
  <si>
    <t>2013</t>
  </si>
  <si>
    <t>2014</t>
  </si>
  <si>
    <t>2015</t>
  </si>
  <si>
    <t>2016</t>
  </si>
  <si>
    <t>2017</t>
  </si>
  <si>
    <t>2018</t>
  </si>
  <si>
    <t>2019</t>
  </si>
  <si>
    <t>2020</t>
  </si>
  <si>
    <t>weightovi</t>
  </si>
  <si>
    <t>maksimalni pad iz krize</t>
  </si>
  <si>
    <t>avg(2009)-avg(2008)</t>
  </si>
  <si>
    <t>Porezni prihodi</t>
  </si>
  <si>
    <t>Ostali prihodi</t>
  </si>
  <si>
    <t>Ukupno prihodi</t>
  </si>
  <si>
    <t>Rashodi</t>
  </si>
  <si>
    <t>Ukupno rashodi</t>
  </si>
  <si>
    <t>Neto pozajmljivanje / zaduživanje</t>
  </si>
  <si>
    <t>Taxes on production and imports</t>
  </si>
  <si>
    <t>Current taxes on income, wealth, etc.</t>
  </si>
  <si>
    <t>Net social contributions</t>
  </si>
  <si>
    <t>Capital taxes</t>
  </si>
  <si>
    <t>Capital transfers</t>
  </si>
  <si>
    <t>Other current transfers</t>
  </si>
  <si>
    <t>Property income</t>
  </si>
  <si>
    <t>Adj. for the change in pension entitlements</t>
  </si>
  <si>
    <t>Market output</t>
  </si>
  <si>
    <t>Other subsidies on production</t>
  </si>
  <si>
    <t>Taxes on products</t>
  </si>
  <si>
    <t>Other taxes on production</t>
  </si>
  <si>
    <t>Taxes on income</t>
  </si>
  <si>
    <t>Other current taxes</t>
  </si>
  <si>
    <t>Employers' actual social contributions</t>
  </si>
  <si>
    <t>Households' actual social contributions</t>
  </si>
  <si>
    <t>Taxes on capital transfers</t>
  </si>
  <si>
    <t>Other capital transfers and investment grants</t>
  </si>
  <si>
    <t>Interest</t>
  </si>
  <si>
    <t>Other property income</t>
  </si>
  <si>
    <t>Market output, output for own final use and payments for non-market output</t>
  </si>
  <si>
    <t>Dug opće držve</t>
  </si>
  <si>
    <t>Dug opće države (u mlrd. HRK)</t>
  </si>
  <si>
    <t>Dug opće države (u % BDP-a)</t>
  </si>
  <si>
    <t>Taxes on individual or household income</t>
  </si>
  <si>
    <t>Taxes on the income or profits of corporations</t>
  </si>
  <si>
    <t>Other income taxes</t>
  </si>
  <si>
    <t>Gross capital formation</t>
  </si>
  <si>
    <t>Intermediate consumption</t>
  </si>
  <si>
    <t>Social benefits</t>
  </si>
  <si>
    <t>Subsidies</t>
  </si>
  <si>
    <t>Unutarnji dug</t>
  </si>
  <si>
    <t>Inozemni dug</t>
  </si>
  <si>
    <t>yld</t>
  </si>
  <si>
    <t>us_yld</t>
  </si>
  <si>
    <t>pdebt_gdp</t>
  </si>
  <si>
    <t>pdeficit_gdp</t>
  </si>
  <si>
    <t>ciss_bond</t>
  </si>
  <si>
    <t>dbdp</t>
  </si>
  <si>
    <t>investicijski</t>
  </si>
  <si>
    <t>yld_lr</t>
  </si>
  <si>
    <t>ec_term</t>
  </si>
  <si>
    <t>dyld</t>
  </si>
  <si>
    <t>Ostali prihodi su trenutno fiksirani, no trebati će procijeniti kapitalne transfere koje će HR povući od MMF-a i EU.</t>
  </si>
  <si>
    <t>Gross capital formation, Other current transfers, Property income i subsidies su ostali fiksirani na podatke od 2019.</t>
  </si>
  <si>
    <t>ddug</t>
  </si>
  <si>
    <t>deficit</t>
  </si>
  <si>
    <t>delta</t>
  </si>
  <si>
    <t>PDV</t>
  </si>
  <si>
    <t>broj zaposlenih</t>
  </si>
  <si>
    <t>nominalna bruto plaća</t>
  </si>
  <si>
    <t>masa plaća</t>
  </si>
  <si>
    <t>omjer sa masom plaća</t>
  </si>
  <si>
    <t>DOBIT PRIJE OPOREZIVANJA</t>
  </si>
  <si>
    <t>GUBITAK PRIJE OPOREZIVANJA</t>
  </si>
  <si>
    <t>Porez na dobit</t>
  </si>
  <si>
    <t>AOP 2002</t>
  </si>
  <si>
    <t>fiksni efekt</t>
  </si>
  <si>
    <t>HR</t>
  </si>
  <si>
    <t>long-run</t>
  </si>
  <si>
    <t>t-value</t>
  </si>
  <si>
    <t>AOP 2009</t>
  </si>
  <si>
    <t>&lt; 2.2e-16</t>
  </si>
  <si>
    <t>AOP 2010-2015</t>
  </si>
  <si>
    <t>AOP 2016</t>
  </si>
  <si>
    <t>short-run</t>
  </si>
  <si>
    <t>lreziduali</t>
  </si>
  <si>
    <t>dus_yld</t>
  </si>
  <si>
    <t>dpdebt_gdp</t>
  </si>
  <si>
    <t>dpdeficit_gdp</t>
  </si>
  <si>
    <t>dinvesticijski</t>
  </si>
  <si>
    <t>kks</t>
  </si>
  <si>
    <t>dks</t>
  </si>
  <si>
    <t>euribor</t>
  </si>
  <si>
    <t>prinos</t>
  </si>
  <si>
    <t>31.3.2020</t>
  </si>
  <si>
    <t>kratkoročne ks</t>
  </si>
  <si>
    <t>lag(kks, 1)</t>
  </si>
  <si>
    <t>dugoročne ks</t>
  </si>
  <si>
    <t>lag(dks, 1)</t>
  </si>
  <si>
    <t>reserv</t>
  </si>
  <si>
    <t>curacc</t>
  </si>
  <si>
    <t>bop</t>
  </si>
  <si>
    <t>tecaj</t>
  </si>
  <si>
    <t>mdl1</t>
  </si>
  <si>
    <t>mdl2</t>
  </si>
  <si>
    <t>Mjere potpore?</t>
  </si>
  <si>
    <t>da</t>
  </si>
  <si>
    <t>ne</t>
  </si>
  <si>
    <t>Bruto domaći proizvod</t>
  </si>
  <si>
    <t>Stopa nezaposlenosti</t>
  </si>
  <si>
    <t>Bruto plaće</t>
  </si>
  <si>
    <t>Tekuće transakcije (u % BDP-a)</t>
  </si>
  <si>
    <t>Krediti banaka realnom sektoru</t>
  </si>
  <si>
    <t>Inflacija</t>
  </si>
  <si>
    <t>Nekretnine</t>
  </si>
  <si>
    <t>Javne financije (u % BDP-a)</t>
  </si>
  <si>
    <t>Razina javnog duga (u % BDP-a)</t>
  </si>
  <si>
    <t>Prinos na državne obveznice</t>
  </si>
  <si>
    <t>Tečaj EUR/HRK</t>
  </si>
  <si>
    <t>2020.</t>
  </si>
  <si>
    <t>2019.</t>
  </si>
  <si>
    <t>2018.</t>
  </si>
  <si>
    <t>Scenarij1</t>
  </si>
  <si>
    <t>Scenarij3</t>
  </si>
  <si>
    <t>Scenarij2</t>
  </si>
  <si>
    <t>Od 37 milijardi eura predviđenih u EU fondovima i Hrvatska će dobiti određen dio novca"</t>
  </si>
  <si>
    <t>Komisija je Hrvatskoj omogućila korištenje likvidnih sredstava u iznosu od 174 milijuna eura, dakle 1,3 mlrd. kuna, koje će se koristiti za brže plaćanje projekata sufinanciranih iz europskih fondova.</t>
  </si>
  <si>
    <t>Najavio je 140 milijuna tekuće likvidnosti kroz aranžmane HBOR-a i HAMAG Bicro-a, a kaže i da idu na europske fondove po milijardu kuna za likvidnost. Najavio je i kredite od 1000 do 25 000 eura kroz HAMAG Bicro.</t>
  </si>
  <si>
    <t>Prva mjera koju smo predložili i za koju smo već podnijeli zahtjev EK, osiguranje je fleksibilnosti između stupova zajedničke poljoprivredne politike. Tražimo da nam se omoguće dodatna sredstva u treći stup, odnosno u osiguranje dovoljnog dohotka poljoprivrednicima. Planirani iznos u odnosu na moguću fleksibilnost u ovom trenutku je minimalno 120 milijuna kuna ukoliko EK, uz potporu i drugih zemalja, to podrži"</t>
  </si>
  <si>
    <t>"Zaključak sastanka je da tražimo dodatnu fleksibilnost, ovih 37 milijardi eura koje je Komisija osigurala nije novi novac, ali osigurava mogućnost za likvidnost financijskog sustava, a isto tako omogućava nama da unutar neugovorenih sredstava osiguramo sredstva bilo za zdravstveni sustav, bilo za naše poduzetnike", kazao je Pavić.
Jutros je, kako je rekao, pronađeno dodatnih 37 milijuna eura za medicinsku opremu, kao što su respiratori ili maske, a osigurano je i dodatnih 114 milijuna kuna za mikro kredite HAMAG-BICRO-a. Za sljedeći tjedan Pavić najavljuje novu liniju "korona kredita", čime će po vrlo povoljnim kamatama na raspolaganju biti 380 milijuna kuna za obrtna sredstva, također uz provedbu HAMAG-BICRO-a.</t>
  </si>
  <si>
    <t>Podsjeća da nacionalna omotnica iznosi 10,7 milijardi eura, od čega je 89 posto ugovoreno, te stoga 11 posto predstavlja prostor za preraspodjelu, odnosno da se ostatak sredstava usmjeri bilo u zdravstvo, bilo u poduzetništvo i očuvanje radnih mjesta.</t>
  </si>
  <si>
    <t>Inače, jučer je predsjednik Vlade Andrej Plenković objavio da je Europska unija pripremila investicijski plan kao odgovor na krizu s pandemijom koronavirusa "težak" 37 milijardi eura, od čega je za Hrvatsku namijenjeno 1,16 milijardi eura.</t>
  </si>
  <si>
    <t>Investicijski odgovor EU-a na korona krizu: Hrvatskoj 8.8 milijardi kuna za pomoć gospodarstvu &amp; zdravstvu!</t>
  </si>
  <si>
    <t>Predsjednik Vlade podsjetio je da će Hrvatska od cijelog Corona investment plana dobiti milijardu i 160 milijuna eura.  Prva tranša je, pojasnio je, 240 milijuna i dio toga je već krenuo, dio će doći početkom travnja.</t>
  </si>
  <si>
    <t>Što se tiče financijske pomoći, Već sada smo u pregovorima s Europskom komisijom osigurali priljev sredstava iz fondova EU u iznosu od 238 milijuna eura. EK potvrdila je HBOR-ovu shemu portfeljnog osiguranja kredita za likvidnost. Time je osiguran jamstveni potencijal koji iznosi 6 milijardi kuna za hrvatske izvoznike pogođene posljedicama COVID-19.</t>
  </si>
  <si>
    <t>Fondovi EU: 238 mil €</t>
  </si>
  <si>
    <t>Jučer je Europska komisija odobrila i drugi hrvatski program za potporu hrvatskom gospodarstvu zbog posljedica pandemije koronavirusa. Samo kroz ova dva do sada odobrena programa potencijalno se oslobađa kreditni potencijal od 1,8 milijardi eura, odnosno više od 13,5 milijardi kuna namijenjenih realnom sektoru</t>
  </si>
  <si>
    <r>
      <t xml:space="preserve">Goran Grlić Radman: "Dogovora oko proračuna EU još nema, no on je na putu".
"Imali smo prijatelje kohezijske politike, 17 zemalja zajedno s Hrvatskom, i 10 zemalja koje su neto uplatiteljice. Hrvatska je neto primateljica i do sad smo primili već više nego što smo platili, 25,6 milijardi eura.
Hrvatska je od Europske unije izravno dobila </t>
    </r>
    <r>
      <rPr>
        <b/>
        <sz val="11"/>
        <color theme="1"/>
        <rFont val="Liberation Sans"/>
        <charset val="238"/>
      </rPr>
      <t>244 milijuna eura pomoći</t>
    </r>
    <r>
      <rPr>
        <sz val="11"/>
        <color theme="1"/>
        <rFont val="Arial"/>
        <family val="2"/>
        <charset val="238"/>
      </rPr>
      <t>, a dodatna pomoć će doći kroz kohezijski, a onda i socijalni fond i fond za regionalni razvoj.</t>
    </r>
  </si>
  <si>
    <t>EU: 244 mil €</t>
  </si>
  <si>
    <t>Pomoće od EU</t>
  </si>
  <si>
    <t>mjesec</t>
  </si>
  <si>
    <t>broj korisnika</t>
  </si>
  <si>
    <t>neto plaća</t>
  </si>
  <si>
    <t>isplaćeno HZZ</t>
  </si>
  <si>
    <t>neto plaća HZZ</t>
  </si>
  <si>
    <t>trošak neto plaće</t>
  </si>
  <si>
    <t>bruto plaća</t>
  </si>
  <si>
    <t>doprinosi</t>
  </si>
  <si>
    <t>ukupni trošak mjere</t>
  </si>
  <si>
    <t>1°</t>
  </si>
  <si>
    <t>2°</t>
  </si>
  <si>
    <t>procjena:</t>
  </si>
  <si>
    <t>mlrd</t>
  </si>
  <si>
    <t>Mjere očuvanja radnih mjesta</t>
  </si>
  <si>
    <t>TREZORSKI ZAPISI</t>
  </si>
  <si>
    <t>Datum</t>
  </si>
  <si>
    <t>ostvareni iznos emisije</t>
  </si>
  <si>
    <t>Tečaj</t>
  </si>
  <si>
    <t>Ostvarena jedinstvena prodajna cijena uz kamatnu stopu</t>
  </si>
  <si>
    <t>Trajanje (dani)</t>
  </si>
  <si>
    <t>Dospijeće</t>
  </si>
  <si>
    <t>(000 HRK)</t>
  </si>
  <si>
    <t>(000 EUR FX)</t>
  </si>
  <si>
    <t>Cijena</t>
  </si>
  <si>
    <t>Kamatna stopa</t>
  </si>
  <si>
    <t>OBVEZNICE</t>
  </si>
  <si>
    <t>Serija</t>
  </si>
  <si>
    <t>ISIN</t>
  </si>
  <si>
    <t>Oznaka</t>
  </si>
  <si>
    <t>Iznos</t>
  </si>
  <si>
    <t>Valuta</t>
  </si>
  <si>
    <t>tečaj</t>
  </si>
  <si>
    <t>Trajanje (god)</t>
  </si>
  <si>
    <t>kamata</t>
  </si>
  <si>
    <t>Period isplate</t>
  </si>
  <si>
    <t>DOMAĆE</t>
  </si>
  <si>
    <t>31 D-40</t>
  </si>
  <si>
    <t>HRRHMFO403E6</t>
  </si>
  <si>
    <t>RHMF-O-403E</t>
  </si>
  <si>
    <t>EUR</t>
  </si>
  <si>
    <t>polugodišnje</t>
  </si>
  <si>
    <t>32 D-25</t>
  </si>
  <si>
    <t>HRRHMFO253A3</t>
  </si>
  <si>
    <t>RHMF-O-253A</t>
  </si>
  <si>
    <t>HRK</t>
  </si>
  <si>
    <t>30 D-34</t>
  </si>
  <si>
    <t>HRRHMFO34BA1</t>
  </si>
  <si>
    <t>RHMF-O-34BA</t>
  </si>
  <si>
    <t>HRRHMFO275E8</t>
  </si>
  <si>
    <t>KAMATE za 2020.</t>
  </si>
  <si>
    <t>Zaduživanje - izdano u 2020.</t>
  </si>
  <si>
    <t>455/546/547</t>
  </si>
  <si>
    <t>Dospijeće 25.02./03.03.2020</t>
  </si>
  <si>
    <t xml:space="preserve"> </t>
  </si>
  <si>
    <t>13 D-20</t>
  </si>
  <si>
    <t xml:space="preserve"> HRRHMFO203A8</t>
  </si>
  <si>
    <t>RHMF-O-203A</t>
  </si>
  <si>
    <t>14 D-20</t>
  </si>
  <si>
    <t>HRRHMFO203E0</t>
  </si>
  <si>
    <t>RHMF-O-203E</t>
  </si>
  <si>
    <t>MEĐUNARODNE</t>
  </si>
  <si>
    <t>kupon</t>
  </si>
  <si>
    <t>USD</t>
  </si>
  <si>
    <t>Euro-USD bonds / II:</t>
  </si>
  <si>
    <t>USD 1,25 milijardi (cross currency swap - 1,4165 USD za 1 euro)</t>
  </si>
  <si>
    <t>10 godina, bullet</t>
  </si>
  <si>
    <t>6,625% kupon</t>
  </si>
  <si>
    <t>(381,3 bp iznad desetogodišnjih US Treasury)</t>
  </si>
  <si>
    <t>Voditelji izdanja: Barclays Capital, Citigroup i JP Morgan</t>
  </si>
  <si>
    <t>Kotacija: Luxembourg</t>
  </si>
  <si>
    <t>Datum izdanja: 14. srpnja 2010.</t>
  </si>
  <si>
    <t>Datum dospijeća: 14. srpnja  2020.</t>
  </si>
  <si>
    <t>Zaduživanje - dospjeva u 2020.</t>
  </si>
  <si>
    <t>djelatnost</t>
  </si>
  <si>
    <t>A - Poljoprivreda</t>
  </si>
  <si>
    <t>B - Industrija</t>
  </si>
  <si>
    <t>C - Prerađivačka industrija</t>
  </si>
  <si>
    <t>F - Građevinarstvo</t>
  </si>
  <si>
    <t>G - Trgovina, prijevoz i smještaj</t>
  </si>
  <si>
    <t>J - Informacije</t>
  </si>
  <si>
    <t>K - Financije</t>
  </si>
  <si>
    <t>L - Promet nekretninama</t>
  </si>
  <si>
    <t>O - Javna uprava</t>
  </si>
  <si>
    <t>R - Ostale usluge</t>
  </si>
  <si>
    <t>sektor</t>
  </si>
  <si>
    <t>M - Stručne i admin. usluge</t>
  </si>
  <si>
    <t>Za usporedbu sa ostvarenjima</t>
  </si>
  <si>
    <t>Za usporedbu sa poreznom</t>
  </si>
  <si>
    <t>BDV - 2019</t>
  </si>
  <si>
    <t>A - Poljoprivreda,šumarstvo i ribarstvo</t>
  </si>
  <si>
    <t>B - Rudarstvo i vađenje</t>
  </si>
  <si>
    <t>D - Opskrba el.en., plinom, parom i klimatizacija</t>
  </si>
  <si>
    <t>E - Opskrba vodom; uklanjanje otpadnih voda</t>
  </si>
  <si>
    <t>G - Trg. na vel. i malo; popr. mot.voz. i motoc.</t>
  </si>
  <si>
    <t>H - Prijevoz i skladištenje</t>
  </si>
  <si>
    <t>I - Djel. pružanja smješt. te pripr. i usl. hrane</t>
  </si>
  <si>
    <t>J - Informacije i komunikacije</t>
  </si>
  <si>
    <t>K - Financijske djelatnosti i djelatnosti osigur.</t>
  </si>
  <si>
    <t>L - Poslovanje nekretninama</t>
  </si>
  <si>
    <t>M - Stručne, znanstvene i tehničke djelatnosti</t>
  </si>
  <si>
    <t>N - Administrativne i pomoćne uslužne djelatnosti</t>
  </si>
  <si>
    <t>O - Javna uprava i obrana; obvez. soc. osiguranje</t>
  </si>
  <si>
    <t>P - Obrazovanje</t>
  </si>
  <si>
    <t>Q - Djelat. zdrav. zaštite i socijalne skrbi</t>
  </si>
  <si>
    <t>R - Umjetnost, zabava i rekreacija</t>
  </si>
  <si>
    <t>S - Ostale uslužne djelatnosti</t>
  </si>
  <si>
    <t>T - Djelatnosti kućanstava kao poslodavaca</t>
  </si>
  <si>
    <t>Ponderi</t>
  </si>
  <si>
    <t>Kratkoročne kamatne stope</t>
  </si>
  <si>
    <t>Dugoročne kamatne stope</t>
  </si>
  <si>
    <t>Makroekonomski indikator</t>
  </si>
  <si>
    <t>B-E</t>
  </si>
  <si>
    <t>G-I</t>
  </si>
  <si>
    <t>M_N</t>
  </si>
  <si>
    <t>O-Q</t>
  </si>
  <si>
    <t>R-U</t>
  </si>
  <si>
    <t>TOTAL</t>
  </si>
  <si>
    <t>FR</t>
  </si>
  <si>
    <t>AT</t>
  </si>
  <si>
    <t>ES</t>
  </si>
  <si>
    <t>NO</t>
  </si>
  <si>
    <t>ukljuciti</t>
  </si>
  <si>
    <t>Prihodi</t>
  </si>
  <si>
    <t>Neto pozajmljivanje</t>
  </si>
  <si>
    <t>Dug opće države</t>
  </si>
  <si>
    <t>scenarij</t>
  </si>
  <si>
    <t>Za prikaz šoka</t>
  </si>
  <si>
    <t>B - Rudarstvo</t>
  </si>
  <si>
    <t>C - Prerađivačka ind.</t>
  </si>
  <si>
    <t>D - Opskrba energijom</t>
  </si>
  <si>
    <t>E - Opskrba vodom</t>
  </si>
  <si>
    <t>G - Trgovina</t>
  </si>
  <si>
    <t>H - Prijevoz</t>
  </si>
  <si>
    <t>I - Smještaj</t>
  </si>
  <si>
    <t>K - Financijske djel.</t>
  </si>
  <si>
    <t>L - Posl. nekretninama</t>
  </si>
  <si>
    <t>M - Stručne djel.</t>
  </si>
  <si>
    <t>N - Administrativne djel.</t>
  </si>
  <si>
    <t>O - Javna uprava i obrana</t>
  </si>
  <si>
    <t>Q - Zdravstvena zaštita</t>
  </si>
  <si>
    <t>S - Ost. uslužne djel.</t>
  </si>
  <si>
    <t>T - Djel. kućanstava</t>
  </si>
  <si>
    <t>R - Umjetnost, zabava</t>
  </si>
  <si>
    <t>Kratkoročne</t>
  </si>
  <si>
    <t>Dugoročne</t>
  </si>
  <si>
    <t>year</t>
  </si>
  <si>
    <t>month</t>
  </si>
  <si>
    <t>prva</t>
  </si>
  <si>
    <t>max</t>
  </si>
  <si>
    <t>min</t>
  </si>
  <si>
    <t>zadnja_pros</t>
  </si>
  <si>
    <t>zadnja_lv</t>
  </si>
  <si>
    <t>max_promjena</t>
  </si>
  <si>
    <t>min_promjena</t>
  </si>
  <si>
    <t>promet</t>
  </si>
  <si>
    <t>Promjene zadnja_pros</t>
  </si>
  <si>
    <t>Promjene zadnja_lv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</si>
</sst>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5">
    <numFmt numFmtId="43" formatCode="_-* #,##0.00\ _k_n_-;\-* #,##0.00\ _k_n_-;_-* &quot;-&quot;??\ _k_n_-;_-@_-"/>
    <numFmt numFmtId="164" formatCode="_-* #,##0\ _k_n_-;\-* #,##0\ _k_n_-;_-* &quot;-&quot;??\ _k_n_-;_-@"/>
    <numFmt numFmtId="165" formatCode="_-* #,##0.00\ _k_n_-;\-* #,##0.00\ _k_n_-;_-* &quot;-&quot;??\ _k_n_-;_-@"/>
    <numFmt numFmtId="166" formatCode="0.0"/>
    <numFmt numFmtId="167" formatCode="#,##0.0"/>
    <numFmt numFmtId="168" formatCode="###,###,##0_ \ "/>
    <numFmt numFmtId="169" formatCode="#,##0_ ;[Red]\-\ #,##0_ ;_-* &quot;- &quot;"/>
    <numFmt numFmtId="170" formatCode="0.0%"/>
    <numFmt numFmtId="171" formatCode="#,##0.000000"/>
    <numFmt numFmtId="172" formatCode="_-* #,##0.0\ _k_n_-;\-* #,##0.0\ _k_n_-;_-* &quot;-&quot;??\ _k_n_-;_-@"/>
    <numFmt numFmtId="173" formatCode="0.000"/>
    <numFmt numFmtId="174" formatCode="_-* #,##0.0\ _k_n_-;\-* #,##0.0\ _k_n_-;_-* &quot;-&quot;??\ _k_n_-;_-@_-"/>
    <numFmt numFmtId="175" formatCode="dd&quot;.&quot;mm&quot;.&quot;yy"/>
    <numFmt numFmtId="176" formatCode="#,##0.000"/>
    <numFmt numFmtId="177" formatCode="_-* #,##0\ _k_n_-;\-* #,##0\ _k_n_-;_-* &quot;-&quot;??\ _k_n_-;_-@_-"/>
  </numFmts>
  <fonts count="59">
    <font>
      <sz val="11"/>
      <color theme="1"/>
      <name val="Arial"/>
    </font>
    <font>
      <sz val="11"/>
      <color theme="1"/>
      <name val="Calibri"/>
      <family val="2"/>
      <charset val="238"/>
    </font>
    <font>
      <b/>
      <sz val="11"/>
      <color theme="1"/>
      <name val="Calibri"/>
      <family val="2"/>
      <charset val="238"/>
    </font>
    <font>
      <sz val="11"/>
      <color rgb="FF000000"/>
      <name val="Calibri"/>
      <family val="2"/>
      <charset val="238"/>
    </font>
    <font>
      <sz val="11"/>
      <name val="Arial"/>
      <family val="2"/>
      <charset val="238"/>
    </font>
    <font>
      <b/>
      <sz val="11"/>
      <color rgb="FFC00000"/>
      <name val="Calibri"/>
      <family val="2"/>
      <charset val="238"/>
    </font>
    <font>
      <sz val="9"/>
      <color theme="0"/>
      <name val="Arial"/>
      <family val="2"/>
      <charset val="238"/>
    </font>
    <font>
      <sz val="9"/>
      <color theme="1"/>
      <name val="Arial"/>
      <family val="2"/>
      <charset val="238"/>
    </font>
    <font>
      <sz val="9"/>
      <color rgb="FF000000"/>
      <name val="Arial"/>
      <family val="2"/>
      <charset val="238"/>
    </font>
    <font>
      <sz val="9"/>
      <color rgb="FFC00000"/>
      <name val="Arial"/>
      <family val="2"/>
      <charset val="238"/>
    </font>
    <font>
      <b/>
      <sz val="9"/>
      <color theme="0"/>
      <name val="Arial"/>
      <family val="2"/>
      <charset val="238"/>
    </font>
    <font>
      <sz val="8"/>
      <color theme="1"/>
      <name val="Arial"/>
      <family val="2"/>
      <charset val="238"/>
    </font>
    <font>
      <b/>
      <sz val="11"/>
      <color rgb="FF000000"/>
      <name val="Calibri"/>
      <family val="2"/>
      <charset val="238"/>
    </font>
    <font>
      <sz val="12"/>
      <color rgb="FF000000"/>
      <name val="Calibri"/>
      <family val="2"/>
      <charset val="238"/>
    </font>
    <font>
      <sz val="11"/>
      <color rgb="FFC00000"/>
      <name val="Calibri"/>
      <family val="2"/>
      <charset val="238"/>
    </font>
    <font>
      <b/>
      <sz val="9"/>
      <color theme="1"/>
      <name val="Arial"/>
      <family val="2"/>
      <charset val="238"/>
    </font>
    <font>
      <b/>
      <sz val="9"/>
      <color rgb="FFC00000"/>
      <name val="Arial"/>
      <family val="2"/>
      <charset val="238"/>
    </font>
    <font>
      <sz val="11"/>
      <color theme="1"/>
      <name val="Calibri"/>
      <family val="2"/>
      <charset val="238"/>
    </font>
    <font>
      <b/>
      <sz val="11"/>
      <color theme="1"/>
      <name val="Calibri"/>
      <family val="2"/>
      <charset val="238"/>
    </font>
    <font>
      <sz val="9"/>
      <color rgb="FFFF0000"/>
      <name val="Arial"/>
      <family val="2"/>
      <charset val="238"/>
    </font>
    <font>
      <sz val="11"/>
      <color rgb="FF000000"/>
      <name val="Arial"/>
      <family val="2"/>
      <charset val="238"/>
    </font>
    <font>
      <b/>
      <sz val="11"/>
      <color rgb="FFFF0000"/>
      <name val="Calibri"/>
      <family val="2"/>
      <charset val="238"/>
    </font>
    <font>
      <sz val="11"/>
      <color rgb="FFFF0000"/>
      <name val="Calibri"/>
      <family val="2"/>
      <charset val="238"/>
    </font>
    <font>
      <sz val="8"/>
      <color theme="1"/>
      <name val="Droid sans mono"/>
    </font>
    <font>
      <sz val="10"/>
      <color theme="1"/>
      <name val="Arial"/>
      <family val="2"/>
      <charset val="238"/>
    </font>
    <font>
      <b/>
      <sz val="10"/>
      <color theme="1"/>
      <name val="Arial"/>
      <family val="2"/>
      <charset val="238"/>
    </font>
    <font>
      <sz val="10"/>
      <color theme="1"/>
      <name val="Calibri"/>
      <family val="2"/>
      <charset val="238"/>
    </font>
    <font>
      <sz val="8"/>
      <color rgb="FFFF0000"/>
      <name val="Arial"/>
      <family val="2"/>
      <charset val="238"/>
    </font>
    <font>
      <sz val="11"/>
      <color rgb="FF0033CC"/>
      <name val="Calibri"/>
      <family val="2"/>
      <charset val="238"/>
    </font>
    <font>
      <sz val="11"/>
      <name val="Calibri"/>
      <family val="2"/>
      <charset val="238"/>
    </font>
    <font>
      <sz val="10"/>
      <color rgb="FF000000"/>
      <name val="Arial"/>
      <family val="2"/>
      <charset val="238"/>
    </font>
    <font>
      <sz val="10"/>
      <color rgb="FF1F3864"/>
      <name val="Arial"/>
      <family val="2"/>
      <charset val="238"/>
    </font>
    <font>
      <sz val="8"/>
      <color rgb="FF000000"/>
      <name val="Droid Sans Mono"/>
    </font>
    <font>
      <b/>
      <sz val="16"/>
      <color theme="1"/>
      <name val="Calibri"/>
      <family val="2"/>
      <charset val="238"/>
    </font>
    <font>
      <sz val="20"/>
      <color theme="1"/>
      <name val="Calibri"/>
      <family val="2"/>
      <charset val="238"/>
    </font>
    <font>
      <sz val="12"/>
      <color theme="1"/>
      <name val="Calibri"/>
      <family val="2"/>
      <charset val="238"/>
    </font>
    <font>
      <sz val="11"/>
      <color theme="5"/>
      <name val="Calibri"/>
      <family val="2"/>
      <charset val="238"/>
    </font>
    <font>
      <b/>
      <sz val="11"/>
      <color rgb="FF000000"/>
      <name val="Arial"/>
      <family val="2"/>
      <charset val="238"/>
    </font>
    <font>
      <b/>
      <sz val="11"/>
      <color theme="5"/>
      <name val="Calibri"/>
      <family val="2"/>
      <charset val="238"/>
    </font>
    <font>
      <sz val="11"/>
      <color rgb="FFC00000"/>
      <name val="Arial"/>
      <family val="2"/>
      <charset val="238"/>
    </font>
    <font>
      <b/>
      <sz val="9"/>
      <color rgb="FFFF0000"/>
      <name val="Arial"/>
      <family val="2"/>
      <charset val="238"/>
    </font>
    <font>
      <b/>
      <sz val="9"/>
      <color rgb="FF000000"/>
      <name val="Arial"/>
      <family val="2"/>
      <charset val="238"/>
    </font>
    <font>
      <vertAlign val="superscript"/>
      <sz val="9"/>
      <color theme="1"/>
      <name val="Arial"/>
      <family val="2"/>
      <charset val="238"/>
    </font>
    <font>
      <sz val="11"/>
      <color theme="1"/>
      <name val="Arial"/>
      <family val="2"/>
      <charset val="238"/>
    </font>
    <font>
      <sz val="11"/>
      <color theme="1"/>
      <name val="Arial"/>
      <family val="2"/>
      <charset val="238"/>
    </font>
    <font>
      <sz val="9"/>
      <name val="Arial"/>
      <family val="2"/>
      <charset val="238"/>
    </font>
    <font>
      <b/>
      <sz val="9"/>
      <name val="Arial"/>
      <family val="2"/>
      <charset val="238"/>
    </font>
    <font>
      <b/>
      <sz val="9"/>
      <color indexed="81"/>
      <name val="Tahoma"/>
      <family val="2"/>
      <charset val="238"/>
    </font>
    <font>
      <sz val="9"/>
      <color indexed="81"/>
      <name val="Tahoma"/>
      <family val="2"/>
      <charset val="238"/>
    </font>
    <font>
      <b/>
      <sz val="11"/>
      <color theme="1"/>
      <name val="Arial"/>
      <family val="2"/>
      <charset val="238"/>
    </font>
    <font>
      <b/>
      <sz val="11"/>
      <color theme="1"/>
      <name val="Liberation Sans"/>
      <charset val="238"/>
    </font>
    <font>
      <sz val="10"/>
      <color theme="1"/>
      <name val="Liberation Sans"/>
      <charset val="238"/>
    </font>
    <font>
      <sz val="9"/>
      <color theme="1"/>
      <name val="Arial1"/>
      <charset val="238"/>
    </font>
    <font>
      <b/>
      <sz val="10"/>
      <color theme="1"/>
      <name val="Calibri"/>
      <family val="2"/>
      <charset val="238"/>
    </font>
    <font>
      <sz val="9"/>
      <color indexed="8"/>
      <name val="Arial"/>
      <family val="2"/>
      <charset val="238"/>
    </font>
    <font>
      <sz val="11"/>
      <color rgb="FFFF0000"/>
      <name val="Arial"/>
      <family val="2"/>
      <charset val="238"/>
    </font>
    <font>
      <sz val="7"/>
      <color rgb="FFFFFFFF"/>
      <name val="Segoe UI"/>
      <family val="2"/>
      <charset val="238"/>
    </font>
    <font>
      <sz val="11"/>
      <color rgb="FF000000"/>
      <name val="Calibri"/>
      <family val="2"/>
    </font>
    <font>
      <sz val="11"/>
      <color rgb="FFFF0000"/>
      <name val="Calibri"/>
      <family val="2"/>
    </font>
  </fonts>
  <fills count="63">
    <fill>
      <patternFill patternType="none"/>
    </fill>
    <fill>
      <patternFill patternType="gray125"/>
    </fill>
    <fill>
      <patternFill patternType="solid">
        <fgColor theme="0"/>
        <bgColor theme="0"/>
      </patternFill>
    </fill>
    <fill>
      <patternFill patternType="solid">
        <fgColor rgb="FFFFD965"/>
        <bgColor rgb="FFFFD965"/>
      </patternFill>
    </fill>
    <fill>
      <patternFill patternType="solid">
        <fgColor rgb="FFAEABAB"/>
        <bgColor rgb="FFAEABAB"/>
      </patternFill>
    </fill>
    <fill>
      <patternFill patternType="solid">
        <fgColor rgb="FFFEF2CB"/>
        <bgColor rgb="FFFEF2CB"/>
      </patternFill>
    </fill>
    <fill>
      <patternFill patternType="solid">
        <fgColor rgb="FFFFFF00"/>
        <bgColor rgb="FFFFFF00"/>
      </patternFill>
    </fill>
    <fill>
      <patternFill patternType="solid">
        <fgColor rgb="FFC00000"/>
        <bgColor rgb="FFC00000"/>
      </patternFill>
    </fill>
    <fill>
      <patternFill patternType="solid">
        <fgColor rgb="FFFFC000"/>
        <bgColor rgb="FFFFC000"/>
      </patternFill>
    </fill>
    <fill>
      <patternFill patternType="solid">
        <fgColor rgb="FF00B050"/>
        <bgColor rgb="FF00B050"/>
      </patternFill>
    </fill>
    <fill>
      <patternFill patternType="solid">
        <fgColor rgb="FF755052"/>
        <bgColor rgb="FF755052"/>
      </patternFill>
    </fill>
    <fill>
      <patternFill patternType="solid">
        <fgColor rgb="FFE6B8B7"/>
        <bgColor rgb="FFE6B8B7"/>
      </patternFill>
    </fill>
    <fill>
      <patternFill patternType="solid">
        <fgColor rgb="FFF2DCDB"/>
        <bgColor rgb="FFF2DCDB"/>
      </patternFill>
    </fill>
    <fill>
      <patternFill patternType="solid">
        <fgColor rgb="FF782C2A"/>
        <bgColor rgb="FF782C2A"/>
      </patternFill>
    </fill>
    <fill>
      <patternFill patternType="solid">
        <fgColor rgb="FF44546A"/>
        <bgColor rgb="FF44546A"/>
      </patternFill>
    </fill>
    <fill>
      <patternFill patternType="solid">
        <fgColor rgb="FFA88082"/>
        <bgColor rgb="FFA88082"/>
      </patternFill>
    </fill>
    <fill>
      <patternFill patternType="solid">
        <fgColor rgb="FFF4B083"/>
        <bgColor rgb="FFF4B083"/>
      </patternFill>
    </fill>
    <fill>
      <patternFill patternType="solid">
        <fgColor rgb="FFECD4D4"/>
        <bgColor rgb="FFECD4D4"/>
      </patternFill>
    </fill>
    <fill>
      <patternFill patternType="solid">
        <fgColor rgb="FFFBE4D5"/>
        <bgColor rgb="FFFBE4D5"/>
      </patternFill>
    </fill>
    <fill>
      <patternFill patternType="solid">
        <fgColor rgb="FF8496B0"/>
        <bgColor rgb="FF8496B0"/>
      </patternFill>
    </fill>
    <fill>
      <patternFill patternType="solid">
        <fgColor rgb="FFADB9CA"/>
        <bgColor rgb="FFADB9CA"/>
      </patternFill>
    </fill>
    <fill>
      <patternFill patternType="solid">
        <fgColor rgb="FFDEEAF6"/>
        <bgColor rgb="FFDEEAF6"/>
      </patternFill>
    </fill>
    <fill>
      <patternFill patternType="solid">
        <fgColor rgb="FFFF0000"/>
        <bgColor rgb="FFFF0000"/>
      </patternFill>
    </fill>
    <fill>
      <patternFill patternType="solid">
        <fgColor rgb="FF808080"/>
        <bgColor rgb="FF808080"/>
      </patternFill>
    </fill>
    <fill>
      <patternFill patternType="solid">
        <fgColor rgb="FFF2F2F2"/>
        <bgColor rgb="FFF2F2F2"/>
      </patternFill>
    </fill>
    <fill>
      <patternFill patternType="solid">
        <fgColor rgb="FF99CCFF"/>
        <bgColor rgb="FF99CCFF"/>
      </patternFill>
    </fill>
    <fill>
      <patternFill patternType="solid">
        <fgColor rgb="FFD6DCE4"/>
        <bgColor rgb="FFD6DCE4"/>
      </patternFill>
    </fill>
    <fill>
      <patternFill patternType="solid">
        <fgColor rgb="FF8EAADB"/>
        <bgColor rgb="FF8EAADB"/>
      </patternFill>
    </fill>
    <fill>
      <patternFill patternType="solid">
        <fgColor rgb="FFCCC0DA"/>
        <bgColor rgb="FFCCC0DA"/>
      </patternFill>
    </fill>
    <fill>
      <patternFill patternType="solid">
        <fgColor rgb="FF60497A"/>
        <bgColor rgb="FF60497A"/>
      </patternFill>
    </fill>
    <fill>
      <patternFill patternType="solid">
        <fgColor rgb="FFE4DFEC"/>
        <bgColor rgb="FFE4DFEC"/>
      </patternFill>
    </fill>
    <fill>
      <patternFill patternType="solid">
        <fgColor rgb="FFFFD966"/>
        <bgColor rgb="FFFFD966"/>
      </patternFill>
    </fill>
    <fill>
      <patternFill patternType="solid">
        <fgColor rgb="FFC5E0B3"/>
        <bgColor rgb="FFC5E0B3"/>
      </patternFill>
    </fill>
    <fill>
      <patternFill patternType="solid">
        <fgColor rgb="FF7B7B7B"/>
        <bgColor rgb="FF7B7B7B"/>
      </patternFill>
    </fill>
    <fill>
      <patternFill patternType="solid">
        <fgColor rgb="FFFFFFFF"/>
        <bgColor rgb="FFFFFFFF"/>
      </patternFill>
    </fill>
    <fill>
      <patternFill patternType="solid">
        <fgColor rgb="FFA8D08D"/>
        <bgColor rgb="FFA8D08D"/>
      </patternFill>
    </fill>
    <fill>
      <patternFill patternType="solid">
        <fgColor theme="5"/>
        <bgColor theme="5"/>
      </patternFill>
    </fill>
    <fill>
      <patternFill patternType="solid">
        <fgColor rgb="FFFF5050"/>
        <bgColor rgb="FFFF5050"/>
      </patternFill>
    </fill>
    <fill>
      <patternFill patternType="solid">
        <fgColor rgb="FFB4C6E7"/>
        <bgColor rgb="FFB4C6E7"/>
      </patternFill>
    </fill>
    <fill>
      <patternFill patternType="solid">
        <fgColor rgb="FFF7CAAC"/>
        <bgColor rgb="FFF7CAAC"/>
      </patternFill>
    </fill>
    <fill>
      <patternFill patternType="solid">
        <fgColor rgb="FF9CC2E5"/>
        <bgColor rgb="FF9CC2E5"/>
      </patternFill>
    </fill>
    <fill>
      <patternFill patternType="solid">
        <fgColor rgb="FF2E75B5"/>
        <bgColor rgb="FF2E75B5"/>
      </patternFill>
    </fill>
    <fill>
      <patternFill patternType="solid">
        <fgColor rgb="FFE2EFD9"/>
        <bgColor rgb="FFE2EFD9"/>
      </patternFill>
    </fill>
    <fill>
      <patternFill patternType="solid">
        <fgColor rgb="FFFF9999"/>
        <bgColor rgb="FFFF9999"/>
      </patternFill>
    </fill>
    <fill>
      <patternFill patternType="solid">
        <fgColor rgb="FFBDD6EE"/>
        <bgColor rgb="FFBDD6EE"/>
      </patternFill>
    </fill>
    <fill>
      <patternFill patternType="solid">
        <fgColor rgb="FFD8D8D8"/>
        <bgColor rgb="FFD8D8D8"/>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7" tint="0.59999389629810485"/>
        <bgColor indexed="64"/>
      </patternFill>
    </fill>
    <fill>
      <patternFill patternType="solid">
        <fgColor rgb="FFFFAA95"/>
        <bgColor rgb="FFFFAA95"/>
      </patternFill>
    </fill>
    <fill>
      <patternFill patternType="solid">
        <fgColor theme="9"/>
        <bgColor indexed="64"/>
      </patternFill>
    </fill>
    <fill>
      <patternFill patternType="solid">
        <fgColor rgb="FF3FAF46"/>
        <bgColor rgb="FF3FAF46"/>
      </patternFill>
    </fill>
    <fill>
      <patternFill patternType="solid">
        <fgColor rgb="FFFF7B59"/>
        <bgColor rgb="FFFF7B59"/>
      </patternFill>
    </fill>
    <fill>
      <patternFill patternType="solid">
        <fgColor rgb="FF00B0F0"/>
        <bgColor indexed="64"/>
      </patternFill>
    </fill>
    <fill>
      <patternFill patternType="solid">
        <fgColor rgb="FFB2B2B2"/>
        <bgColor rgb="FFB2B2B2"/>
      </patternFill>
    </fill>
    <fill>
      <patternFill patternType="solid">
        <fgColor rgb="FFCCECFF"/>
        <bgColor rgb="FFCCECFF"/>
      </patternFill>
    </fill>
    <fill>
      <patternFill patternType="solid">
        <fgColor rgb="FFFFFF00"/>
        <bgColor indexed="64"/>
      </patternFill>
    </fill>
    <fill>
      <patternFill patternType="solid">
        <fgColor theme="9" tint="0.39997558519241921"/>
        <bgColor indexed="64"/>
      </patternFill>
    </fill>
    <fill>
      <patternFill patternType="solid">
        <fgColor theme="0"/>
        <bgColor rgb="FFFFC000"/>
      </patternFill>
    </fill>
    <fill>
      <patternFill patternType="solid">
        <fgColor theme="0"/>
        <bgColor rgb="FF00B050"/>
      </patternFill>
    </fill>
    <fill>
      <patternFill patternType="solid">
        <fgColor rgb="FF323232"/>
        <bgColor indexed="64"/>
      </patternFill>
    </fill>
  </fills>
  <borders count="81">
    <border>
      <left/>
      <right/>
      <top/>
      <bottom/>
      <diagonal/>
    </border>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theme="0"/>
      </left>
      <right/>
      <top/>
      <bottom/>
      <diagonal/>
    </border>
    <border>
      <left style="medium">
        <color rgb="FF000000"/>
      </left>
      <right/>
      <top/>
      <bottom/>
      <diagonal/>
    </border>
    <border>
      <left/>
      <right style="medium">
        <color rgb="FF000000"/>
      </right>
      <top/>
      <bottom/>
      <diagonal/>
    </border>
    <border>
      <left/>
      <right/>
      <top/>
      <bottom/>
      <diagonal/>
    </border>
    <border>
      <left/>
      <right/>
      <top/>
      <bottom/>
      <diagonal/>
    </border>
    <border>
      <left/>
      <right/>
      <top/>
      <bottom/>
      <diagonal/>
    </border>
    <border>
      <left style="thin">
        <color theme="0"/>
      </left>
      <right style="thin">
        <color theme="0"/>
      </right>
      <top/>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diagonal/>
    </border>
    <border>
      <left/>
      <right style="thin">
        <color rgb="FF000000"/>
      </right>
      <top/>
      <bottom/>
      <diagonal/>
    </border>
    <border>
      <left style="medium">
        <color rgb="FF000000"/>
      </left>
      <right/>
      <top/>
      <bottom/>
      <diagonal/>
    </border>
    <border>
      <left/>
      <right style="medium">
        <color rgb="FF000000"/>
      </right>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style="thin">
        <color rgb="FFBFBFBF"/>
      </right>
      <top style="thin">
        <color rgb="FFBFBFBF"/>
      </top>
      <bottom style="thin">
        <color rgb="FFBFBFBF"/>
      </bottom>
      <diagonal/>
    </border>
    <border>
      <left/>
      <right style="thin">
        <color rgb="FFBFBFBF"/>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bottom/>
      <diagonal/>
    </border>
    <border>
      <left/>
      <right/>
      <top/>
      <bottom/>
      <diagonal/>
    </border>
    <border>
      <left style="thin">
        <color theme="0"/>
      </left>
      <right/>
      <top style="thin">
        <color theme="0"/>
      </top>
      <bottom/>
      <diagonal/>
    </border>
    <border>
      <left style="thin">
        <color rgb="FFD8D8D8"/>
      </left>
      <right style="thin">
        <color rgb="FFD8D8D8"/>
      </right>
      <top style="thin">
        <color rgb="FFD8D8D8"/>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double">
        <color rgb="FF000000"/>
      </bottom>
      <diagonal/>
    </border>
    <border>
      <left/>
      <right/>
      <top/>
      <bottom style="thin">
        <color rgb="FF000000"/>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medium">
        <color indexed="64"/>
      </right>
      <top style="thin">
        <color indexed="64"/>
      </top>
      <bottom/>
      <diagonal/>
    </border>
    <border>
      <left style="thin">
        <color indexed="64"/>
      </left>
      <right/>
      <top/>
      <bottom style="medium">
        <color indexed="64"/>
      </bottom>
      <diagonal/>
    </border>
    <border>
      <left/>
      <right style="dotted">
        <color rgb="FFC00000"/>
      </right>
      <top style="thin">
        <color indexed="64"/>
      </top>
      <bottom/>
      <diagonal/>
    </border>
    <border>
      <left/>
      <right style="dotted">
        <color rgb="FFC00000"/>
      </right>
      <top/>
      <bottom/>
      <diagonal/>
    </border>
    <border>
      <left/>
      <right style="dotted">
        <color rgb="FFC00000"/>
      </right>
      <top/>
      <bottom style="medium">
        <color indexed="64"/>
      </bottom>
      <diagonal/>
    </border>
    <border>
      <left style="medium">
        <color indexed="64"/>
      </left>
      <right/>
      <top/>
      <bottom style="thin">
        <color indexed="64"/>
      </bottom>
      <diagonal/>
    </border>
    <border>
      <left/>
      <right style="thin">
        <color indexed="64"/>
      </right>
      <top/>
      <bottom/>
      <diagonal/>
    </border>
    <border>
      <left/>
      <right style="medium">
        <color rgb="FF0C1F30"/>
      </right>
      <top/>
      <bottom style="medium">
        <color rgb="FF0C1F30"/>
      </bottom>
      <diagonal/>
    </border>
  </borders>
  <cellStyleXfs count="5">
    <xf numFmtId="0" fontId="0" fillId="0" borderId="0"/>
    <xf numFmtId="43" fontId="44" fillId="0" borderId="0" applyFont="0" applyFill="0" applyBorder="0" applyAlignment="0" applyProtection="0"/>
    <xf numFmtId="9" fontId="44" fillId="0" borderId="0" applyFont="0" applyFill="0" applyBorder="0" applyAlignment="0" applyProtection="0"/>
    <xf numFmtId="0" fontId="24" fillId="0" borderId="57"/>
    <xf numFmtId="0" fontId="57" fillId="0" borderId="57" applyBorder="0"/>
  </cellStyleXfs>
  <cellXfs count="581">
    <xf numFmtId="0" fontId="0" fillId="0" borderId="0" xfId="0" applyFont="1" applyAlignment="1"/>
    <xf numFmtId="0" fontId="0" fillId="2" borderId="1" xfId="0" applyFont="1" applyFill="1" applyBorder="1"/>
    <xf numFmtId="0" fontId="1" fillId="3" borderId="1" xfId="0" applyFont="1" applyFill="1" applyBorder="1"/>
    <xf numFmtId="0" fontId="1" fillId="0" borderId="0" xfId="0" applyFont="1"/>
    <xf numFmtId="0" fontId="1" fillId="4" borderId="1" xfId="0" applyFont="1" applyFill="1" applyBorder="1"/>
    <xf numFmtId="0" fontId="1" fillId="5" borderId="1" xfId="0" applyFont="1" applyFill="1" applyBorder="1"/>
    <xf numFmtId="0" fontId="2" fillId="6" borderId="1" xfId="0" applyFont="1" applyFill="1" applyBorder="1"/>
    <xf numFmtId="0" fontId="5" fillId="6" borderId="1" xfId="0" applyFont="1" applyFill="1" applyBorder="1"/>
    <xf numFmtId="14" fontId="6" fillId="10" borderId="6" xfId="0" applyNumberFormat="1" applyFont="1" applyFill="1" applyBorder="1" applyAlignment="1">
      <alignment horizontal="left" vertical="center"/>
    </xf>
    <xf numFmtId="14" fontId="6" fillId="10" borderId="1" xfId="0" applyNumberFormat="1" applyFont="1" applyFill="1" applyBorder="1" applyAlignment="1">
      <alignment horizontal="left" vertical="center"/>
    </xf>
    <xf numFmtId="14" fontId="6" fillId="10" borderId="7" xfId="0" applyNumberFormat="1" applyFont="1" applyFill="1" applyBorder="1" applyAlignment="1">
      <alignment horizontal="left" vertical="center"/>
    </xf>
    <xf numFmtId="0" fontId="3" fillId="7" borderId="1" xfId="0" applyFont="1" applyFill="1" applyBorder="1" applyAlignment="1">
      <alignment horizontal="center" vertical="center"/>
    </xf>
    <xf numFmtId="0" fontId="3" fillId="8" borderId="1" xfId="0" applyFont="1" applyFill="1" applyBorder="1" applyAlignment="1">
      <alignment horizontal="center" vertical="center"/>
    </xf>
    <xf numFmtId="0" fontId="3" fillId="9" borderId="1" xfId="0" applyFont="1" applyFill="1" applyBorder="1" applyAlignment="1">
      <alignment horizontal="center" vertical="center"/>
    </xf>
    <xf numFmtId="0" fontId="7" fillId="11" borderId="1" xfId="0" applyFont="1" applyFill="1" applyBorder="1" applyAlignment="1">
      <alignment horizontal="left" vertical="center"/>
    </xf>
    <xf numFmtId="3" fontId="7" fillId="12" borderId="6" xfId="0" applyNumberFormat="1" applyFont="1" applyFill="1" applyBorder="1" applyAlignment="1">
      <alignment horizontal="right" vertical="center"/>
    </xf>
    <xf numFmtId="3" fontId="7" fillId="12" borderId="1" xfId="0" applyNumberFormat="1" applyFont="1" applyFill="1" applyBorder="1" applyAlignment="1">
      <alignment horizontal="right" vertical="center"/>
    </xf>
    <xf numFmtId="3" fontId="7" fillId="12" borderId="7" xfId="0" applyNumberFormat="1" applyFont="1" applyFill="1" applyBorder="1" applyAlignment="1">
      <alignment horizontal="right" vertical="center"/>
    </xf>
    <xf numFmtId="14" fontId="1" fillId="0" borderId="0" xfId="0" applyNumberFormat="1" applyFont="1"/>
    <xf numFmtId="164" fontId="1" fillId="0" borderId="0" xfId="0" applyNumberFormat="1" applyFont="1"/>
    <xf numFmtId="165" fontId="1" fillId="0" borderId="0" xfId="0" applyNumberFormat="1" applyFont="1"/>
    <xf numFmtId="166" fontId="8" fillId="0" borderId="0" xfId="0" applyNumberFormat="1" applyFont="1" applyAlignment="1">
      <alignment horizontal="center"/>
    </xf>
    <xf numFmtId="167" fontId="8" fillId="0" borderId="0" xfId="0" applyNumberFormat="1" applyFont="1" applyAlignment="1">
      <alignment horizontal="center" vertical="center"/>
    </xf>
    <xf numFmtId="165" fontId="9" fillId="12" borderId="1" xfId="0" applyNumberFormat="1" applyFont="1" applyFill="1" applyBorder="1" applyAlignment="1">
      <alignment horizontal="center" vertical="center"/>
    </xf>
    <xf numFmtId="165" fontId="9" fillId="12" borderId="7" xfId="0" applyNumberFormat="1" applyFont="1" applyFill="1" applyBorder="1" applyAlignment="1">
      <alignment horizontal="center" vertical="center"/>
    </xf>
    <xf numFmtId="14" fontId="6" fillId="10" borderId="11" xfId="0" applyNumberFormat="1" applyFont="1" applyFill="1" applyBorder="1" applyAlignment="1">
      <alignment horizontal="left" vertical="center"/>
    </xf>
    <xf numFmtId="0" fontId="3" fillId="0" borderId="0" xfId="0" applyFont="1"/>
    <xf numFmtId="0" fontId="11" fillId="10" borderId="1" xfId="0" applyFont="1" applyFill="1" applyBorder="1"/>
    <xf numFmtId="0" fontId="6" fillId="10" borderId="1" xfId="0" applyFont="1" applyFill="1" applyBorder="1" applyAlignment="1">
      <alignment horizontal="left" vertical="center"/>
    </xf>
    <xf numFmtId="49" fontId="6" fillId="10" borderId="11" xfId="0" applyNumberFormat="1" applyFont="1" applyFill="1" applyBorder="1" applyAlignment="1">
      <alignment horizontal="left" vertical="center"/>
    </xf>
    <xf numFmtId="168" fontId="6" fillId="10" borderId="11" xfId="0" applyNumberFormat="1" applyFont="1" applyFill="1" applyBorder="1" applyAlignment="1">
      <alignment horizontal="left" vertical="center" wrapText="1"/>
    </xf>
    <xf numFmtId="0" fontId="6" fillId="10" borderId="11" xfId="0" applyFont="1" applyFill="1" applyBorder="1" applyAlignment="1">
      <alignment horizontal="left" vertical="center"/>
    </xf>
    <xf numFmtId="0" fontId="6" fillId="14" borderId="11" xfId="0" applyFont="1" applyFill="1" applyBorder="1" applyAlignment="1">
      <alignment horizontal="left" vertical="center"/>
    </xf>
    <xf numFmtId="0" fontId="7" fillId="15" borderId="1" xfId="0" quotePrefix="1" applyFont="1" applyFill="1" applyBorder="1" applyAlignment="1">
      <alignment vertical="center"/>
    </xf>
    <xf numFmtId="0" fontId="7" fillId="15" borderId="1" xfId="0" applyFont="1" applyFill="1" applyBorder="1" applyAlignment="1">
      <alignment vertical="center"/>
    </xf>
    <xf numFmtId="3" fontId="7" fillId="12" borderId="12" xfId="0" applyNumberFormat="1" applyFont="1" applyFill="1" applyBorder="1" applyAlignment="1">
      <alignment horizontal="right" vertical="center"/>
    </xf>
    <xf numFmtId="0" fontId="12" fillId="16" borderId="1" xfId="0" applyFont="1" applyFill="1" applyBorder="1" applyAlignment="1">
      <alignment horizontal="center" vertical="center"/>
    </xf>
    <xf numFmtId="9" fontId="3" fillId="0" borderId="0" xfId="0" applyNumberFormat="1" applyFont="1"/>
    <xf numFmtId="164" fontId="3" fillId="0" borderId="0" xfId="0" applyNumberFormat="1" applyFont="1"/>
    <xf numFmtId="0" fontId="7" fillId="15" borderId="1" xfId="0" applyFont="1" applyFill="1" applyBorder="1"/>
    <xf numFmtId="0" fontId="7" fillId="15" borderId="1" xfId="0" applyFont="1" applyFill="1" applyBorder="1" applyAlignment="1">
      <alignment vertical="top"/>
    </xf>
    <xf numFmtId="3" fontId="9" fillId="12" borderId="1" xfId="0" applyNumberFormat="1" applyFont="1" applyFill="1" applyBorder="1" applyAlignment="1">
      <alignment horizontal="right" vertical="center"/>
    </xf>
    <xf numFmtId="169" fontId="7" fillId="17" borderId="13" xfId="0" applyNumberFormat="1" applyFont="1" applyFill="1" applyBorder="1" applyAlignment="1">
      <alignment horizontal="right" vertical="center"/>
    </xf>
    <xf numFmtId="3" fontId="9" fillId="12" borderId="7" xfId="0" applyNumberFormat="1" applyFont="1" applyFill="1" applyBorder="1" applyAlignment="1">
      <alignment horizontal="right" vertical="center"/>
    </xf>
    <xf numFmtId="9" fontId="12" fillId="0" borderId="0" xfId="0" applyNumberFormat="1" applyFont="1" applyAlignment="1">
      <alignment horizontal="center" vertical="center"/>
    </xf>
    <xf numFmtId="9" fontId="3" fillId="0" borderId="14" xfId="0" applyNumberFormat="1" applyFont="1" applyBorder="1" applyAlignment="1">
      <alignment horizontal="center" vertical="center"/>
    </xf>
    <xf numFmtId="9" fontId="1" fillId="0" borderId="15" xfId="0" applyNumberFormat="1" applyFont="1" applyBorder="1" applyAlignment="1">
      <alignment horizontal="center" vertical="center"/>
    </xf>
    <xf numFmtId="9" fontId="1" fillId="0" borderId="16" xfId="0" applyNumberFormat="1" applyFont="1" applyBorder="1" applyAlignment="1">
      <alignment horizontal="center" vertical="center"/>
    </xf>
    <xf numFmtId="9" fontId="12" fillId="16" borderId="1" xfId="0" applyNumberFormat="1" applyFont="1" applyFill="1" applyBorder="1" applyAlignment="1">
      <alignment horizontal="center" vertical="center"/>
    </xf>
    <xf numFmtId="169" fontId="7" fillId="17" borderId="12" xfId="0" applyNumberFormat="1" applyFont="1" applyFill="1" applyBorder="1" applyAlignment="1">
      <alignment horizontal="right" vertical="center"/>
    </xf>
    <xf numFmtId="14" fontId="13" fillId="18" borderId="19" xfId="0" applyNumberFormat="1" applyFont="1" applyFill="1" applyBorder="1" applyAlignment="1">
      <alignment horizontal="center" vertical="center"/>
    </xf>
    <xf numFmtId="14" fontId="13" fillId="18" borderId="20" xfId="0" applyNumberFormat="1" applyFont="1" applyFill="1" applyBorder="1" applyAlignment="1">
      <alignment horizontal="center" vertical="center"/>
    </xf>
    <xf numFmtId="14" fontId="13" fillId="18" borderId="21" xfId="0" applyNumberFormat="1" applyFont="1" applyFill="1" applyBorder="1" applyAlignment="1">
      <alignment horizontal="center" vertical="center"/>
    </xf>
    <xf numFmtId="14" fontId="13" fillId="18" borderId="22" xfId="0" applyNumberFormat="1" applyFont="1" applyFill="1" applyBorder="1" applyAlignment="1">
      <alignment horizontal="center" vertical="center"/>
    </xf>
    <xf numFmtId="14" fontId="13" fillId="18" borderId="23" xfId="0" applyNumberFormat="1" applyFont="1" applyFill="1" applyBorder="1" applyAlignment="1">
      <alignment horizontal="center" vertical="center"/>
    </xf>
    <xf numFmtId="14" fontId="13" fillId="18" borderId="24" xfId="0" applyNumberFormat="1" applyFont="1" applyFill="1" applyBorder="1" applyAlignment="1">
      <alignment horizontal="center" vertical="center"/>
    </xf>
    <xf numFmtId="0" fontId="7" fillId="15" borderId="1" xfId="0" applyFont="1" applyFill="1" applyBorder="1" applyAlignment="1">
      <alignment horizontal="left" vertical="top"/>
    </xf>
    <xf numFmtId="0" fontId="13" fillId="0" borderId="25" xfId="0" applyFont="1" applyBorder="1" applyAlignment="1">
      <alignment horizontal="center"/>
    </xf>
    <xf numFmtId="0" fontId="13" fillId="0" borderId="26" xfId="0" applyFont="1" applyBorder="1"/>
    <xf numFmtId="3" fontId="13" fillId="0" borderId="25" xfId="0" applyNumberFormat="1" applyFont="1" applyBorder="1"/>
    <xf numFmtId="3" fontId="13" fillId="0" borderId="27" xfId="0" applyNumberFormat="1" applyFont="1" applyBorder="1"/>
    <xf numFmtId="3" fontId="13" fillId="0" borderId="28" xfId="0" applyNumberFormat="1" applyFont="1" applyBorder="1"/>
    <xf numFmtId="3" fontId="13" fillId="0" borderId="0" xfId="0" applyNumberFormat="1" applyFont="1"/>
    <xf numFmtId="165" fontId="14" fillId="0" borderId="29" xfId="0" applyNumberFormat="1" applyFont="1" applyBorder="1"/>
    <xf numFmtId="165" fontId="14" fillId="0" borderId="0" xfId="0" applyNumberFormat="1" applyFont="1"/>
    <xf numFmtId="165" fontId="14" fillId="0" borderId="30" xfId="0" applyNumberFormat="1" applyFont="1" applyBorder="1"/>
    <xf numFmtId="0" fontId="13" fillId="0" borderId="31" xfId="0" applyFont="1" applyBorder="1" applyAlignment="1">
      <alignment horizontal="center"/>
    </xf>
    <xf numFmtId="0" fontId="13" fillId="0" borderId="28" xfId="0" applyFont="1" applyBorder="1"/>
    <xf numFmtId="3" fontId="13" fillId="0" borderId="31" xfId="0" applyNumberFormat="1" applyFont="1" applyBorder="1"/>
    <xf numFmtId="3" fontId="9" fillId="16" borderId="1" xfId="0" applyNumberFormat="1" applyFont="1" applyFill="1" applyBorder="1" applyAlignment="1">
      <alignment horizontal="right" vertical="center"/>
    </xf>
    <xf numFmtId="3" fontId="9" fillId="16" borderId="7" xfId="0" applyNumberFormat="1" applyFont="1" applyFill="1" applyBorder="1" applyAlignment="1">
      <alignment horizontal="right" vertical="center"/>
    </xf>
    <xf numFmtId="0" fontId="13" fillId="0" borderId="32" xfId="0" applyFont="1" applyBorder="1" applyAlignment="1">
      <alignment horizontal="center"/>
    </xf>
    <xf numFmtId="0" fontId="13" fillId="0" borderId="33" xfId="0" applyFont="1" applyBorder="1"/>
    <xf numFmtId="0" fontId="13" fillId="18" borderId="19" xfId="0" applyFont="1" applyFill="1" applyBorder="1" applyAlignment="1">
      <alignment horizontal="left" vertical="center"/>
    </xf>
    <xf numFmtId="0" fontId="13" fillId="18" borderId="21" xfId="0" applyFont="1" applyFill="1" applyBorder="1" applyAlignment="1">
      <alignment horizontal="left" vertical="center"/>
    </xf>
    <xf numFmtId="3" fontId="13" fillId="0" borderId="17" xfId="0" applyNumberFormat="1" applyFont="1" applyBorder="1" applyAlignment="1">
      <alignment vertical="center"/>
    </xf>
    <xf numFmtId="3" fontId="13" fillId="0" borderId="34" xfId="0" applyNumberFormat="1" applyFont="1" applyBorder="1" applyAlignment="1">
      <alignment vertical="center"/>
    </xf>
    <xf numFmtId="3" fontId="13" fillId="0" borderId="18" xfId="0" applyNumberFormat="1" applyFont="1" applyBorder="1" applyAlignment="1">
      <alignment vertical="center"/>
    </xf>
    <xf numFmtId="3" fontId="7" fillId="12" borderId="38" xfId="0" applyNumberFormat="1" applyFont="1" applyFill="1" applyBorder="1" applyAlignment="1">
      <alignment vertical="center"/>
    </xf>
    <xf numFmtId="165" fontId="3" fillId="0" borderId="0" xfId="0" applyNumberFormat="1" applyFont="1"/>
    <xf numFmtId="0" fontId="15" fillId="15" borderId="1" xfId="0" quotePrefix="1" applyFont="1" applyFill="1" applyBorder="1" applyAlignment="1">
      <alignment vertical="center"/>
    </xf>
    <xf numFmtId="0" fontId="15" fillId="15" borderId="1" xfId="0" applyFont="1" applyFill="1" applyBorder="1" applyAlignment="1">
      <alignment vertical="center"/>
    </xf>
    <xf numFmtId="3" fontId="15" fillId="12" borderId="38" xfId="0" applyNumberFormat="1" applyFont="1" applyFill="1" applyBorder="1" applyAlignment="1">
      <alignment vertical="center"/>
    </xf>
    <xf numFmtId="3" fontId="15" fillId="12" borderId="12" xfId="0" applyNumberFormat="1" applyFont="1" applyFill="1" applyBorder="1" applyAlignment="1">
      <alignment horizontal="right" vertical="center"/>
    </xf>
    <xf numFmtId="0" fontId="3" fillId="0" borderId="29" xfId="0" applyFont="1" applyBorder="1"/>
    <xf numFmtId="0" fontId="3" fillId="0" borderId="30" xfId="0" applyFont="1" applyBorder="1"/>
    <xf numFmtId="3" fontId="16" fillId="12" borderId="1" xfId="0" applyNumberFormat="1" applyFont="1" applyFill="1" applyBorder="1" applyAlignment="1">
      <alignment horizontal="right" vertical="center"/>
    </xf>
    <xf numFmtId="3" fontId="16" fillId="12" borderId="7" xfId="0" applyNumberFormat="1" applyFont="1" applyFill="1" applyBorder="1" applyAlignment="1">
      <alignment horizontal="right" vertical="center"/>
    </xf>
    <xf numFmtId="14" fontId="14" fillId="0" borderId="0" xfId="0" applyNumberFormat="1" applyFont="1"/>
    <xf numFmtId="164" fontId="14" fillId="0" borderId="0" xfId="0" applyNumberFormat="1" applyFont="1"/>
    <xf numFmtId="14" fontId="3" fillId="0" borderId="0" xfId="0" applyNumberFormat="1" applyFont="1"/>
    <xf numFmtId="165" fontId="1" fillId="0" borderId="29" xfId="0" applyNumberFormat="1" applyFont="1" applyBorder="1"/>
    <xf numFmtId="165" fontId="3" fillId="0" borderId="30" xfId="0" applyNumberFormat="1" applyFont="1" applyBorder="1"/>
    <xf numFmtId="9" fontId="1" fillId="0" borderId="0" xfId="0" applyNumberFormat="1" applyFont="1"/>
    <xf numFmtId="0" fontId="7" fillId="15" borderId="1" xfId="0" quotePrefix="1" applyFont="1" applyFill="1" applyBorder="1" applyAlignment="1">
      <alignment vertical="top"/>
    </xf>
    <xf numFmtId="3" fontId="16" fillId="12" borderId="41" xfId="0" applyNumberFormat="1" applyFont="1" applyFill="1" applyBorder="1" applyAlignment="1">
      <alignment horizontal="right" vertical="center"/>
    </xf>
    <xf numFmtId="3" fontId="16" fillId="12" borderId="42" xfId="0" applyNumberFormat="1" applyFont="1" applyFill="1" applyBorder="1" applyAlignment="1">
      <alignment horizontal="right" vertical="center"/>
    </xf>
    <xf numFmtId="170" fontId="1" fillId="0" borderId="0" xfId="0" applyNumberFormat="1" applyFont="1"/>
    <xf numFmtId="3" fontId="1" fillId="0" borderId="0" xfId="0" applyNumberFormat="1" applyFont="1"/>
    <xf numFmtId="0" fontId="17" fillId="0" borderId="0" xfId="0" applyFont="1" applyAlignment="1"/>
    <xf numFmtId="3" fontId="17" fillId="0" borderId="0" xfId="0" applyNumberFormat="1" applyFont="1"/>
    <xf numFmtId="0" fontId="18" fillId="0" borderId="0" xfId="0" applyFont="1" applyAlignment="1"/>
    <xf numFmtId="0" fontId="1" fillId="14" borderId="1" xfId="0" applyFont="1" applyFill="1" applyBorder="1"/>
    <xf numFmtId="10" fontId="17" fillId="0" borderId="0" xfId="0" applyNumberFormat="1" applyFont="1"/>
    <xf numFmtId="9" fontId="1" fillId="0" borderId="0" xfId="0" applyNumberFormat="1" applyFont="1" applyAlignment="1">
      <alignment horizontal="center" vertical="center"/>
    </xf>
    <xf numFmtId="0" fontId="1" fillId="19" borderId="1" xfId="0" applyFont="1" applyFill="1" applyBorder="1"/>
    <xf numFmtId="166" fontId="9" fillId="0" borderId="0" xfId="0" applyNumberFormat="1" applyFont="1" applyAlignment="1">
      <alignment horizontal="center"/>
    </xf>
    <xf numFmtId="167" fontId="9" fillId="0" borderId="0" xfId="0" applyNumberFormat="1" applyFont="1" applyAlignment="1">
      <alignment horizontal="center" vertical="center"/>
    </xf>
    <xf numFmtId="0" fontId="1" fillId="20" borderId="1" xfId="0" applyFont="1" applyFill="1" applyBorder="1"/>
    <xf numFmtId="0" fontId="15" fillId="15" borderId="1" xfId="0" applyFont="1" applyFill="1" applyBorder="1" applyAlignment="1">
      <alignment vertical="top"/>
    </xf>
    <xf numFmtId="169" fontId="15" fillId="17" borderId="12" xfId="0" applyNumberFormat="1" applyFont="1" applyFill="1" applyBorder="1" applyAlignment="1">
      <alignment horizontal="right" vertical="center"/>
    </xf>
    <xf numFmtId="3" fontId="15" fillId="17" borderId="12" xfId="0" applyNumberFormat="1" applyFont="1" applyFill="1" applyBorder="1" applyAlignment="1">
      <alignment horizontal="right" vertical="center"/>
    </xf>
    <xf numFmtId="0" fontId="19" fillId="15" borderId="1" xfId="0" quotePrefix="1" applyFont="1" applyFill="1" applyBorder="1" applyAlignment="1">
      <alignment vertical="top"/>
    </xf>
    <xf numFmtId="0" fontId="19" fillId="15" borderId="1" xfId="0" applyFont="1" applyFill="1" applyBorder="1" applyAlignment="1">
      <alignment vertical="top"/>
    </xf>
    <xf numFmtId="169" fontId="19" fillId="17" borderId="12" xfId="0" applyNumberFormat="1" applyFont="1" applyFill="1" applyBorder="1" applyAlignment="1">
      <alignment horizontal="right" vertical="center"/>
    </xf>
    <xf numFmtId="3" fontId="19" fillId="17" borderId="12" xfId="0" applyNumberFormat="1" applyFont="1" applyFill="1" applyBorder="1" applyAlignment="1">
      <alignment horizontal="right" vertical="center"/>
    </xf>
    <xf numFmtId="0" fontId="15" fillId="15" borderId="1" xfId="0" quotePrefix="1" applyFont="1" applyFill="1" applyBorder="1" applyAlignment="1">
      <alignment vertical="top"/>
    </xf>
    <xf numFmtId="169" fontId="3" fillId="0" borderId="0" xfId="0" applyNumberFormat="1" applyFont="1"/>
    <xf numFmtId="0" fontId="12" fillId="6" borderId="1" xfId="0" applyFont="1" applyFill="1" applyBorder="1"/>
    <xf numFmtId="0" fontId="12" fillId="0" borderId="0" xfId="0" applyFont="1"/>
    <xf numFmtId="169" fontId="12" fillId="0" borderId="0" xfId="0" applyNumberFormat="1" applyFont="1"/>
    <xf numFmtId="0" fontId="3" fillId="0" borderId="0" xfId="0" applyFont="1" applyAlignment="1">
      <alignment horizontal="center"/>
    </xf>
    <xf numFmtId="0" fontId="2" fillId="0" borderId="0" xfId="0" applyFont="1"/>
    <xf numFmtId="0" fontId="2" fillId="0" borderId="29" xfId="0" applyFont="1" applyBorder="1"/>
    <xf numFmtId="0" fontId="2" fillId="21" borderId="1" xfId="0" applyFont="1" applyFill="1" applyBorder="1"/>
    <xf numFmtId="0" fontId="2" fillId="21" borderId="7" xfId="0" applyFont="1" applyFill="1" applyBorder="1"/>
    <xf numFmtId="170" fontId="1" fillId="0" borderId="29" xfId="0" applyNumberFormat="1" applyFont="1" applyBorder="1"/>
    <xf numFmtId="164" fontId="1" fillId="21" borderId="1" xfId="0" applyNumberFormat="1" applyFont="1" applyFill="1" applyBorder="1"/>
    <xf numFmtId="0" fontId="1" fillId="21" borderId="1" xfId="0" applyFont="1" applyFill="1" applyBorder="1"/>
    <xf numFmtId="0" fontId="1" fillId="21" borderId="7" xfId="0" applyFont="1" applyFill="1" applyBorder="1"/>
    <xf numFmtId="164" fontId="1" fillId="0" borderId="0" xfId="0" applyNumberFormat="1" applyFont="1" applyAlignment="1">
      <alignment horizontal="center" vertical="center"/>
    </xf>
    <xf numFmtId="164" fontId="1" fillId="21" borderId="7" xfId="0" applyNumberFormat="1" applyFont="1" applyFill="1" applyBorder="1"/>
    <xf numFmtId="9" fontId="12" fillId="0" borderId="0" xfId="0" applyNumberFormat="1" applyFont="1"/>
    <xf numFmtId="0" fontId="14" fillId="0" borderId="0" xfId="0" applyFont="1"/>
    <xf numFmtId="165" fontId="14" fillId="0" borderId="14" xfId="0" applyNumberFormat="1" applyFont="1" applyBorder="1"/>
    <xf numFmtId="165" fontId="14" fillId="0" borderId="15" xfId="0" applyNumberFormat="1" applyFont="1" applyBorder="1"/>
    <xf numFmtId="165" fontId="14" fillId="0" borderId="16" xfId="0" applyNumberFormat="1" applyFont="1" applyBorder="1"/>
    <xf numFmtId="0" fontId="3" fillId="0" borderId="0" xfId="0" applyFont="1" applyAlignment="1"/>
    <xf numFmtId="0" fontId="3" fillId="0" borderId="0" xfId="0" applyFont="1" applyAlignment="1"/>
    <xf numFmtId="3" fontId="12" fillId="22" borderId="0" xfId="0" applyNumberFormat="1" applyFont="1" applyFill="1" applyAlignment="1">
      <alignment horizontal="right"/>
    </xf>
    <xf numFmtId="0" fontId="20" fillId="0" borderId="0" xfId="0" applyFont="1" applyAlignment="1"/>
    <xf numFmtId="0" fontId="3" fillId="23" borderId="43" xfId="0" applyFont="1" applyFill="1" applyBorder="1" applyAlignment="1"/>
    <xf numFmtId="0" fontId="3" fillId="23" borderId="18" xfId="0" applyFont="1" applyFill="1" applyBorder="1" applyAlignment="1"/>
    <xf numFmtId="0" fontId="3" fillId="24" borderId="17" xfId="0" applyFont="1" applyFill="1" applyBorder="1" applyAlignment="1"/>
    <xf numFmtId="4" fontId="3" fillId="0" borderId="43" xfId="0" applyNumberFormat="1" applyFont="1" applyBorder="1" applyAlignment="1">
      <alignment horizontal="right"/>
    </xf>
    <xf numFmtId="3" fontId="3" fillId="0" borderId="43" xfId="0" applyNumberFormat="1" applyFont="1" applyBorder="1" applyAlignment="1">
      <alignment horizontal="right"/>
    </xf>
    <xf numFmtId="0" fontId="3" fillId="24" borderId="32" xfId="0" applyFont="1" applyFill="1" applyBorder="1" applyAlignment="1"/>
    <xf numFmtId="9" fontId="3" fillId="22" borderId="0" xfId="0" applyNumberFormat="1" applyFont="1" applyFill="1" applyAlignment="1">
      <alignment horizontal="right"/>
    </xf>
    <xf numFmtId="0" fontId="12" fillId="0" borderId="0" xfId="0" applyFont="1" applyAlignment="1"/>
    <xf numFmtId="3" fontId="12" fillId="0" borderId="0" xfId="0" applyNumberFormat="1" applyFont="1" applyAlignment="1">
      <alignment horizontal="right"/>
    </xf>
    <xf numFmtId="9" fontId="3" fillId="0" borderId="0" xfId="0" applyNumberFormat="1" applyFont="1" applyAlignment="1">
      <alignment horizontal="right"/>
    </xf>
    <xf numFmtId="0" fontId="21" fillId="0" borderId="0" xfId="0" applyFont="1" applyAlignment="1"/>
    <xf numFmtId="0" fontId="3" fillId="0" borderId="17" xfId="0" applyFont="1" applyBorder="1" applyAlignment="1">
      <alignment horizontal="center"/>
    </xf>
    <xf numFmtId="0" fontId="3" fillId="0" borderId="18" xfId="0" applyFont="1" applyBorder="1" applyAlignment="1">
      <alignment horizontal="center"/>
    </xf>
    <xf numFmtId="0" fontId="3" fillId="0" borderId="34" xfId="0" applyFont="1" applyBorder="1" applyAlignment="1">
      <alignment horizontal="center"/>
    </xf>
    <xf numFmtId="0" fontId="12" fillId="0" borderId="34" xfId="0" applyFont="1" applyBorder="1" applyAlignment="1">
      <alignment horizontal="center"/>
    </xf>
    <xf numFmtId="0" fontId="12" fillId="0" borderId="18" xfId="0" applyFont="1" applyBorder="1" applyAlignment="1">
      <alignment horizontal="center"/>
    </xf>
    <xf numFmtId="170" fontId="14" fillId="0" borderId="29" xfId="0" applyNumberFormat="1" applyFont="1" applyBorder="1"/>
    <xf numFmtId="170" fontId="14" fillId="0" borderId="0" xfId="0" applyNumberFormat="1" applyFont="1"/>
    <xf numFmtId="164" fontId="14" fillId="21" borderId="1" xfId="0" applyNumberFormat="1" applyFont="1" applyFill="1" applyBorder="1"/>
    <xf numFmtId="164" fontId="14" fillId="21" borderId="7" xfId="0" applyNumberFormat="1" applyFont="1" applyFill="1" applyBorder="1"/>
    <xf numFmtId="164" fontId="14" fillId="0" borderId="0" xfId="0" applyNumberFormat="1" applyFont="1" applyAlignment="1">
      <alignment horizontal="center" vertical="center"/>
    </xf>
    <xf numFmtId="164" fontId="22" fillId="0" borderId="0" xfId="0" applyNumberFormat="1" applyFont="1" applyAlignment="1"/>
    <xf numFmtId="164" fontId="21" fillId="0" borderId="31" xfId="0" applyNumberFormat="1" applyFont="1" applyBorder="1" applyAlignment="1"/>
    <xf numFmtId="4" fontId="3" fillId="0" borderId="28" xfId="0" applyNumberFormat="1" applyFont="1" applyBorder="1" applyAlignment="1">
      <alignment horizontal="right"/>
    </xf>
    <xf numFmtId="3" fontId="3" fillId="0" borderId="0" xfId="0" applyNumberFormat="1" applyFont="1" applyAlignment="1">
      <alignment horizontal="right"/>
    </xf>
    <xf numFmtId="3" fontId="3" fillId="0" borderId="28" xfId="0" applyNumberFormat="1" applyFont="1" applyBorder="1" applyAlignment="1">
      <alignment horizontal="right"/>
    </xf>
    <xf numFmtId="4" fontId="12" fillId="0" borderId="0" xfId="0" applyNumberFormat="1" applyFont="1" applyAlignment="1">
      <alignment horizontal="right"/>
    </xf>
    <xf numFmtId="4" fontId="12" fillId="0" borderId="28" xfId="0" applyNumberFormat="1" applyFont="1" applyBorder="1" applyAlignment="1">
      <alignment horizontal="right"/>
    </xf>
    <xf numFmtId="170" fontId="14" fillId="0" borderId="14" xfId="0" applyNumberFormat="1" applyFont="1" applyBorder="1"/>
    <xf numFmtId="170" fontId="14" fillId="0" borderId="15" xfId="0" applyNumberFormat="1" applyFont="1" applyBorder="1"/>
    <xf numFmtId="164" fontId="14" fillId="21" borderId="41" xfId="0" applyNumberFormat="1" applyFont="1" applyFill="1" applyBorder="1"/>
    <xf numFmtId="164" fontId="14" fillId="21" borderId="42" xfId="0" applyNumberFormat="1" applyFont="1" applyFill="1" applyBorder="1"/>
    <xf numFmtId="164" fontId="21" fillId="0" borderId="32" xfId="0" applyNumberFormat="1" applyFont="1" applyBorder="1" applyAlignment="1"/>
    <xf numFmtId="4" fontId="3" fillId="0" borderId="33" xfId="0" applyNumberFormat="1" applyFont="1" applyBorder="1" applyAlignment="1">
      <alignment horizontal="right"/>
    </xf>
    <xf numFmtId="3" fontId="3" fillId="0" borderId="44" xfId="0" applyNumberFormat="1" applyFont="1" applyBorder="1" applyAlignment="1">
      <alignment horizontal="right"/>
    </xf>
    <xf numFmtId="3" fontId="3" fillId="0" borderId="33" xfId="0" applyNumberFormat="1" applyFont="1" applyBorder="1" applyAlignment="1">
      <alignment horizontal="right"/>
    </xf>
    <xf numFmtId="4" fontId="12" fillId="0" borderId="44" xfId="0" applyNumberFormat="1" applyFont="1" applyBorder="1" applyAlignment="1">
      <alignment horizontal="right"/>
    </xf>
    <xf numFmtId="4" fontId="12" fillId="0" borderId="33" xfId="0" applyNumberFormat="1" applyFont="1" applyBorder="1" applyAlignment="1">
      <alignment horizontal="right"/>
    </xf>
    <xf numFmtId="0" fontId="23" fillId="0" borderId="0" xfId="0" applyFont="1" applyAlignment="1">
      <alignment vertical="center"/>
    </xf>
    <xf numFmtId="11" fontId="1" fillId="19" borderId="1" xfId="0" applyNumberFormat="1" applyFont="1" applyFill="1" applyBorder="1"/>
    <xf numFmtId="11" fontId="0" fillId="0" borderId="0" xfId="0" applyNumberFormat="1" applyFont="1"/>
    <xf numFmtId="0" fontId="1" fillId="7" borderId="1" xfId="0" applyFont="1" applyFill="1" applyBorder="1"/>
    <xf numFmtId="0" fontId="24" fillId="25" borderId="43" xfId="0" applyFont="1" applyFill="1" applyBorder="1"/>
    <xf numFmtId="171" fontId="11" fillId="0" borderId="0" xfId="0" applyNumberFormat="1" applyFont="1"/>
    <xf numFmtId="0" fontId="1" fillId="0" borderId="0" xfId="0" applyFont="1" applyAlignment="1">
      <alignment wrapText="1"/>
    </xf>
    <xf numFmtId="0" fontId="2" fillId="0" borderId="0" xfId="0" applyFont="1" applyAlignment="1">
      <alignment wrapText="1"/>
    </xf>
    <xf numFmtId="0" fontId="25" fillId="25" borderId="43" xfId="0" applyFont="1" applyFill="1" applyBorder="1"/>
    <xf numFmtId="0" fontId="24" fillId="25" borderId="43" xfId="0" applyFont="1" applyFill="1" applyBorder="1" applyAlignment="1">
      <alignment wrapText="1"/>
    </xf>
    <xf numFmtId="14" fontId="11" fillId="0" borderId="0" xfId="0" applyNumberFormat="1" applyFont="1"/>
    <xf numFmtId="165" fontId="11" fillId="0" borderId="0" xfId="0" applyNumberFormat="1" applyFont="1"/>
    <xf numFmtId="167" fontId="11" fillId="0" borderId="0" xfId="0" applyNumberFormat="1" applyFont="1" applyAlignment="1">
      <alignment horizontal="right"/>
    </xf>
    <xf numFmtId="167" fontId="11" fillId="26" borderId="1" xfId="0" applyNumberFormat="1" applyFont="1" applyFill="1" applyBorder="1" applyAlignment="1">
      <alignment horizontal="right"/>
    </xf>
    <xf numFmtId="167" fontId="1" fillId="0" borderId="0" xfId="0" applyNumberFormat="1" applyFont="1"/>
    <xf numFmtId="14" fontId="24" fillId="25" borderId="43" xfId="0" applyNumberFormat="1" applyFont="1" applyFill="1" applyBorder="1"/>
    <xf numFmtId="167" fontId="25" fillId="0" borderId="43" xfId="0" applyNumberFormat="1" applyFont="1" applyBorder="1"/>
    <xf numFmtId="167" fontId="24" fillId="0" borderId="43" xfId="0" applyNumberFormat="1" applyFont="1" applyBorder="1"/>
    <xf numFmtId="167" fontId="11" fillId="0" borderId="0" xfId="0" applyNumberFormat="1" applyFont="1"/>
    <xf numFmtId="167" fontId="11" fillId="26" borderId="1" xfId="0" applyNumberFormat="1" applyFont="1" applyFill="1" applyBorder="1"/>
    <xf numFmtId="14" fontId="22" fillId="0" borderId="0" xfId="0" applyNumberFormat="1" applyFont="1"/>
    <xf numFmtId="165" fontId="22" fillId="27" borderId="1" xfId="0" applyNumberFormat="1" applyFont="1" applyFill="1" applyBorder="1"/>
    <xf numFmtId="167" fontId="22" fillId="0" borderId="0" xfId="0" applyNumberFormat="1" applyFont="1"/>
    <xf numFmtId="0" fontId="22" fillId="27" borderId="1" xfId="0" applyFont="1" applyFill="1" applyBorder="1"/>
    <xf numFmtId="0" fontId="6" fillId="14" borderId="11" xfId="0" applyFont="1" applyFill="1" applyBorder="1" applyAlignment="1">
      <alignment horizontal="left" vertical="center" wrapText="1"/>
    </xf>
    <xf numFmtId="9" fontId="24" fillId="0" borderId="0" xfId="0" applyNumberFormat="1" applyFont="1" applyAlignment="1">
      <alignment horizontal="center" vertical="center"/>
    </xf>
    <xf numFmtId="0" fontId="1" fillId="8" borderId="1" xfId="0" applyFont="1" applyFill="1" applyBorder="1"/>
    <xf numFmtId="0" fontId="1" fillId="9" borderId="1" xfId="0" applyFont="1" applyFill="1" applyBorder="1"/>
    <xf numFmtId="0" fontId="22" fillId="0" borderId="0" xfId="0" applyFont="1"/>
    <xf numFmtId="3" fontId="7" fillId="28" borderId="1" xfId="0" applyNumberFormat="1" applyFont="1" applyFill="1" applyBorder="1" applyAlignment="1">
      <alignment vertical="top" wrapText="1"/>
    </xf>
    <xf numFmtId="3" fontId="7" fillId="28" borderId="1" xfId="0" applyNumberFormat="1" applyFont="1" applyFill="1" applyBorder="1" applyAlignment="1">
      <alignment vertical="center"/>
    </xf>
    <xf numFmtId="3" fontId="15" fillId="0" borderId="0" xfId="0" applyNumberFormat="1" applyFont="1" applyAlignment="1">
      <alignment vertical="center"/>
    </xf>
    <xf numFmtId="14" fontId="6" fillId="29" borderId="1" xfId="0" applyNumberFormat="1" applyFont="1" applyFill="1" applyBorder="1" applyAlignment="1">
      <alignment horizontal="left" vertical="center" wrapText="1"/>
    </xf>
    <xf numFmtId="3" fontId="7" fillId="30" borderId="12" xfId="0" applyNumberFormat="1" applyFont="1" applyFill="1" applyBorder="1" applyAlignment="1">
      <alignment vertical="center" wrapText="1"/>
    </xf>
    <xf numFmtId="3" fontId="7" fillId="30" borderId="12" xfId="0" applyNumberFormat="1" applyFont="1" applyFill="1" applyBorder="1" applyAlignment="1">
      <alignment horizontal="right" vertical="center" wrapText="1"/>
    </xf>
    <xf numFmtId="3" fontId="7" fillId="0" borderId="12" xfId="0" applyNumberFormat="1" applyFont="1" applyBorder="1" applyAlignment="1">
      <alignment vertical="center" wrapText="1"/>
    </xf>
    <xf numFmtId="14" fontId="6" fillId="29" borderId="5" xfId="0" applyNumberFormat="1" applyFont="1" applyFill="1" applyBorder="1" applyAlignment="1">
      <alignment horizontal="left" vertical="center" wrapText="1"/>
    </xf>
    <xf numFmtId="2" fontId="11" fillId="0" borderId="0" xfId="0" applyNumberFormat="1" applyFont="1"/>
    <xf numFmtId="14" fontId="27" fillId="0" borderId="0" xfId="0" applyNumberFormat="1" applyFont="1"/>
    <xf numFmtId="165" fontId="27" fillId="0" borderId="0" xfId="0" applyNumberFormat="1" applyFont="1"/>
    <xf numFmtId="14" fontId="6" fillId="29" borderId="47" xfId="0" applyNumberFormat="1" applyFont="1" applyFill="1" applyBorder="1" applyAlignment="1">
      <alignment horizontal="left" vertical="center" wrapText="1"/>
    </xf>
    <xf numFmtId="14" fontId="6" fillId="29" borderId="11" xfId="0" applyNumberFormat="1" applyFont="1" applyFill="1" applyBorder="1" applyAlignment="1">
      <alignment horizontal="left" vertical="center" wrapText="1"/>
    </xf>
    <xf numFmtId="3" fontId="7" fillId="30" borderId="12" xfId="0" applyNumberFormat="1" applyFont="1" applyFill="1" applyBorder="1" applyAlignment="1">
      <alignment horizontal="right" vertical="center"/>
    </xf>
    <xf numFmtId="3" fontId="7" fillId="2" borderId="12" xfId="0" applyNumberFormat="1" applyFont="1" applyFill="1" applyBorder="1" applyAlignment="1">
      <alignment vertical="center" wrapText="1"/>
    </xf>
    <xf numFmtId="14" fontId="6" fillId="29" borderId="48" xfId="0" applyNumberFormat="1" applyFont="1" applyFill="1" applyBorder="1" applyAlignment="1">
      <alignment horizontal="left" vertical="center" wrapText="1"/>
    </xf>
    <xf numFmtId="0" fontId="7" fillId="2" borderId="12" xfId="0" applyFont="1" applyFill="1" applyBorder="1" applyAlignment="1">
      <alignment horizontal="right" vertical="center"/>
    </xf>
    <xf numFmtId="3" fontId="7" fillId="2" borderId="12" xfId="0" applyNumberFormat="1" applyFont="1" applyFill="1" applyBorder="1" applyAlignment="1">
      <alignment horizontal="right" vertical="center"/>
    </xf>
    <xf numFmtId="3" fontId="7" fillId="2" borderId="12" xfId="0" applyNumberFormat="1" applyFont="1" applyFill="1" applyBorder="1" applyAlignment="1">
      <alignment vertical="center"/>
    </xf>
    <xf numFmtId="3" fontId="7" fillId="30" borderId="12" xfId="0" applyNumberFormat="1" applyFont="1" applyFill="1" applyBorder="1" applyAlignment="1">
      <alignment vertical="center"/>
    </xf>
    <xf numFmtId="0" fontId="7" fillId="2" borderId="12" xfId="0" applyFont="1" applyFill="1" applyBorder="1" applyAlignment="1">
      <alignment vertical="center"/>
    </xf>
    <xf numFmtId="3" fontId="7" fillId="2" borderId="12" xfId="0" applyNumberFormat="1" applyFont="1" applyFill="1" applyBorder="1"/>
    <xf numFmtId="3" fontId="7" fillId="0" borderId="12" xfId="0" applyNumberFormat="1" applyFont="1" applyBorder="1" applyAlignment="1">
      <alignment horizontal="right" vertical="center"/>
    </xf>
    <xf numFmtId="3" fontId="28" fillId="2" borderId="12" xfId="0" applyNumberFormat="1" applyFont="1" applyFill="1" applyBorder="1" applyAlignment="1">
      <alignment vertical="center"/>
    </xf>
    <xf numFmtId="3" fontId="28" fillId="0" borderId="12" xfId="0" applyNumberFormat="1" applyFont="1" applyBorder="1" applyAlignment="1">
      <alignment vertical="center"/>
    </xf>
    <xf numFmtId="0" fontId="3" fillId="0" borderId="0" xfId="0" applyFont="1" applyAlignment="1">
      <alignment horizontal="center"/>
    </xf>
    <xf numFmtId="0" fontId="29" fillId="0" borderId="31" xfId="0" applyFont="1" applyBorder="1" applyAlignment="1">
      <alignment horizontal="center" wrapText="1"/>
    </xf>
    <xf numFmtId="0" fontId="29" fillId="0" borderId="0" xfId="0" applyFont="1" applyAlignment="1">
      <alignment horizontal="center" wrapText="1"/>
    </xf>
    <xf numFmtId="0" fontId="29" fillId="0" borderId="28" xfId="0" applyFont="1" applyBorder="1" applyAlignment="1">
      <alignment horizontal="center" wrapText="1"/>
    </xf>
    <xf numFmtId="166" fontId="30" fillId="0" borderId="0" xfId="0" applyNumberFormat="1" applyFont="1" applyAlignment="1">
      <alignment horizontal="center"/>
    </xf>
    <xf numFmtId="172" fontId="1" fillId="0" borderId="0" xfId="0" applyNumberFormat="1" applyFont="1"/>
    <xf numFmtId="3" fontId="3" fillId="0" borderId="31" xfId="0" applyNumberFormat="1" applyFont="1" applyBorder="1" applyAlignment="1">
      <alignment horizontal="center"/>
    </xf>
    <xf numFmtId="3" fontId="3" fillId="0" borderId="0" xfId="0" applyNumberFormat="1" applyFont="1" applyAlignment="1">
      <alignment horizontal="center"/>
    </xf>
    <xf numFmtId="3" fontId="3" fillId="0" borderId="28" xfId="0" applyNumberFormat="1" applyFont="1" applyBorder="1" applyAlignment="1">
      <alignment horizontal="center"/>
    </xf>
    <xf numFmtId="0" fontId="3" fillId="0" borderId="28" xfId="0" applyFont="1" applyBorder="1" applyAlignment="1">
      <alignment horizontal="center"/>
    </xf>
    <xf numFmtId="166" fontId="31" fillId="0" borderId="0" xfId="0" applyNumberFormat="1" applyFont="1" applyAlignment="1">
      <alignment horizontal="center"/>
    </xf>
    <xf numFmtId="0" fontId="1" fillId="0" borderId="0" xfId="0" applyFont="1" applyAlignment="1">
      <alignment horizontal="center" vertical="center"/>
    </xf>
    <xf numFmtId="0" fontId="1" fillId="32" borderId="1" xfId="0" applyFont="1" applyFill="1" applyBorder="1" applyAlignment="1">
      <alignment horizontal="center" vertical="center"/>
    </xf>
    <xf numFmtId="167" fontId="8" fillId="32" borderId="1" xfId="0" applyNumberFormat="1" applyFont="1" applyFill="1" applyBorder="1" applyAlignment="1">
      <alignment horizontal="center" vertical="center"/>
    </xf>
    <xf numFmtId="172" fontId="22" fillId="0" borderId="0" xfId="0" applyNumberFormat="1" applyFont="1" applyAlignment="1">
      <alignment horizontal="center" vertical="center"/>
    </xf>
    <xf numFmtId="172" fontId="22" fillId="0" borderId="0" xfId="0" applyNumberFormat="1" applyFont="1"/>
    <xf numFmtId="0" fontId="2" fillId="14" borderId="1" xfId="0" applyFont="1" applyFill="1" applyBorder="1"/>
    <xf numFmtId="165" fontId="1" fillId="20" borderId="1" xfId="0" applyNumberFormat="1" applyFont="1" applyFill="1" applyBorder="1"/>
    <xf numFmtId="0" fontId="22" fillId="0" borderId="0" xfId="0" applyFont="1" applyAlignment="1"/>
    <xf numFmtId="3" fontId="22" fillId="0" borderId="31" xfId="0" applyNumberFormat="1" applyFont="1" applyBorder="1" applyAlignment="1">
      <alignment horizontal="center"/>
    </xf>
    <xf numFmtId="3" fontId="22" fillId="0" borderId="0" xfId="0" applyNumberFormat="1" applyFont="1" applyAlignment="1">
      <alignment horizontal="center"/>
    </xf>
    <xf numFmtId="3" fontId="22" fillId="0" borderId="28" xfId="0" applyNumberFormat="1" applyFont="1" applyBorder="1" applyAlignment="1">
      <alignment horizontal="center"/>
    </xf>
    <xf numFmtId="172" fontId="22" fillId="32" borderId="1" xfId="0" applyNumberFormat="1" applyFont="1" applyFill="1" applyBorder="1"/>
    <xf numFmtId="0" fontId="22" fillId="0" borderId="0" xfId="0" applyFont="1" applyAlignment="1"/>
    <xf numFmtId="2" fontId="1" fillId="0" borderId="0" xfId="0" applyNumberFormat="1" applyFont="1"/>
    <xf numFmtId="0" fontId="1" fillId="0" borderId="0" xfId="0" applyFont="1" applyAlignment="1">
      <alignment horizontal="center"/>
    </xf>
    <xf numFmtId="0" fontId="0" fillId="0" borderId="0" xfId="0" applyFont="1"/>
    <xf numFmtId="167" fontId="1" fillId="33" borderId="1" xfId="0" applyNumberFormat="1" applyFont="1" applyFill="1" applyBorder="1"/>
    <xf numFmtId="0" fontId="1" fillId="6" borderId="1" xfId="0" applyFont="1" applyFill="1" applyBorder="1"/>
    <xf numFmtId="167" fontId="0" fillId="0" borderId="0" xfId="0" applyNumberFormat="1" applyFont="1"/>
    <xf numFmtId="167" fontId="22" fillId="0" borderId="0" xfId="0" applyNumberFormat="1" applyFont="1" applyAlignment="1">
      <alignment horizontal="center" vertical="center" wrapText="1"/>
    </xf>
    <xf numFmtId="0" fontId="32" fillId="0" borderId="0" xfId="0" applyFont="1" applyAlignment="1">
      <alignment vertical="center"/>
    </xf>
    <xf numFmtId="167" fontId="1" fillId="0" borderId="0" xfId="0" applyNumberFormat="1" applyFont="1" applyAlignment="1">
      <alignment horizontal="center" vertical="center"/>
    </xf>
    <xf numFmtId="0" fontId="1" fillId="0" borderId="0" xfId="0" applyFont="1" applyAlignment="1">
      <alignment vertical="center"/>
    </xf>
    <xf numFmtId="173" fontId="1" fillId="0" borderId="0" xfId="0" applyNumberFormat="1" applyFont="1"/>
    <xf numFmtId="0" fontId="32" fillId="34" borderId="1" xfId="0" applyFont="1" applyFill="1" applyBorder="1" applyAlignment="1">
      <alignment vertical="center"/>
    </xf>
    <xf numFmtId="0" fontId="24" fillId="0" borderId="0" xfId="0" applyFont="1"/>
    <xf numFmtId="4" fontId="24" fillId="0" borderId="43" xfId="0" applyNumberFormat="1" applyFont="1" applyBorder="1"/>
    <xf numFmtId="170" fontId="0" fillId="0" borderId="0" xfId="0" applyNumberFormat="1" applyFont="1"/>
    <xf numFmtId="165" fontId="0" fillId="0" borderId="0" xfId="0" applyNumberFormat="1" applyFont="1"/>
    <xf numFmtId="0" fontId="1" fillId="40" borderId="1" xfId="0" applyFont="1" applyFill="1" applyBorder="1" applyAlignment="1">
      <alignment wrapText="1"/>
    </xf>
    <xf numFmtId="0" fontId="1" fillId="6" borderId="1" xfId="0" applyFont="1" applyFill="1" applyBorder="1" applyAlignment="1">
      <alignment wrapText="1"/>
    </xf>
    <xf numFmtId="0" fontId="1" fillId="20" borderId="1" xfId="0" applyFont="1" applyFill="1" applyBorder="1" applyAlignment="1">
      <alignment wrapText="1"/>
    </xf>
    <xf numFmtId="0" fontId="1" fillId="3" borderId="1" xfId="0" applyFont="1" applyFill="1" applyBorder="1" applyAlignment="1">
      <alignment wrapText="1"/>
    </xf>
    <xf numFmtId="0" fontId="1" fillId="39" borderId="1" xfId="0" applyFont="1" applyFill="1" applyBorder="1" applyAlignment="1">
      <alignment wrapText="1"/>
    </xf>
    <xf numFmtId="164" fontId="1" fillId="0" borderId="0" xfId="0" applyNumberFormat="1" applyFont="1" applyAlignment="1">
      <alignment wrapText="1"/>
    </xf>
    <xf numFmtId="0" fontId="20" fillId="0" borderId="0" xfId="0" applyFont="1" applyAlignment="1">
      <alignment wrapText="1"/>
    </xf>
    <xf numFmtId="164" fontId="1" fillId="3" borderId="1" xfId="0" applyNumberFormat="1" applyFont="1" applyFill="1" applyBorder="1" applyAlignment="1">
      <alignment wrapText="1"/>
    </xf>
    <xf numFmtId="164" fontId="1" fillId="7" borderId="1" xfId="0" applyNumberFormat="1" applyFont="1" applyFill="1" applyBorder="1" applyAlignment="1">
      <alignment wrapText="1"/>
    </xf>
    <xf numFmtId="164" fontId="1" fillId="8" borderId="1" xfId="0" applyNumberFormat="1" applyFont="1" applyFill="1" applyBorder="1" applyAlignment="1">
      <alignment wrapText="1"/>
    </xf>
    <xf numFmtId="164" fontId="1" fillId="9" borderId="1" xfId="0" applyNumberFormat="1" applyFont="1" applyFill="1" applyBorder="1" applyAlignment="1">
      <alignment wrapText="1"/>
    </xf>
    <xf numFmtId="164" fontId="2" fillId="0" borderId="0" xfId="0" applyNumberFormat="1" applyFont="1"/>
    <xf numFmtId="164" fontId="2" fillId="42" borderId="1" xfId="0" applyNumberFormat="1" applyFont="1" applyFill="1" applyBorder="1"/>
    <xf numFmtId="164" fontId="2" fillId="43" borderId="1" xfId="0" applyNumberFormat="1" applyFont="1" applyFill="1" applyBorder="1"/>
    <xf numFmtId="164" fontId="2" fillId="5" borderId="1" xfId="0" applyNumberFormat="1" applyFont="1" applyFill="1" applyBorder="1" applyAlignment="1">
      <alignment horizontal="center" vertical="center"/>
    </xf>
    <xf numFmtId="170" fontId="2" fillId="5" borderId="1" xfId="0" applyNumberFormat="1" applyFont="1" applyFill="1" applyBorder="1" applyAlignment="1">
      <alignment horizontal="center" vertical="center"/>
    </xf>
    <xf numFmtId="0" fontId="17" fillId="0" borderId="0" xfId="0" applyFont="1"/>
    <xf numFmtId="164" fontId="0" fillId="0" borderId="0" xfId="0" applyNumberFormat="1" applyFont="1"/>
    <xf numFmtId="167" fontId="22" fillId="39" borderId="1" xfId="0" applyNumberFormat="1" applyFont="1" applyFill="1" applyBorder="1" applyAlignment="1">
      <alignment horizontal="center" vertical="center"/>
    </xf>
    <xf numFmtId="167" fontId="22" fillId="0" borderId="0" xfId="0" applyNumberFormat="1" applyFont="1" applyAlignment="1">
      <alignment horizontal="center" vertical="center"/>
    </xf>
    <xf numFmtId="14" fontId="36" fillId="0" borderId="0" xfId="0" applyNumberFormat="1" applyFont="1"/>
    <xf numFmtId="164" fontId="20" fillId="0" borderId="0" xfId="0" applyNumberFormat="1" applyFont="1"/>
    <xf numFmtId="164" fontId="12" fillId="0" borderId="0" xfId="0" applyNumberFormat="1" applyFont="1"/>
    <xf numFmtId="164" fontId="36" fillId="0" borderId="0" xfId="0" applyNumberFormat="1" applyFont="1"/>
    <xf numFmtId="164" fontId="37" fillId="0" borderId="0" xfId="0" applyNumberFormat="1" applyFont="1"/>
    <xf numFmtId="164" fontId="38" fillId="42" borderId="1" xfId="0" applyNumberFormat="1" applyFont="1" applyFill="1" applyBorder="1"/>
    <xf numFmtId="164" fontId="38" fillId="43" borderId="1" xfId="0" applyNumberFormat="1" applyFont="1" applyFill="1" applyBorder="1"/>
    <xf numFmtId="170" fontId="36" fillId="0" borderId="0" xfId="0" applyNumberFormat="1" applyFont="1"/>
    <xf numFmtId="0" fontId="7" fillId="0" borderId="0" xfId="0" applyFont="1"/>
    <xf numFmtId="164" fontId="14" fillId="7" borderId="1" xfId="0" applyNumberFormat="1" applyFont="1" applyFill="1" applyBorder="1"/>
    <xf numFmtId="0" fontId="15" fillId="0" borderId="0" xfId="0" applyFont="1"/>
    <xf numFmtId="164" fontId="5" fillId="0" borderId="0" xfId="0" applyNumberFormat="1" applyFont="1"/>
    <xf numFmtId="14" fontId="7" fillId="0" borderId="0" xfId="0" applyNumberFormat="1" applyFont="1"/>
    <xf numFmtId="172" fontId="7" fillId="0" borderId="0" xfId="0" applyNumberFormat="1" applyFont="1"/>
    <xf numFmtId="165" fontId="7" fillId="0" borderId="0" xfId="0" applyNumberFormat="1" applyFont="1"/>
    <xf numFmtId="164" fontId="14" fillId="16" borderId="1" xfId="0" applyNumberFormat="1" applyFont="1" applyFill="1" applyBorder="1"/>
    <xf numFmtId="164" fontId="5" fillId="42" borderId="1" xfId="0" applyNumberFormat="1" applyFont="1" applyFill="1" applyBorder="1"/>
    <xf numFmtId="164" fontId="39" fillId="0" borderId="0" xfId="0" applyNumberFormat="1" applyFont="1"/>
    <xf numFmtId="164" fontId="5" fillId="43" borderId="1" xfId="0" applyNumberFormat="1" applyFont="1" applyFill="1" applyBorder="1"/>
    <xf numFmtId="0" fontId="0" fillId="0" borderId="0" xfId="0" quotePrefix="1" applyFont="1"/>
    <xf numFmtId="9" fontId="22" fillId="0" borderId="0" xfId="0" applyNumberFormat="1" applyFont="1"/>
    <xf numFmtId="14" fontId="19" fillId="0" borderId="0" xfId="0" applyNumberFormat="1" applyFont="1"/>
    <xf numFmtId="2" fontId="40" fillId="0" borderId="0" xfId="0" applyNumberFormat="1" applyFont="1"/>
    <xf numFmtId="166" fontId="19" fillId="0" borderId="0" xfId="0" applyNumberFormat="1" applyFont="1"/>
    <xf numFmtId="172" fontId="19" fillId="0" borderId="0" xfId="0" applyNumberFormat="1" applyFont="1"/>
    <xf numFmtId="0" fontId="19" fillId="0" borderId="0" xfId="0" applyFont="1"/>
    <xf numFmtId="165" fontId="19" fillId="0" borderId="0" xfId="0" applyNumberFormat="1" applyFont="1"/>
    <xf numFmtId="9" fontId="38" fillId="44" borderId="1" xfId="0" applyNumberFormat="1" applyFont="1" applyFill="1" applyBorder="1" applyAlignment="1">
      <alignment horizontal="center" vertical="center"/>
    </xf>
    <xf numFmtId="0" fontId="7" fillId="2" borderId="58" xfId="0" applyFont="1" applyFill="1" applyBorder="1" applyAlignment="1">
      <alignment horizontal="center" vertical="center" wrapText="1"/>
    </xf>
    <xf numFmtId="0" fontId="7" fillId="45" borderId="58" xfId="0" applyFont="1" applyFill="1" applyBorder="1" applyAlignment="1">
      <alignment horizontal="center" vertical="center" wrapText="1"/>
    </xf>
    <xf numFmtId="0" fontId="7" fillId="2" borderId="1" xfId="0" applyFont="1" applyFill="1" applyBorder="1" applyAlignment="1">
      <alignment vertical="center"/>
    </xf>
    <xf numFmtId="0" fontId="7" fillId="45" borderId="1" xfId="0" applyFont="1" applyFill="1" applyBorder="1" applyAlignment="1">
      <alignment horizontal="center" vertical="center"/>
    </xf>
    <xf numFmtId="0" fontId="7" fillId="2" borderId="1" xfId="0" applyFont="1" applyFill="1" applyBorder="1" applyAlignment="1">
      <alignment horizontal="center" vertical="center"/>
    </xf>
    <xf numFmtId="0" fontId="7" fillId="2" borderId="58" xfId="0" applyFont="1" applyFill="1" applyBorder="1" applyAlignment="1">
      <alignment vertical="center"/>
    </xf>
    <xf numFmtId="0" fontId="7" fillId="45" borderId="58" xfId="0" applyFont="1" applyFill="1" applyBorder="1" applyAlignment="1">
      <alignment horizontal="center" vertical="center"/>
    </xf>
    <xf numFmtId="0" fontId="7" fillId="2" borderId="58" xfId="0" applyFont="1" applyFill="1" applyBorder="1" applyAlignment="1">
      <alignment horizontal="center" vertical="center"/>
    </xf>
    <xf numFmtId="0" fontId="15" fillId="2" borderId="1" xfId="0" applyFont="1" applyFill="1" applyBorder="1" applyAlignment="1">
      <alignment horizontal="center" vertical="center"/>
    </xf>
    <xf numFmtId="3" fontId="7" fillId="45" borderId="1" xfId="0" applyNumberFormat="1" applyFont="1" applyFill="1" applyBorder="1" applyAlignment="1">
      <alignment horizontal="center" vertical="center"/>
    </xf>
    <xf numFmtId="3" fontId="7" fillId="2" borderId="1" xfId="0" applyNumberFormat="1" applyFont="1" applyFill="1" applyBorder="1" applyAlignment="1">
      <alignment horizontal="center" vertical="center"/>
    </xf>
    <xf numFmtId="0" fontId="15" fillId="2" borderId="59" xfId="0" applyFont="1" applyFill="1" applyBorder="1" applyAlignment="1">
      <alignment horizontal="center" vertical="center"/>
    </xf>
    <xf numFmtId="3" fontId="7" fillId="45" borderId="59" xfId="0" applyNumberFormat="1" applyFont="1" applyFill="1" applyBorder="1" applyAlignment="1">
      <alignment horizontal="center" vertical="center"/>
    </xf>
    <xf numFmtId="3" fontId="7" fillId="2" borderId="59" xfId="0" applyNumberFormat="1" applyFont="1" applyFill="1" applyBorder="1" applyAlignment="1">
      <alignment horizontal="center" vertical="center"/>
    </xf>
    <xf numFmtId="14" fontId="20" fillId="0" borderId="0" xfId="0" applyNumberFormat="1" applyFont="1"/>
    <xf numFmtId="170" fontId="2" fillId="0" borderId="0" xfId="0" applyNumberFormat="1" applyFont="1"/>
    <xf numFmtId="4" fontId="15" fillId="0" borderId="0" xfId="0" applyNumberFormat="1" applyFont="1"/>
    <xf numFmtId="4" fontId="7" fillId="0" borderId="0" xfId="0" applyNumberFormat="1" applyFont="1"/>
    <xf numFmtId="4" fontId="8" fillId="0" borderId="0" xfId="0" applyNumberFormat="1" applyFont="1" applyAlignment="1">
      <alignment horizontal="right"/>
    </xf>
    <xf numFmtId="14" fontId="0" fillId="0" borderId="0" xfId="0" applyNumberFormat="1" applyFont="1"/>
    <xf numFmtId="0" fontId="8" fillId="0" borderId="0" xfId="0" applyFont="1" applyAlignment="1">
      <alignment horizontal="right"/>
    </xf>
    <xf numFmtId="4" fontId="41" fillId="0" borderId="0" xfId="0" applyNumberFormat="1" applyFont="1" applyAlignment="1">
      <alignment horizontal="right"/>
    </xf>
    <xf numFmtId="4" fontId="40" fillId="0" borderId="0" xfId="0" applyNumberFormat="1" applyFont="1"/>
    <xf numFmtId="4" fontId="19" fillId="0" borderId="0" xfId="0" applyNumberFormat="1" applyFont="1"/>
    <xf numFmtId="165" fontId="15" fillId="0" borderId="0" xfId="0" applyNumberFormat="1" applyFont="1"/>
    <xf numFmtId="165" fontId="40" fillId="0" borderId="0" xfId="0" applyNumberFormat="1" applyFont="1"/>
    <xf numFmtId="165" fontId="45" fillId="12" borderId="6" xfId="0" applyNumberFormat="1" applyFont="1" applyFill="1" applyBorder="1" applyAlignment="1">
      <alignment horizontal="center" vertical="center"/>
    </xf>
    <xf numFmtId="3" fontId="45" fillId="12" borderId="6" xfId="0" applyNumberFormat="1" applyFont="1" applyFill="1" applyBorder="1" applyAlignment="1">
      <alignment horizontal="right" vertical="center"/>
    </xf>
    <xf numFmtId="3" fontId="45" fillId="16" borderId="6" xfId="0" applyNumberFormat="1" applyFont="1" applyFill="1" applyBorder="1" applyAlignment="1">
      <alignment horizontal="right" vertical="center"/>
    </xf>
    <xf numFmtId="3" fontId="46" fillId="12" borderId="6" xfId="0" applyNumberFormat="1" applyFont="1" applyFill="1" applyBorder="1" applyAlignment="1">
      <alignment horizontal="right" vertical="center"/>
    </xf>
    <xf numFmtId="3" fontId="46" fillId="12" borderId="40" xfId="0" applyNumberFormat="1" applyFont="1" applyFill="1" applyBorder="1" applyAlignment="1">
      <alignment horizontal="right" vertical="center"/>
    </xf>
    <xf numFmtId="170" fontId="0" fillId="0" borderId="0" xfId="0" applyNumberFormat="1" applyFont="1" applyAlignment="1"/>
    <xf numFmtId="170" fontId="0" fillId="0" borderId="0" xfId="2" applyNumberFormat="1" applyFont="1" applyAlignment="1"/>
    <xf numFmtId="0" fontId="43" fillId="0" borderId="0" xfId="0" applyFont="1" applyAlignment="1"/>
    <xf numFmtId="164" fontId="22" fillId="0" borderId="0" xfId="0" applyNumberFormat="1" applyFont="1" applyAlignment="1">
      <alignment horizontal="center"/>
    </xf>
    <xf numFmtId="167" fontId="45" fillId="0" borderId="0" xfId="0" applyNumberFormat="1" applyFont="1" applyAlignment="1">
      <alignment horizontal="center" vertical="center"/>
    </xf>
    <xf numFmtId="14" fontId="29" fillId="0" borderId="0" xfId="0" applyNumberFormat="1" applyFont="1"/>
    <xf numFmtId="0" fontId="0" fillId="2" borderId="57" xfId="0" applyFont="1" applyFill="1" applyBorder="1"/>
    <xf numFmtId="0" fontId="0" fillId="46" borderId="0" xfId="0" applyFont="1" applyFill="1" applyAlignment="1"/>
    <xf numFmtId="0" fontId="7" fillId="0" borderId="0" xfId="0" applyFont="1" applyAlignment="1"/>
    <xf numFmtId="14" fontId="7" fillId="0" borderId="0" xfId="0" applyNumberFormat="1" applyFont="1" applyAlignment="1"/>
    <xf numFmtId="43" fontId="15" fillId="0" borderId="0" xfId="1" applyFont="1" applyAlignment="1"/>
    <xf numFmtId="43" fontId="7" fillId="0" borderId="0" xfId="0" applyNumberFormat="1" applyFont="1" applyAlignment="1"/>
    <xf numFmtId="174" fontId="7" fillId="0" borderId="0" xfId="0" applyNumberFormat="1" applyFont="1" applyAlignment="1"/>
    <xf numFmtId="43" fontId="19" fillId="0" borderId="0" xfId="0" applyNumberFormat="1" applyFont="1" applyAlignment="1"/>
    <xf numFmtId="174" fontId="19" fillId="0" borderId="0" xfId="0" applyNumberFormat="1" applyFont="1" applyAlignment="1"/>
    <xf numFmtId="43" fontId="40" fillId="0" borderId="0" xfId="0" applyNumberFormat="1" applyFont="1" applyAlignment="1"/>
    <xf numFmtId="0" fontId="1" fillId="14" borderId="57" xfId="0" applyFont="1" applyFill="1" applyBorder="1"/>
    <xf numFmtId="0" fontId="0" fillId="0" borderId="0" xfId="0"/>
    <xf numFmtId="4" fontId="1" fillId="0" borderId="0" xfId="0" applyNumberFormat="1" applyFont="1"/>
    <xf numFmtId="4" fontId="22" fillId="0" borderId="0" xfId="0" applyNumberFormat="1" applyFont="1"/>
    <xf numFmtId="170" fontId="1" fillId="0" borderId="0" xfId="2" applyNumberFormat="1" applyFont="1"/>
    <xf numFmtId="170" fontId="22" fillId="0" borderId="0" xfId="2" applyNumberFormat="1" applyFont="1"/>
    <xf numFmtId="0" fontId="2" fillId="0" borderId="57" xfId="0" applyFont="1" applyFill="1" applyBorder="1" applyAlignment="1">
      <alignment wrapText="1"/>
    </xf>
    <xf numFmtId="164" fontId="26" fillId="0" borderId="57" xfId="0" applyNumberFormat="1" applyFont="1" applyFill="1" applyBorder="1"/>
    <xf numFmtId="170" fontId="26" fillId="0" borderId="57" xfId="0" applyNumberFormat="1" applyFont="1" applyFill="1" applyBorder="1"/>
    <xf numFmtId="0" fontId="49" fillId="46" borderId="0" xfId="0" applyFont="1" applyFill="1" applyAlignment="1"/>
    <xf numFmtId="166" fontId="3" fillId="0" borderId="0" xfId="0" applyNumberFormat="1" applyFont="1" applyAlignment="1">
      <alignment horizontal="center"/>
    </xf>
    <xf numFmtId="166" fontId="3" fillId="0" borderId="28" xfId="0" applyNumberFormat="1" applyFont="1" applyBorder="1" applyAlignment="1">
      <alignment horizontal="center"/>
    </xf>
    <xf numFmtId="166" fontId="22" fillId="0" borderId="0" xfId="0" applyNumberFormat="1" applyFont="1" applyAlignment="1">
      <alignment horizontal="center"/>
    </xf>
    <xf numFmtId="166" fontId="22" fillId="0" borderId="28" xfId="0" applyNumberFormat="1" applyFont="1" applyBorder="1" applyAlignment="1">
      <alignment horizontal="center"/>
    </xf>
    <xf numFmtId="175" fontId="43" fillId="0" borderId="0" xfId="0" applyNumberFormat="1" applyFont="1" applyAlignment="1">
      <alignment horizontal="center" vertical="center"/>
    </xf>
    <xf numFmtId="0" fontId="43" fillId="0" borderId="0" xfId="0" applyFont="1" applyAlignment="1">
      <alignment wrapText="1"/>
    </xf>
    <xf numFmtId="0" fontId="43" fillId="6" borderId="0" xfId="0" applyFont="1" applyFill="1" applyAlignment="1">
      <alignment wrapText="1"/>
    </xf>
    <xf numFmtId="0" fontId="0" fillId="0" borderId="0" xfId="0" applyAlignment="1">
      <alignment vertical="center"/>
    </xf>
    <xf numFmtId="0" fontId="43" fillId="0" borderId="0" xfId="0" applyFont="1" applyAlignment="1">
      <alignment horizontal="left" vertical="center"/>
    </xf>
    <xf numFmtId="175" fontId="0" fillId="0" borderId="0" xfId="0" applyNumberFormat="1" applyAlignment="1">
      <alignment horizontal="center" vertical="center"/>
    </xf>
    <xf numFmtId="0" fontId="0" fillId="0" borderId="0" xfId="0" applyAlignment="1">
      <alignment horizontal="center"/>
    </xf>
    <xf numFmtId="3" fontId="0" fillId="0" borderId="0" xfId="0" applyNumberFormat="1" applyAlignment="1">
      <alignment horizontal="center" vertical="center"/>
    </xf>
    <xf numFmtId="3" fontId="50" fillId="0" borderId="0" xfId="0" applyNumberFormat="1" applyFont="1" applyAlignment="1">
      <alignment horizontal="center"/>
    </xf>
    <xf numFmtId="3" fontId="50" fillId="0" borderId="0" xfId="0" applyNumberFormat="1" applyFont="1" applyAlignment="1">
      <alignment horizontal="center" vertical="center"/>
    </xf>
    <xf numFmtId="0" fontId="50" fillId="51" borderId="19" xfId="0" applyFont="1" applyFill="1" applyBorder="1" applyAlignment="1">
      <alignment horizontal="center"/>
    </xf>
    <xf numFmtId="3" fontId="50" fillId="51" borderId="21" xfId="0" applyNumberFormat="1" applyFont="1" applyFill="1" applyBorder="1" applyAlignment="1">
      <alignment horizontal="center"/>
    </xf>
    <xf numFmtId="4" fontId="50" fillId="51" borderId="21" xfId="0" applyNumberFormat="1" applyFont="1" applyFill="1" applyBorder="1" applyAlignment="1">
      <alignment horizontal="center"/>
    </xf>
    <xf numFmtId="3" fontId="0" fillId="0" borderId="0" xfId="0" applyNumberFormat="1" applyFont="1" applyAlignment="1"/>
    <xf numFmtId="0" fontId="0" fillId="0" borderId="43" xfId="0" applyBorder="1" applyAlignment="1">
      <alignment horizontal="center"/>
    </xf>
    <xf numFmtId="176" fontId="52" fillId="0" borderId="43" xfId="0" applyNumberFormat="1" applyFont="1" applyBorder="1" applyAlignment="1">
      <alignment horizontal="center" vertical="center" wrapText="1"/>
    </xf>
    <xf numFmtId="10" fontId="52" fillId="0" borderId="43" xfId="0" applyNumberFormat="1" applyFont="1" applyBorder="1" applyAlignment="1">
      <alignment horizontal="center" vertical="center" wrapText="1"/>
    </xf>
    <xf numFmtId="175" fontId="0" fillId="0" borderId="0" xfId="0" applyNumberFormat="1"/>
    <xf numFmtId="3" fontId="0" fillId="0" borderId="0" xfId="0" applyNumberFormat="1" applyAlignment="1">
      <alignment horizontal="center"/>
    </xf>
    <xf numFmtId="4" fontId="0" fillId="0" borderId="0" xfId="0" applyNumberFormat="1" applyAlignment="1">
      <alignment horizontal="center"/>
    </xf>
    <xf numFmtId="176" fontId="52" fillId="0" borderId="57" xfId="0" applyNumberFormat="1" applyFont="1" applyFill="1" applyBorder="1"/>
    <xf numFmtId="10" fontId="52" fillId="0" borderId="57" xfId="0" applyNumberFormat="1" applyFont="1" applyFill="1" applyBorder="1"/>
    <xf numFmtId="175" fontId="0" fillId="0" borderId="0" xfId="0" applyNumberFormat="1" applyAlignment="1">
      <alignment horizontal="center"/>
    </xf>
    <xf numFmtId="10" fontId="0" fillId="0" borderId="0" xfId="0" applyNumberFormat="1" applyAlignment="1">
      <alignment horizontal="center"/>
    </xf>
    <xf numFmtId="3" fontId="0" fillId="0" borderId="0" xfId="0" applyNumberFormat="1"/>
    <xf numFmtId="0" fontId="50" fillId="0" borderId="0" xfId="0" applyFont="1"/>
    <xf numFmtId="3" fontId="0" fillId="53" borderId="0" xfId="0" applyNumberFormat="1" applyFill="1" applyAlignment="1">
      <alignment horizontal="center"/>
    </xf>
    <xf numFmtId="3" fontId="0" fillId="54" borderId="0" xfId="0" applyNumberFormat="1" applyFill="1"/>
    <xf numFmtId="3" fontId="0" fillId="56" borderId="0" xfId="0" applyNumberFormat="1" applyFill="1" applyAlignment="1">
      <alignment horizontal="center"/>
    </xf>
    <xf numFmtId="0" fontId="0" fillId="56" borderId="0" xfId="0" applyFill="1" applyAlignment="1">
      <alignment horizontal="center"/>
    </xf>
    <xf numFmtId="4" fontId="0" fillId="56" borderId="0" xfId="0" applyNumberFormat="1" applyFill="1" applyAlignment="1">
      <alignment horizontal="center"/>
    </xf>
    <xf numFmtId="176" fontId="52" fillId="56" borderId="57" xfId="0" applyNumberFormat="1" applyFont="1" applyFill="1" applyBorder="1"/>
    <xf numFmtId="10" fontId="52" fillId="56" borderId="57" xfId="0" applyNumberFormat="1" applyFont="1" applyFill="1" applyBorder="1"/>
    <xf numFmtId="175" fontId="0" fillId="56" borderId="0" xfId="0" applyNumberFormat="1" applyFill="1" applyAlignment="1">
      <alignment horizontal="center"/>
    </xf>
    <xf numFmtId="3" fontId="0" fillId="6" borderId="0" xfId="0" applyNumberFormat="1" applyFill="1" applyAlignment="1">
      <alignment horizontal="center"/>
    </xf>
    <xf numFmtId="0" fontId="0" fillId="6" borderId="0" xfId="0" applyFill="1" applyAlignment="1">
      <alignment horizontal="center"/>
    </xf>
    <xf numFmtId="4" fontId="0" fillId="6" borderId="0" xfId="0" applyNumberFormat="1" applyFill="1" applyAlignment="1">
      <alignment horizontal="center"/>
    </xf>
    <xf numFmtId="176" fontId="52" fillId="6" borderId="57" xfId="0" applyNumberFormat="1" applyFont="1" applyFill="1" applyBorder="1"/>
    <xf numFmtId="10" fontId="52" fillId="6" borderId="57" xfId="0" applyNumberFormat="1" applyFont="1" applyFill="1" applyBorder="1"/>
    <xf numFmtId="175" fontId="0" fillId="6" borderId="0" xfId="0" applyNumberFormat="1" applyFill="1" applyAlignment="1">
      <alignment horizontal="center"/>
    </xf>
    <xf numFmtId="3" fontId="0" fillId="6" borderId="0" xfId="0" applyNumberFormat="1" applyFill="1"/>
    <xf numFmtId="177" fontId="0" fillId="0" borderId="0" xfId="1" applyNumberFormat="1" applyFont="1"/>
    <xf numFmtId="3" fontId="0" fillId="54" borderId="0" xfId="0" applyNumberFormat="1" applyFill="1" applyAlignment="1">
      <alignment horizontal="center"/>
    </xf>
    <xf numFmtId="0" fontId="53" fillId="57" borderId="60" xfId="3" applyFont="1" applyFill="1" applyBorder="1" applyAlignment="1">
      <alignment horizontal="justify" vertical="top" wrapText="1"/>
    </xf>
    <xf numFmtId="0" fontId="26" fillId="34" borderId="60" xfId="3" applyFont="1" applyFill="1" applyBorder="1" applyAlignment="1">
      <alignment horizontal="justify" vertical="top" wrapText="1"/>
    </xf>
    <xf numFmtId="0" fontId="26" fillId="34" borderId="61" xfId="3" applyFont="1" applyFill="1" applyBorder="1" applyAlignment="1">
      <alignment horizontal="justify" vertical="top" wrapText="1"/>
    </xf>
    <xf numFmtId="0" fontId="0" fillId="0" borderId="0" xfId="0" applyFont="1" applyAlignment="1"/>
    <xf numFmtId="0" fontId="0" fillId="0" borderId="0" xfId="0" applyFont="1" applyAlignment="1"/>
    <xf numFmtId="0" fontId="13" fillId="0" borderId="17" xfId="0" applyFont="1" applyBorder="1" applyAlignment="1">
      <alignment vertical="center"/>
    </xf>
    <xf numFmtId="0" fontId="4" fillId="0" borderId="18" xfId="0" applyFont="1" applyBorder="1" applyAlignment="1"/>
    <xf numFmtId="166" fontId="0" fillId="0" borderId="0" xfId="0" applyNumberFormat="1" applyFont="1" applyAlignment="1"/>
    <xf numFmtId="43" fontId="0" fillId="0" borderId="0" xfId="1" applyFont="1" applyAlignment="1"/>
    <xf numFmtId="0" fontId="43" fillId="58" borderId="0" xfId="0" applyFont="1" applyFill="1" applyAlignment="1"/>
    <xf numFmtId="164" fontId="14" fillId="0" borderId="29" xfId="0" applyNumberFormat="1" applyFont="1" applyBorder="1"/>
    <xf numFmtId="164" fontId="14" fillId="0" borderId="30" xfId="0" applyNumberFormat="1" applyFont="1" applyBorder="1"/>
    <xf numFmtId="164" fontId="5" fillId="0" borderId="35" xfId="0" applyNumberFormat="1" applyFont="1" applyBorder="1" applyAlignment="1">
      <alignment vertical="center"/>
    </xf>
    <xf numFmtId="164" fontId="5" fillId="0" borderId="36" xfId="0" applyNumberFormat="1" applyFont="1" applyBorder="1" applyAlignment="1">
      <alignment vertical="center"/>
    </xf>
    <xf numFmtId="164" fontId="5" fillId="0" borderId="37" xfId="0" applyNumberFormat="1" applyFont="1" applyBorder="1" applyAlignment="1">
      <alignment vertical="center"/>
    </xf>
    <xf numFmtId="9" fontId="3" fillId="0" borderId="0" xfId="2" applyFont="1"/>
    <xf numFmtId="170" fontId="3" fillId="0" borderId="0" xfId="2" applyNumberFormat="1" applyFont="1"/>
    <xf numFmtId="164" fontId="14" fillId="58" borderId="0" xfId="0" applyNumberFormat="1" applyFont="1" applyFill="1"/>
    <xf numFmtId="164" fontId="14" fillId="59" borderId="29" xfId="0" applyNumberFormat="1" applyFont="1" applyFill="1" applyBorder="1"/>
    <xf numFmtId="164" fontId="14" fillId="59" borderId="0" xfId="0" applyNumberFormat="1" applyFont="1" applyFill="1"/>
    <xf numFmtId="164" fontId="14" fillId="59" borderId="30" xfId="0" applyNumberFormat="1" applyFont="1" applyFill="1" applyBorder="1"/>
    <xf numFmtId="0" fontId="0" fillId="0" borderId="0" xfId="0" applyFont="1" applyAlignment="1"/>
    <xf numFmtId="0" fontId="0" fillId="46" borderId="0" xfId="0" applyFont="1" applyFill="1" applyAlignment="1">
      <alignment wrapText="1"/>
    </xf>
    <xf numFmtId="9" fontId="12" fillId="0" borderId="57" xfId="0" applyNumberFormat="1" applyFont="1" applyBorder="1" applyAlignment="1">
      <alignment horizontal="center" vertical="center"/>
    </xf>
    <xf numFmtId="0" fontId="3" fillId="60" borderId="57" xfId="0" applyFont="1" applyFill="1" applyBorder="1" applyAlignment="1"/>
    <xf numFmtId="0" fontId="3" fillId="61" borderId="57" xfId="0" applyFont="1" applyFill="1" applyBorder="1" applyAlignment="1"/>
    <xf numFmtId="9" fontId="3" fillId="0" borderId="57" xfId="0" applyNumberFormat="1" applyFont="1" applyBorder="1" applyAlignment="1">
      <alignment horizontal="center" vertical="center"/>
    </xf>
    <xf numFmtId="9" fontId="1" fillId="0" borderId="57" xfId="0" applyNumberFormat="1" applyFont="1" applyBorder="1" applyAlignment="1">
      <alignment horizontal="center" vertical="center"/>
    </xf>
    <xf numFmtId="0" fontId="12" fillId="7" borderId="57" xfId="0" applyFont="1" applyFill="1" applyBorder="1" applyAlignment="1">
      <alignment horizontal="center" vertical="center"/>
    </xf>
    <xf numFmtId="0" fontId="12" fillId="8" borderId="57" xfId="0" applyFont="1" applyFill="1" applyBorder="1" applyAlignment="1">
      <alignment horizontal="center" vertical="center"/>
    </xf>
    <xf numFmtId="0" fontId="12" fillId="9" borderId="57" xfId="0" applyFont="1" applyFill="1" applyBorder="1" applyAlignment="1">
      <alignment horizontal="center" vertical="center"/>
    </xf>
    <xf numFmtId="14" fontId="6" fillId="14" borderId="57" xfId="0" applyNumberFormat="1" applyFont="1" applyFill="1" applyBorder="1" applyAlignment="1">
      <alignment horizontal="center" vertical="center"/>
    </xf>
    <xf numFmtId="0" fontId="0" fillId="46" borderId="62" xfId="0" applyFont="1" applyFill="1" applyBorder="1" applyAlignment="1"/>
    <xf numFmtId="0" fontId="0" fillId="46" borderId="63" xfId="0" applyFont="1" applyFill="1" applyBorder="1" applyAlignment="1"/>
    <xf numFmtId="0" fontId="49" fillId="46" borderId="57" xfId="0" applyFont="1" applyFill="1" applyBorder="1" applyAlignment="1">
      <alignment horizontal="center" vertical="center"/>
    </xf>
    <xf numFmtId="0" fontId="49" fillId="47" borderId="57" xfId="0" applyFont="1" applyFill="1" applyBorder="1" applyAlignment="1">
      <alignment horizontal="center" vertical="center"/>
    </xf>
    <xf numFmtId="0" fontId="49" fillId="48" borderId="57" xfId="0" applyFont="1" applyFill="1" applyBorder="1" applyAlignment="1">
      <alignment horizontal="center" vertical="center"/>
    </xf>
    <xf numFmtId="0" fontId="49" fillId="49" borderId="66" xfId="0" applyFont="1" applyFill="1" applyBorder="1" applyAlignment="1">
      <alignment horizontal="center" vertical="center"/>
    </xf>
    <xf numFmtId="0" fontId="49" fillId="46" borderId="65" xfId="0" applyFont="1" applyFill="1" applyBorder="1" applyAlignment="1"/>
    <xf numFmtId="43" fontId="0" fillId="46" borderId="57" xfId="1" applyFont="1" applyFill="1" applyBorder="1" applyAlignment="1">
      <alignment horizontal="center" vertical="center"/>
    </xf>
    <xf numFmtId="43" fontId="0" fillId="46" borderId="66" xfId="1" applyFont="1" applyFill="1" applyBorder="1" applyAlignment="1">
      <alignment horizontal="center" vertical="center"/>
    </xf>
    <xf numFmtId="0" fontId="49" fillId="46" borderId="67" xfId="0" applyFont="1" applyFill="1" applyBorder="1" applyAlignment="1"/>
    <xf numFmtId="43" fontId="0" fillId="46" borderId="68" xfId="1" applyFont="1" applyFill="1" applyBorder="1" applyAlignment="1">
      <alignment horizontal="center" vertical="center"/>
    </xf>
    <xf numFmtId="43" fontId="0" fillId="46" borderId="69" xfId="1" applyFont="1" applyFill="1" applyBorder="1" applyAlignment="1">
      <alignment horizontal="center" vertical="center"/>
    </xf>
    <xf numFmtId="43" fontId="0" fillId="46" borderId="70" xfId="1" applyFont="1" applyFill="1" applyBorder="1" applyAlignment="1">
      <alignment horizontal="center" vertical="center"/>
    </xf>
    <xf numFmtId="43" fontId="0" fillId="46" borderId="71" xfId="1" applyFont="1" applyFill="1" applyBorder="1" applyAlignment="1">
      <alignment horizontal="center" vertical="center"/>
    </xf>
    <xf numFmtId="43" fontId="0" fillId="46" borderId="72" xfId="1" applyFont="1" applyFill="1" applyBorder="1" applyAlignment="1">
      <alignment horizontal="center" vertical="center"/>
    </xf>
    <xf numFmtId="43" fontId="0" fillId="46" borderId="73" xfId="1" applyFont="1" applyFill="1" applyBorder="1" applyAlignment="1">
      <alignment horizontal="center" vertical="center"/>
    </xf>
    <xf numFmtId="43" fontId="0" fillId="46" borderId="74" xfId="1" applyFont="1" applyFill="1" applyBorder="1" applyAlignment="1">
      <alignment horizontal="center" vertical="center"/>
    </xf>
    <xf numFmtId="43" fontId="0" fillId="46" borderId="75" xfId="1" applyFont="1" applyFill="1" applyBorder="1" applyAlignment="1">
      <alignment horizontal="center" vertical="center"/>
    </xf>
    <xf numFmtId="43" fontId="0" fillId="46" borderId="76" xfId="1" applyFont="1" applyFill="1" applyBorder="1" applyAlignment="1">
      <alignment horizontal="center" vertical="center"/>
    </xf>
    <xf numFmtId="43" fontId="0" fillId="46" borderId="77" xfId="1" applyFont="1" applyFill="1" applyBorder="1" applyAlignment="1">
      <alignment horizontal="center" vertical="center"/>
    </xf>
    <xf numFmtId="0" fontId="49" fillId="46" borderId="78" xfId="0" applyFont="1" applyFill="1" applyBorder="1" applyAlignment="1"/>
    <xf numFmtId="16" fontId="0" fillId="0" borderId="0" xfId="0" applyNumberFormat="1" applyFont="1" applyAlignment="1"/>
    <xf numFmtId="43" fontId="0" fillId="0" borderId="0" xfId="0" applyNumberFormat="1" applyFont="1" applyAlignment="1"/>
    <xf numFmtId="177" fontId="1" fillId="0" borderId="0" xfId="1" applyNumberFormat="1" applyFont="1"/>
    <xf numFmtId="164" fontId="0" fillId="0" borderId="0" xfId="0" applyNumberFormat="1" applyFont="1" applyAlignment="1"/>
    <xf numFmtId="9" fontId="1" fillId="0" borderId="0" xfId="2" applyFont="1"/>
    <xf numFmtId="177" fontId="0" fillId="0" borderId="0" xfId="0" applyNumberFormat="1" applyFont="1" applyAlignment="1"/>
    <xf numFmtId="9" fontId="0" fillId="0" borderId="0" xfId="2" applyFont="1" applyAlignment="1"/>
    <xf numFmtId="9" fontId="15" fillId="0" borderId="0" xfId="2" applyFont="1"/>
    <xf numFmtId="43" fontId="15" fillId="0" borderId="0" xfId="1" applyFont="1"/>
    <xf numFmtId="172" fontId="15" fillId="0" borderId="0" xfId="2" applyNumberFormat="1" applyFont="1"/>
    <xf numFmtId="14" fontId="3" fillId="0" borderId="0" xfId="0" applyNumberFormat="1" applyFont="1" applyAlignment="1"/>
    <xf numFmtId="170" fontId="15" fillId="0" borderId="0" xfId="2" applyNumberFormat="1" applyFont="1"/>
    <xf numFmtId="170" fontId="40" fillId="0" borderId="0" xfId="2" applyNumberFormat="1" applyFont="1"/>
    <xf numFmtId="167" fontId="54" fillId="0" borderId="79" xfId="0" applyNumberFormat="1" applyFont="1" applyFill="1" applyBorder="1" applyAlignment="1">
      <alignment horizontal="center" vertical="center"/>
    </xf>
    <xf numFmtId="14" fontId="22" fillId="0" borderId="0" xfId="0" applyNumberFormat="1" applyFont="1" applyAlignment="1"/>
    <xf numFmtId="166" fontId="55" fillId="0" borderId="0" xfId="0" applyNumberFormat="1" applyFont="1" applyAlignment="1"/>
    <xf numFmtId="0" fontId="43" fillId="0" borderId="0" xfId="0" applyFont="1"/>
    <xf numFmtId="4" fontId="0" fillId="0" borderId="0" xfId="0" applyNumberFormat="1" applyFont="1" applyAlignment="1"/>
    <xf numFmtId="0" fontId="49" fillId="46" borderId="63" xfId="0" applyFont="1" applyFill="1" applyBorder="1" applyAlignment="1">
      <alignment horizontal="center"/>
    </xf>
    <xf numFmtId="0" fontId="49" fillId="46" borderId="64" xfId="0" applyFont="1" applyFill="1" applyBorder="1" applyAlignment="1">
      <alignment horizontal="center"/>
    </xf>
    <xf numFmtId="0" fontId="6" fillId="14" borderId="57" xfId="0" applyFont="1" applyFill="1" applyBorder="1" applyAlignment="1">
      <alignment horizontal="center" vertical="center"/>
    </xf>
    <xf numFmtId="0" fontId="3" fillId="7" borderId="2" xfId="0" applyFont="1" applyFill="1" applyBorder="1" applyAlignment="1">
      <alignment horizontal="center"/>
    </xf>
    <xf numFmtId="0" fontId="4" fillId="0" borderId="3" xfId="0" applyFont="1" applyBorder="1"/>
    <xf numFmtId="0" fontId="4" fillId="0" borderId="4" xfId="0" applyFont="1" applyBorder="1"/>
    <xf numFmtId="0" fontId="3" fillId="8" borderId="2" xfId="0" applyFont="1" applyFill="1" applyBorder="1" applyAlignment="1">
      <alignment horizontal="center"/>
    </xf>
    <xf numFmtId="0" fontId="3" fillId="9" borderId="2" xfId="0" applyFont="1" applyFill="1" applyBorder="1" applyAlignment="1">
      <alignment horizontal="center"/>
    </xf>
    <xf numFmtId="0" fontId="7" fillId="15" borderId="8" xfId="0" quotePrefix="1" applyFont="1" applyFill="1" applyBorder="1" applyAlignment="1">
      <alignment horizontal="left" vertical="top"/>
    </xf>
    <xf numFmtId="0" fontId="4" fillId="0" borderId="39" xfId="0" applyFont="1" applyBorder="1"/>
    <xf numFmtId="0" fontId="1" fillId="6" borderId="8" xfId="0" applyFont="1" applyFill="1" applyBorder="1" applyAlignment="1">
      <alignment horizontal="center"/>
    </xf>
    <xf numFmtId="0" fontId="4" fillId="0" borderId="9" xfId="0" applyFont="1" applyBorder="1"/>
    <xf numFmtId="0" fontId="4" fillId="0" borderId="10" xfId="0" applyFont="1" applyBorder="1"/>
    <xf numFmtId="0" fontId="10" fillId="13" borderId="8" xfId="0" applyFont="1" applyFill="1" applyBorder="1" applyAlignment="1">
      <alignment horizontal="center" vertical="center"/>
    </xf>
    <xf numFmtId="0" fontId="12" fillId="23" borderId="17" xfId="0" applyFont="1" applyFill="1" applyBorder="1" applyAlignment="1">
      <alignment horizontal="center"/>
    </xf>
    <xf numFmtId="0" fontId="4" fillId="0" borderId="18" xfId="0" applyFont="1" applyBorder="1"/>
    <xf numFmtId="0" fontId="12" fillId="23" borderId="34" xfId="0" applyFont="1" applyFill="1" applyBorder="1" applyAlignment="1">
      <alignment horizontal="center"/>
    </xf>
    <xf numFmtId="0" fontId="4" fillId="0" borderId="34" xfId="0" applyFont="1" applyBorder="1"/>
    <xf numFmtId="0" fontId="21" fillId="0" borderId="0" xfId="0" applyFont="1" applyAlignment="1"/>
    <xf numFmtId="0" fontId="0" fillId="0" borderId="0" xfId="0" applyFont="1" applyAlignment="1"/>
    <xf numFmtId="0" fontId="24" fillId="25" borderId="17" xfId="0" applyFont="1" applyFill="1" applyBorder="1" applyAlignment="1">
      <alignment horizontal="center"/>
    </xf>
    <xf numFmtId="3" fontId="7" fillId="28" borderId="45" xfId="0" applyNumberFormat="1" applyFont="1" applyFill="1" applyBorder="1" applyAlignment="1">
      <alignment horizontal="left" vertical="center" wrapText="1"/>
    </xf>
    <xf numFmtId="0" fontId="4" fillId="0" borderId="46" xfId="0" applyFont="1" applyBorder="1"/>
    <xf numFmtId="0" fontId="0" fillId="6" borderId="8" xfId="0" applyFont="1" applyFill="1" applyBorder="1" applyAlignment="1">
      <alignment horizontal="center"/>
    </xf>
    <xf numFmtId="0" fontId="3" fillId="22" borderId="31" xfId="0" applyFont="1" applyFill="1" applyBorder="1" applyAlignment="1">
      <alignment horizontal="center"/>
    </xf>
    <xf numFmtId="0" fontId="4" fillId="0" borderId="28" xfId="0" applyFont="1" applyBorder="1"/>
    <xf numFmtId="0" fontId="3" fillId="31" borderId="0" xfId="0" applyFont="1" applyFill="1" applyAlignment="1">
      <alignment horizontal="center"/>
    </xf>
    <xf numFmtId="0" fontId="3" fillId="9" borderId="0" xfId="0" applyFont="1" applyFill="1" applyAlignment="1">
      <alignment horizontal="center"/>
    </xf>
    <xf numFmtId="0" fontId="1" fillId="22" borderId="8" xfId="0" applyFont="1" applyFill="1" applyBorder="1" applyAlignment="1">
      <alignment horizontal="center"/>
    </xf>
    <xf numFmtId="0" fontId="1" fillId="8" borderId="8" xfId="0" applyFont="1" applyFill="1" applyBorder="1" applyAlignment="1">
      <alignment horizontal="center"/>
    </xf>
    <xf numFmtId="0" fontId="1" fillId="9" borderId="8" xfId="0" applyFont="1" applyFill="1" applyBorder="1" applyAlignment="1">
      <alignment horizontal="center"/>
    </xf>
    <xf numFmtId="0" fontId="1" fillId="0" borderId="0" xfId="0" applyFont="1" applyAlignment="1">
      <alignment horizontal="center"/>
    </xf>
    <xf numFmtId="0" fontId="0" fillId="0" borderId="43" xfId="0" applyFill="1" applyBorder="1" applyAlignment="1">
      <alignment horizontal="center" vertical="center"/>
    </xf>
    <xf numFmtId="0" fontId="0" fillId="0" borderId="0" xfId="0" applyAlignment="1">
      <alignment horizontal="center"/>
    </xf>
    <xf numFmtId="0" fontId="49" fillId="55" borderId="0" xfId="0" applyFont="1" applyFill="1" applyAlignment="1">
      <alignment horizontal="center"/>
    </xf>
    <xf numFmtId="0" fontId="0" fillId="0" borderId="43" xfId="0" applyFill="1" applyBorder="1" applyAlignment="1">
      <alignment horizontal="center" vertical="center" wrapText="1"/>
    </xf>
    <xf numFmtId="3" fontId="0" fillId="54" borderId="0" xfId="0" applyNumberFormat="1" applyFill="1" applyAlignment="1">
      <alignment horizontal="center"/>
    </xf>
    <xf numFmtId="0" fontId="43" fillId="50" borderId="0" xfId="0" applyFont="1" applyFill="1" applyAlignment="1">
      <alignment horizontal="center"/>
    </xf>
    <xf numFmtId="0" fontId="0" fillId="50" borderId="0" xfId="0" applyFont="1" applyFill="1" applyAlignment="1">
      <alignment horizontal="center"/>
    </xf>
    <xf numFmtId="0" fontId="43" fillId="52" borderId="0" xfId="0" applyFont="1" applyFill="1" applyAlignment="1">
      <alignment horizontal="center"/>
    </xf>
    <xf numFmtId="0" fontId="0" fillId="52" borderId="0" xfId="0" applyFont="1" applyFill="1" applyAlignment="1">
      <alignment horizontal="center"/>
    </xf>
    <xf numFmtId="176" fontId="52" fillId="0" borderId="43" xfId="0" applyNumberFormat="1" applyFont="1" applyFill="1" applyBorder="1" applyAlignment="1">
      <alignment horizontal="center" vertical="center" wrapText="1"/>
    </xf>
    <xf numFmtId="3" fontId="0" fillId="53" borderId="0" xfId="0" applyNumberFormat="1" applyFill="1" applyAlignment="1">
      <alignment horizontal="center"/>
    </xf>
    <xf numFmtId="0" fontId="3" fillId="6" borderId="8" xfId="0" applyFont="1" applyFill="1" applyBorder="1" applyAlignment="1">
      <alignment horizontal="center"/>
    </xf>
    <xf numFmtId="0" fontId="0" fillId="0" borderId="0" xfId="0" applyFont="1" applyAlignment="1">
      <alignment horizontal="center" vertical="center"/>
    </xf>
    <xf numFmtId="0" fontId="33" fillId="7" borderId="8" xfId="0" applyFont="1" applyFill="1" applyBorder="1" applyAlignment="1">
      <alignment horizontal="center" vertical="center"/>
    </xf>
    <xf numFmtId="0" fontId="1" fillId="35" borderId="8" xfId="0" applyFont="1" applyFill="1" applyBorder="1" applyAlignment="1">
      <alignment horizontal="center"/>
    </xf>
    <xf numFmtId="0" fontId="1" fillId="32" borderId="8" xfId="0" applyFont="1" applyFill="1" applyBorder="1" applyAlignment="1">
      <alignment horizontal="center"/>
    </xf>
    <xf numFmtId="0" fontId="34" fillId="32" borderId="45" xfId="0" applyFont="1" applyFill="1" applyBorder="1" applyAlignment="1">
      <alignment horizontal="center" vertical="center" wrapText="1"/>
    </xf>
    <xf numFmtId="0" fontId="4" fillId="0" borderId="52" xfId="0" applyFont="1" applyBorder="1"/>
    <xf numFmtId="0" fontId="35" fillId="36" borderId="49" xfId="0" applyFont="1" applyFill="1" applyBorder="1" applyAlignment="1">
      <alignment horizontal="center" vertical="center"/>
    </xf>
    <xf numFmtId="0" fontId="4" fillId="0" borderId="50" xfId="0" applyFont="1" applyBorder="1"/>
    <xf numFmtId="0" fontId="4" fillId="0" borderId="51" xfId="0" applyFont="1" applyBorder="1"/>
    <xf numFmtId="0" fontId="4" fillId="0" borderId="53" xfId="0" applyFont="1" applyBorder="1"/>
    <xf numFmtId="0" fontId="4" fillId="0" borderId="54" xfId="0" applyFont="1" applyBorder="1"/>
    <xf numFmtId="0" fontId="4" fillId="0" borderId="55" xfId="0" applyFont="1" applyBorder="1"/>
    <xf numFmtId="0" fontId="4" fillId="0" borderId="56" xfId="0" applyFont="1" applyBorder="1"/>
    <xf numFmtId="0" fontId="4" fillId="0" borderId="57" xfId="0" applyFont="1" applyBorder="1"/>
    <xf numFmtId="0" fontId="34" fillId="37" borderId="45" xfId="0" applyFont="1" applyFill="1" applyBorder="1" applyAlignment="1">
      <alignment horizontal="center" vertical="center" wrapText="1"/>
    </xf>
    <xf numFmtId="0" fontId="34" fillId="3" borderId="45" xfId="0" applyFont="1" applyFill="1" applyBorder="1" applyAlignment="1">
      <alignment horizontal="center" vertical="center" wrapText="1"/>
    </xf>
    <xf numFmtId="0" fontId="1" fillId="3" borderId="8" xfId="0" applyFont="1" applyFill="1" applyBorder="1" applyAlignment="1">
      <alignment horizontal="center" wrapText="1"/>
    </xf>
    <xf numFmtId="0" fontId="1" fillId="38" borderId="8" xfId="0" applyFont="1" applyFill="1" applyBorder="1" applyAlignment="1">
      <alignment horizontal="center" wrapText="1"/>
    </xf>
    <xf numFmtId="0" fontId="1" fillId="39" borderId="8" xfId="0" applyFont="1" applyFill="1" applyBorder="1" applyAlignment="1">
      <alignment horizontal="center" wrapText="1"/>
    </xf>
    <xf numFmtId="0" fontId="1" fillId="41" borderId="8" xfId="0" applyFont="1" applyFill="1" applyBorder="1" applyAlignment="1">
      <alignment horizontal="center" wrapText="1"/>
    </xf>
    <xf numFmtId="0" fontId="33" fillId="8" borderId="8" xfId="0" applyFont="1" applyFill="1" applyBorder="1" applyAlignment="1">
      <alignment horizontal="center" vertical="center"/>
    </xf>
    <xf numFmtId="0" fontId="33" fillId="9" borderId="8" xfId="0" applyFont="1" applyFill="1" applyBorder="1" applyAlignment="1">
      <alignment horizontal="center" vertical="center"/>
    </xf>
    <xf numFmtId="0" fontId="3" fillId="7" borderId="8" xfId="0" applyFont="1" applyFill="1" applyBorder="1" applyAlignment="1">
      <alignment horizontal="center" vertical="center"/>
    </xf>
    <xf numFmtId="0" fontId="3" fillId="8" borderId="8" xfId="0" applyFont="1" applyFill="1" applyBorder="1" applyAlignment="1">
      <alignment horizontal="center" vertical="center"/>
    </xf>
    <xf numFmtId="0" fontId="3" fillId="9" borderId="8" xfId="0" applyFont="1" applyFill="1" applyBorder="1" applyAlignment="1">
      <alignment horizontal="center" vertical="center"/>
    </xf>
    <xf numFmtId="0" fontId="3" fillId="7" borderId="57" xfId="0" applyFont="1" applyFill="1" applyBorder="1" applyAlignment="1">
      <alignment horizontal="center" vertical="center"/>
    </xf>
    <xf numFmtId="0" fontId="3" fillId="8" borderId="57" xfId="0" applyFont="1" applyFill="1" applyBorder="1" applyAlignment="1">
      <alignment horizontal="center" vertical="center"/>
    </xf>
    <xf numFmtId="0" fontId="3" fillId="9" borderId="57" xfId="0" applyFont="1" applyFill="1" applyBorder="1" applyAlignment="1">
      <alignment horizontal="center" vertical="center"/>
    </xf>
    <xf numFmtId="0" fontId="56" fillId="62" borderId="80" xfId="0" applyFont="1" applyFill="1" applyBorder="1" applyAlignment="1">
      <alignment vertical="center"/>
    </xf>
    <xf numFmtId="0" fontId="57" fillId="0" borderId="57" xfId="4" applyNumberFormat="1" applyFill="1" applyAlignment="1" applyProtection="1">
      <alignment wrapText="1"/>
    </xf>
    <xf numFmtId="3" fontId="57" fillId="0" borderId="57" xfId="4" applyNumberFormat="1" applyFill="1" applyAlignment="1" applyProtection="1">
      <alignment wrapText="1"/>
    </xf>
    <xf numFmtId="167" fontId="57" fillId="0" borderId="57" xfId="4" applyNumberFormat="1" applyFill="1" applyAlignment="1" applyProtection="1">
      <alignment wrapText="1"/>
    </xf>
    <xf numFmtId="0" fontId="57" fillId="0" borderId="57" xfId="4" applyNumberFormat="1" applyFill="1" applyAlignment="1" applyProtection="1"/>
    <xf numFmtId="3" fontId="57" fillId="0" borderId="57" xfId="4" applyNumberFormat="1" applyFill="1" applyAlignment="1" applyProtection="1"/>
    <xf numFmtId="167" fontId="57" fillId="0" borderId="57" xfId="4" applyNumberFormat="1" applyFill="1" applyAlignment="1" applyProtection="1"/>
    <xf numFmtId="1" fontId="57" fillId="0" borderId="57" xfId="4" applyNumberFormat="1" applyFill="1" applyAlignment="1" applyProtection="1"/>
    <xf numFmtId="0" fontId="58" fillId="0" borderId="57" xfId="4" applyNumberFormat="1" applyFont="1" applyFill="1" applyAlignment="1" applyProtection="1"/>
    <xf numFmtId="3" fontId="58" fillId="0" borderId="57" xfId="4" applyNumberFormat="1" applyFont="1" applyFill="1" applyAlignment="1" applyProtection="1"/>
    <xf numFmtId="167" fontId="58" fillId="0" borderId="57" xfId="4" applyNumberFormat="1" applyFont="1" applyFill="1" applyAlignment="1" applyProtection="1"/>
    <xf numFmtId="166" fontId="58" fillId="0" borderId="57" xfId="4" applyNumberFormat="1" applyFont="1" applyFill="1" applyAlignment="1" applyProtection="1"/>
    <xf numFmtId="14" fontId="57" fillId="0" borderId="57" xfId="4" applyNumberFormat="1" applyFill="1" applyAlignment="1" applyProtection="1"/>
  </cellXfs>
  <cellStyles count="5">
    <cellStyle name="Comma" xfId="1" builtinId="3"/>
    <cellStyle name="Normal" xfId="0" builtinId="0"/>
    <cellStyle name="Normal 2" xfId="4"/>
    <cellStyle name="Obično_Poglavlje 6" xfId="3"/>
    <cellStyle name="Percent" xfId="2" builtinId="5"/>
  </cellStyles>
  <dxfs count="14">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2.xml.rels><?xml version="1.0" encoding="UTF-8" standalone="yes"?>
<Relationships xmlns="http://schemas.openxmlformats.org/package/2006/relationships"><Relationship Id="rId1" Type="http://customschemas.google.com/relationships/workbookmetadata" Target="commentsmeta0"/></Relationships>
</file>

<file path=xl/_rels/comments3.xml.rels><?xml version="1.0" encoding="UTF-8" standalone="yes"?>
<Relationships xmlns="http://schemas.openxmlformats.org/package/2006/relationships"><Relationship Id="rId1" Type="http://customschemas.google.com/relationships/workbookmetadata" Target="commentsmeta1"/></Relationships>
</file>

<file path=xl/_rels/comments4.xml.rels><?xml version="1.0" encoding="UTF-8" standalone="yes"?>
<Relationships xmlns="http://schemas.openxmlformats.org/package/2006/relationships"><Relationship Id="rId1" Type="http://customschemas.google.com/relationships/workbookmetadata" Target="commentsmeta2"/></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3"/></Relationships>
</file>

<file path=xl/_rels/comments7.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calcChain" Target="calcChain.xml"/></Relationships>
</file>

<file path=xl/charts/_rels/chart8.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7.4322371047451236E-2"/>
          <c:y val="0.11715257169030246"/>
          <c:w val="0.84722935522048992"/>
          <c:h val="0.76551104580456586"/>
        </c:manualLayout>
      </c:layout>
      <c:lineChart>
        <c:grouping val="standard"/>
        <c:varyColors val="1"/>
        <c:ser>
          <c:idx val="0"/>
          <c:order val="0"/>
          <c:spPr>
            <a:ln w="28575" cmpd="sng">
              <a:solidFill>
                <a:schemeClr val="accent1"/>
              </a:solidFill>
            </a:ln>
          </c:spPr>
          <c:marker>
            <c:symbol val="none"/>
          </c:marker>
          <c:cat>
            <c:numRef>
              <c:f>bdp!$AZ$33:$AZ$112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bdp!$BA$33:$BA$112</c:f>
              <c:numCache>
                <c:formatCode>0.0%</c:formatCode>
                <c:ptCount val="80"/>
                <c:pt idx="0">
                  <c:v>8.8786369019973943E-2</c:v>
                </c:pt>
                <c:pt idx="1">
                  <c:v>9.718595797355789E-2</c:v>
                </c:pt>
                <c:pt idx="2">
                  <c:v>6.3632839903227989E-2</c:v>
                </c:pt>
                <c:pt idx="3">
                  <c:v>6.4958673718964022E-2</c:v>
                </c:pt>
                <c:pt idx="4">
                  <c:v>0.10431367473216491</c:v>
                </c:pt>
                <c:pt idx="5">
                  <c:v>7.5971426812556198E-2</c:v>
                </c:pt>
                <c:pt idx="6">
                  <c:v>0.11439032141653049</c:v>
                </c:pt>
                <c:pt idx="7">
                  <c:v>7.2090514715654974E-2</c:v>
                </c:pt>
                <c:pt idx="8">
                  <c:v>9.781486010471574E-2</c:v>
                </c:pt>
                <c:pt idx="9">
                  <c:v>0.11137882998535642</c:v>
                </c:pt>
                <c:pt idx="10">
                  <c:v>0.10288031748845161</c:v>
                </c:pt>
                <c:pt idx="11">
                  <c:v>9.4703458325170908E-2</c:v>
                </c:pt>
                <c:pt idx="12">
                  <c:v>8.1545383188908582E-2</c:v>
                </c:pt>
                <c:pt idx="13">
                  <c:v>7.7342954167629596E-2</c:v>
                </c:pt>
                <c:pt idx="14">
                  <c:v>7.122444103133807E-2</c:v>
                </c:pt>
                <c:pt idx="15">
                  <c:v>8.7731915829074358E-2</c:v>
                </c:pt>
                <c:pt idx="16">
                  <c:v>4.776030825896882E-2</c:v>
                </c:pt>
                <c:pt idx="17">
                  <c:v>7.9901720932187725E-2</c:v>
                </c:pt>
                <c:pt idx="18">
                  <c:v>8.6715632755298699E-2</c:v>
                </c:pt>
                <c:pt idx="19">
                  <c:v>8.5646472488581704E-2</c:v>
                </c:pt>
                <c:pt idx="20">
                  <c:v>0.10683135561343593</c:v>
                </c:pt>
                <c:pt idx="21">
                  <c:v>8.7404965020051018E-2</c:v>
                </c:pt>
                <c:pt idx="22">
                  <c:v>8.055817346746541E-2</c:v>
                </c:pt>
                <c:pt idx="23">
                  <c:v>8.9771708557782492E-2</c:v>
                </c:pt>
                <c:pt idx="24">
                  <c:v>9.8939060684487989E-2</c:v>
                </c:pt>
                <c:pt idx="25">
                  <c:v>9.9329708228184987E-2</c:v>
                </c:pt>
                <c:pt idx="26">
                  <c:v>9.29544140674885E-2</c:v>
                </c:pt>
                <c:pt idx="27">
                  <c:v>9.4380103646078739E-2</c:v>
                </c:pt>
                <c:pt idx="28">
                  <c:v>7.9636609218174836E-2</c:v>
                </c:pt>
                <c:pt idx="29">
                  <c:v>8.7934355525192576E-2</c:v>
                </c:pt>
                <c:pt idx="30">
                  <c:v>8.3729054144620951E-2</c:v>
                </c:pt>
                <c:pt idx="31">
                  <c:v>4.5093843475745521E-2</c:v>
                </c:pt>
                <c:pt idx="32">
                  <c:v>-4.1570361445021908E-2</c:v>
                </c:pt>
                <c:pt idx="33">
                  <c:v>-4.6903405165997891E-2</c:v>
                </c:pt>
                <c:pt idx="34">
                  <c:v>-6.5665875850453581E-2</c:v>
                </c:pt>
                <c:pt idx="35">
                  <c:v>-2.7384102641876074E-2</c:v>
                </c:pt>
                <c:pt idx="36">
                  <c:v>-1.3784446132146466E-2</c:v>
                </c:pt>
                <c:pt idx="37">
                  <c:v>-2.2877804197279583E-2</c:v>
                </c:pt>
                <c:pt idx="38">
                  <c:v>1.7741074042725069E-2</c:v>
                </c:pt>
                <c:pt idx="39">
                  <c:v>-6.5683640005916866E-3</c:v>
                </c:pt>
                <c:pt idx="40">
                  <c:v>-3.0424764132553905E-3</c:v>
                </c:pt>
                <c:pt idx="41">
                  <c:v>2.6164087106390843E-2</c:v>
                </c:pt>
                <c:pt idx="42">
                  <c:v>1.5022709323893269E-2</c:v>
                </c:pt>
                <c:pt idx="43">
                  <c:v>1.3685336335493181E-2</c:v>
                </c:pt>
                <c:pt idx="44">
                  <c:v>-3.1829270294887468E-3</c:v>
                </c:pt>
                <c:pt idx="45">
                  <c:v>-1.3295433037738946E-2</c:v>
                </c:pt>
                <c:pt idx="46">
                  <c:v>-5.6698231096949936E-3</c:v>
                </c:pt>
                <c:pt idx="47">
                  <c:v>-1.0007256666575315E-2</c:v>
                </c:pt>
                <c:pt idx="48">
                  <c:v>9.101577878844358E-3</c:v>
                </c:pt>
                <c:pt idx="49">
                  <c:v>1.1789753148005344E-2</c:v>
                </c:pt>
                <c:pt idx="50">
                  <c:v>-4.0750946288817813E-3</c:v>
                </c:pt>
                <c:pt idx="51">
                  <c:v>-7.212658315819076E-3</c:v>
                </c:pt>
                <c:pt idx="52">
                  <c:v>-1.7579296179211057E-2</c:v>
                </c:pt>
                <c:pt idx="53">
                  <c:v>-5.3059314644829936E-3</c:v>
                </c:pt>
                <c:pt idx="54">
                  <c:v>9.5865061478226377E-3</c:v>
                </c:pt>
                <c:pt idx="55">
                  <c:v>1.275773092650434E-2</c:v>
                </c:pt>
                <c:pt idx="56">
                  <c:v>1.9894059828710953E-2</c:v>
                </c:pt>
                <c:pt idx="57">
                  <c:v>2.2230727096354874E-2</c:v>
                </c:pt>
                <c:pt idx="58">
                  <c:v>3.0891396348644795E-2</c:v>
                </c:pt>
                <c:pt idx="59">
                  <c:v>2.6725437220459947E-2</c:v>
                </c:pt>
                <c:pt idx="60">
                  <c:v>2.1073999013515365E-2</c:v>
                </c:pt>
                <c:pt idx="61">
                  <c:v>2.722742710540893E-2</c:v>
                </c:pt>
                <c:pt idx="62">
                  <c:v>4.8650043297508994E-2</c:v>
                </c:pt>
                <c:pt idx="63">
                  <c:v>3.5175834802768646E-2</c:v>
                </c:pt>
                <c:pt idx="64">
                  <c:v>3.3333378404829528E-2</c:v>
                </c:pt>
                <c:pt idx="65">
                  <c:v>4.9779017745077425E-2</c:v>
                </c:pt>
                <c:pt idx="66">
                  <c:v>4.7255262259657371E-2</c:v>
                </c:pt>
                <c:pt idx="67">
                  <c:v>4.1694277748465014E-2</c:v>
                </c:pt>
                <c:pt idx="68">
                  <c:v>4.7285178871425249E-2</c:v>
                </c:pt>
                <c:pt idx="69">
                  <c:v>4.8092847936285654E-2</c:v>
                </c:pt>
                <c:pt idx="70">
                  <c:v>4.7805534727318522E-2</c:v>
                </c:pt>
                <c:pt idx="71">
                  <c:v>3.7240296115026661E-2</c:v>
                </c:pt>
                <c:pt idx="72">
                  <c:v>5.7032453116140136E-2</c:v>
                </c:pt>
                <c:pt idx="73">
                  <c:v>3.8039337533102291E-2</c:v>
                </c:pt>
                <c:pt idx="74">
                  <c:v>4.3045852374723692E-2</c:v>
                </c:pt>
                <c:pt idx="75">
                  <c:v>4.274182772688162E-2</c:v>
                </c:pt>
                <c:pt idx="76">
                  <c:v>-2.6251936062721026E-2</c:v>
                </c:pt>
                <c:pt idx="77">
                  <c:v>-0.25416729893932566</c:v>
                </c:pt>
                <c:pt idx="78">
                  <c:v>-0.20212915629453421</c:v>
                </c:pt>
                <c:pt idx="79">
                  <c:v>-0.10070873203246888</c:v>
                </c:pt>
              </c:numCache>
            </c:numRef>
          </c:val>
          <c:smooth val="0"/>
          <c:extLst>
            <c:ext xmlns:c16="http://schemas.microsoft.com/office/drawing/2014/chart" uri="{C3380CC4-5D6E-409C-BE32-E72D297353CC}">
              <c16:uniqueId val="{00000000-06EB-42CC-9895-3995D4F34893}"/>
            </c:ext>
          </c:extLst>
        </c:ser>
        <c:ser>
          <c:idx val="1"/>
          <c:order val="1"/>
          <c:spPr>
            <a:ln w="28575" cmpd="sng">
              <a:solidFill>
                <a:schemeClr val="accent2"/>
              </a:solidFill>
            </a:ln>
          </c:spPr>
          <c:marker>
            <c:symbol val="none"/>
          </c:marker>
          <c:cat>
            <c:numRef>
              <c:f>bdp!$AZ$33:$AZ$112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bdp!$BB$33:$BB$112</c:f>
              <c:numCache>
                <c:formatCode>0.0%</c:formatCode>
                <c:ptCount val="80"/>
                <c:pt idx="0">
                  <c:v>8.8786369019973943E-2</c:v>
                </c:pt>
                <c:pt idx="1">
                  <c:v>9.718595797355789E-2</c:v>
                </c:pt>
                <c:pt idx="2">
                  <c:v>6.3632839903227989E-2</c:v>
                </c:pt>
                <c:pt idx="3">
                  <c:v>6.4958673718964022E-2</c:v>
                </c:pt>
                <c:pt idx="4">
                  <c:v>0.10431367473216491</c:v>
                </c:pt>
                <c:pt idx="5">
                  <c:v>7.5971426812556198E-2</c:v>
                </c:pt>
                <c:pt idx="6">
                  <c:v>0.11439032141653049</c:v>
                </c:pt>
                <c:pt idx="7">
                  <c:v>7.2090514715654974E-2</c:v>
                </c:pt>
                <c:pt idx="8">
                  <c:v>9.781486010471574E-2</c:v>
                </c:pt>
                <c:pt idx="9">
                  <c:v>0.11137882998535642</c:v>
                </c:pt>
                <c:pt idx="10">
                  <c:v>0.10288031748845161</c:v>
                </c:pt>
                <c:pt idx="11">
                  <c:v>9.4703458325170908E-2</c:v>
                </c:pt>
                <c:pt idx="12">
                  <c:v>8.1545383188908582E-2</c:v>
                </c:pt>
                <c:pt idx="13">
                  <c:v>7.7342954167629596E-2</c:v>
                </c:pt>
                <c:pt idx="14">
                  <c:v>7.122444103133807E-2</c:v>
                </c:pt>
                <c:pt idx="15">
                  <c:v>8.7731915829074358E-2</c:v>
                </c:pt>
                <c:pt idx="16">
                  <c:v>4.776030825896882E-2</c:v>
                </c:pt>
                <c:pt idx="17">
                  <c:v>7.9901720932187725E-2</c:v>
                </c:pt>
                <c:pt idx="18">
                  <c:v>8.6715632755298699E-2</c:v>
                </c:pt>
                <c:pt idx="19">
                  <c:v>8.5646472488581704E-2</c:v>
                </c:pt>
                <c:pt idx="20">
                  <c:v>0.10683135561343593</c:v>
                </c:pt>
                <c:pt idx="21">
                  <c:v>8.7404965020051018E-2</c:v>
                </c:pt>
                <c:pt idx="22">
                  <c:v>8.055817346746541E-2</c:v>
                </c:pt>
                <c:pt idx="23">
                  <c:v>8.9771708557782492E-2</c:v>
                </c:pt>
                <c:pt idx="24">
                  <c:v>9.8939060684487989E-2</c:v>
                </c:pt>
                <c:pt idx="25">
                  <c:v>9.9329708228184987E-2</c:v>
                </c:pt>
                <c:pt idx="26">
                  <c:v>9.29544140674885E-2</c:v>
                </c:pt>
                <c:pt idx="27">
                  <c:v>9.4380103646078739E-2</c:v>
                </c:pt>
                <c:pt idx="28">
                  <c:v>7.9636609218174836E-2</c:v>
                </c:pt>
                <c:pt idx="29">
                  <c:v>8.7934355525192576E-2</c:v>
                </c:pt>
                <c:pt idx="30">
                  <c:v>8.3729054144620951E-2</c:v>
                </c:pt>
                <c:pt idx="31">
                  <c:v>4.5093843475745521E-2</c:v>
                </c:pt>
                <c:pt idx="32">
                  <c:v>-4.1570361445021908E-2</c:v>
                </c:pt>
                <c:pt idx="33">
                  <c:v>-4.6903405165997891E-2</c:v>
                </c:pt>
                <c:pt idx="34">
                  <c:v>-6.5665875850453581E-2</c:v>
                </c:pt>
                <c:pt idx="35">
                  <c:v>-2.7384102641876074E-2</c:v>
                </c:pt>
                <c:pt idx="36">
                  <c:v>-1.3784446132146466E-2</c:v>
                </c:pt>
                <c:pt idx="37">
                  <c:v>-2.2877804197279583E-2</c:v>
                </c:pt>
                <c:pt idx="38">
                  <c:v>1.7741074042725069E-2</c:v>
                </c:pt>
                <c:pt idx="39">
                  <c:v>-6.5683640005916866E-3</c:v>
                </c:pt>
                <c:pt idx="40">
                  <c:v>-3.0424764132553905E-3</c:v>
                </c:pt>
                <c:pt idx="41">
                  <c:v>2.6164087106390843E-2</c:v>
                </c:pt>
                <c:pt idx="42">
                  <c:v>1.5022709323893269E-2</c:v>
                </c:pt>
                <c:pt idx="43">
                  <c:v>1.3685336335493181E-2</c:v>
                </c:pt>
                <c:pt idx="44">
                  <c:v>-3.1829270294887468E-3</c:v>
                </c:pt>
                <c:pt idx="45">
                  <c:v>-1.3295433037738946E-2</c:v>
                </c:pt>
                <c:pt idx="46">
                  <c:v>-5.6698231096949936E-3</c:v>
                </c:pt>
                <c:pt idx="47">
                  <c:v>-1.0007256666575315E-2</c:v>
                </c:pt>
                <c:pt idx="48">
                  <c:v>9.101577878844358E-3</c:v>
                </c:pt>
                <c:pt idx="49">
                  <c:v>1.1789753148005344E-2</c:v>
                </c:pt>
                <c:pt idx="50">
                  <c:v>-4.0750946288817813E-3</c:v>
                </c:pt>
                <c:pt idx="51">
                  <c:v>-7.212658315819076E-3</c:v>
                </c:pt>
                <c:pt idx="52">
                  <c:v>-1.7579296179211057E-2</c:v>
                </c:pt>
                <c:pt idx="53">
                  <c:v>-5.3059314644829936E-3</c:v>
                </c:pt>
                <c:pt idx="54">
                  <c:v>9.5865061478226377E-3</c:v>
                </c:pt>
                <c:pt idx="55">
                  <c:v>1.275773092650434E-2</c:v>
                </c:pt>
                <c:pt idx="56">
                  <c:v>1.9894059828710953E-2</c:v>
                </c:pt>
                <c:pt idx="57">
                  <c:v>2.2230727096354874E-2</c:v>
                </c:pt>
                <c:pt idx="58">
                  <c:v>3.0891396348644795E-2</c:v>
                </c:pt>
                <c:pt idx="59">
                  <c:v>2.6725437220459947E-2</c:v>
                </c:pt>
                <c:pt idx="60">
                  <c:v>2.1073999013515365E-2</c:v>
                </c:pt>
                <c:pt idx="61">
                  <c:v>2.722742710540893E-2</c:v>
                </c:pt>
                <c:pt idx="62">
                  <c:v>4.8650043297508994E-2</c:v>
                </c:pt>
                <c:pt idx="63">
                  <c:v>3.5175834802768646E-2</c:v>
                </c:pt>
                <c:pt idx="64">
                  <c:v>3.3333378404829528E-2</c:v>
                </c:pt>
                <c:pt idx="65">
                  <c:v>4.9779017745077425E-2</c:v>
                </c:pt>
                <c:pt idx="66">
                  <c:v>4.7255262259657371E-2</c:v>
                </c:pt>
                <c:pt idx="67">
                  <c:v>4.1694277748465014E-2</c:v>
                </c:pt>
                <c:pt idx="68">
                  <c:v>4.7285178871425249E-2</c:v>
                </c:pt>
                <c:pt idx="69">
                  <c:v>4.8092847936285654E-2</c:v>
                </c:pt>
                <c:pt idx="70">
                  <c:v>4.7805534727318522E-2</c:v>
                </c:pt>
                <c:pt idx="71">
                  <c:v>3.7240296115026661E-2</c:v>
                </c:pt>
                <c:pt idx="72">
                  <c:v>5.7032453116140136E-2</c:v>
                </c:pt>
                <c:pt idx="73">
                  <c:v>3.8039337533102291E-2</c:v>
                </c:pt>
                <c:pt idx="74">
                  <c:v>4.3045852374723692E-2</c:v>
                </c:pt>
                <c:pt idx="75">
                  <c:v>4.274182772688162E-2</c:v>
                </c:pt>
                <c:pt idx="76">
                  <c:v>-2.6251936062721026E-2</c:v>
                </c:pt>
                <c:pt idx="77">
                  <c:v>-0.25416729893932566</c:v>
                </c:pt>
                <c:pt idx="78">
                  <c:v>-0.14814775114580403</c:v>
                </c:pt>
                <c:pt idx="79">
                  <c:v>-6.0631306089902748E-2</c:v>
                </c:pt>
              </c:numCache>
            </c:numRef>
          </c:val>
          <c:smooth val="0"/>
          <c:extLst>
            <c:ext xmlns:c16="http://schemas.microsoft.com/office/drawing/2014/chart" uri="{C3380CC4-5D6E-409C-BE32-E72D297353CC}">
              <c16:uniqueId val="{00000001-06EB-42CC-9895-3995D4F34893}"/>
            </c:ext>
          </c:extLst>
        </c:ser>
        <c:ser>
          <c:idx val="2"/>
          <c:order val="2"/>
          <c:spPr>
            <a:ln w="28575" cmpd="sng">
              <a:solidFill>
                <a:schemeClr val="accent3"/>
              </a:solidFill>
            </a:ln>
          </c:spPr>
          <c:marker>
            <c:symbol val="none"/>
          </c:marker>
          <c:cat>
            <c:numRef>
              <c:f>bdp!$AZ$33:$AZ$112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bdp!$BC$33:$BC$112</c:f>
              <c:numCache>
                <c:formatCode>0.0%</c:formatCode>
                <c:ptCount val="80"/>
                <c:pt idx="0">
                  <c:v>8.8786369019973943E-2</c:v>
                </c:pt>
                <c:pt idx="1">
                  <c:v>9.718595797355789E-2</c:v>
                </c:pt>
                <c:pt idx="2">
                  <c:v>6.3632839903227989E-2</c:v>
                </c:pt>
                <c:pt idx="3">
                  <c:v>6.4958673718964022E-2</c:v>
                </c:pt>
                <c:pt idx="4">
                  <c:v>0.10431367473216491</c:v>
                </c:pt>
                <c:pt idx="5">
                  <c:v>7.5971426812556198E-2</c:v>
                </c:pt>
                <c:pt idx="6">
                  <c:v>0.11439032141653049</c:v>
                </c:pt>
                <c:pt idx="7">
                  <c:v>7.2090514715654974E-2</c:v>
                </c:pt>
                <c:pt idx="8">
                  <c:v>9.781486010471574E-2</c:v>
                </c:pt>
                <c:pt idx="9">
                  <c:v>0.11137882998535642</c:v>
                </c:pt>
                <c:pt idx="10">
                  <c:v>0.10288031748845161</c:v>
                </c:pt>
                <c:pt idx="11">
                  <c:v>9.4703458325170908E-2</c:v>
                </c:pt>
                <c:pt idx="12">
                  <c:v>8.1545383188908582E-2</c:v>
                </c:pt>
                <c:pt idx="13">
                  <c:v>7.7342954167629596E-2</c:v>
                </c:pt>
                <c:pt idx="14">
                  <c:v>7.122444103133807E-2</c:v>
                </c:pt>
                <c:pt idx="15">
                  <c:v>8.7731915829074358E-2</c:v>
                </c:pt>
                <c:pt idx="16">
                  <c:v>4.776030825896882E-2</c:v>
                </c:pt>
                <c:pt idx="17">
                  <c:v>7.9901720932187725E-2</c:v>
                </c:pt>
                <c:pt idx="18">
                  <c:v>8.6715632755298699E-2</c:v>
                </c:pt>
                <c:pt idx="19">
                  <c:v>8.5646472488581704E-2</c:v>
                </c:pt>
                <c:pt idx="20">
                  <c:v>0.10683135561343593</c:v>
                </c:pt>
                <c:pt idx="21">
                  <c:v>8.7404965020051018E-2</c:v>
                </c:pt>
                <c:pt idx="22">
                  <c:v>8.055817346746541E-2</c:v>
                </c:pt>
                <c:pt idx="23">
                  <c:v>8.9771708557782492E-2</c:v>
                </c:pt>
                <c:pt idx="24">
                  <c:v>9.8939060684487989E-2</c:v>
                </c:pt>
                <c:pt idx="25">
                  <c:v>9.9329708228184987E-2</c:v>
                </c:pt>
                <c:pt idx="26">
                  <c:v>9.29544140674885E-2</c:v>
                </c:pt>
                <c:pt idx="27">
                  <c:v>9.4380103646078739E-2</c:v>
                </c:pt>
                <c:pt idx="28">
                  <c:v>7.9636609218174836E-2</c:v>
                </c:pt>
                <c:pt idx="29">
                  <c:v>8.7934355525192576E-2</c:v>
                </c:pt>
                <c:pt idx="30">
                  <c:v>8.3729054144620951E-2</c:v>
                </c:pt>
                <c:pt idx="31">
                  <c:v>4.5093843475745521E-2</c:v>
                </c:pt>
                <c:pt idx="32">
                  <c:v>-4.1570361445021908E-2</c:v>
                </c:pt>
                <c:pt idx="33">
                  <c:v>-4.6903405165997891E-2</c:v>
                </c:pt>
                <c:pt idx="34">
                  <c:v>-6.5665875850453581E-2</c:v>
                </c:pt>
                <c:pt idx="35">
                  <c:v>-2.7384102641876074E-2</c:v>
                </c:pt>
                <c:pt idx="36">
                  <c:v>-1.3784446132146466E-2</c:v>
                </c:pt>
                <c:pt idx="37">
                  <c:v>-2.2877804197279583E-2</c:v>
                </c:pt>
                <c:pt idx="38">
                  <c:v>1.7741074042725069E-2</c:v>
                </c:pt>
                <c:pt idx="39">
                  <c:v>-6.5683640005916866E-3</c:v>
                </c:pt>
                <c:pt idx="40">
                  <c:v>-3.0424764132553905E-3</c:v>
                </c:pt>
                <c:pt idx="41">
                  <c:v>2.6164087106390843E-2</c:v>
                </c:pt>
                <c:pt idx="42">
                  <c:v>1.5022709323893269E-2</c:v>
                </c:pt>
                <c:pt idx="43">
                  <c:v>1.3685336335493181E-2</c:v>
                </c:pt>
                <c:pt idx="44">
                  <c:v>-3.1829270294887468E-3</c:v>
                </c:pt>
                <c:pt idx="45">
                  <c:v>-1.3295433037738946E-2</c:v>
                </c:pt>
                <c:pt idx="46">
                  <c:v>-5.6698231096949936E-3</c:v>
                </c:pt>
                <c:pt idx="47">
                  <c:v>-1.0007256666575315E-2</c:v>
                </c:pt>
                <c:pt idx="48">
                  <c:v>9.101577878844358E-3</c:v>
                </c:pt>
                <c:pt idx="49">
                  <c:v>1.1789753148005344E-2</c:v>
                </c:pt>
                <c:pt idx="50">
                  <c:v>-4.0750946288817813E-3</c:v>
                </c:pt>
                <c:pt idx="51">
                  <c:v>-7.212658315819076E-3</c:v>
                </c:pt>
                <c:pt idx="52">
                  <c:v>-1.7579296179211057E-2</c:v>
                </c:pt>
                <c:pt idx="53">
                  <c:v>-5.3059314644829936E-3</c:v>
                </c:pt>
                <c:pt idx="54">
                  <c:v>9.5865061478226377E-3</c:v>
                </c:pt>
                <c:pt idx="55">
                  <c:v>1.275773092650434E-2</c:v>
                </c:pt>
                <c:pt idx="56">
                  <c:v>1.9894059828710953E-2</c:v>
                </c:pt>
                <c:pt idx="57">
                  <c:v>2.2230727096354874E-2</c:v>
                </c:pt>
                <c:pt idx="58">
                  <c:v>3.0891396348644795E-2</c:v>
                </c:pt>
                <c:pt idx="59">
                  <c:v>2.6725437220459947E-2</c:v>
                </c:pt>
                <c:pt idx="60">
                  <c:v>2.1073999013515365E-2</c:v>
                </c:pt>
                <c:pt idx="61">
                  <c:v>2.722742710540893E-2</c:v>
                </c:pt>
                <c:pt idx="62">
                  <c:v>4.8650043297508994E-2</c:v>
                </c:pt>
                <c:pt idx="63">
                  <c:v>3.5175834802768646E-2</c:v>
                </c:pt>
                <c:pt idx="64">
                  <c:v>3.3333378404829528E-2</c:v>
                </c:pt>
                <c:pt idx="65">
                  <c:v>4.9779017745077425E-2</c:v>
                </c:pt>
                <c:pt idx="66">
                  <c:v>4.7255262259657371E-2</c:v>
                </c:pt>
                <c:pt idx="67">
                  <c:v>4.1694277748465014E-2</c:v>
                </c:pt>
                <c:pt idx="68">
                  <c:v>4.7285178871425249E-2</c:v>
                </c:pt>
                <c:pt idx="69">
                  <c:v>4.8092847936285654E-2</c:v>
                </c:pt>
                <c:pt idx="70">
                  <c:v>4.7805534727318522E-2</c:v>
                </c:pt>
                <c:pt idx="71">
                  <c:v>3.7240296115026661E-2</c:v>
                </c:pt>
                <c:pt idx="72">
                  <c:v>5.7032453116140136E-2</c:v>
                </c:pt>
                <c:pt idx="73">
                  <c:v>3.8039337533102291E-2</c:v>
                </c:pt>
                <c:pt idx="74">
                  <c:v>4.3045852374723692E-2</c:v>
                </c:pt>
                <c:pt idx="75">
                  <c:v>4.274182772688162E-2</c:v>
                </c:pt>
                <c:pt idx="76">
                  <c:v>-2.6251936062721026E-2</c:v>
                </c:pt>
                <c:pt idx="77">
                  <c:v>-0.25416729893932566</c:v>
                </c:pt>
                <c:pt idx="78">
                  <c:v>-8.6064452375167799E-2</c:v>
                </c:pt>
                <c:pt idx="79">
                  <c:v>-2.0553880147337056E-2</c:v>
                </c:pt>
              </c:numCache>
            </c:numRef>
          </c:val>
          <c:smooth val="0"/>
          <c:extLst>
            <c:ext xmlns:c16="http://schemas.microsoft.com/office/drawing/2014/chart" uri="{C3380CC4-5D6E-409C-BE32-E72D297353CC}">
              <c16:uniqueId val="{00000002-06EB-42CC-9895-3995D4F34893}"/>
            </c:ext>
          </c:extLst>
        </c:ser>
        <c:dLbls>
          <c:showLegendKey val="0"/>
          <c:showVal val="0"/>
          <c:showCatName val="0"/>
          <c:showSerName val="0"/>
          <c:showPercent val="0"/>
          <c:showBubbleSize val="0"/>
        </c:dLbls>
        <c:smooth val="0"/>
        <c:axId val="361237207"/>
        <c:axId val="1394162263"/>
      </c:lineChart>
      <c:dateAx>
        <c:axId val="361237207"/>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394162263"/>
        <c:crosses val="autoZero"/>
        <c:auto val="1"/>
        <c:lblOffset val="100"/>
        <c:baseTimeUnit val="months"/>
      </c:dateAx>
      <c:valAx>
        <c:axId val="13941622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361237207"/>
        <c:crosses val="autoZero"/>
        <c:crossBetween val="between"/>
      </c:val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7.4322371047451236E-2"/>
          <c:y val="0.11715257169030246"/>
          <c:w val="0.84722935522048992"/>
          <c:h val="0.76551104580456586"/>
        </c:manualLayout>
      </c:layout>
      <c:lineChart>
        <c:grouping val="standard"/>
        <c:varyColors val="1"/>
        <c:ser>
          <c:idx val="0"/>
          <c:order val="0"/>
          <c:spPr>
            <a:ln w="28575" cmpd="sng">
              <a:solidFill>
                <a:schemeClr val="accent1"/>
              </a:solidFill>
            </a:ln>
          </c:spPr>
          <c:marker>
            <c:symbol val="none"/>
          </c:marker>
          <c:cat>
            <c:numRef>
              <c:f>bdp!$AZ$36:$AZ$112</c:f>
              <c:numCache>
                <c:formatCode>m/d/yyyy</c:formatCode>
                <c:ptCount val="77"/>
                <c:pt idx="0">
                  <c:v>37256</c:v>
                </c:pt>
                <c:pt idx="1">
                  <c:v>37346</c:v>
                </c:pt>
                <c:pt idx="2">
                  <c:v>37437</c:v>
                </c:pt>
                <c:pt idx="3">
                  <c:v>37529</c:v>
                </c:pt>
                <c:pt idx="4">
                  <c:v>37621</c:v>
                </c:pt>
                <c:pt idx="5">
                  <c:v>37711</c:v>
                </c:pt>
                <c:pt idx="6">
                  <c:v>37802</c:v>
                </c:pt>
                <c:pt idx="7">
                  <c:v>37894</c:v>
                </c:pt>
                <c:pt idx="8">
                  <c:v>37986</c:v>
                </c:pt>
                <c:pt idx="9">
                  <c:v>38077</c:v>
                </c:pt>
                <c:pt idx="10">
                  <c:v>38168</c:v>
                </c:pt>
                <c:pt idx="11">
                  <c:v>38260</c:v>
                </c:pt>
                <c:pt idx="12">
                  <c:v>38352</c:v>
                </c:pt>
                <c:pt idx="13">
                  <c:v>38442</c:v>
                </c:pt>
                <c:pt idx="14">
                  <c:v>38533</c:v>
                </c:pt>
                <c:pt idx="15">
                  <c:v>38625</c:v>
                </c:pt>
                <c:pt idx="16">
                  <c:v>38717</c:v>
                </c:pt>
                <c:pt idx="17">
                  <c:v>38807</c:v>
                </c:pt>
                <c:pt idx="18">
                  <c:v>38898</c:v>
                </c:pt>
                <c:pt idx="19">
                  <c:v>38990</c:v>
                </c:pt>
                <c:pt idx="20">
                  <c:v>39082</c:v>
                </c:pt>
                <c:pt idx="21">
                  <c:v>39172</c:v>
                </c:pt>
                <c:pt idx="22">
                  <c:v>39263</c:v>
                </c:pt>
                <c:pt idx="23">
                  <c:v>39355</c:v>
                </c:pt>
                <c:pt idx="24">
                  <c:v>39447</c:v>
                </c:pt>
                <c:pt idx="25">
                  <c:v>39538</c:v>
                </c:pt>
                <c:pt idx="26">
                  <c:v>39629</c:v>
                </c:pt>
                <c:pt idx="27">
                  <c:v>39721</c:v>
                </c:pt>
                <c:pt idx="28">
                  <c:v>39813</c:v>
                </c:pt>
                <c:pt idx="29">
                  <c:v>39903</c:v>
                </c:pt>
                <c:pt idx="30">
                  <c:v>39994</c:v>
                </c:pt>
                <c:pt idx="31">
                  <c:v>40086</c:v>
                </c:pt>
                <c:pt idx="32">
                  <c:v>40178</c:v>
                </c:pt>
                <c:pt idx="33">
                  <c:v>40268</c:v>
                </c:pt>
                <c:pt idx="34">
                  <c:v>40359</c:v>
                </c:pt>
                <c:pt idx="35">
                  <c:v>40451</c:v>
                </c:pt>
                <c:pt idx="36">
                  <c:v>40543</c:v>
                </c:pt>
                <c:pt idx="37">
                  <c:v>40633</c:v>
                </c:pt>
                <c:pt idx="38">
                  <c:v>40724</c:v>
                </c:pt>
                <c:pt idx="39">
                  <c:v>40816</c:v>
                </c:pt>
                <c:pt idx="40">
                  <c:v>40908</c:v>
                </c:pt>
                <c:pt idx="41">
                  <c:v>40999</c:v>
                </c:pt>
                <c:pt idx="42">
                  <c:v>41090</c:v>
                </c:pt>
                <c:pt idx="43">
                  <c:v>41182</c:v>
                </c:pt>
                <c:pt idx="44">
                  <c:v>41274</c:v>
                </c:pt>
                <c:pt idx="45">
                  <c:v>41364</c:v>
                </c:pt>
                <c:pt idx="46">
                  <c:v>41455</c:v>
                </c:pt>
                <c:pt idx="47">
                  <c:v>41547</c:v>
                </c:pt>
                <c:pt idx="48">
                  <c:v>41639</c:v>
                </c:pt>
                <c:pt idx="49">
                  <c:v>41729</c:v>
                </c:pt>
                <c:pt idx="50">
                  <c:v>41820</c:v>
                </c:pt>
                <c:pt idx="51">
                  <c:v>41912</c:v>
                </c:pt>
                <c:pt idx="52">
                  <c:v>42004</c:v>
                </c:pt>
                <c:pt idx="53">
                  <c:v>42094</c:v>
                </c:pt>
                <c:pt idx="54">
                  <c:v>42185</c:v>
                </c:pt>
                <c:pt idx="55">
                  <c:v>42277</c:v>
                </c:pt>
                <c:pt idx="56">
                  <c:v>42369</c:v>
                </c:pt>
                <c:pt idx="57">
                  <c:v>42460</c:v>
                </c:pt>
                <c:pt idx="58">
                  <c:v>42551</c:v>
                </c:pt>
                <c:pt idx="59">
                  <c:v>42643</c:v>
                </c:pt>
                <c:pt idx="60">
                  <c:v>42735</c:v>
                </c:pt>
                <c:pt idx="61">
                  <c:v>42825</c:v>
                </c:pt>
                <c:pt idx="62">
                  <c:v>42916</c:v>
                </c:pt>
                <c:pt idx="63">
                  <c:v>43008</c:v>
                </c:pt>
                <c:pt idx="64">
                  <c:v>43100</c:v>
                </c:pt>
                <c:pt idx="65">
                  <c:v>43190</c:v>
                </c:pt>
                <c:pt idx="66">
                  <c:v>43281</c:v>
                </c:pt>
                <c:pt idx="67">
                  <c:v>43373</c:v>
                </c:pt>
                <c:pt idx="68">
                  <c:v>43465</c:v>
                </c:pt>
                <c:pt idx="69">
                  <c:v>43555</c:v>
                </c:pt>
                <c:pt idx="70">
                  <c:v>43646</c:v>
                </c:pt>
                <c:pt idx="71">
                  <c:v>43738</c:v>
                </c:pt>
                <c:pt idx="72">
                  <c:v>43830</c:v>
                </c:pt>
                <c:pt idx="73">
                  <c:v>43921</c:v>
                </c:pt>
                <c:pt idx="74">
                  <c:v>44012</c:v>
                </c:pt>
                <c:pt idx="75">
                  <c:v>44104</c:v>
                </c:pt>
                <c:pt idx="76">
                  <c:v>44196</c:v>
                </c:pt>
              </c:numCache>
            </c:numRef>
          </c:cat>
          <c:val>
            <c:numRef>
              <c:f>bdp!$BF$36:$BF$112</c:f>
              <c:numCache>
                <c:formatCode>0.0%</c:formatCode>
                <c:ptCount val="77"/>
                <c:pt idx="0">
                  <c:v>7.7959403045428255E-2</c:v>
                </c:pt>
                <c:pt idx="1">
                  <c:v>8.1907885303359462E-2</c:v>
                </c:pt>
                <c:pt idx="2">
                  <c:v>7.6734377854347446E-2</c:v>
                </c:pt>
                <c:pt idx="3">
                  <c:v>9.0290178706653901E-2</c:v>
                </c:pt>
                <c:pt idx="4">
                  <c:v>9.1703322005364463E-2</c:v>
                </c:pt>
                <c:pt idx="5">
                  <c:v>9.0399795954326345E-2</c:v>
                </c:pt>
                <c:pt idx="6">
                  <c:v>9.9351095929868682E-2</c:v>
                </c:pt>
                <c:pt idx="7">
                  <c:v>9.6587904018418103E-2</c:v>
                </c:pt>
                <c:pt idx="8">
                  <c:v>0.10179583964595817</c:v>
                </c:pt>
                <c:pt idx="9">
                  <c:v>9.7685270277924063E-2</c:v>
                </c:pt>
                <c:pt idx="10">
                  <c:v>8.908999037239429E-2</c:v>
                </c:pt>
                <c:pt idx="11">
                  <c:v>8.0621591477023413E-2</c:v>
                </c:pt>
                <c:pt idx="12">
                  <c:v>7.9201650855911243E-2</c:v>
                </c:pt>
                <c:pt idx="13">
                  <c:v>7.1013685031754425E-2</c:v>
                </c:pt>
                <c:pt idx="14">
                  <c:v>7.1798030320627371E-2</c:v>
                </c:pt>
                <c:pt idx="15">
                  <c:v>7.6069578139078997E-2</c:v>
                </c:pt>
                <c:pt idx="16">
                  <c:v>7.578480163366863E-2</c:v>
                </c:pt>
                <c:pt idx="17">
                  <c:v>8.9559284916710391E-2</c:v>
                </c:pt>
                <c:pt idx="18">
                  <c:v>9.1339791687506944E-2</c:v>
                </c:pt>
                <c:pt idx="19">
                  <c:v>8.9517896259666774E-2</c:v>
                </c:pt>
                <c:pt idx="20">
                  <c:v>9.0476805449843267E-2</c:v>
                </c:pt>
                <c:pt idx="21">
                  <c:v>8.8948135243772208E-2</c:v>
                </c:pt>
                <c:pt idx="22">
                  <c:v>9.2032014429120457E-2</c:v>
                </c:pt>
                <c:pt idx="23">
                  <c:v>9.5227211495497288E-2</c:v>
                </c:pt>
                <c:pt idx="24">
                  <c:v>9.6270588985010175E-2</c:v>
                </c:pt>
                <c:pt idx="25">
                  <c:v>9.1612951231289097E-2</c:v>
                </c:pt>
                <c:pt idx="26">
                  <c:v>8.8798530929267594E-2</c:v>
                </c:pt>
                <c:pt idx="27">
                  <c:v>8.6347351531259831E-2</c:v>
                </c:pt>
                <c:pt idx="28">
                  <c:v>7.4177581655072045E-2</c:v>
                </c:pt>
                <c:pt idx="29">
                  <c:v>4.4984235003729056E-2</c:v>
                </c:pt>
                <c:pt idx="30">
                  <c:v>1.0452297207727002E-2</c:v>
                </c:pt>
                <c:pt idx="31">
                  <c:v>-2.9163489826244171E-2</c:v>
                </c:pt>
                <c:pt idx="32">
                  <c:v>-4.6042727210420242E-2</c:v>
                </c:pt>
                <c:pt idx="33">
                  <c:v>-3.9927196871369697E-2</c:v>
                </c:pt>
                <c:pt idx="34">
                  <c:v>-3.3885006228826509E-2</c:v>
                </c:pt>
                <c:pt idx="35">
                  <c:v>-1.1168286730819488E-2</c:v>
                </c:pt>
                <c:pt idx="36">
                  <c:v>-5.8837110503541235E-3</c:v>
                </c:pt>
                <c:pt idx="37">
                  <c:v>-3.4128664618725546E-3</c:v>
                </c:pt>
                <c:pt idx="38">
                  <c:v>8.9997341418752708E-3</c:v>
                </c:pt>
                <c:pt idx="39">
                  <c:v>8.2991897817115134E-3</c:v>
                </c:pt>
                <c:pt idx="40">
                  <c:v>1.3351658854457105E-2</c:v>
                </c:pt>
                <c:pt idx="41">
                  <c:v>1.3331064709452445E-2</c:v>
                </c:pt>
                <c:pt idx="42">
                  <c:v>3.3508548552854123E-3</c:v>
                </c:pt>
                <c:pt idx="43">
                  <c:v>-2.288640962477162E-3</c:v>
                </c:pt>
                <c:pt idx="44">
                  <c:v>-8.1188069326159074E-3</c:v>
                </c:pt>
                <c:pt idx="45">
                  <c:v>-5.3699934533396609E-3</c:v>
                </c:pt>
                <c:pt idx="46">
                  <c:v>9.4831315864163379E-4</c:v>
                </c:pt>
                <c:pt idx="47">
                  <c:v>1.395446810070311E-3</c:v>
                </c:pt>
                <c:pt idx="48">
                  <c:v>2.1166941221957281E-3</c:v>
                </c:pt>
                <c:pt idx="49">
                  <c:v>-3.9338140688324197E-3</c:v>
                </c:pt>
                <c:pt idx="50">
                  <c:v>-8.221510514957453E-3</c:v>
                </c:pt>
                <c:pt idx="51">
                  <c:v>-4.5046516282873927E-3</c:v>
                </c:pt>
                <c:pt idx="52">
                  <c:v>4.0401991336347365E-4</c:v>
                </c:pt>
                <c:pt idx="53">
                  <c:v>8.8775394549485132E-3</c:v>
                </c:pt>
                <c:pt idx="54">
                  <c:v>1.5898470976421164E-2</c:v>
                </c:pt>
                <c:pt idx="55">
                  <c:v>2.1767608455664611E-2</c:v>
                </c:pt>
                <c:pt idx="56">
                  <c:v>2.5211596792207525E-2</c:v>
                </c:pt>
                <c:pt idx="57">
                  <c:v>2.5455514628367037E-2</c:v>
                </c:pt>
                <c:pt idx="58">
                  <c:v>2.6715992276585609E-2</c:v>
                </c:pt>
                <c:pt idx="59">
                  <c:v>3.1700683100344573E-2</c:v>
                </c:pt>
                <c:pt idx="60">
                  <c:v>3.3772210575281347E-2</c:v>
                </c:pt>
                <c:pt idx="61">
                  <c:v>3.647970973294723E-2</c:v>
                </c:pt>
                <c:pt idx="62">
                  <c:v>4.2189699761542077E-2</c:v>
                </c:pt>
                <c:pt idx="63">
                  <c:v>4.187946069899251E-2</c:v>
                </c:pt>
                <c:pt idx="64">
                  <c:v>4.3447675545366105E-2</c:v>
                </c:pt>
                <c:pt idx="65">
                  <c:v>4.651329280587535E-2</c:v>
                </c:pt>
                <c:pt idx="66">
                  <c:v>4.6118451927971815E-2</c:v>
                </c:pt>
                <c:pt idx="67">
                  <c:v>4.6289759449429591E-2</c:v>
                </c:pt>
                <c:pt idx="68">
                  <c:v>4.5135502005718919E-2</c:v>
                </c:pt>
                <c:pt idx="69">
                  <c:v>4.7352018370784288E-2</c:v>
                </c:pt>
                <c:pt idx="70">
                  <c:v>4.4763664945330683E-2</c:v>
                </c:pt>
                <c:pt idx="71">
                  <c:v>4.3445874504161042E-2</c:v>
                </c:pt>
                <c:pt idx="72">
                  <c:v>4.4749689465191089E-2</c:v>
                </c:pt>
                <c:pt idx="73">
                  <c:v>2.5974934635772273E-2</c:v>
                </c:pt>
                <c:pt idx="74">
                  <c:v>-4.8911827395474949E-2</c:v>
                </c:pt>
                <c:pt idx="75">
                  <c:v>-0.11772231044788051</c:v>
                </c:pt>
                <c:pt idx="76">
                  <c:v>-0.15146418833110664</c:v>
                </c:pt>
              </c:numCache>
            </c:numRef>
          </c:val>
          <c:smooth val="0"/>
          <c:extLst>
            <c:ext xmlns:c16="http://schemas.microsoft.com/office/drawing/2014/chart" uri="{C3380CC4-5D6E-409C-BE32-E72D297353CC}">
              <c16:uniqueId val="{00000000-E832-4159-904A-E4CE32D5A8F2}"/>
            </c:ext>
          </c:extLst>
        </c:ser>
        <c:ser>
          <c:idx val="1"/>
          <c:order val="1"/>
          <c:spPr>
            <a:ln w="28575" cmpd="sng">
              <a:solidFill>
                <a:schemeClr val="accent2"/>
              </a:solidFill>
            </a:ln>
          </c:spPr>
          <c:marker>
            <c:symbol val="none"/>
          </c:marker>
          <c:cat>
            <c:numRef>
              <c:f>bdp!$AZ$36:$AZ$112</c:f>
              <c:numCache>
                <c:formatCode>m/d/yyyy</c:formatCode>
                <c:ptCount val="77"/>
                <c:pt idx="0">
                  <c:v>37256</c:v>
                </c:pt>
                <c:pt idx="1">
                  <c:v>37346</c:v>
                </c:pt>
                <c:pt idx="2">
                  <c:v>37437</c:v>
                </c:pt>
                <c:pt idx="3">
                  <c:v>37529</c:v>
                </c:pt>
                <c:pt idx="4">
                  <c:v>37621</c:v>
                </c:pt>
                <c:pt idx="5">
                  <c:v>37711</c:v>
                </c:pt>
                <c:pt idx="6">
                  <c:v>37802</c:v>
                </c:pt>
                <c:pt idx="7">
                  <c:v>37894</c:v>
                </c:pt>
                <c:pt idx="8">
                  <c:v>37986</c:v>
                </c:pt>
                <c:pt idx="9">
                  <c:v>38077</c:v>
                </c:pt>
                <c:pt idx="10">
                  <c:v>38168</c:v>
                </c:pt>
                <c:pt idx="11">
                  <c:v>38260</c:v>
                </c:pt>
                <c:pt idx="12">
                  <c:v>38352</c:v>
                </c:pt>
                <c:pt idx="13">
                  <c:v>38442</c:v>
                </c:pt>
                <c:pt idx="14">
                  <c:v>38533</c:v>
                </c:pt>
                <c:pt idx="15">
                  <c:v>38625</c:v>
                </c:pt>
                <c:pt idx="16">
                  <c:v>38717</c:v>
                </c:pt>
                <c:pt idx="17">
                  <c:v>38807</c:v>
                </c:pt>
                <c:pt idx="18">
                  <c:v>38898</c:v>
                </c:pt>
                <c:pt idx="19">
                  <c:v>38990</c:v>
                </c:pt>
                <c:pt idx="20">
                  <c:v>39082</c:v>
                </c:pt>
                <c:pt idx="21">
                  <c:v>39172</c:v>
                </c:pt>
                <c:pt idx="22">
                  <c:v>39263</c:v>
                </c:pt>
                <c:pt idx="23">
                  <c:v>39355</c:v>
                </c:pt>
                <c:pt idx="24">
                  <c:v>39447</c:v>
                </c:pt>
                <c:pt idx="25">
                  <c:v>39538</c:v>
                </c:pt>
                <c:pt idx="26">
                  <c:v>39629</c:v>
                </c:pt>
                <c:pt idx="27">
                  <c:v>39721</c:v>
                </c:pt>
                <c:pt idx="28">
                  <c:v>39813</c:v>
                </c:pt>
                <c:pt idx="29">
                  <c:v>39903</c:v>
                </c:pt>
                <c:pt idx="30">
                  <c:v>39994</c:v>
                </c:pt>
                <c:pt idx="31">
                  <c:v>40086</c:v>
                </c:pt>
                <c:pt idx="32">
                  <c:v>40178</c:v>
                </c:pt>
                <c:pt idx="33">
                  <c:v>40268</c:v>
                </c:pt>
                <c:pt idx="34">
                  <c:v>40359</c:v>
                </c:pt>
                <c:pt idx="35">
                  <c:v>40451</c:v>
                </c:pt>
                <c:pt idx="36">
                  <c:v>40543</c:v>
                </c:pt>
                <c:pt idx="37">
                  <c:v>40633</c:v>
                </c:pt>
                <c:pt idx="38">
                  <c:v>40724</c:v>
                </c:pt>
                <c:pt idx="39">
                  <c:v>40816</c:v>
                </c:pt>
                <c:pt idx="40">
                  <c:v>40908</c:v>
                </c:pt>
                <c:pt idx="41">
                  <c:v>40999</c:v>
                </c:pt>
                <c:pt idx="42">
                  <c:v>41090</c:v>
                </c:pt>
                <c:pt idx="43">
                  <c:v>41182</c:v>
                </c:pt>
                <c:pt idx="44">
                  <c:v>41274</c:v>
                </c:pt>
                <c:pt idx="45">
                  <c:v>41364</c:v>
                </c:pt>
                <c:pt idx="46">
                  <c:v>41455</c:v>
                </c:pt>
                <c:pt idx="47">
                  <c:v>41547</c:v>
                </c:pt>
                <c:pt idx="48">
                  <c:v>41639</c:v>
                </c:pt>
                <c:pt idx="49">
                  <c:v>41729</c:v>
                </c:pt>
                <c:pt idx="50">
                  <c:v>41820</c:v>
                </c:pt>
                <c:pt idx="51">
                  <c:v>41912</c:v>
                </c:pt>
                <c:pt idx="52">
                  <c:v>42004</c:v>
                </c:pt>
                <c:pt idx="53">
                  <c:v>42094</c:v>
                </c:pt>
                <c:pt idx="54">
                  <c:v>42185</c:v>
                </c:pt>
                <c:pt idx="55">
                  <c:v>42277</c:v>
                </c:pt>
                <c:pt idx="56">
                  <c:v>42369</c:v>
                </c:pt>
                <c:pt idx="57">
                  <c:v>42460</c:v>
                </c:pt>
                <c:pt idx="58">
                  <c:v>42551</c:v>
                </c:pt>
                <c:pt idx="59">
                  <c:v>42643</c:v>
                </c:pt>
                <c:pt idx="60">
                  <c:v>42735</c:v>
                </c:pt>
                <c:pt idx="61">
                  <c:v>42825</c:v>
                </c:pt>
                <c:pt idx="62">
                  <c:v>42916</c:v>
                </c:pt>
                <c:pt idx="63">
                  <c:v>43008</c:v>
                </c:pt>
                <c:pt idx="64">
                  <c:v>43100</c:v>
                </c:pt>
                <c:pt idx="65">
                  <c:v>43190</c:v>
                </c:pt>
                <c:pt idx="66">
                  <c:v>43281</c:v>
                </c:pt>
                <c:pt idx="67">
                  <c:v>43373</c:v>
                </c:pt>
                <c:pt idx="68">
                  <c:v>43465</c:v>
                </c:pt>
                <c:pt idx="69">
                  <c:v>43555</c:v>
                </c:pt>
                <c:pt idx="70">
                  <c:v>43646</c:v>
                </c:pt>
                <c:pt idx="71">
                  <c:v>43738</c:v>
                </c:pt>
                <c:pt idx="72">
                  <c:v>43830</c:v>
                </c:pt>
                <c:pt idx="73">
                  <c:v>43921</c:v>
                </c:pt>
                <c:pt idx="74">
                  <c:v>44012</c:v>
                </c:pt>
                <c:pt idx="75">
                  <c:v>44104</c:v>
                </c:pt>
                <c:pt idx="76">
                  <c:v>44196</c:v>
                </c:pt>
              </c:numCache>
            </c:numRef>
          </c:cat>
          <c:val>
            <c:numRef>
              <c:f>bdp!$BG$36:$BG$112</c:f>
              <c:numCache>
                <c:formatCode>0.0%</c:formatCode>
                <c:ptCount val="77"/>
                <c:pt idx="0">
                  <c:v>7.7959403045428255E-2</c:v>
                </c:pt>
                <c:pt idx="1">
                  <c:v>8.1907885303359462E-2</c:v>
                </c:pt>
                <c:pt idx="2">
                  <c:v>7.6734377854347446E-2</c:v>
                </c:pt>
                <c:pt idx="3">
                  <c:v>9.0290178706653901E-2</c:v>
                </c:pt>
                <c:pt idx="4">
                  <c:v>9.1703322005364463E-2</c:v>
                </c:pt>
                <c:pt idx="5">
                  <c:v>9.0399795954326345E-2</c:v>
                </c:pt>
                <c:pt idx="6">
                  <c:v>9.9351095929868682E-2</c:v>
                </c:pt>
                <c:pt idx="7">
                  <c:v>9.6587904018418103E-2</c:v>
                </c:pt>
                <c:pt idx="8">
                  <c:v>0.10179583964595817</c:v>
                </c:pt>
                <c:pt idx="9">
                  <c:v>9.7685270277924063E-2</c:v>
                </c:pt>
                <c:pt idx="10">
                  <c:v>8.908999037239429E-2</c:v>
                </c:pt>
                <c:pt idx="11">
                  <c:v>8.0621591477023413E-2</c:v>
                </c:pt>
                <c:pt idx="12">
                  <c:v>7.9201650855911243E-2</c:v>
                </c:pt>
                <c:pt idx="13">
                  <c:v>7.1013685031754425E-2</c:v>
                </c:pt>
                <c:pt idx="14">
                  <c:v>7.1798030320627371E-2</c:v>
                </c:pt>
                <c:pt idx="15">
                  <c:v>7.6069578139078997E-2</c:v>
                </c:pt>
                <c:pt idx="16">
                  <c:v>7.578480163366863E-2</c:v>
                </c:pt>
                <c:pt idx="17">
                  <c:v>8.9559284916710391E-2</c:v>
                </c:pt>
                <c:pt idx="18">
                  <c:v>9.1339791687506944E-2</c:v>
                </c:pt>
                <c:pt idx="19">
                  <c:v>8.9517896259666774E-2</c:v>
                </c:pt>
                <c:pt idx="20">
                  <c:v>9.0476805449843267E-2</c:v>
                </c:pt>
                <c:pt idx="21">
                  <c:v>8.8948135243772208E-2</c:v>
                </c:pt>
                <c:pt idx="22">
                  <c:v>9.2032014429120457E-2</c:v>
                </c:pt>
                <c:pt idx="23">
                  <c:v>9.5227211495497288E-2</c:v>
                </c:pt>
                <c:pt idx="24">
                  <c:v>9.6270588985010175E-2</c:v>
                </c:pt>
                <c:pt idx="25">
                  <c:v>9.1612951231289097E-2</c:v>
                </c:pt>
                <c:pt idx="26">
                  <c:v>8.8798530929267594E-2</c:v>
                </c:pt>
                <c:pt idx="27">
                  <c:v>8.6347351531259831E-2</c:v>
                </c:pt>
                <c:pt idx="28">
                  <c:v>7.4177581655072045E-2</c:v>
                </c:pt>
                <c:pt idx="29">
                  <c:v>4.4984235003729056E-2</c:v>
                </c:pt>
                <c:pt idx="30">
                  <c:v>1.0452297207727002E-2</c:v>
                </c:pt>
                <c:pt idx="31">
                  <c:v>-2.9163489826244171E-2</c:v>
                </c:pt>
                <c:pt idx="32">
                  <c:v>-4.6042727210420242E-2</c:v>
                </c:pt>
                <c:pt idx="33">
                  <c:v>-3.9927196871369697E-2</c:v>
                </c:pt>
                <c:pt idx="34">
                  <c:v>-3.3885006228826509E-2</c:v>
                </c:pt>
                <c:pt idx="35">
                  <c:v>-1.1168286730819488E-2</c:v>
                </c:pt>
                <c:pt idx="36">
                  <c:v>-5.8837110503541235E-3</c:v>
                </c:pt>
                <c:pt idx="37">
                  <c:v>-3.4128664618725546E-3</c:v>
                </c:pt>
                <c:pt idx="38">
                  <c:v>8.9997341418752708E-3</c:v>
                </c:pt>
                <c:pt idx="39">
                  <c:v>8.2991897817115134E-3</c:v>
                </c:pt>
                <c:pt idx="40">
                  <c:v>1.3351658854457105E-2</c:v>
                </c:pt>
                <c:pt idx="41">
                  <c:v>1.3331064709452445E-2</c:v>
                </c:pt>
                <c:pt idx="42">
                  <c:v>3.3508548552854123E-3</c:v>
                </c:pt>
                <c:pt idx="43">
                  <c:v>-2.288640962477162E-3</c:v>
                </c:pt>
                <c:pt idx="44">
                  <c:v>-8.1188069326159074E-3</c:v>
                </c:pt>
                <c:pt idx="45">
                  <c:v>-5.3699934533396609E-3</c:v>
                </c:pt>
                <c:pt idx="46">
                  <c:v>9.4831315864163379E-4</c:v>
                </c:pt>
                <c:pt idx="47">
                  <c:v>1.395446810070311E-3</c:v>
                </c:pt>
                <c:pt idx="48">
                  <c:v>2.1166941221957281E-3</c:v>
                </c:pt>
                <c:pt idx="49">
                  <c:v>-3.9338140688324197E-3</c:v>
                </c:pt>
                <c:pt idx="50">
                  <c:v>-8.221510514957453E-3</c:v>
                </c:pt>
                <c:pt idx="51">
                  <c:v>-4.5046516282873927E-3</c:v>
                </c:pt>
                <c:pt idx="52">
                  <c:v>4.0401991336347365E-4</c:v>
                </c:pt>
                <c:pt idx="53">
                  <c:v>8.8775394549485132E-3</c:v>
                </c:pt>
                <c:pt idx="54">
                  <c:v>1.5898470976421164E-2</c:v>
                </c:pt>
                <c:pt idx="55">
                  <c:v>2.1767608455664611E-2</c:v>
                </c:pt>
                <c:pt idx="56">
                  <c:v>2.5211596792207525E-2</c:v>
                </c:pt>
                <c:pt idx="57">
                  <c:v>2.5455514628367037E-2</c:v>
                </c:pt>
                <c:pt idx="58">
                  <c:v>2.6715992276585609E-2</c:v>
                </c:pt>
                <c:pt idx="59">
                  <c:v>3.1700683100344573E-2</c:v>
                </c:pt>
                <c:pt idx="60">
                  <c:v>3.3772210575281347E-2</c:v>
                </c:pt>
                <c:pt idx="61">
                  <c:v>3.647970973294723E-2</c:v>
                </c:pt>
                <c:pt idx="62">
                  <c:v>4.2189699761542077E-2</c:v>
                </c:pt>
                <c:pt idx="63">
                  <c:v>4.187946069899251E-2</c:v>
                </c:pt>
                <c:pt idx="64">
                  <c:v>4.3447675545366105E-2</c:v>
                </c:pt>
                <c:pt idx="65">
                  <c:v>4.651329280587535E-2</c:v>
                </c:pt>
                <c:pt idx="66">
                  <c:v>4.6118451927971815E-2</c:v>
                </c:pt>
                <c:pt idx="67">
                  <c:v>4.6289759449429591E-2</c:v>
                </c:pt>
                <c:pt idx="68">
                  <c:v>4.5135502005718919E-2</c:v>
                </c:pt>
                <c:pt idx="69">
                  <c:v>4.7352018370784288E-2</c:v>
                </c:pt>
                <c:pt idx="70">
                  <c:v>4.4763664945330683E-2</c:v>
                </c:pt>
                <c:pt idx="71">
                  <c:v>4.3445874504161042E-2</c:v>
                </c:pt>
                <c:pt idx="72">
                  <c:v>4.4749689465191089E-2</c:v>
                </c:pt>
                <c:pt idx="73">
                  <c:v>2.5974934635772273E-2</c:v>
                </c:pt>
                <c:pt idx="74">
                  <c:v>-4.8911827395474949E-2</c:v>
                </c:pt>
                <c:pt idx="75">
                  <c:v>-0.10233376546939887</c:v>
                </c:pt>
                <c:pt idx="76">
                  <c:v>-0.12635128164491405</c:v>
                </c:pt>
              </c:numCache>
            </c:numRef>
          </c:val>
          <c:smooth val="0"/>
          <c:extLst>
            <c:ext xmlns:c16="http://schemas.microsoft.com/office/drawing/2014/chart" uri="{C3380CC4-5D6E-409C-BE32-E72D297353CC}">
              <c16:uniqueId val="{00000001-E832-4159-904A-E4CE32D5A8F2}"/>
            </c:ext>
          </c:extLst>
        </c:ser>
        <c:ser>
          <c:idx val="2"/>
          <c:order val="2"/>
          <c:spPr>
            <a:ln w="28575" cmpd="sng">
              <a:solidFill>
                <a:schemeClr val="accent3"/>
              </a:solidFill>
            </a:ln>
          </c:spPr>
          <c:marker>
            <c:symbol val="none"/>
          </c:marker>
          <c:cat>
            <c:numRef>
              <c:f>bdp!$AZ$36:$AZ$112</c:f>
              <c:numCache>
                <c:formatCode>m/d/yyyy</c:formatCode>
                <c:ptCount val="77"/>
                <c:pt idx="0">
                  <c:v>37256</c:v>
                </c:pt>
                <c:pt idx="1">
                  <c:v>37346</c:v>
                </c:pt>
                <c:pt idx="2">
                  <c:v>37437</c:v>
                </c:pt>
                <c:pt idx="3">
                  <c:v>37529</c:v>
                </c:pt>
                <c:pt idx="4">
                  <c:v>37621</c:v>
                </c:pt>
                <c:pt idx="5">
                  <c:v>37711</c:v>
                </c:pt>
                <c:pt idx="6">
                  <c:v>37802</c:v>
                </c:pt>
                <c:pt idx="7">
                  <c:v>37894</c:v>
                </c:pt>
                <c:pt idx="8">
                  <c:v>37986</c:v>
                </c:pt>
                <c:pt idx="9">
                  <c:v>38077</c:v>
                </c:pt>
                <c:pt idx="10">
                  <c:v>38168</c:v>
                </c:pt>
                <c:pt idx="11">
                  <c:v>38260</c:v>
                </c:pt>
                <c:pt idx="12">
                  <c:v>38352</c:v>
                </c:pt>
                <c:pt idx="13">
                  <c:v>38442</c:v>
                </c:pt>
                <c:pt idx="14">
                  <c:v>38533</c:v>
                </c:pt>
                <c:pt idx="15">
                  <c:v>38625</c:v>
                </c:pt>
                <c:pt idx="16">
                  <c:v>38717</c:v>
                </c:pt>
                <c:pt idx="17">
                  <c:v>38807</c:v>
                </c:pt>
                <c:pt idx="18">
                  <c:v>38898</c:v>
                </c:pt>
                <c:pt idx="19">
                  <c:v>38990</c:v>
                </c:pt>
                <c:pt idx="20">
                  <c:v>39082</c:v>
                </c:pt>
                <c:pt idx="21">
                  <c:v>39172</c:v>
                </c:pt>
                <c:pt idx="22">
                  <c:v>39263</c:v>
                </c:pt>
                <c:pt idx="23">
                  <c:v>39355</c:v>
                </c:pt>
                <c:pt idx="24">
                  <c:v>39447</c:v>
                </c:pt>
                <c:pt idx="25">
                  <c:v>39538</c:v>
                </c:pt>
                <c:pt idx="26">
                  <c:v>39629</c:v>
                </c:pt>
                <c:pt idx="27">
                  <c:v>39721</c:v>
                </c:pt>
                <c:pt idx="28">
                  <c:v>39813</c:v>
                </c:pt>
                <c:pt idx="29">
                  <c:v>39903</c:v>
                </c:pt>
                <c:pt idx="30">
                  <c:v>39994</c:v>
                </c:pt>
                <c:pt idx="31">
                  <c:v>40086</c:v>
                </c:pt>
                <c:pt idx="32">
                  <c:v>40178</c:v>
                </c:pt>
                <c:pt idx="33">
                  <c:v>40268</c:v>
                </c:pt>
                <c:pt idx="34">
                  <c:v>40359</c:v>
                </c:pt>
                <c:pt idx="35">
                  <c:v>40451</c:v>
                </c:pt>
                <c:pt idx="36">
                  <c:v>40543</c:v>
                </c:pt>
                <c:pt idx="37">
                  <c:v>40633</c:v>
                </c:pt>
                <c:pt idx="38">
                  <c:v>40724</c:v>
                </c:pt>
                <c:pt idx="39">
                  <c:v>40816</c:v>
                </c:pt>
                <c:pt idx="40">
                  <c:v>40908</c:v>
                </c:pt>
                <c:pt idx="41">
                  <c:v>40999</c:v>
                </c:pt>
                <c:pt idx="42">
                  <c:v>41090</c:v>
                </c:pt>
                <c:pt idx="43">
                  <c:v>41182</c:v>
                </c:pt>
                <c:pt idx="44">
                  <c:v>41274</c:v>
                </c:pt>
                <c:pt idx="45">
                  <c:v>41364</c:v>
                </c:pt>
                <c:pt idx="46">
                  <c:v>41455</c:v>
                </c:pt>
                <c:pt idx="47">
                  <c:v>41547</c:v>
                </c:pt>
                <c:pt idx="48">
                  <c:v>41639</c:v>
                </c:pt>
                <c:pt idx="49">
                  <c:v>41729</c:v>
                </c:pt>
                <c:pt idx="50">
                  <c:v>41820</c:v>
                </c:pt>
                <c:pt idx="51">
                  <c:v>41912</c:v>
                </c:pt>
                <c:pt idx="52">
                  <c:v>42004</c:v>
                </c:pt>
                <c:pt idx="53">
                  <c:v>42094</c:v>
                </c:pt>
                <c:pt idx="54">
                  <c:v>42185</c:v>
                </c:pt>
                <c:pt idx="55">
                  <c:v>42277</c:v>
                </c:pt>
                <c:pt idx="56">
                  <c:v>42369</c:v>
                </c:pt>
                <c:pt idx="57">
                  <c:v>42460</c:v>
                </c:pt>
                <c:pt idx="58">
                  <c:v>42551</c:v>
                </c:pt>
                <c:pt idx="59">
                  <c:v>42643</c:v>
                </c:pt>
                <c:pt idx="60">
                  <c:v>42735</c:v>
                </c:pt>
                <c:pt idx="61">
                  <c:v>42825</c:v>
                </c:pt>
                <c:pt idx="62">
                  <c:v>42916</c:v>
                </c:pt>
                <c:pt idx="63">
                  <c:v>43008</c:v>
                </c:pt>
                <c:pt idx="64">
                  <c:v>43100</c:v>
                </c:pt>
                <c:pt idx="65">
                  <c:v>43190</c:v>
                </c:pt>
                <c:pt idx="66">
                  <c:v>43281</c:v>
                </c:pt>
                <c:pt idx="67">
                  <c:v>43373</c:v>
                </c:pt>
                <c:pt idx="68">
                  <c:v>43465</c:v>
                </c:pt>
                <c:pt idx="69">
                  <c:v>43555</c:v>
                </c:pt>
                <c:pt idx="70">
                  <c:v>43646</c:v>
                </c:pt>
                <c:pt idx="71">
                  <c:v>43738</c:v>
                </c:pt>
                <c:pt idx="72">
                  <c:v>43830</c:v>
                </c:pt>
                <c:pt idx="73">
                  <c:v>43921</c:v>
                </c:pt>
                <c:pt idx="74">
                  <c:v>44012</c:v>
                </c:pt>
                <c:pt idx="75">
                  <c:v>44104</c:v>
                </c:pt>
                <c:pt idx="76">
                  <c:v>44196</c:v>
                </c:pt>
              </c:numCache>
            </c:numRef>
          </c:cat>
          <c:val>
            <c:numRef>
              <c:f>bdp!$BH$36:$BH$112</c:f>
              <c:numCache>
                <c:formatCode>0.0%</c:formatCode>
                <c:ptCount val="77"/>
                <c:pt idx="0">
                  <c:v>7.7959403045428255E-2</c:v>
                </c:pt>
                <c:pt idx="1">
                  <c:v>8.1907885303359462E-2</c:v>
                </c:pt>
                <c:pt idx="2">
                  <c:v>7.6734377854347446E-2</c:v>
                </c:pt>
                <c:pt idx="3">
                  <c:v>9.0290178706653901E-2</c:v>
                </c:pt>
                <c:pt idx="4">
                  <c:v>9.1703322005364463E-2</c:v>
                </c:pt>
                <c:pt idx="5">
                  <c:v>9.0399795954326345E-2</c:v>
                </c:pt>
                <c:pt idx="6">
                  <c:v>9.9351095929868682E-2</c:v>
                </c:pt>
                <c:pt idx="7">
                  <c:v>9.6587904018418103E-2</c:v>
                </c:pt>
                <c:pt idx="8">
                  <c:v>0.10179583964595817</c:v>
                </c:pt>
                <c:pt idx="9">
                  <c:v>9.7685270277924063E-2</c:v>
                </c:pt>
                <c:pt idx="10">
                  <c:v>8.908999037239429E-2</c:v>
                </c:pt>
                <c:pt idx="11">
                  <c:v>8.0621591477023413E-2</c:v>
                </c:pt>
                <c:pt idx="12">
                  <c:v>7.9201650855911243E-2</c:v>
                </c:pt>
                <c:pt idx="13">
                  <c:v>7.1013685031754425E-2</c:v>
                </c:pt>
                <c:pt idx="14">
                  <c:v>7.1798030320627371E-2</c:v>
                </c:pt>
                <c:pt idx="15">
                  <c:v>7.6069578139078997E-2</c:v>
                </c:pt>
                <c:pt idx="16">
                  <c:v>7.578480163366863E-2</c:v>
                </c:pt>
                <c:pt idx="17">
                  <c:v>8.9559284916710391E-2</c:v>
                </c:pt>
                <c:pt idx="18">
                  <c:v>9.1339791687506944E-2</c:v>
                </c:pt>
                <c:pt idx="19">
                  <c:v>8.9517896259666774E-2</c:v>
                </c:pt>
                <c:pt idx="20">
                  <c:v>9.0476805449843267E-2</c:v>
                </c:pt>
                <c:pt idx="21">
                  <c:v>8.8948135243772208E-2</c:v>
                </c:pt>
                <c:pt idx="22">
                  <c:v>9.2032014429120457E-2</c:v>
                </c:pt>
                <c:pt idx="23">
                  <c:v>9.5227211495497288E-2</c:v>
                </c:pt>
                <c:pt idx="24">
                  <c:v>9.6270588985010175E-2</c:v>
                </c:pt>
                <c:pt idx="25">
                  <c:v>9.1612951231289097E-2</c:v>
                </c:pt>
                <c:pt idx="26">
                  <c:v>8.8798530929267594E-2</c:v>
                </c:pt>
                <c:pt idx="27">
                  <c:v>8.6347351531259831E-2</c:v>
                </c:pt>
                <c:pt idx="28">
                  <c:v>7.4177581655072045E-2</c:v>
                </c:pt>
                <c:pt idx="29">
                  <c:v>4.4984235003729056E-2</c:v>
                </c:pt>
                <c:pt idx="30">
                  <c:v>1.0452297207727002E-2</c:v>
                </c:pt>
                <c:pt idx="31">
                  <c:v>-2.9163489826244171E-2</c:v>
                </c:pt>
                <c:pt idx="32">
                  <c:v>-4.6042727210420242E-2</c:v>
                </c:pt>
                <c:pt idx="33">
                  <c:v>-3.9927196871369697E-2</c:v>
                </c:pt>
                <c:pt idx="34">
                  <c:v>-3.3885006228826509E-2</c:v>
                </c:pt>
                <c:pt idx="35">
                  <c:v>-1.1168286730819488E-2</c:v>
                </c:pt>
                <c:pt idx="36">
                  <c:v>-5.8837110503541235E-3</c:v>
                </c:pt>
                <c:pt idx="37">
                  <c:v>-3.4128664618725546E-3</c:v>
                </c:pt>
                <c:pt idx="38">
                  <c:v>8.9997341418752708E-3</c:v>
                </c:pt>
                <c:pt idx="39">
                  <c:v>8.2991897817115134E-3</c:v>
                </c:pt>
                <c:pt idx="40">
                  <c:v>1.3351658854457105E-2</c:v>
                </c:pt>
                <c:pt idx="41">
                  <c:v>1.3331064709452445E-2</c:v>
                </c:pt>
                <c:pt idx="42">
                  <c:v>3.3508548552854123E-3</c:v>
                </c:pt>
                <c:pt idx="43">
                  <c:v>-2.288640962477162E-3</c:v>
                </c:pt>
                <c:pt idx="44">
                  <c:v>-8.1188069326159074E-3</c:v>
                </c:pt>
                <c:pt idx="45">
                  <c:v>-5.3699934533396609E-3</c:v>
                </c:pt>
                <c:pt idx="46">
                  <c:v>9.4831315864163379E-4</c:v>
                </c:pt>
                <c:pt idx="47">
                  <c:v>1.395446810070311E-3</c:v>
                </c:pt>
                <c:pt idx="48">
                  <c:v>2.1166941221957281E-3</c:v>
                </c:pt>
                <c:pt idx="49">
                  <c:v>-3.9338140688324197E-3</c:v>
                </c:pt>
                <c:pt idx="50">
                  <c:v>-8.221510514957453E-3</c:v>
                </c:pt>
                <c:pt idx="51">
                  <c:v>-4.5046516282873927E-3</c:v>
                </c:pt>
                <c:pt idx="52">
                  <c:v>4.0401991336347365E-4</c:v>
                </c:pt>
                <c:pt idx="53">
                  <c:v>8.8775394549485132E-3</c:v>
                </c:pt>
                <c:pt idx="54">
                  <c:v>1.5898470976421164E-2</c:v>
                </c:pt>
                <c:pt idx="55">
                  <c:v>2.1767608455664611E-2</c:v>
                </c:pt>
                <c:pt idx="56">
                  <c:v>2.5211596792207525E-2</c:v>
                </c:pt>
                <c:pt idx="57">
                  <c:v>2.5455514628367037E-2</c:v>
                </c:pt>
                <c:pt idx="58">
                  <c:v>2.6715992276585609E-2</c:v>
                </c:pt>
                <c:pt idx="59">
                  <c:v>3.1700683100344573E-2</c:v>
                </c:pt>
                <c:pt idx="60">
                  <c:v>3.3772210575281347E-2</c:v>
                </c:pt>
                <c:pt idx="61">
                  <c:v>3.647970973294723E-2</c:v>
                </c:pt>
                <c:pt idx="62">
                  <c:v>4.2189699761542077E-2</c:v>
                </c:pt>
                <c:pt idx="63">
                  <c:v>4.187946069899251E-2</c:v>
                </c:pt>
                <c:pt idx="64">
                  <c:v>4.3447675545366105E-2</c:v>
                </c:pt>
                <c:pt idx="65">
                  <c:v>4.651329280587535E-2</c:v>
                </c:pt>
                <c:pt idx="66">
                  <c:v>4.6118451927971815E-2</c:v>
                </c:pt>
                <c:pt idx="67">
                  <c:v>4.6289759449429591E-2</c:v>
                </c:pt>
                <c:pt idx="68">
                  <c:v>4.5135502005718919E-2</c:v>
                </c:pt>
                <c:pt idx="69">
                  <c:v>4.7352018370784288E-2</c:v>
                </c:pt>
                <c:pt idx="70">
                  <c:v>4.4763664945330683E-2</c:v>
                </c:pt>
                <c:pt idx="71">
                  <c:v>4.3445874504161042E-2</c:v>
                </c:pt>
                <c:pt idx="72">
                  <c:v>4.4749689465191089E-2</c:v>
                </c:pt>
                <c:pt idx="73">
                  <c:v>2.5974934635772273E-2</c:v>
                </c:pt>
                <c:pt idx="74">
                  <c:v>-4.8911827395474949E-2</c:v>
                </c:pt>
                <c:pt idx="75">
                  <c:v>-8.4635603798501213E-2</c:v>
                </c:pt>
                <c:pt idx="76">
                  <c:v>-9.8952096455805605E-2</c:v>
                </c:pt>
              </c:numCache>
            </c:numRef>
          </c:val>
          <c:smooth val="0"/>
          <c:extLst>
            <c:ext xmlns:c16="http://schemas.microsoft.com/office/drawing/2014/chart" uri="{C3380CC4-5D6E-409C-BE32-E72D297353CC}">
              <c16:uniqueId val="{00000002-E832-4159-904A-E4CE32D5A8F2}"/>
            </c:ext>
          </c:extLst>
        </c:ser>
        <c:dLbls>
          <c:showLegendKey val="0"/>
          <c:showVal val="0"/>
          <c:showCatName val="0"/>
          <c:showSerName val="0"/>
          <c:showPercent val="0"/>
          <c:showBubbleSize val="0"/>
        </c:dLbls>
        <c:smooth val="0"/>
        <c:axId val="844009130"/>
        <c:axId val="2088357731"/>
      </c:lineChart>
      <c:dateAx>
        <c:axId val="844009130"/>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2088357731"/>
        <c:crosses val="autoZero"/>
        <c:auto val="1"/>
        <c:lblOffset val="100"/>
        <c:baseTimeUnit val="months"/>
      </c:dateAx>
      <c:valAx>
        <c:axId val="20883577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844009130"/>
        <c:crosses val="autoZero"/>
        <c:crossBetween val="between"/>
      </c:val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stacked"/>
        <c:varyColors val="1"/>
        <c:ser>
          <c:idx val="0"/>
          <c:order val="0"/>
          <c:spPr>
            <a:solidFill>
              <a:srgbClr val="5B9BD5"/>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bdp!$N$68:$AL$68</c:f>
              <c:numCache>
                <c:formatCode>0%</c:formatCode>
                <c:ptCount val="25"/>
                <c:pt idx="0">
                  <c:v>6.2129919252627407E-3</c:v>
                </c:pt>
                <c:pt idx="1">
                  <c:v>4.2948833637391683E-3</c:v>
                </c:pt>
                <c:pt idx="2">
                  <c:v>7.6909408272348677E-3</c:v>
                </c:pt>
                <c:pt idx="3">
                  <c:v>2.7751916844644827E-3</c:v>
                </c:pt>
                <c:pt idx="4">
                  <c:v>-8.0535308288750033E-4</c:v>
                </c:pt>
                <c:pt idx="5">
                  <c:v>4.4711485882430917E-3</c:v>
                </c:pt>
                <c:pt idx="6">
                  <c:v>4.3499680042266547E-3</c:v>
                </c:pt>
                <c:pt idx="7">
                  <c:v>-6.2058984231795743E-3</c:v>
                </c:pt>
                <c:pt idx="8">
                  <c:v>1.0078257719716778E-2</c:v>
                </c:pt>
                <c:pt idx="9">
                  <c:v>-3.102721798453249E-3</c:v>
                </c:pt>
                <c:pt idx="10">
                  <c:v>5.7075084530769874E-3</c:v>
                </c:pt>
                <c:pt idx="11">
                  <c:v>7.7982104868978114E-4</c:v>
                </c:pt>
                <c:pt idx="12">
                  <c:v>6.4975353535388384E-3</c:v>
                </c:pt>
                <c:pt idx="13">
                  <c:v>-1.4546835661205294E-3</c:v>
                </c:pt>
                <c:pt idx="14">
                  <c:v>-4.2908603473641458E-3</c:v>
                </c:pt>
                <c:pt idx="15">
                  <c:v>3.7440097724420157E-4</c:v>
                </c:pt>
                <c:pt idx="16">
                  <c:v>-4.302868770053668E-3</c:v>
                </c:pt>
                <c:pt idx="17">
                  <c:v>2.0240718825633272E-3</c:v>
                </c:pt>
                <c:pt idx="18">
                  <c:v>-6.1616595123765256E-3</c:v>
                </c:pt>
                <c:pt idx="19">
                  <c:v>1.1838081601392909E-3</c:v>
                </c:pt>
                <c:pt idx="20">
                  <c:v>2.4685826648495552E-3</c:v>
                </c:pt>
                <c:pt idx="21">
                  <c:v>-5.6786110438643658E-4</c:v>
                </c:pt>
                <c:pt idx="22">
                  <c:v>5.8978422199027901E-4</c:v>
                </c:pt>
                <c:pt idx="23">
                  <c:v>5.9137219164717746E-4</c:v>
                </c:pt>
                <c:pt idx="24">
                  <c:v>1.016542721903753E-3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9903-448F-93BF-9ACCDD5C9389}"/>
            </c:ext>
          </c:extLst>
        </c:ser>
        <c:ser>
          <c:idx val="1"/>
          <c:order val="1"/>
          <c:spPr>
            <a:solidFill>
              <a:srgbClr val="ED7D31"/>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bdp!$N$69:$AL$69</c:f>
              <c:numCache>
                <c:formatCode>0%</c:formatCode>
                <c:ptCount val="25"/>
                <c:pt idx="0">
                  <c:v>1.5230957369598865E-3</c:v>
                </c:pt>
                <c:pt idx="1">
                  <c:v>3.9702779057899124E-2</c:v>
                </c:pt>
                <c:pt idx="2">
                  <c:v>1.0686621688849178E-2</c:v>
                </c:pt>
                <c:pt idx="3">
                  <c:v>9.668283593483885E-3</c:v>
                </c:pt>
                <c:pt idx="4">
                  <c:v>2.6830120557015363E-2</c:v>
                </c:pt>
                <c:pt idx="5">
                  <c:v>6.8656769669133691E-3</c:v>
                </c:pt>
                <c:pt idx="6">
                  <c:v>1.1297139397644049E-2</c:v>
                </c:pt>
                <c:pt idx="7">
                  <c:v>1.6167178401918697E-2</c:v>
                </c:pt>
                <c:pt idx="8">
                  <c:v>2.5338979690023734E-2</c:v>
                </c:pt>
                <c:pt idx="9">
                  <c:v>6.5358988591182696E-3</c:v>
                </c:pt>
                <c:pt idx="10">
                  <c:v>1.1963208591016688E-2</c:v>
                </c:pt>
                <c:pt idx="11">
                  <c:v>1.260175277350881E-2</c:v>
                </c:pt>
                <c:pt idx="12">
                  <c:v>9.8828551622709097E-3</c:v>
                </c:pt>
                <c:pt idx="13">
                  <c:v>-5.0407294832164702E-3</c:v>
                </c:pt>
                <c:pt idx="14">
                  <c:v>9.198064624080524E-4</c:v>
                </c:pt>
                <c:pt idx="15">
                  <c:v>9.1377311859529072E-3</c:v>
                </c:pt>
                <c:pt idx="16">
                  <c:v>1.4858585934149709E-3</c:v>
                </c:pt>
                <c:pt idx="17">
                  <c:v>-5.9158676943881702E-3</c:v>
                </c:pt>
                <c:pt idx="18">
                  <c:v>3.0292238241199803E-3</c:v>
                </c:pt>
                <c:pt idx="19">
                  <c:v>2.1604423059626001E-3</c:v>
                </c:pt>
                <c:pt idx="20">
                  <c:v>6.0615725872720646E-3</c:v>
                </c:pt>
                <c:pt idx="21">
                  <c:v>3.385273159124872E-3</c:v>
                </c:pt>
                <c:pt idx="22">
                  <c:v>2.837833083692844E-3</c:v>
                </c:pt>
                <c:pt idx="23">
                  <c:v>3.0044664103895465E-3</c:v>
                </c:pt>
                <c:pt idx="24">
                  <c:v>-1.5919515203752448E-2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9903-448F-93BF-9ACCDD5C9389}"/>
            </c:ext>
          </c:extLst>
        </c:ser>
        <c:ser>
          <c:idx val="2"/>
          <c:order val="2"/>
          <c:spPr>
            <a:solidFill>
              <a:srgbClr val="A5A5A5"/>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bdp!$N$70:$AL$70</c:f>
              <c:numCache>
                <c:formatCode>0%</c:formatCode>
                <c:ptCount val="25"/>
                <c:pt idx="0">
                  <c:v>1.7105745971096081E-2</c:v>
                </c:pt>
                <c:pt idx="1">
                  <c:v>1.6791988975820325E-2</c:v>
                </c:pt>
                <c:pt idx="2">
                  <c:v>1.2813616139631704E-3</c:v>
                </c:pt>
                <c:pt idx="3">
                  <c:v>-1.2867920720779353E-2</c:v>
                </c:pt>
                <c:pt idx="4">
                  <c:v>-2.875237120883375E-3</c:v>
                </c:pt>
                <c:pt idx="5">
                  <c:v>9.9102809258101512E-3</c:v>
                </c:pt>
                <c:pt idx="6">
                  <c:v>9.1123787480349196E-3</c:v>
                </c:pt>
                <c:pt idx="7">
                  <c:v>1.9963710795668912E-2</c:v>
                </c:pt>
                <c:pt idx="8">
                  <c:v>1.0809559318701863E-2</c:v>
                </c:pt>
                <c:pt idx="9">
                  <c:v>8.675580843271323E-3</c:v>
                </c:pt>
                <c:pt idx="10">
                  <c:v>9.8982233355122268E-3</c:v>
                </c:pt>
                <c:pt idx="11">
                  <c:v>9.2233064523088992E-3</c:v>
                </c:pt>
                <c:pt idx="12">
                  <c:v>1.0319325297079008E-2</c:v>
                </c:pt>
                <c:pt idx="13">
                  <c:v>-7.9006938123204005E-3</c:v>
                </c:pt>
                <c:pt idx="14">
                  <c:v>-1.895567315470411E-2</c:v>
                </c:pt>
                <c:pt idx="15">
                  <c:v>-3.8644458216952646E-3</c:v>
                </c:pt>
                <c:pt idx="16">
                  <c:v>-7.4925672120034785E-3</c:v>
                </c:pt>
                <c:pt idx="17">
                  <c:v>-7.6930890905995287E-4</c:v>
                </c:pt>
                <c:pt idx="18">
                  <c:v>-3.1266433898459131E-4</c:v>
                </c:pt>
                <c:pt idx="19">
                  <c:v>1.4902813312314578E-3</c:v>
                </c:pt>
                <c:pt idx="20">
                  <c:v>1.3191174892476767E-3</c:v>
                </c:pt>
                <c:pt idx="21">
                  <c:v>2.5558237182461609E-3</c:v>
                </c:pt>
                <c:pt idx="22">
                  <c:v>3.2887356164660766E-3</c:v>
                </c:pt>
                <c:pt idx="23">
                  <c:v>4.8546843346219662E-3</c:v>
                </c:pt>
                <c:pt idx="24">
                  <c:v>-6.9753994854298857E-3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9903-448F-93BF-9ACCDD5C9389}"/>
            </c:ext>
          </c:extLst>
        </c:ser>
        <c:ser>
          <c:idx val="3"/>
          <c:order val="3"/>
          <c:spPr>
            <a:solidFill>
              <a:srgbClr val="FFC000"/>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bdp!$N$71:$AL$71</c:f>
              <c:numCache>
                <c:formatCode>0%</c:formatCode>
                <c:ptCount val="25"/>
                <c:pt idx="0">
                  <c:v>2.0613874280185681E-2</c:v>
                </c:pt>
                <c:pt idx="1">
                  <c:v>2.167590061945477E-2</c:v>
                </c:pt>
                <c:pt idx="2">
                  <c:v>5.128434271149734E-3</c:v>
                </c:pt>
                <c:pt idx="3">
                  <c:v>-1.6959126239365744E-2</c:v>
                </c:pt>
                <c:pt idx="4">
                  <c:v>6.1477667852747097E-3</c:v>
                </c:pt>
                <c:pt idx="5">
                  <c:v>2.2238448194936408E-2</c:v>
                </c:pt>
                <c:pt idx="6">
                  <c:v>1.9892507626320468E-2</c:v>
                </c:pt>
                <c:pt idx="7">
                  <c:v>2.2884617755479789E-2</c:v>
                </c:pt>
                <c:pt idx="8">
                  <c:v>-2.0535219198024612E-3</c:v>
                </c:pt>
                <c:pt idx="9">
                  <c:v>1.3099051916475519E-2</c:v>
                </c:pt>
                <c:pt idx="10">
                  <c:v>1.4884778368546616E-2</c:v>
                </c:pt>
                <c:pt idx="11">
                  <c:v>9.1106154772130112E-3</c:v>
                </c:pt>
                <c:pt idx="12">
                  <c:v>1.0583057185839852E-2</c:v>
                </c:pt>
                <c:pt idx="13">
                  <c:v>-1.8871375908494782E-2</c:v>
                </c:pt>
                <c:pt idx="14">
                  <c:v>3.5575882072504681E-3</c:v>
                </c:pt>
                <c:pt idx="15">
                  <c:v>2.5721004905165891E-3</c:v>
                </c:pt>
                <c:pt idx="16">
                  <c:v>-1.9052577572242298E-3</c:v>
                </c:pt>
                <c:pt idx="17">
                  <c:v>-2.51792682019955E-3</c:v>
                </c:pt>
                <c:pt idx="18">
                  <c:v>3.157871210107852E-4</c:v>
                </c:pt>
                <c:pt idx="19">
                  <c:v>6.7454101761725968E-3</c:v>
                </c:pt>
                <c:pt idx="20">
                  <c:v>-1.3329893678477966E-3</c:v>
                </c:pt>
                <c:pt idx="21">
                  <c:v>6.1004054379377474E-3</c:v>
                </c:pt>
                <c:pt idx="22">
                  <c:v>7.6551765581598652E-3</c:v>
                </c:pt>
                <c:pt idx="23">
                  <c:v>6.5688140186355255E-3</c:v>
                </c:pt>
                <c:pt idx="24">
                  <c:v>-1.7034500691115957E-2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9903-448F-93BF-9ACCDD5C9389}"/>
            </c:ext>
          </c:extLst>
        </c:ser>
        <c:ser>
          <c:idx val="4"/>
          <c:order val="4"/>
          <c:spPr>
            <a:solidFill>
              <a:srgbClr val="4472C4"/>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bdp!$N$72:$AL$72</c:f>
              <c:numCache>
                <c:formatCode>0%</c:formatCode>
                <c:ptCount val="25"/>
                <c:pt idx="0">
                  <c:v>1.9871997899120773E-2</c:v>
                </c:pt>
                <c:pt idx="1">
                  <c:v>2.9339828232435857E-2</c:v>
                </c:pt>
                <c:pt idx="2">
                  <c:v>1.3841256578541678E-2</c:v>
                </c:pt>
                <c:pt idx="3">
                  <c:v>1.0329026437821775E-2</c:v>
                </c:pt>
                <c:pt idx="4">
                  <c:v>2.7000656638944482E-2</c:v>
                </c:pt>
                <c:pt idx="5">
                  <c:v>2.7021842453289122E-2</c:v>
                </c:pt>
                <c:pt idx="6">
                  <c:v>3.167467627559898E-2</c:v>
                </c:pt>
                <c:pt idx="7">
                  <c:v>2.8897510310720718E-2</c:v>
                </c:pt>
                <c:pt idx="8">
                  <c:v>2.2001128538946892E-2</c:v>
                </c:pt>
                <c:pt idx="9">
                  <c:v>2.7242316581641238E-2</c:v>
                </c:pt>
                <c:pt idx="10">
                  <c:v>2.6324652761921617E-2</c:v>
                </c:pt>
                <c:pt idx="11">
                  <c:v>3.0803301354793717E-2</c:v>
                </c:pt>
                <c:pt idx="12">
                  <c:v>2.2118932921899731E-2</c:v>
                </c:pt>
                <c:pt idx="13">
                  <c:v>-1.1359909058320135E-2</c:v>
                </c:pt>
                <c:pt idx="14">
                  <c:v>1.2533585958479445E-3</c:v>
                </c:pt>
                <c:pt idx="15">
                  <c:v>2.5530552949036855E-3</c:v>
                </c:pt>
                <c:pt idx="16">
                  <c:v>-1.7141800357800951E-3</c:v>
                </c:pt>
                <c:pt idx="17">
                  <c:v>7.1828791074931234E-3</c:v>
                </c:pt>
                <c:pt idx="18">
                  <c:v>9.6073027317840007E-4</c:v>
                </c:pt>
                <c:pt idx="19">
                  <c:v>4.6479586189318613E-3</c:v>
                </c:pt>
                <c:pt idx="20">
                  <c:v>1.6587912763715261E-2</c:v>
                </c:pt>
                <c:pt idx="21">
                  <c:v>1.8766969009678079E-2</c:v>
                </c:pt>
                <c:pt idx="22">
                  <c:v>1.4235223943845797E-2</c:v>
                </c:pt>
                <c:pt idx="23">
                  <c:v>1.5118220343448265E-2</c:v>
                </c:pt>
                <c:pt idx="24">
                  <c:v>-6.6863711462647607E-2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9903-448F-93BF-9ACCDD5C9389}"/>
            </c:ext>
          </c:extLst>
        </c:ser>
        <c:ser>
          <c:idx val="5"/>
          <c:order val="5"/>
          <c:spPr>
            <a:solidFill>
              <a:srgbClr val="70AD47"/>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bdp!$N$73:$AL$73</c:f>
              <c:numCache>
                <c:formatCode>0%</c:formatCode>
                <c:ptCount val="25"/>
                <c:pt idx="0">
                  <c:v>1.2731803650707977E-2</c:v>
                </c:pt>
                <c:pt idx="1">
                  <c:v>-3.6382313700463213E-3</c:v>
                </c:pt>
                <c:pt idx="2">
                  <c:v>3.3291075035812323E-3</c:v>
                </c:pt>
                <c:pt idx="3">
                  <c:v>1.2995742023685213E-2</c:v>
                </c:pt>
                <c:pt idx="4">
                  <c:v>-3.2673647730247554E-3</c:v>
                </c:pt>
                <c:pt idx="5">
                  <c:v>7.5818018057650181E-3</c:v>
                </c:pt>
                <c:pt idx="6">
                  <c:v>6.6383199944444601E-3</c:v>
                </c:pt>
                <c:pt idx="7">
                  <c:v>1.0848982924844939E-2</c:v>
                </c:pt>
                <c:pt idx="8">
                  <c:v>2.5175401361179892E-3</c:v>
                </c:pt>
                <c:pt idx="9">
                  <c:v>1.1851832063582137E-2</c:v>
                </c:pt>
                <c:pt idx="10">
                  <c:v>3.6059287896040627E-3</c:v>
                </c:pt>
                <c:pt idx="11">
                  <c:v>9.1760045482111204E-3</c:v>
                </c:pt>
                <c:pt idx="12">
                  <c:v>5.9245757148045173E-3</c:v>
                </c:pt>
                <c:pt idx="13">
                  <c:v>5.2123416125730902E-4</c:v>
                </c:pt>
                <c:pt idx="14">
                  <c:v>2.7544960521896423E-3</c:v>
                </c:pt>
                <c:pt idx="15">
                  <c:v>4.6445423931635553E-3</c:v>
                </c:pt>
                <c:pt idx="16">
                  <c:v>-6.2373286309177411E-3</c:v>
                </c:pt>
                <c:pt idx="17">
                  <c:v>-3.8086611224130199E-3</c:v>
                </c:pt>
                <c:pt idx="18">
                  <c:v>1.7318727214443862E-3</c:v>
                </c:pt>
                <c:pt idx="19">
                  <c:v>-6.8955930024283403E-4</c:v>
                </c:pt>
                <c:pt idx="20">
                  <c:v>1.6519984338850679E-3</c:v>
                </c:pt>
                <c:pt idx="21">
                  <c:v>2.381461803972936E-3</c:v>
                </c:pt>
                <c:pt idx="22">
                  <c:v>1.1208338686651393E-3</c:v>
                </c:pt>
                <c:pt idx="23">
                  <c:v>1.7635415823366752E-3</c:v>
                </c:pt>
                <c:pt idx="24">
                  <c:v>-2.6029416835149349E-3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9903-448F-93BF-9ACCDD5C9389}"/>
            </c:ext>
          </c:extLst>
        </c:ser>
        <c:ser>
          <c:idx val="6"/>
          <c:order val="6"/>
          <c:spPr>
            <a:solidFill>
              <a:srgbClr val="5B9BD5"/>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bdp!$N$74:$AL$74</c:f>
              <c:numCache>
                <c:formatCode>0%</c:formatCode>
                <c:ptCount val="25"/>
                <c:pt idx="0">
                  <c:v>6.6712383005057569E-3</c:v>
                </c:pt>
                <c:pt idx="1">
                  <c:v>5.7099365180699451E-3</c:v>
                </c:pt>
                <c:pt idx="2">
                  <c:v>8.0837809209716102E-3</c:v>
                </c:pt>
                <c:pt idx="3">
                  <c:v>7.343071062604155E-3</c:v>
                </c:pt>
                <c:pt idx="4">
                  <c:v>4.4972134144289303E-3</c:v>
                </c:pt>
                <c:pt idx="5">
                  <c:v>4.8324651573205786E-3</c:v>
                </c:pt>
                <c:pt idx="6">
                  <c:v>6.5984386311609636E-3</c:v>
                </c:pt>
                <c:pt idx="7">
                  <c:v>7.2229114548793489E-3</c:v>
                </c:pt>
                <c:pt idx="8">
                  <c:v>6.4509607897441004E-3</c:v>
                </c:pt>
                <c:pt idx="9">
                  <c:v>6.8322608389670891E-3</c:v>
                </c:pt>
                <c:pt idx="10">
                  <c:v>7.9431614502213192E-3</c:v>
                </c:pt>
                <c:pt idx="11">
                  <c:v>1.6497125987569718E-2</c:v>
                </c:pt>
                <c:pt idx="12">
                  <c:v>2.5600373089909637E-3</c:v>
                </c:pt>
                <c:pt idx="13">
                  <c:v>3.3134564444845156E-4</c:v>
                </c:pt>
                <c:pt idx="14">
                  <c:v>-1.1458866308086809E-3</c:v>
                </c:pt>
                <c:pt idx="15">
                  <c:v>4.2743926391951943E-3</c:v>
                </c:pt>
                <c:pt idx="16">
                  <c:v>4.844858292421238E-4</c:v>
                </c:pt>
                <c:pt idx="17">
                  <c:v>-4.1212093932149415E-4</c:v>
                </c:pt>
                <c:pt idx="18">
                  <c:v>1.3823636230926816E-3</c:v>
                </c:pt>
                <c:pt idx="19">
                  <c:v>1.4239015796898029E-3</c:v>
                </c:pt>
                <c:pt idx="20">
                  <c:v>1.0972189995529535E-3</c:v>
                </c:pt>
                <c:pt idx="21">
                  <c:v>1.6545243338109375E-3</c:v>
                </c:pt>
                <c:pt idx="22">
                  <c:v>2.3012020472776428E-3</c:v>
                </c:pt>
                <c:pt idx="23">
                  <c:v>2.2373880302696543E-3</c:v>
                </c:pt>
                <c:pt idx="24">
                  <c:v>-2.0190434335291489E-2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6-9903-448F-93BF-9ACCDD5C9389}"/>
            </c:ext>
          </c:extLst>
        </c:ser>
        <c:ser>
          <c:idx val="7"/>
          <c:order val="7"/>
          <c:spPr>
            <a:solidFill>
              <a:srgbClr val="ED7D31"/>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bdp!$N$75:$AL$75</c:f>
              <c:numCache>
                <c:formatCode>0%</c:formatCode>
                <c:ptCount val="25"/>
                <c:pt idx="0">
                  <c:v>2.8787707250432094E-2</c:v>
                </c:pt>
                <c:pt idx="1">
                  <c:v>2.5681626107104418E-2</c:v>
                </c:pt>
                <c:pt idx="2">
                  <c:v>3.8245932465907899E-2</c:v>
                </c:pt>
                <c:pt idx="3">
                  <c:v>1.8831184867042418E-2</c:v>
                </c:pt>
                <c:pt idx="4">
                  <c:v>9.8631013686601172E-3</c:v>
                </c:pt>
                <c:pt idx="5">
                  <c:v>-4.8888194576783284E-3</c:v>
                </c:pt>
                <c:pt idx="6">
                  <c:v>6.078686743382529E-3</c:v>
                </c:pt>
                <c:pt idx="7">
                  <c:v>1.0968366880936371E-2</c:v>
                </c:pt>
                <c:pt idx="8">
                  <c:v>1.2324336660055283E-2</c:v>
                </c:pt>
                <c:pt idx="9">
                  <c:v>5.6812766231695974E-3</c:v>
                </c:pt>
                <c:pt idx="10">
                  <c:v>8.0813029363817311E-3</c:v>
                </c:pt>
                <c:pt idx="11">
                  <c:v>1.4586710012311325E-2</c:v>
                </c:pt>
                <c:pt idx="12">
                  <c:v>9.2600562474925742E-3</c:v>
                </c:pt>
                <c:pt idx="13">
                  <c:v>7.7457224555160407E-3</c:v>
                </c:pt>
                <c:pt idx="14">
                  <c:v>2.1983082716159129E-3</c:v>
                </c:pt>
                <c:pt idx="15">
                  <c:v>-5.913903516702744E-4</c:v>
                </c:pt>
                <c:pt idx="16">
                  <c:v>-1.7935547214172748E-3</c:v>
                </c:pt>
                <c:pt idx="17">
                  <c:v>-3.5271220772459927E-3</c:v>
                </c:pt>
                <c:pt idx="18">
                  <c:v>-4.1275861336228343E-4</c:v>
                </c:pt>
                <c:pt idx="19">
                  <c:v>1.4967703315757123E-3</c:v>
                </c:pt>
                <c:pt idx="20">
                  <c:v>6.1502627349523916E-3</c:v>
                </c:pt>
                <c:pt idx="21">
                  <c:v>5.6568072152776766E-3</c:v>
                </c:pt>
                <c:pt idx="22">
                  <c:v>8.3705085628119277E-3</c:v>
                </c:pt>
                <c:pt idx="23">
                  <c:v>8.2570268977129567E-3</c:v>
                </c:pt>
                <c:pt idx="24">
                  <c:v>-2.2532833703130663E-3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7-9903-448F-93BF-9ACCDD5C9389}"/>
            </c:ext>
          </c:extLst>
        </c:ser>
        <c:dLbls>
          <c:showLegendKey val="0"/>
          <c:showVal val="0"/>
          <c:showCatName val="0"/>
          <c:showSerName val="0"/>
          <c:showPercent val="0"/>
          <c:showBubbleSize val="0"/>
        </c:dLbls>
        <c:gapWidth val="150"/>
        <c:overlap val="100"/>
        <c:axId val="861030363"/>
        <c:axId val="436375524"/>
      </c:barChart>
      <c:catAx>
        <c:axId val="861030363"/>
        <c:scaling>
          <c:orientation val="minMax"/>
        </c:scaling>
        <c:delete val="0"/>
        <c:axPos val="b"/>
        <c:title>
          <c:tx>
            <c:rich>
              <a:bodyPr/>
              <a:lstStyle/>
              <a:p>
                <a:pPr lvl="0">
                  <a:defRPr b="0">
                    <a:solidFill>
                      <a:srgbClr val="000000"/>
                    </a:solidFill>
                    <a:latin typeface="+mn-lt"/>
                  </a:defRPr>
                </a:pPr>
                <a:endParaRPr lang="hr-H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sr-Latn-RS"/>
          </a:p>
        </c:txPr>
        <c:crossAx val="436375524"/>
        <c:crosses val="autoZero"/>
        <c:auto val="1"/>
        <c:lblAlgn val="ctr"/>
        <c:lblOffset val="100"/>
        <c:noMultiLvlLbl val="1"/>
      </c:catAx>
      <c:valAx>
        <c:axId val="4363755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sr-Latn-RS"/>
          </a:p>
        </c:txPr>
        <c:crossAx val="861030363"/>
        <c:crosses val="autoZero"/>
        <c:crossBetween val="between"/>
      </c:valAx>
    </c:plotArea>
    <c:legend>
      <c:legendPos val="t"/>
      <c:layout>
        <c:manualLayout>
          <c:xMode val="edge"/>
          <c:yMode val="edge"/>
          <c:x val="0.10039297171186935"/>
          <c:y val="2.0207254298218236E-2"/>
        </c:manualLayout>
      </c:layout>
      <c:overlay val="0"/>
      <c:txPr>
        <a:bodyPr/>
        <a:lstStyle/>
        <a:p>
          <a:pPr lvl="0">
            <a:defRPr sz="10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6.0373914498315542E-2"/>
          <c:y val="0.14416687833375666"/>
          <c:w val="0.90299303349236748"/>
          <c:h val="0.78100000000000014"/>
        </c:manualLayout>
      </c:layout>
      <c:barChart>
        <c:barDir val="col"/>
        <c:grouping val="stacked"/>
        <c:varyColors val="1"/>
        <c:ser>
          <c:idx val="0"/>
          <c:order val="0"/>
          <c:spPr>
            <a:solidFill>
              <a:srgbClr val="5B9BD5"/>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bdp!$N$68:$AK$68</c:f>
              <c:numCache>
                <c:formatCode>0%</c:formatCode>
                <c:ptCount val="24"/>
                <c:pt idx="0">
                  <c:v>6.2129919252627407E-3</c:v>
                </c:pt>
                <c:pt idx="1">
                  <c:v>4.2948833637391683E-3</c:v>
                </c:pt>
                <c:pt idx="2">
                  <c:v>7.6909408272348677E-3</c:v>
                </c:pt>
                <c:pt idx="3">
                  <c:v>2.7751916844644827E-3</c:v>
                </c:pt>
                <c:pt idx="4">
                  <c:v>-8.0535308288750033E-4</c:v>
                </c:pt>
                <c:pt idx="5">
                  <c:v>4.4711485882430917E-3</c:v>
                </c:pt>
                <c:pt idx="6">
                  <c:v>4.3499680042266547E-3</c:v>
                </c:pt>
                <c:pt idx="7">
                  <c:v>-6.2058984231795743E-3</c:v>
                </c:pt>
                <c:pt idx="8">
                  <c:v>1.0078257719716778E-2</c:v>
                </c:pt>
                <c:pt idx="9">
                  <c:v>-3.102721798453249E-3</c:v>
                </c:pt>
                <c:pt idx="10">
                  <c:v>5.7075084530769874E-3</c:v>
                </c:pt>
                <c:pt idx="11">
                  <c:v>7.7982104868978114E-4</c:v>
                </c:pt>
                <c:pt idx="12">
                  <c:v>6.4975353535388384E-3</c:v>
                </c:pt>
                <c:pt idx="13">
                  <c:v>-1.4546835661205294E-3</c:v>
                </c:pt>
                <c:pt idx="14">
                  <c:v>-4.2908603473641458E-3</c:v>
                </c:pt>
                <c:pt idx="15">
                  <c:v>3.7440097724420157E-4</c:v>
                </c:pt>
                <c:pt idx="16">
                  <c:v>-4.302868770053668E-3</c:v>
                </c:pt>
                <c:pt idx="17">
                  <c:v>2.0240718825633272E-3</c:v>
                </c:pt>
                <c:pt idx="18">
                  <c:v>-6.1616595123765256E-3</c:v>
                </c:pt>
                <c:pt idx="19">
                  <c:v>1.1838081601392909E-3</c:v>
                </c:pt>
                <c:pt idx="20">
                  <c:v>2.4685826648495552E-3</c:v>
                </c:pt>
                <c:pt idx="21">
                  <c:v>-5.6786110438643658E-4</c:v>
                </c:pt>
                <c:pt idx="22">
                  <c:v>5.8978422199027901E-4</c:v>
                </c:pt>
                <c:pt idx="23">
                  <c:v>5.9137219164717746E-4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F509-43A4-A2AE-C45F5834A2A2}"/>
            </c:ext>
          </c:extLst>
        </c:ser>
        <c:ser>
          <c:idx val="1"/>
          <c:order val="1"/>
          <c:spPr>
            <a:solidFill>
              <a:srgbClr val="ED7D31"/>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bdp!$N$69:$AK$69</c:f>
              <c:numCache>
                <c:formatCode>0%</c:formatCode>
                <c:ptCount val="24"/>
                <c:pt idx="0">
                  <c:v>1.5230957369598865E-3</c:v>
                </c:pt>
                <c:pt idx="1">
                  <c:v>3.9702779057899124E-2</c:v>
                </c:pt>
                <c:pt idx="2">
                  <c:v>1.0686621688849178E-2</c:v>
                </c:pt>
                <c:pt idx="3">
                  <c:v>9.668283593483885E-3</c:v>
                </c:pt>
                <c:pt idx="4">
                  <c:v>2.6830120557015363E-2</c:v>
                </c:pt>
                <c:pt idx="5">
                  <c:v>6.8656769669133691E-3</c:v>
                </c:pt>
                <c:pt idx="6">
                  <c:v>1.1297139397644049E-2</c:v>
                </c:pt>
                <c:pt idx="7">
                  <c:v>1.6167178401918697E-2</c:v>
                </c:pt>
                <c:pt idx="8">
                  <c:v>2.5338979690023734E-2</c:v>
                </c:pt>
                <c:pt idx="9">
                  <c:v>6.5358988591182696E-3</c:v>
                </c:pt>
                <c:pt idx="10">
                  <c:v>1.1963208591016688E-2</c:v>
                </c:pt>
                <c:pt idx="11">
                  <c:v>1.260175277350881E-2</c:v>
                </c:pt>
                <c:pt idx="12">
                  <c:v>9.8828551622709097E-3</c:v>
                </c:pt>
                <c:pt idx="13">
                  <c:v>-5.0407294832164702E-3</c:v>
                </c:pt>
                <c:pt idx="14">
                  <c:v>9.198064624080524E-4</c:v>
                </c:pt>
                <c:pt idx="15">
                  <c:v>9.1377311859529072E-3</c:v>
                </c:pt>
                <c:pt idx="16">
                  <c:v>1.4858585934149709E-3</c:v>
                </c:pt>
                <c:pt idx="17">
                  <c:v>-5.9158676943881702E-3</c:v>
                </c:pt>
                <c:pt idx="18">
                  <c:v>3.0292238241199803E-3</c:v>
                </c:pt>
                <c:pt idx="19">
                  <c:v>2.1604423059626001E-3</c:v>
                </c:pt>
                <c:pt idx="20">
                  <c:v>6.0615725872720646E-3</c:v>
                </c:pt>
                <c:pt idx="21">
                  <c:v>3.385273159124872E-3</c:v>
                </c:pt>
                <c:pt idx="22">
                  <c:v>2.837833083692844E-3</c:v>
                </c:pt>
                <c:pt idx="23">
                  <c:v>3.0044664103895465E-3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F509-43A4-A2AE-C45F5834A2A2}"/>
            </c:ext>
          </c:extLst>
        </c:ser>
        <c:ser>
          <c:idx val="2"/>
          <c:order val="2"/>
          <c:spPr>
            <a:solidFill>
              <a:srgbClr val="A5A5A5"/>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bdp!$N$70:$AK$70</c:f>
              <c:numCache>
                <c:formatCode>0%</c:formatCode>
                <c:ptCount val="24"/>
                <c:pt idx="0">
                  <c:v>1.7105745971096081E-2</c:v>
                </c:pt>
                <c:pt idx="1">
                  <c:v>1.6791988975820325E-2</c:v>
                </c:pt>
                <c:pt idx="2">
                  <c:v>1.2813616139631704E-3</c:v>
                </c:pt>
                <c:pt idx="3">
                  <c:v>-1.2867920720779353E-2</c:v>
                </c:pt>
                <c:pt idx="4">
                  <c:v>-2.875237120883375E-3</c:v>
                </c:pt>
                <c:pt idx="5">
                  <c:v>9.9102809258101512E-3</c:v>
                </c:pt>
                <c:pt idx="6">
                  <c:v>9.1123787480349196E-3</c:v>
                </c:pt>
                <c:pt idx="7">
                  <c:v>1.9963710795668912E-2</c:v>
                </c:pt>
                <c:pt idx="8">
                  <c:v>1.0809559318701863E-2</c:v>
                </c:pt>
                <c:pt idx="9">
                  <c:v>8.675580843271323E-3</c:v>
                </c:pt>
                <c:pt idx="10">
                  <c:v>9.8982233355122268E-3</c:v>
                </c:pt>
                <c:pt idx="11">
                  <c:v>9.2233064523088992E-3</c:v>
                </c:pt>
                <c:pt idx="12">
                  <c:v>1.0319325297079008E-2</c:v>
                </c:pt>
                <c:pt idx="13">
                  <c:v>-7.9006938123204005E-3</c:v>
                </c:pt>
                <c:pt idx="14">
                  <c:v>-1.895567315470411E-2</c:v>
                </c:pt>
                <c:pt idx="15">
                  <c:v>-3.8644458216952646E-3</c:v>
                </c:pt>
                <c:pt idx="16">
                  <c:v>-7.4925672120034785E-3</c:v>
                </c:pt>
                <c:pt idx="17">
                  <c:v>-7.6930890905995287E-4</c:v>
                </c:pt>
                <c:pt idx="18">
                  <c:v>-3.1266433898459131E-4</c:v>
                </c:pt>
                <c:pt idx="19">
                  <c:v>1.4902813312314578E-3</c:v>
                </c:pt>
                <c:pt idx="20">
                  <c:v>1.3191174892476767E-3</c:v>
                </c:pt>
                <c:pt idx="21">
                  <c:v>2.5558237182461609E-3</c:v>
                </c:pt>
                <c:pt idx="22">
                  <c:v>3.2887356164660766E-3</c:v>
                </c:pt>
                <c:pt idx="23">
                  <c:v>4.8546843346219662E-3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F509-43A4-A2AE-C45F5834A2A2}"/>
            </c:ext>
          </c:extLst>
        </c:ser>
        <c:ser>
          <c:idx val="3"/>
          <c:order val="3"/>
          <c:spPr>
            <a:solidFill>
              <a:srgbClr val="FFC000"/>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bdp!$N$71:$AK$71</c:f>
              <c:numCache>
                <c:formatCode>0%</c:formatCode>
                <c:ptCount val="24"/>
                <c:pt idx="0">
                  <c:v>2.0613874280185681E-2</c:v>
                </c:pt>
                <c:pt idx="1">
                  <c:v>2.167590061945477E-2</c:v>
                </c:pt>
                <c:pt idx="2">
                  <c:v>5.128434271149734E-3</c:v>
                </c:pt>
                <c:pt idx="3">
                  <c:v>-1.6959126239365744E-2</c:v>
                </c:pt>
                <c:pt idx="4">
                  <c:v>6.1477667852747097E-3</c:v>
                </c:pt>
                <c:pt idx="5">
                  <c:v>2.2238448194936408E-2</c:v>
                </c:pt>
                <c:pt idx="6">
                  <c:v>1.9892507626320468E-2</c:v>
                </c:pt>
                <c:pt idx="7">
                  <c:v>2.2884617755479789E-2</c:v>
                </c:pt>
                <c:pt idx="8">
                  <c:v>-2.0535219198024612E-3</c:v>
                </c:pt>
                <c:pt idx="9">
                  <c:v>1.3099051916475519E-2</c:v>
                </c:pt>
                <c:pt idx="10">
                  <c:v>1.4884778368546616E-2</c:v>
                </c:pt>
                <c:pt idx="11">
                  <c:v>9.1106154772130112E-3</c:v>
                </c:pt>
                <c:pt idx="12">
                  <c:v>1.0583057185839852E-2</c:v>
                </c:pt>
                <c:pt idx="13">
                  <c:v>-1.8871375908494782E-2</c:v>
                </c:pt>
                <c:pt idx="14">
                  <c:v>3.5575882072504681E-3</c:v>
                </c:pt>
                <c:pt idx="15">
                  <c:v>2.5721004905165891E-3</c:v>
                </c:pt>
                <c:pt idx="16">
                  <c:v>-1.9052577572242298E-3</c:v>
                </c:pt>
                <c:pt idx="17">
                  <c:v>-2.51792682019955E-3</c:v>
                </c:pt>
                <c:pt idx="18">
                  <c:v>3.157871210107852E-4</c:v>
                </c:pt>
                <c:pt idx="19">
                  <c:v>6.7454101761725968E-3</c:v>
                </c:pt>
                <c:pt idx="20">
                  <c:v>-1.3329893678477966E-3</c:v>
                </c:pt>
                <c:pt idx="21">
                  <c:v>6.1004054379377474E-3</c:v>
                </c:pt>
                <c:pt idx="22">
                  <c:v>7.6551765581598652E-3</c:v>
                </c:pt>
                <c:pt idx="23">
                  <c:v>6.5688140186355255E-3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F509-43A4-A2AE-C45F5834A2A2}"/>
            </c:ext>
          </c:extLst>
        </c:ser>
        <c:ser>
          <c:idx val="4"/>
          <c:order val="4"/>
          <c:spPr>
            <a:solidFill>
              <a:srgbClr val="4472C4"/>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bdp!$N$72:$AK$72</c:f>
              <c:numCache>
                <c:formatCode>0%</c:formatCode>
                <c:ptCount val="24"/>
                <c:pt idx="0">
                  <c:v>1.9871997899120773E-2</c:v>
                </c:pt>
                <c:pt idx="1">
                  <c:v>2.9339828232435857E-2</c:v>
                </c:pt>
                <c:pt idx="2">
                  <c:v>1.3841256578541678E-2</c:v>
                </c:pt>
                <c:pt idx="3">
                  <c:v>1.0329026437821775E-2</c:v>
                </c:pt>
                <c:pt idx="4">
                  <c:v>2.7000656638944482E-2</c:v>
                </c:pt>
                <c:pt idx="5">
                  <c:v>2.7021842453289122E-2</c:v>
                </c:pt>
                <c:pt idx="6">
                  <c:v>3.167467627559898E-2</c:v>
                </c:pt>
                <c:pt idx="7">
                  <c:v>2.8897510310720718E-2</c:v>
                </c:pt>
                <c:pt idx="8">
                  <c:v>2.2001128538946892E-2</c:v>
                </c:pt>
                <c:pt idx="9">
                  <c:v>2.7242316581641238E-2</c:v>
                </c:pt>
                <c:pt idx="10">
                  <c:v>2.6324652761921617E-2</c:v>
                </c:pt>
                <c:pt idx="11">
                  <c:v>3.0803301354793717E-2</c:v>
                </c:pt>
                <c:pt idx="12">
                  <c:v>2.2118932921899731E-2</c:v>
                </c:pt>
                <c:pt idx="13">
                  <c:v>-1.1359909058320135E-2</c:v>
                </c:pt>
                <c:pt idx="14">
                  <c:v>1.2533585958479445E-3</c:v>
                </c:pt>
                <c:pt idx="15">
                  <c:v>2.5530552949036855E-3</c:v>
                </c:pt>
                <c:pt idx="16">
                  <c:v>-1.7141800357800951E-3</c:v>
                </c:pt>
                <c:pt idx="17">
                  <c:v>7.1828791074931234E-3</c:v>
                </c:pt>
                <c:pt idx="18">
                  <c:v>9.6073027317840007E-4</c:v>
                </c:pt>
                <c:pt idx="19">
                  <c:v>4.6479586189318613E-3</c:v>
                </c:pt>
                <c:pt idx="20">
                  <c:v>1.6587912763715261E-2</c:v>
                </c:pt>
                <c:pt idx="21">
                  <c:v>1.8766969009678079E-2</c:v>
                </c:pt>
                <c:pt idx="22">
                  <c:v>1.4235223943845797E-2</c:v>
                </c:pt>
                <c:pt idx="23">
                  <c:v>1.5118220343448265E-2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F509-43A4-A2AE-C45F5834A2A2}"/>
            </c:ext>
          </c:extLst>
        </c:ser>
        <c:ser>
          <c:idx val="5"/>
          <c:order val="5"/>
          <c:spPr>
            <a:solidFill>
              <a:srgbClr val="70AD47"/>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bdp!$N$73:$AK$73</c:f>
              <c:numCache>
                <c:formatCode>0%</c:formatCode>
                <c:ptCount val="24"/>
                <c:pt idx="0">
                  <c:v>1.2731803650707977E-2</c:v>
                </c:pt>
                <c:pt idx="1">
                  <c:v>-3.6382313700463213E-3</c:v>
                </c:pt>
                <c:pt idx="2">
                  <c:v>3.3291075035812323E-3</c:v>
                </c:pt>
                <c:pt idx="3">
                  <c:v>1.2995742023685213E-2</c:v>
                </c:pt>
                <c:pt idx="4">
                  <c:v>-3.2673647730247554E-3</c:v>
                </c:pt>
                <c:pt idx="5">
                  <c:v>7.5818018057650181E-3</c:v>
                </c:pt>
                <c:pt idx="6">
                  <c:v>6.6383199944444601E-3</c:v>
                </c:pt>
                <c:pt idx="7">
                  <c:v>1.0848982924844939E-2</c:v>
                </c:pt>
                <c:pt idx="8">
                  <c:v>2.5175401361179892E-3</c:v>
                </c:pt>
                <c:pt idx="9">
                  <c:v>1.1851832063582137E-2</c:v>
                </c:pt>
                <c:pt idx="10">
                  <c:v>3.6059287896040627E-3</c:v>
                </c:pt>
                <c:pt idx="11">
                  <c:v>9.1760045482111204E-3</c:v>
                </c:pt>
                <c:pt idx="12">
                  <c:v>5.9245757148045173E-3</c:v>
                </c:pt>
                <c:pt idx="13">
                  <c:v>5.2123416125730902E-4</c:v>
                </c:pt>
                <c:pt idx="14">
                  <c:v>2.7544960521896423E-3</c:v>
                </c:pt>
                <c:pt idx="15">
                  <c:v>4.6445423931635553E-3</c:v>
                </c:pt>
                <c:pt idx="16">
                  <c:v>-6.2373286309177411E-3</c:v>
                </c:pt>
                <c:pt idx="17">
                  <c:v>-3.8086611224130199E-3</c:v>
                </c:pt>
                <c:pt idx="18">
                  <c:v>1.7318727214443862E-3</c:v>
                </c:pt>
                <c:pt idx="19">
                  <c:v>-6.8955930024283403E-4</c:v>
                </c:pt>
                <c:pt idx="20">
                  <c:v>1.6519984338850679E-3</c:v>
                </c:pt>
                <c:pt idx="21">
                  <c:v>2.381461803972936E-3</c:v>
                </c:pt>
                <c:pt idx="22">
                  <c:v>1.1208338686651393E-3</c:v>
                </c:pt>
                <c:pt idx="23">
                  <c:v>1.7635415823366752E-3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F509-43A4-A2AE-C45F5834A2A2}"/>
            </c:ext>
          </c:extLst>
        </c:ser>
        <c:ser>
          <c:idx val="6"/>
          <c:order val="6"/>
          <c:spPr>
            <a:solidFill>
              <a:srgbClr val="5B9BD5"/>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bdp!$N$74:$AK$74</c:f>
              <c:numCache>
                <c:formatCode>0%</c:formatCode>
                <c:ptCount val="24"/>
                <c:pt idx="0">
                  <c:v>6.6712383005057569E-3</c:v>
                </c:pt>
                <c:pt idx="1">
                  <c:v>5.7099365180699451E-3</c:v>
                </c:pt>
                <c:pt idx="2">
                  <c:v>8.0837809209716102E-3</c:v>
                </c:pt>
                <c:pt idx="3">
                  <c:v>7.343071062604155E-3</c:v>
                </c:pt>
                <c:pt idx="4">
                  <c:v>4.4972134144289303E-3</c:v>
                </c:pt>
                <c:pt idx="5">
                  <c:v>4.8324651573205786E-3</c:v>
                </c:pt>
                <c:pt idx="6">
                  <c:v>6.5984386311609636E-3</c:v>
                </c:pt>
                <c:pt idx="7">
                  <c:v>7.2229114548793489E-3</c:v>
                </c:pt>
                <c:pt idx="8">
                  <c:v>6.4509607897441004E-3</c:v>
                </c:pt>
                <c:pt idx="9">
                  <c:v>6.8322608389670891E-3</c:v>
                </c:pt>
                <c:pt idx="10">
                  <c:v>7.9431614502213192E-3</c:v>
                </c:pt>
                <c:pt idx="11">
                  <c:v>1.6497125987569718E-2</c:v>
                </c:pt>
                <c:pt idx="12">
                  <c:v>2.5600373089909637E-3</c:v>
                </c:pt>
                <c:pt idx="13">
                  <c:v>3.3134564444845156E-4</c:v>
                </c:pt>
                <c:pt idx="14">
                  <c:v>-1.1458866308086809E-3</c:v>
                </c:pt>
                <c:pt idx="15">
                  <c:v>4.2743926391951943E-3</c:v>
                </c:pt>
                <c:pt idx="16">
                  <c:v>4.844858292421238E-4</c:v>
                </c:pt>
                <c:pt idx="17">
                  <c:v>-4.1212093932149415E-4</c:v>
                </c:pt>
                <c:pt idx="18">
                  <c:v>1.3823636230926816E-3</c:v>
                </c:pt>
                <c:pt idx="19">
                  <c:v>1.4239015796898029E-3</c:v>
                </c:pt>
                <c:pt idx="20">
                  <c:v>1.0972189995529535E-3</c:v>
                </c:pt>
                <c:pt idx="21">
                  <c:v>1.6545243338109375E-3</c:v>
                </c:pt>
                <c:pt idx="22">
                  <c:v>2.3012020472776428E-3</c:v>
                </c:pt>
                <c:pt idx="23">
                  <c:v>2.2373880302696543E-3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6-F509-43A4-A2AE-C45F5834A2A2}"/>
            </c:ext>
          </c:extLst>
        </c:ser>
        <c:ser>
          <c:idx val="7"/>
          <c:order val="7"/>
          <c:spPr>
            <a:solidFill>
              <a:srgbClr val="ED7D31"/>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bdp!$N$75:$AK$75</c:f>
              <c:numCache>
                <c:formatCode>0%</c:formatCode>
                <c:ptCount val="24"/>
                <c:pt idx="0">
                  <c:v>2.8787707250432094E-2</c:v>
                </c:pt>
                <c:pt idx="1">
                  <c:v>2.5681626107104418E-2</c:v>
                </c:pt>
                <c:pt idx="2">
                  <c:v>3.8245932465907899E-2</c:v>
                </c:pt>
                <c:pt idx="3">
                  <c:v>1.8831184867042418E-2</c:v>
                </c:pt>
                <c:pt idx="4">
                  <c:v>9.8631013686601172E-3</c:v>
                </c:pt>
                <c:pt idx="5">
                  <c:v>-4.8888194576783284E-3</c:v>
                </c:pt>
                <c:pt idx="6">
                  <c:v>6.078686743382529E-3</c:v>
                </c:pt>
                <c:pt idx="7">
                  <c:v>1.0968366880936371E-2</c:v>
                </c:pt>
                <c:pt idx="8">
                  <c:v>1.2324336660055283E-2</c:v>
                </c:pt>
                <c:pt idx="9">
                  <c:v>5.6812766231695974E-3</c:v>
                </c:pt>
                <c:pt idx="10">
                  <c:v>8.0813029363817311E-3</c:v>
                </c:pt>
                <c:pt idx="11">
                  <c:v>1.4586710012311325E-2</c:v>
                </c:pt>
                <c:pt idx="12">
                  <c:v>9.2600562474925742E-3</c:v>
                </c:pt>
                <c:pt idx="13">
                  <c:v>7.7457224555160407E-3</c:v>
                </c:pt>
                <c:pt idx="14">
                  <c:v>2.1983082716159129E-3</c:v>
                </c:pt>
                <c:pt idx="15">
                  <c:v>-5.913903516702744E-4</c:v>
                </c:pt>
                <c:pt idx="16">
                  <c:v>-1.7935547214172748E-3</c:v>
                </c:pt>
                <c:pt idx="17">
                  <c:v>-3.5271220772459927E-3</c:v>
                </c:pt>
                <c:pt idx="18">
                  <c:v>-4.1275861336228343E-4</c:v>
                </c:pt>
                <c:pt idx="19">
                  <c:v>1.4967703315757123E-3</c:v>
                </c:pt>
                <c:pt idx="20">
                  <c:v>6.1502627349523916E-3</c:v>
                </c:pt>
                <c:pt idx="21">
                  <c:v>5.6568072152776766E-3</c:v>
                </c:pt>
                <c:pt idx="22">
                  <c:v>8.3705085628119277E-3</c:v>
                </c:pt>
                <c:pt idx="23">
                  <c:v>8.2570268977129567E-3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7-F509-43A4-A2AE-C45F5834A2A2}"/>
            </c:ext>
          </c:extLst>
        </c:ser>
        <c:dLbls>
          <c:showLegendKey val="0"/>
          <c:showVal val="0"/>
          <c:showCatName val="0"/>
          <c:showSerName val="0"/>
          <c:showPercent val="0"/>
          <c:showBubbleSize val="0"/>
        </c:dLbls>
        <c:gapWidth val="150"/>
        <c:overlap val="100"/>
        <c:axId val="484773214"/>
        <c:axId val="80578401"/>
      </c:barChart>
      <c:catAx>
        <c:axId val="484773214"/>
        <c:scaling>
          <c:orientation val="minMax"/>
        </c:scaling>
        <c:delete val="0"/>
        <c:axPos val="b"/>
        <c:title>
          <c:tx>
            <c:rich>
              <a:bodyPr/>
              <a:lstStyle/>
              <a:p>
                <a:pPr lvl="0">
                  <a:defRPr b="0">
                    <a:solidFill>
                      <a:srgbClr val="000000"/>
                    </a:solidFill>
                    <a:latin typeface="+mn-lt"/>
                  </a:defRPr>
                </a:pPr>
                <a:endParaRPr lang="hr-H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sr-Latn-RS"/>
          </a:p>
        </c:txPr>
        <c:crossAx val="80578401"/>
        <c:crosses val="autoZero"/>
        <c:auto val="1"/>
        <c:lblAlgn val="ctr"/>
        <c:lblOffset val="100"/>
        <c:noMultiLvlLbl val="1"/>
      </c:catAx>
      <c:valAx>
        <c:axId val="805784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sr-Latn-RS"/>
          </a:p>
        </c:txPr>
        <c:crossAx val="484773214"/>
        <c:crosses val="autoZero"/>
        <c:crossBetween val="between"/>
      </c:valAx>
    </c:plotArea>
    <c:legend>
      <c:legendPos val="t"/>
      <c:layout>
        <c:manualLayout>
          <c:xMode val="edge"/>
          <c:yMode val="edge"/>
          <c:x val="2.6318897637795269E-2"/>
          <c:y val="2.0207254298218236E-2"/>
        </c:manualLayout>
      </c:layout>
      <c:overlay val="0"/>
      <c:txPr>
        <a:bodyPr/>
        <a:lstStyle/>
        <a:p>
          <a:pPr lvl="0">
            <a:defRPr sz="10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nezaposlenost!$O$3</c:f>
              <c:strCache>
                <c:ptCount val="1"/>
                <c:pt idx="0">
                  <c:v>OLS '98-'19</c:v>
                </c:pt>
              </c:strCache>
            </c:strRef>
          </c:tx>
          <c:spPr>
            <a:ln w="28575" cmpd="sng">
              <a:solidFill>
                <a:schemeClr val="accent1"/>
              </a:solidFill>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nezaposlenost!$O$4:$O$28</c:f>
              <c:numCache>
                <c:formatCode>General</c:formatCode>
                <c:ptCount val="25"/>
                <c:pt idx="2" formatCode="_-* #,##0.00\ _k_n_-;\-* #,##0.00\ _k_n_-;_-* &quot;-&quot;??\ _k_n_-;_-@">
                  <c:v>18.14</c:v>
                </c:pt>
                <c:pt idx="3" formatCode="_-* #,##0.00\ _k_n_-;\-* #,##0.00\ _k_n_-;_-* &quot;-&quot;??\ _k_n_-;_-@">
                  <c:v>20.399999999999999</c:v>
                </c:pt>
                <c:pt idx="4" formatCode="_-* #,##0.00\ _k_n_-;\-* #,##0.00\ _k_n_-;_-* &quot;-&quot;??\ _k_n_-;_-@">
                  <c:v>22.27</c:v>
                </c:pt>
                <c:pt idx="5" formatCode="_-* #,##0.00\ _k_n_-;\-* #,##0.00\ _k_n_-;_-* &quot;-&quot;??\ _k_n_-;_-@">
                  <c:v>22.77</c:v>
                </c:pt>
                <c:pt idx="6" formatCode="_-* #,##0.00\ _k_n_-;\-* #,##0.00\ _k_n_-;_-* &quot;-&quot;??\ _k_n_-;_-@">
                  <c:v>21.32</c:v>
                </c:pt>
                <c:pt idx="7" formatCode="_-* #,##0.00\ _k_n_-;\-* #,##0.00\ _k_n_-;_-* &quot;-&quot;??\ _k_n_-;_-@">
                  <c:v>18.670000000000002</c:v>
                </c:pt>
                <c:pt idx="8" formatCode="_-* #,##0.00\ _k_n_-;\-* #,##0.00\ _k_n_-;_-* &quot;-&quot;??\ _k_n_-;_-@">
                  <c:v>18.52</c:v>
                </c:pt>
                <c:pt idx="9" formatCode="_-* #,##0.00\ _k_n_-;\-* #,##0.00\ _k_n_-;_-* &quot;-&quot;??\ _k_n_-;_-@">
                  <c:v>17.850000000000001</c:v>
                </c:pt>
                <c:pt idx="10" formatCode="_-* #,##0.00\ _k_n_-;\-* #,##0.00\ _k_n_-;_-* &quot;-&quot;??\ _k_n_-;_-@">
                  <c:v>16.649999999999999</c:v>
                </c:pt>
                <c:pt idx="11" formatCode="_-* #,##0.00\ _k_n_-;\-* #,##0.00\ _k_n_-;_-* &quot;-&quot;??\ _k_n_-;_-@">
                  <c:v>14.38</c:v>
                </c:pt>
                <c:pt idx="12" formatCode="_-* #,##0.00\ _k_n_-;\-* #,##0.00\ _k_n_-;_-* &quot;-&quot;??\ _k_n_-;_-@">
                  <c:v>13.48</c:v>
                </c:pt>
                <c:pt idx="13" formatCode="_-* #,##0.00\ _k_n_-;\-* #,##0.00\ _k_n_-;_-* &quot;-&quot;??\ _k_n_-;_-@">
                  <c:v>16.739999999999998</c:v>
                </c:pt>
                <c:pt idx="14" formatCode="_-* #,##0.00\ _k_n_-;\-* #,##0.00\ _k_n_-;_-* &quot;-&quot;??\ _k_n_-;_-@">
                  <c:v>18.64</c:v>
                </c:pt>
                <c:pt idx="15" formatCode="_-* #,##0.00\ _k_n_-;\-* #,##0.00\ _k_n_-;_-* &quot;-&quot;??\ _k_n_-;_-@">
                  <c:v>18.558517003648891</c:v>
                </c:pt>
                <c:pt idx="16" formatCode="_-* #,##0.00\ _k_n_-;\-* #,##0.00\ _k_n_-;_-* &quot;-&quot;??\ _k_n_-;_-@">
                  <c:v>20.9</c:v>
                </c:pt>
                <c:pt idx="17" formatCode="_-* #,##0.00\ _k_n_-;\-* #,##0.00\ _k_n_-;_-* &quot;-&quot;??\ _k_n_-;_-@">
                  <c:v>21.5</c:v>
                </c:pt>
                <c:pt idx="18" formatCode="_-* #,##0.00\ _k_n_-;\-* #,##0.00\ _k_n_-;_-* &quot;-&quot;??\ _k_n_-;_-@">
                  <c:v>19.399999999999999</c:v>
                </c:pt>
                <c:pt idx="19" formatCode="_-* #,##0.00\ _k_n_-;\-* #,##0.00\ _k_n_-;_-* &quot;-&quot;??\ _k_n_-;_-@">
                  <c:v>17.225642594526882</c:v>
                </c:pt>
                <c:pt idx="20" formatCode="_-* #,##0.00\ _k_n_-;\-* #,##0.00\ _k_n_-;_-* &quot;-&quot;??\ _k_n_-;_-@">
                  <c:v>14.1</c:v>
                </c:pt>
                <c:pt idx="21" formatCode="_-* #,##0.00\ _k_n_-;\-* #,##0.00\ _k_n_-;_-* &quot;-&quot;??\ _k_n_-;_-@">
                  <c:v>11.2</c:v>
                </c:pt>
                <c:pt idx="22" formatCode="_-* #,##0.00\ _k_n_-;\-* #,##0.00\ _k_n_-;_-* &quot;-&quot;??\ _k_n_-;_-@">
                  <c:v>8.9</c:v>
                </c:pt>
                <c:pt idx="23" formatCode="_-* #,##0.00\ _k_n_-;\-* #,##0.00\ _k_n_-;_-* &quot;-&quot;??\ _k_n_-;_-@">
                  <c:v>7.880732391973619</c:v>
                </c:pt>
                <c:pt idx="24" formatCode="_-* #,##0.00\ _k_n_-;\-* #,##0.00\ _k_n_-;_-* &quot;-&quot;??\ _k_n_-;_-@">
                  <c:v>20.447575338122849</c:v>
                </c:pt>
              </c:numCache>
            </c:numRef>
          </c:val>
          <c:smooth val="0"/>
          <c:extLst>
            <c:ext xmlns:c16="http://schemas.microsoft.com/office/drawing/2014/chart" uri="{C3380CC4-5D6E-409C-BE32-E72D297353CC}">
              <c16:uniqueId val="{00000000-3929-4615-82B9-7666AAFC40E4}"/>
            </c:ext>
          </c:extLst>
        </c:ser>
        <c:ser>
          <c:idx val="1"/>
          <c:order val="1"/>
          <c:tx>
            <c:strRef>
              <c:f>nezaposlenost!$P$3</c:f>
              <c:strCache>
                <c:ptCount val="1"/>
                <c:pt idx="0">
                  <c:v>Prosjek</c:v>
                </c:pt>
              </c:strCache>
            </c:strRef>
          </c:tx>
          <c:spPr>
            <a:ln w="28575" cmpd="sng">
              <a:solidFill>
                <a:schemeClr val="accent2"/>
              </a:solidFill>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nezaposlenost!$P$4:$P$28</c:f>
              <c:numCache>
                <c:formatCode>General</c:formatCode>
                <c:ptCount val="25"/>
                <c:pt idx="4" formatCode="_-* #,##0.00\ _k_n_-;\-* #,##0.00\ _k_n_-;_-* &quot;-&quot;??\ _k_n_-;_-@">
                  <c:v>22.27</c:v>
                </c:pt>
                <c:pt idx="5" formatCode="_-* #,##0.00\ _k_n_-;\-* #,##0.00\ _k_n_-;_-* &quot;-&quot;??\ _k_n_-;_-@">
                  <c:v>22.77</c:v>
                </c:pt>
                <c:pt idx="6" formatCode="_-* #,##0.00\ _k_n_-;\-* #,##0.00\ _k_n_-;_-* &quot;-&quot;??\ _k_n_-;_-@">
                  <c:v>21.32</c:v>
                </c:pt>
                <c:pt idx="7" formatCode="_-* #,##0.00\ _k_n_-;\-* #,##0.00\ _k_n_-;_-* &quot;-&quot;??\ _k_n_-;_-@">
                  <c:v>18.670000000000002</c:v>
                </c:pt>
                <c:pt idx="8" formatCode="_-* #,##0.00\ _k_n_-;\-* #,##0.00\ _k_n_-;_-* &quot;-&quot;??\ _k_n_-;_-@">
                  <c:v>18.52</c:v>
                </c:pt>
                <c:pt idx="9" formatCode="_-* #,##0.00\ _k_n_-;\-* #,##0.00\ _k_n_-;_-* &quot;-&quot;??\ _k_n_-;_-@">
                  <c:v>17.850000000000001</c:v>
                </c:pt>
                <c:pt idx="10" formatCode="_-* #,##0.00\ _k_n_-;\-* #,##0.00\ _k_n_-;_-* &quot;-&quot;??\ _k_n_-;_-@">
                  <c:v>16.649999999999999</c:v>
                </c:pt>
                <c:pt idx="11" formatCode="_-* #,##0.00\ _k_n_-;\-* #,##0.00\ _k_n_-;_-* &quot;-&quot;??\ _k_n_-;_-@">
                  <c:v>14.38</c:v>
                </c:pt>
                <c:pt idx="12" formatCode="_-* #,##0.00\ _k_n_-;\-* #,##0.00\ _k_n_-;_-* &quot;-&quot;??\ _k_n_-;_-@">
                  <c:v>13.48</c:v>
                </c:pt>
                <c:pt idx="13" formatCode="_-* #,##0.00\ _k_n_-;\-* #,##0.00\ _k_n_-;_-* &quot;-&quot;??\ _k_n_-;_-@">
                  <c:v>16.739999999999998</c:v>
                </c:pt>
                <c:pt idx="14" formatCode="_-* #,##0.00\ _k_n_-;\-* #,##0.00\ _k_n_-;_-* &quot;-&quot;??\ _k_n_-;_-@">
                  <c:v>18.64</c:v>
                </c:pt>
                <c:pt idx="15" formatCode="_-* #,##0.00\ _k_n_-;\-* #,##0.00\ _k_n_-;_-* &quot;-&quot;??\ _k_n_-;_-@">
                  <c:v>18.558517003648891</c:v>
                </c:pt>
                <c:pt idx="16" formatCode="_-* #,##0.00\ _k_n_-;\-* #,##0.00\ _k_n_-;_-* &quot;-&quot;??\ _k_n_-;_-@">
                  <c:v>20.9</c:v>
                </c:pt>
                <c:pt idx="17" formatCode="_-* #,##0.00\ _k_n_-;\-* #,##0.00\ _k_n_-;_-* &quot;-&quot;??\ _k_n_-;_-@">
                  <c:v>21.5</c:v>
                </c:pt>
                <c:pt idx="18" formatCode="_-* #,##0.00\ _k_n_-;\-* #,##0.00\ _k_n_-;_-* &quot;-&quot;??\ _k_n_-;_-@">
                  <c:v>19.399999999999999</c:v>
                </c:pt>
                <c:pt idx="19" formatCode="_-* #,##0.00\ _k_n_-;\-* #,##0.00\ _k_n_-;_-* &quot;-&quot;??\ _k_n_-;_-@">
                  <c:v>17.225642594526882</c:v>
                </c:pt>
                <c:pt idx="20" formatCode="_-* #,##0.00\ _k_n_-;\-* #,##0.00\ _k_n_-;_-* &quot;-&quot;??\ _k_n_-;_-@">
                  <c:v>14.1</c:v>
                </c:pt>
                <c:pt idx="21" formatCode="_-* #,##0.00\ _k_n_-;\-* #,##0.00\ _k_n_-;_-* &quot;-&quot;??\ _k_n_-;_-@">
                  <c:v>11.2</c:v>
                </c:pt>
                <c:pt idx="22" formatCode="_-* #,##0.00\ _k_n_-;\-* #,##0.00\ _k_n_-;_-* &quot;-&quot;??\ _k_n_-;_-@">
                  <c:v>8.9</c:v>
                </c:pt>
                <c:pt idx="23" formatCode="_-* #,##0.00\ _k_n_-;\-* #,##0.00\ _k_n_-;_-* &quot;-&quot;??\ _k_n_-;_-@">
                  <c:v>7.8807323919736199</c:v>
                </c:pt>
                <c:pt idx="24" formatCode="_-* #,##0.00\ _k_n_-;\-* #,##0.00\ _k_n_-;_-* &quot;-&quot;??\ _k_n_-;_-@">
                  <c:v>13.58393773435203</c:v>
                </c:pt>
              </c:numCache>
            </c:numRef>
          </c:val>
          <c:smooth val="0"/>
          <c:extLst>
            <c:ext xmlns:c16="http://schemas.microsoft.com/office/drawing/2014/chart" uri="{C3380CC4-5D6E-409C-BE32-E72D297353CC}">
              <c16:uniqueId val="{00000001-3929-4615-82B9-7666AAFC40E4}"/>
            </c:ext>
          </c:extLst>
        </c:ser>
        <c:ser>
          <c:idx val="2"/>
          <c:order val="2"/>
          <c:tx>
            <c:strRef>
              <c:f>nezaposlenost!$Q$3</c:f>
              <c:strCache>
                <c:ptCount val="1"/>
                <c:pt idx="0">
                  <c:v>OLS '00-'19</c:v>
                </c:pt>
              </c:strCache>
            </c:strRef>
          </c:tx>
          <c:spPr>
            <a:ln w="28575" cmpd="sng">
              <a:solidFill>
                <a:schemeClr val="accent3"/>
              </a:solidFill>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nezaposlenost!$Q$4:$Q$28</c:f>
              <c:numCache>
                <c:formatCode>General</c:formatCode>
                <c:ptCount val="25"/>
                <c:pt idx="4" formatCode="_-* #,##0.00\ _k_n_-;\-* #,##0.00\ _k_n_-;_-* &quot;-&quot;??\ _k_n_-;_-@">
                  <c:v>22.27</c:v>
                </c:pt>
                <c:pt idx="5" formatCode="_-* #,##0.00\ _k_n_-;\-* #,##0.00\ _k_n_-;_-* &quot;-&quot;??\ _k_n_-;_-@">
                  <c:v>22.77</c:v>
                </c:pt>
                <c:pt idx="6" formatCode="_-* #,##0.00\ _k_n_-;\-* #,##0.00\ _k_n_-;_-* &quot;-&quot;??\ _k_n_-;_-@">
                  <c:v>21.32</c:v>
                </c:pt>
                <c:pt idx="7" formatCode="_-* #,##0.00\ _k_n_-;\-* #,##0.00\ _k_n_-;_-* &quot;-&quot;??\ _k_n_-;_-@">
                  <c:v>18.670000000000002</c:v>
                </c:pt>
                <c:pt idx="8" formatCode="_-* #,##0.00\ _k_n_-;\-* #,##0.00\ _k_n_-;_-* &quot;-&quot;??\ _k_n_-;_-@">
                  <c:v>18.52</c:v>
                </c:pt>
                <c:pt idx="9" formatCode="_-* #,##0.00\ _k_n_-;\-* #,##0.00\ _k_n_-;_-* &quot;-&quot;??\ _k_n_-;_-@">
                  <c:v>17.850000000000001</c:v>
                </c:pt>
                <c:pt idx="10" formatCode="_-* #,##0.00\ _k_n_-;\-* #,##0.00\ _k_n_-;_-* &quot;-&quot;??\ _k_n_-;_-@">
                  <c:v>16.649999999999999</c:v>
                </c:pt>
                <c:pt idx="11" formatCode="_-* #,##0.00\ _k_n_-;\-* #,##0.00\ _k_n_-;_-* &quot;-&quot;??\ _k_n_-;_-@">
                  <c:v>14.38</c:v>
                </c:pt>
                <c:pt idx="12" formatCode="_-* #,##0.00\ _k_n_-;\-* #,##0.00\ _k_n_-;_-* &quot;-&quot;??\ _k_n_-;_-@">
                  <c:v>13.48</c:v>
                </c:pt>
                <c:pt idx="13" formatCode="_-* #,##0.00\ _k_n_-;\-* #,##0.00\ _k_n_-;_-* &quot;-&quot;??\ _k_n_-;_-@">
                  <c:v>16.739999999999998</c:v>
                </c:pt>
                <c:pt idx="14" formatCode="_-* #,##0.00\ _k_n_-;\-* #,##0.00\ _k_n_-;_-* &quot;-&quot;??\ _k_n_-;_-@">
                  <c:v>18.64</c:v>
                </c:pt>
                <c:pt idx="15" formatCode="_-* #,##0.00\ _k_n_-;\-* #,##0.00\ _k_n_-;_-* &quot;-&quot;??\ _k_n_-;_-@">
                  <c:v>18.558517003648891</c:v>
                </c:pt>
                <c:pt idx="16" formatCode="_-* #,##0.00\ _k_n_-;\-* #,##0.00\ _k_n_-;_-* &quot;-&quot;??\ _k_n_-;_-@">
                  <c:v>20.9</c:v>
                </c:pt>
                <c:pt idx="17" formatCode="_-* #,##0.00\ _k_n_-;\-* #,##0.00\ _k_n_-;_-* &quot;-&quot;??\ _k_n_-;_-@">
                  <c:v>21.5</c:v>
                </c:pt>
                <c:pt idx="18" formatCode="_-* #,##0.00\ _k_n_-;\-* #,##0.00\ _k_n_-;_-* &quot;-&quot;??\ _k_n_-;_-@">
                  <c:v>19.399999999999999</c:v>
                </c:pt>
                <c:pt idx="19" formatCode="_-* #,##0.00\ _k_n_-;\-* #,##0.00\ _k_n_-;_-* &quot;-&quot;??\ _k_n_-;_-@">
                  <c:v>17.225642594526882</c:v>
                </c:pt>
                <c:pt idx="20" formatCode="_-* #,##0.00\ _k_n_-;\-* #,##0.00\ _k_n_-;_-* &quot;-&quot;??\ _k_n_-;_-@">
                  <c:v>14.1</c:v>
                </c:pt>
                <c:pt idx="21" formatCode="_-* #,##0.00\ _k_n_-;\-* #,##0.00\ _k_n_-;_-* &quot;-&quot;??\ _k_n_-;_-@">
                  <c:v>11.2</c:v>
                </c:pt>
                <c:pt idx="22" formatCode="_-* #,##0.00\ _k_n_-;\-* #,##0.00\ _k_n_-;_-* &quot;-&quot;??\ _k_n_-;_-@">
                  <c:v>8.9</c:v>
                </c:pt>
                <c:pt idx="23" formatCode="_-* #,##0.00\ _k_n_-;\-* #,##0.00\ _k_n_-;_-* &quot;-&quot;??\ _k_n_-;_-@">
                  <c:v>7.8807323919736199</c:v>
                </c:pt>
                <c:pt idx="24" formatCode="_-* #,##0.00\ _k_n_-;\-* #,##0.00\ _k_n_-;_-* &quot;-&quot;??\ _k_n_-;_-@">
                  <c:v>13.882071661282962</c:v>
                </c:pt>
              </c:numCache>
            </c:numRef>
          </c:val>
          <c:smooth val="0"/>
          <c:extLst>
            <c:ext xmlns:c16="http://schemas.microsoft.com/office/drawing/2014/chart" uri="{C3380CC4-5D6E-409C-BE32-E72D297353CC}">
              <c16:uniqueId val="{00000002-3929-4615-82B9-7666AAFC40E4}"/>
            </c:ext>
          </c:extLst>
        </c:ser>
        <c:ser>
          <c:idx val="3"/>
          <c:order val="3"/>
          <c:tx>
            <c:strRef>
              <c:f>nezaposlenost!$R$3</c:f>
              <c:strCache>
                <c:ptCount val="1"/>
                <c:pt idx="0">
                  <c:v>OLS '08-'19</c:v>
                </c:pt>
              </c:strCache>
            </c:strRef>
          </c:tx>
          <c:spPr>
            <a:ln w="28575" cmpd="sng">
              <a:solidFill>
                <a:schemeClr val="accent4"/>
              </a:solidFill>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nezaposlenost!$R$4:$R$28</c:f>
              <c:numCache>
                <c:formatCode>General</c:formatCode>
                <c:ptCount val="25"/>
                <c:pt idx="4" formatCode="_-* #,##0.00\ _k_n_-;\-* #,##0.00\ _k_n_-;_-* &quot;-&quot;??\ _k_n_-;_-@">
                  <c:v>22.27</c:v>
                </c:pt>
                <c:pt idx="5" formatCode="_-* #,##0.00\ _k_n_-;\-* #,##0.00\ _k_n_-;_-* &quot;-&quot;??\ _k_n_-;_-@">
                  <c:v>22.77</c:v>
                </c:pt>
                <c:pt idx="6" formatCode="_-* #,##0.00\ _k_n_-;\-* #,##0.00\ _k_n_-;_-* &quot;-&quot;??\ _k_n_-;_-@">
                  <c:v>21.32</c:v>
                </c:pt>
                <c:pt idx="7" formatCode="_-* #,##0.00\ _k_n_-;\-* #,##0.00\ _k_n_-;_-* &quot;-&quot;??\ _k_n_-;_-@">
                  <c:v>18.670000000000002</c:v>
                </c:pt>
                <c:pt idx="8" formatCode="_-* #,##0.00\ _k_n_-;\-* #,##0.00\ _k_n_-;_-* &quot;-&quot;??\ _k_n_-;_-@">
                  <c:v>18.52</c:v>
                </c:pt>
                <c:pt idx="9" formatCode="_-* #,##0.00\ _k_n_-;\-* #,##0.00\ _k_n_-;_-* &quot;-&quot;??\ _k_n_-;_-@">
                  <c:v>17.850000000000001</c:v>
                </c:pt>
                <c:pt idx="10" formatCode="_-* #,##0.00\ _k_n_-;\-* #,##0.00\ _k_n_-;_-* &quot;-&quot;??\ _k_n_-;_-@">
                  <c:v>16.649999999999999</c:v>
                </c:pt>
                <c:pt idx="11" formatCode="_-* #,##0.00\ _k_n_-;\-* #,##0.00\ _k_n_-;_-* &quot;-&quot;??\ _k_n_-;_-@">
                  <c:v>14.38</c:v>
                </c:pt>
                <c:pt idx="12" formatCode="_-* #,##0.00\ _k_n_-;\-* #,##0.00\ _k_n_-;_-* &quot;-&quot;??\ _k_n_-;_-@">
                  <c:v>13.48</c:v>
                </c:pt>
                <c:pt idx="13" formatCode="_-* #,##0.00\ _k_n_-;\-* #,##0.00\ _k_n_-;_-* &quot;-&quot;??\ _k_n_-;_-@">
                  <c:v>16.739999999999998</c:v>
                </c:pt>
                <c:pt idx="14" formatCode="_-* #,##0.00\ _k_n_-;\-* #,##0.00\ _k_n_-;_-* &quot;-&quot;??\ _k_n_-;_-@">
                  <c:v>18.64</c:v>
                </c:pt>
                <c:pt idx="15" formatCode="_-* #,##0.00\ _k_n_-;\-* #,##0.00\ _k_n_-;_-* &quot;-&quot;??\ _k_n_-;_-@">
                  <c:v>18.558517003648891</c:v>
                </c:pt>
                <c:pt idx="16" formatCode="_-* #,##0.00\ _k_n_-;\-* #,##0.00\ _k_n_-;_-* &quot;-&quot;??\ _k_n_-;_-@">
                  <c:v>20.9</c:v>
                </c:pt>
                <c:pt idx="17" formatCode="_-* #,##0.00\ _k_n_-;\-* #,##0.00\ _k_n_-;_-* &quot;-&quot;??\ _k_n_-;_-@">
                  <c:v>21.5</c:v>
                </c:pt>
                <c:pt idx="18" formatCode="_-* #,##0.00\ _k_n_-;\-* #,##0.00\ _k_n_-;_-* &quot;-&quot;??\ _k_n_-;_-@">
                  <c:v>19.399999999999999</c:v>
                </c:pt>
                <c:pt idx="19" formatCode="_-* #,##0.00\ _k_n_-;\-* #,##0.00\ _k_n_-;_-* &quot;-&quot;??\ _k_n_-;_-@">
                  <c:v>17.225642594526882</c:v>
                </c:pt>
                <c:pt idx="20" formatCode="_-* #,##0.00\ _k_n_-;\-* #,##0.00\ _k_n_-;_-* &quot;-&quot;??\ _k_n_-;_-@">
                  <c:v>14.1</c:v>
                </c:pt>
                <c:pt idx="21" formatCode="_-* #,##0.00\ _k_n_-;\-* #,##0.00\ _k_n_-;_-* &quot;-&quot;??\ _k_n_-;_-@">
                  <c:v>11.2</c:v>
                </c:pt>
                <c:pt idx="22" formatCode="_-* #,##0.00\ _k_n_-;\-* #,##0.00\ _k_n_-;_-* &quot;-&quot;??\ _k_n_-;_-@">
                  <c:v>8.9</c:v>
                </c:pt>
                <c:pt idx="23" formatCode="_-* #,##0.00\ _k_n_-;\-* #,##0.00\ _k_n_-;_-* &quot;-&quot;??\ _k_n_-;_-@">
                  <c:v>7.8807323919736199</c:v>
                </c:pt>
                <c:pt idx="24" formatCode="_-* #,##0.00\ _k_n_-;\-* #,##0.00\ _k_n_-;_-* &quot;-&quot;??\ _k_n_-;_-@">
                  <c:v>17.03087522286857</c:v>
                </c:pt>
              </c:numCache>
            </c:numRef>
          </c:val>
          <c:smooth val="0"/>
          <c:extLst>
            <c:ext xmlns:c16="http://schemas.microsoft.com/office/drawing/2014/chart" uri="{C3380CC4-5D6E-409C-BE32-E72D297353CC}">
              <c16:uniqueId val="{00000003-3929-4615-82B9-7666AAFC40E4}"/>
            </c:ext>
          </c:extLst>
        </c:ser>
        <c:ser>
          <c:idx val="4"/>
          <c:order val="4"/>
          <c:tx>
            <c:strRef>
              <c:f>nezaposlenost!$S$3</c:f>
              <c:strCache>
                <c:ptCount val="1"/>
                <c:pt idx="0">
                  <c:v>dbdp_r - desno</c:v>
                </c:pt>
              </c:strCache>
            </c:strRef>
          </c:tx>
          <c:spPr>
            <a:ln w="28575" cmpd="sng">
              <a:solidFill>
                <a:schemeClr val="accent5"/>
              </a:solidFill>
              <a:prstDash val="dash"/>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nezaposlenost!$S$4:$S$28</c:f>
              <c:numCache>
                <c:formatCode>_-* #,##0.00\ _k_n_-;\-* #,##0.00\ _k_n_-;_-* "-"??\ _k_n_-;_-@</c:formatCode>
                <c:ptCount val="25"/>
                <c:pt idx="0">
                  <c:v>5.8335407060261275</c:v>
                </c:pt>
                <c:pt idx="1">
                  <c:v>6.7529116027906326</c:v>
                </c:pt>
                <c:pt idx="2">
                  <c:v>2.002959820525362</c:v>
                </c:pt>
                <c:pt idx="3">
                  <c:v>-0.81778934042826279</c:v>
                </c:pt>
                <c:pt idx="4">
                  <c:v>3.2785997299455998</c:v>
                </c:pt>
                <c:pt idx="5">
                  <c:v>3.3469386057616362</c:v>
                </c:pt>
                <c:pt idx="6">
                  <c:v>5.1158304466971742</c:v>
                </c:pt>
                <c:pt idx="7">
                  <c:v>5.640321016589624</c:v>
                </c:pt>
                <c:pt idx="8">
                  <c:v>4.1603675668260962</c:v>
                </c:pt>
                <c:pt idx="9">
                  <c:v>4.3140258709746462</c:v>
                </c:pt>
                <c:pt idx="10">
                  <c:v>5.0010664356343426</c:v>
                </c:pt>
                <c:pt idx="11">
                  <c:v>5.2663673407059832</c:v>
                </c:pt>
                <c:pt idx="12">
                  <c:v>1.759521735413955</c:v>
                </c:pt>
                <c:pt idx="13">
                  <c:v>-7.3594993654901231</c:v>
                </c:pt>
                <c:pt idx="14">
                  <c:v>-1.4962533356099641</c:v>
                </c:pt>
                <c:pt idx="15">
                  <c:v>-0.30982900477832231</c:v>
                </c:pt>
                <c:pt idx="16">
                  <c:v>-2.2377241055942534</c:v>
                </c:pt>
                <c:pt idx="17">
                  <c:v>-0.54850216134040863</c:v>
                </c:pt>
                <c:pt idx="18">
                  <c:v>-0.10388062948614163</c:v>
                </c:pt>
                <c:pt idx="19">
                  <c:v>2.4371332441033076</c:v>
                </c:pt>
                <c:pt idx="20">
                  <c:v>3.4835344484677222</c:v>
                </c:pt>
                <c:pt idx="21">
                  <c:v>3.1391817148095527</c:v>
                </c:pt>
                <c:pt idx="22">
                  <c:v>2.6308045773756561</c:v>
                </c:pt>
                <c:pt idx="23">
                  <c:v>2.9359923102297785</c:v>
                </c:pt>
                <c:pt idx="24">
                  <c:v>-28.69436155106402</c:v>
                </c:pt>
              </c:numCache>
            </c:numRef>
          </c:val>
          <c:smooth val="0"/>
          <c:extLst>
            <c:ext xmlns:c16="http://schemas.microsoft.com/office/drawing/2014/chart" uri="{C3380CC4-5D6E-409C-BE32-E72D297353CC}">
              <c16:uniqueId val="{00000004-3929-4615-82B9-7666AAFC40E4}"/>
            </c:ext>
          </c:extLst>
        </c:ser>
        <c:dLbls>
          <c:showLegendKey val="0"/>
          <c:showVal val="0"/>
          <c:showCatName val="0"/>
          <c:showSerName val="0"/>
          <c:showPercent val="0"/>
          <c:showBubbleSize val="0"/>
        </c:dLbls>
        <c:smooth val="0"/>
        <c:axId val="1136712399"/>
        <c:axId val="327144486"/>
      </c:lineChart>
      <c:dateAx>
        <c:axId val="1136712399"/>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327144486"/>
        <c:crosses val="autoZero"/>
        <c:auto val="1"/>
        <c:lblOffset val="100"/>
        <c:baseTimeUnit val="years"/>
      </c:dateAx>
      <c:valAx>
        <c:axId val="3271444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sr-Latn-RS"/>
          </a:p>
        </c:txPr>
        <c:crossAx val="1136712399"/>
        <c:crosses val="autoZero"/>
        <c:crossBetween val="between"/>
      </c:val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place!$Y$2</c:f>
              <c:strCache>
                <c:ptCount val="1"/>
                <c:pt idx="0">
                  <c:v>Scenarij1</c:v>
                </c:pt>
              </c:strCache>
            </c:strRef>
          </c:tx>
          <c:spPr>
            <a:ln w="28575" cmpd="sng">
              <a:solidFill>
                <a:schemeClr val="accent1"/>
              </a:solidFill>
            </a:ln>
          </c:spPr>
          <c:marker>
            <c:symbol val="none"/>
          </c:marker>
          <c:cat>
            <c:numRef>
              <c:f>place!$X$3:$X$94</c:f>
              <c:numCache>
                <c:formatCode>m/d/yyyy</c:formatCode>
                <c:ptCount val="92"/>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pt idx="86">
                  <c:v>43738</c:v>
                </c:pt>
                <c:pt idx="87">
                  <c:v>43830</c:v>
                </c:pt>
                <c:pt idx="88">
                  <c:v>43921</c:v>
                </c:pt>
                <c:pt idx="89">
                  <c:v>44012</c:v>
                </c:pt>
                <c:pt idx="90">
                  <c:v>44104</c:v>
                </c:pt>
                <c:pt idx="91">
                  <c:v>44196</c:v>
                </c:pt>
              </c:numCache>
            </c:numRef>
          </c:cat>
          <c:val>
            <c:numRef>
              <c:f>place!$Y$3:$Y$94</c:f>
              <c:numCache>
                <c:formatCode>_-* #,##0\ _k_n_-;\-* #,##0\ _k_n_-;_-* "-"??\ _k_n_-;_-@</c:formatCode>
                <c:ptCount val="92"/>
                <c:pt idx="0">
                  <c:v>3968.9319195314938</c:v>
                </c:pt>
                <c:pt idx="1">
                  <c:v>4087.4607212149413</c:v>
                </c:pt>
                <c:pt idx="2">
                  <c:v>4232.776323748054</c:v>
                </c:pt>
                <c:pt idx="3">
                  <c:v>4218.8724233947014</c:v>
                </c:pt>
                <c:pt idx="4">
                  <c:v>4394.4045436129991</c:v>
                </c:pt>
                <c:pt idx="5">
                  <c:v>4487.8724172153798</c:v>
                </c:pt>
                <c:pt idx="6">
                  <c:v>4582.7291960699895</c:v>
                </c:pt>
                <c:pt idx="7">
                  <c:v>4692.4066157995439</c:v>
                </c:pt>
                <c:pt idx="8">
                  <c:v>4831.5809333104453</c:v>
                </c:pt>
                <c:pt idx="9">
                  <c:v>4796.1447090287666</c:v>
                </c:pt>
                <c:pt idx="10">
                  <c:v>4887.4721878246219</c:v>
                </c:pt>
                <c:pt idx="11">
                  <c:v>4951.0492324502429</c:v>
                </c:pt>
                <c:pt idx="12">
                  <c:v>4991.5114511899937</c:v>
                </c:pt>
                <c:pt idx="13">
                  <c:v>5058.6912939283029</c:v>
                </c:pt>
                <c:pt idx="14">
                  <c:v>5063.3044505638927</c:v>
                </c:pt>
                <c:pt idx="15">
                  <c:v>5152.8724860963111</c:v>
                </c:pt>
                <c:pt idx="16">
                  <c:v>5180.0605072247308</c:v>
                </c:pt>
                <c:pt idx="17">
                  <c:v>5356.4104925452011</c:v>
                </c:pt>
                <c:pt idx="18">
                  <c:v>5423.440416726793</c:v>
                </c:pt>
                <c:pt idx="19">
                  <c:v>5553.6846270063343</c:v>
                </c:pt>
                <c:pt idx="20">
                  <c:v>5541.1217723959717</c:v>
                </c:pt>
                <c:pt idx="21">
                  <c:v>5561.1551312170368</c:v>
                </c:pt>
                <c:pt idx="22">
                  <c:v>5665.426178578261</c:v>
                </c:pt>
                <c:pt idx="23">
                  <c:v>5713.0580403588501</c:v>
                </c:pt>
                <c:pt idx="24">
                  <c:v>5841.7971870050378</c:v>
                </c:pt>
                <c:pt idx="25">
                  <c:v>5928.8691919492012</c:v>
                </c:pt>
                <c:pt idx="26">
                  <c:v>6027.6392295354126</c:v>
                </c:pt>
                <c:pt idx="27">
                  <c:v>6074.859608769355</c:v>
                </c:pt>
                <c:pt idx="28">
                  <c:v>6119.9140338700026</c:v>
                </c:pt>
                <c:pt idx="29">
                  <c:v>6242.1834350905638</c:v>
                </c:pt>
                <c:pt idx="30">
                  <c:v>6294.9212006344314</c:v>
                </c:pt>
                <c:pt idx="31">
                  <c:v>6381.2364920427526</c:v>
                </c:pt>
                <c:pt idx="32">
                  <c:v>6473.2066364058646</c:v>
                </c:pt>
                <c:pt idx="33">
                  <c:v>6618.3936364002057</c:v>
                </c:pt>
                <c:pt idx="34">
                  <c:v>6665.3560022340425</c:v>
                </c:pt>
                <c:pt idx="35">
                  <c:v>6886.6362631551501</c:v>
                </c:pt>
                <c:pt idx="36">
                  <c:v>6883.119009985583</c:v>
                </c:pt>
                <c:pt idx="37">
                  <c:v>6948.6040190158019</c:v>
                </c:pt>
                <c:pt idx="38">
                  <c:v>7080.7563149577791</c:v>
                </c:pt>
                <c:pt idx="39">
                  <c:v>7309.6486813670244</c:v>
                </c:pt>
                <c:pt idx="40">
                  <c:v>7397.6621470253567</c:v>
                </c:pt>
                <c:pt idx="41">
                  <c:v>7535.2927184454402</c:v>
                </c:pt>
                <c:pt idx="42">
                  <c:v>7570.9523752667692</c:v>
                </c:pt>
                <c:pt idx="43">
                  <c:v>7723.3965096120246</c:v>
                </c:pt>
                <c:pt idx="44">
                  <c:v>7740.3545220029227</c:v>
                </c:pt>
                <c:pt idx="45">
                  <c:v>7721.8757139627651</c:v>
                </c:pt>
                <c:pt idx="46">
                  <c:v>7693.6171683637858</c:v>
                </c:pt>
                <c:pt idx="47">
                  <c:v>7660.7140158643069</c:v>
                </c:pt>
                <c:pt idx="48">
                  <c:v>7598.7553192123514</c:v>
                </c:pt>
                <c:pt idx="49">
                  <c:v>7642.8088189646833</c:v>
                </c:pt>
                <c:pt idx="50">
                  <c:v>7708.6155014649521</c:v>
                </c:pt>
                <c:pt idx="51">
                  <c:v>7707.7069508531686</c:v>
                </c:pt>
                <c:pt idx="52">
                  <c:v>7621.4719808029668</c:v>
                </c:pt>
                <c:pt idx="53">
                  <c:v>7711.698148572309</c:v>
                </c:pt>
                <c:pt idx="54">
                  <c:v>7849.1082864497457</c:v>
                </c:pt>
                <c:pt idx="55">
                  <c:v>7959.6767435051233</c:v>
                </c:pt>
                <c:pt idx="56">
                  <c:v>7745.2717313829889</c:v>
                </c:pt>
                <c:pt idx="57">
                  <c:v>7863.5417820959201</c:v>
                </c:pt>
                <c:pt idx="58">
                  <c:v>7911.3870697243019</c:v>
                </c:pt>
                <c:pt idx="59">
                  <c:v>7920.9165024721651</c:v>
                </c:pt>
                <c:pt idx="60">
                  <c:v>7976.2172356494539</c:v>
                </c:pt>
                <c:pt idx="61">
                  <c:v>7949.5491425291493</c:v>
                </c:pt>
                <c:pt idx="62">
                  <c:v>7920.4708077811974</c:v>
                </c:pt>
                <c:pt idx="63">
                  <c:v>7916.3934133722569</c:v>
                </c:pt>
                <c:pt idx="64">
                  <c:v>7900.7749374207378</c:v>
                </c:pt>
                <c:pt idx="65">
                  <c:v>7861.1479954807664</c:v>
                </c:pt>
                <c:pt idx="66">
                  <c:v>7985.1245825746619</c:v>
                </c:pt>
                <c:pt idx="67">
                  <c:v>8001.4736318823261</c:v>
                </c:pt>
                <c:pt idx="68">
                  <c:v>7558.6647949474682</c:v>
                </c:pt>
                <c:pt idx="69">
                  <c:v>7582.3480619692509</c:v>
                </c:pt>
                <c:pt idx="70">
                  <c:v>7636.4493239799385</c:v>
                </c:pt>
                <c:pt idx="71">
                  <c:v>7682.2286796340877</c:v>
                </c:pt>
                <c:pt idx="72">
                  <c:v>7706.3079340249724</c:v>
                </c:pt>
                <c:pt idx="73">
                  <c:v>7730.0790919387155</c:v>
                </c:pt>
                <c:pt idx="74">
                  <c:v>7732.2211745276791</c:v>
                </c:pt>
                <c:pt idx="75">
                  <c:v>7834.6487041749378</c:v>
                </c:pt>
                <c:pt idx="76">
                  <c:v>7972.9395693416445</c:v>
                </c:pt>
                <c:pt idx="77">
                  <c:v>7996.0620780940008</c:v>
                </c:pt>
                <c:pt idx="78">
                  <c:v>8098.3878238194957</c:v>
                </c:pt>
                <c:pt idx="79">
                  <c:v>8262.170756650321</c:v>
                </c:pt>
                <c:pt idx="80">
                  <c:v>8303.9894960403271</c:v>
                </c:pt>
                <c:pt idx="81">
                  <c:v>8511.7654848838883</c:v>
                </c:pt>
                <c:pt idx="82">
                  <c:v>8489.2661196111112</c:v>
                </c:pt>
                <c:pt idx="83">
                  <c:v>8348.9527644878799</c:v>
                </c:pt>
                <c:pt idx="84">
                  <c:v>8669.7919458119977</c:v>
                </c:pt>
                <c:pt idx="85">
                  <c:v>8691.8915449344458</c:v>
                </c:pt>
                <c:pt idx="86">
                  <c:v>8809.732274768814</c:v>
                </c:pt>
                <c:pt idx="87">
                  <c:v>8817.4292533595217</c:v>
                </c:pt>
                <c:pt idx="88">
                  <c:v>8515.0681632972774</c:v>
                </c:pt>
                <c:pt idx="89">
                  <c:v>6978.2248574693222</c:v>
                </c:pt>
                <c:pt idx="90">
                  <c:v>8662.3575162152356</c:v>
                </c:pt>
                <c:pt idx="91">
                  <c:v>8222.5675921012771</c:v>
                </c:pt>
              </c:numCache>
            </c:numRef>
          </c:val>
          <c:smooth val="0"/>
          <c:extLst>
            <c:ext xmlns:c16="http://schemas.microsoft.com/office/drawing/2014/chart" uri="{C3380CC4-5D6E-409C-BE32-E72D297353CC}">
              <c16:uniqueId val="{00000000-1C1F-4DE2-A4F0-3334C9D6FCE8}"/>
            </c:ext>
          </c:extLst>
        </c:ser>
        <c:ser>
          <c:idx val="1"/>
          <c:order val="1"/>
          <c:tx>
            <c:strRef>
              <c:f>place!$Z$2</c:f>
              <c:strCache>
                <c:ptCount val="1"/>
                <c:pt idx="0">
                  <c:v>Scenarij2</c:v>
                </c:pt>
              </c:strCache>
            </c:strRef>
          </c:tx>
          <c:spPr>
            <a:ln w="28575" cmpd="sng">
              <a:solidFill>
                <a:schemeClr val="accent2"/>
              </a:solidFill>
            </a:ln>
          </c:spPr>
          <c:marker>
            <c:symbol val="none"/>
          </c:marker>
          <c:cat>
            <c:numRef>
              <c:f>place!$X$3:$X$94</c:f>
              <c:numCache>
                <c:formatCode>m/d/yyyy</c:formatCode>
                <c:ptCount val="92"/>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pt idx="86">
                  <c:v>43738</c:v>
                </c:pt>
                <c:pt idx="87">
                  <c:v>43830</c:v>
                </c:pt>
                <c:pt idx="88">
                  <c:v>43921</c:v>
                </c:pt>
                <c:pt idx="89">
                  <c:v>44012</c:v>
                </c:pt>
                <c:pt idx="90">
                  <c:v>44104</c:v>
                </c:pt>
                <c:pt idx="91">
                  <c:v>44196</c:v>
                </c:pt>
              </c:numCache>
            </c:numRef>
          </c:cat>
          <c:val>
            <c:numRef>
              <c:f>place!$Z$3:$Z$94</c:f>
              <c:numCache>
                <c:formatCode>_-* #,##0\ _k_n_-;\-* #,##0\ _k_n_-;_-* "-"??\ _k_n_-;_-@</c:formatCode>
                <c:ptCount val="92"/>
                <c:pt idx="0">
                  <c:v>3968.9319195314938</c:v>
                </c:pt>
                <c:pt idx="1">
                  <c:v>4087.4607212149413</c:v>
                </c:pt>
                <c:pt idx="2">
                  <c:v>4232.776323748054</c:v>
                </c:pt>
                <c:pt idx="3">
                  <c:v>4218.8724233947014</c:v>
                </c:pt>
                <c:pt idx="4">
                  <c:v>4394.4045436129991</c:v>
                </c:pt>
                <c:pt idx="5">
                  <c:v>4487.8724172153798</c:v>
                </c:pt>
                <c:pt idx="6">
                  <c:v>4582.7291960699895</c:v>
                </c:pt>
                <c:pt idx="7">
                  <c:v>4692.4066157995439</c:v>
                </c:pt>
                <c:pt idx="8">
                  <c:v>4831.5809333104453</c:v>
                </c:pt>
                <c:pt idx="9">
                  <c:v>4796.1447090287666</c:v>
                </c:pt>
                <c:pt idx="10">
                  <c:v>4887.4721878246219</c:v>
                </c:pt>
                <c:pt idx="11">
                  <c:v>4951.0492324502429</c:v>
                </c:pt>
                <c:pt idx="12">
                  <c:v>4991.5114511899937</c:v>
                </c:pt>
                <c:pt idx="13">
                  <c:v>5058.6912939283029</c:v>
                </c:pt>
                <c:pt idx="14">
                  <c:v>5063.3044505638927</c:v>
                </c:pt>
                <c:pt idx="15">
                  <c:v>5152.8724860963111</c:v>
                </c:pt>
                <c:pt idx="16">
                  <c:v>5180.0605072247308</c:v>
                </c:pt>
                <c:pt idx="17">
                  <c:v>5356.4104925452011</c:v>
                </c:pt>
                <c:pt idx="18">
                  <c:v>5423.440416726793</c:v>
                </c:pt>
                <c:pt idx="19">
                  <c:v>5553.6846270063343</c:v>
                </c:pt>
                <c:pt idx="20">
                  <c:v>5541.1217723959717</c:v>
                </c:pt>
                <c:pt idx="21">
                  <c:v>5561.1551312170368</c:v>
                </c:pt>
                <c:pt idx="22">
                  <c:v>5665.426178578261</c:v>
                </c:pt>
                <c:pt idx="23">
                  <c:v>5713.0580403588501</c:v>
                </c:pt>
                <c:pt idx="24">
                  <c:v>5841.7971870050378</c:v>
                </c:pt>
                <c:pt idx="25">
                  <c:v>5928.8691919492012</c:v>
                </c:pt>
                <c:pt idx="26">
                  <c:v>6027.6392295354126</c:v>
                </c:pt>
                <c:pt idx="27">
                  <c:v>6074.859608769355</c:v>
                </c:pt>
                <c:pt idx="28">
                  <c:v>6119.9140338700026</c:v>
                </c:pt>
                <c:pt idx="29">
                  <c:v>6242.1834350905638</c:v>
                </c:pt>
                <c:pt idx="30">
                  <c:v>6294.9212006344314</c:v>
                </c:pt>
                <c:pt idx="31">
                  <c:v>6381.2364920427526</c:v>
                </c:pt>
                <c:pt idx="32">
                  <c:v>6473.2066364058646</c:v>
                </c:pt>
                <c:pt idx="33">
                  <c:v>6618.3936364002057</c:v>
                </c:pt>
                <c:pt idx="34">
                  <c:v>6665.3560022340425</c:v>
                </c:pt>
                <c:pt idx="35">
                  <c:v>6886.6362631551501</c:v>
                </c:pt>
                <c:pt idx="36">
                  <c:v>6883.119009985583</c:v>
                </c:pt>
                <c:pt idx="37">
                  <c:v>6948.6040190158019</c:v>
                </c:pt>
                <c:pt idx="38">
                  <c:v>7080.7563149577791</c:v>
                </c:pt>
                <c:pt idx="39">
                  <c:v>7309.6486813670244</c:v>
                </c:pt>
                <c:pt idx="40">
                  <c:v>7397.6621470253567</c:v>
                </c:pt>
                <c:pt idx="41">
                  <c:v>7535.2927184454402</c:v>
                </c:pt>
                <c:pt idx="42">
                  <c:v>7570.9523752667692</c:v>
                </c:pt>
                <c:pt idx="43">
                  <c:v>7723.3965096120246</c:v>
                </c:pt>
                <c:pt idx="44">
                  <c:v>7740.3545220029227</c:v>
                </c:pt>
                <c:pt idx="45">
                  <c:v>7721.8757139627651</c:v>
                </c:pt>
                <c:pt idx="46">
                  <c:v>7693.6171683637858</c:v>
                </c:pt>
                <c:pt idx="47">
                  <c:v>7660.7140158643069</c:v>
                </c:pt>
                <c:pt idx="48">
                  <c:v>7598.7553192123514</c:v>
                </c:pt>
                <c:pt idx="49">
                  <c:v>7642.8088189646833</c:v>
                </c:pt>
                <c:pt idx="50">
                  <c:v>7708.6155014649521</c:v>
                </c:pt>
                <c:pt idx="51">
                  <c:v>7707.7069508531686</c:v>
                </c:pt>
                <c:pt idx="52">
                  <c:v>7621.4719808029668</c:v>
                </c:pt>
                <c:pt idx="53">
                  <c:v>7711.698148572309</c:v>
                </c:pt>
                <c:pt idx="54">
                  <c:v>7849.1082864497457</c:v>
                </c:pt>
                <c:pt idx="55">
                  <c:v>7959.6767435051233</c:v>
                </c:pt>
                <c:pt idx="56">
                  <c:v>7745.2717313829889</c:v>
                </c:pt>
                <c:pt idx="57">
                  <c:v>7863.5417820959201</c:v>
                </c:pt>
                <c:pt idx="58">
                  <c:v>7911.3870697243019</c:v>
                </c:pt>
                <c:pt idx="59">
                  <c:v>7920.9165024721651</c:v>
                </c:pt>
                <c:pt idx="60">
                  <c:v>7976.2172356494539</c:v>
                </c:pt>
                <c:pt idx="61">
                  <c:v>7949.5491425291493</c:v>
                </c:pt>
                <c:pt idx="62">
                  <c:v>7920.4708077811974</c:v>
                </c:pt>
                <c:pt idx="63">
                  <c:v>7916.3934133722569</c:v>
                </c:pt>
                <c:pt idx="64">
                  <c:v>7900.7749374207378</c:v>
                </c:pt>
                <c:pt idx="65">
                  <c:v>7861.1479954807664</c:v>
                </c:pt>
                <c:pt idx="66">
                  <c:v>7985.1245825746619</c:v>
                </c:pt>
                <c:pt idx="67">
                  <c:v>8001.4736318823261</c:v>
                </c:pt>
                <c:pt idx="68">
                  <c:v>7558.6647949474682</c:v>
                </c:pt>
                <c:pt idx="69">
                  <c:v>7582.3480619692509</c:v>
                </c:pt>
                <c:pt idx="70">
                  <c:v>7636.4493239799385</c:v>
                </c:pt>
                <c:pt idx="71">
                  <c:v>7682.2286796340877</c:v>
                </c:pt>
                <c:pt idx="72">
                  <c:v>7706.3079340249724</c:v>
                </c:pt>
                <c:pt idx="73">
                  <c:v>7730.0790919387155</c:v>
                </c:pt>
                <c:pt idx="74">
                  <c:v>7732.2211745276791</c:v>
                </c:pt>
                <c:pt idx="75">
                  <c:v>7834.6487041749378</c:v>
                </c:pt>
                <c:pt idx="76">
                  <c:v>7972.9395693416445</c:v>
                </c:pt>
                <c:pt idx="77">
                  <c:v>7996.0620780940008</c:v>
                </c:pt>
                <c:pt idx="78">
                  <c:v>8098.3878238194957</c:v>
                </c:pt>
                <c:pt idx="79">
                  <c:v>8262.170756650321</c:v>
                </c:pt>
                <c:pt idx="80">
                  <c:v>8303.9894960403271</c:v>
                </c:pt>
                <c:pt idx="81">
                  <c:v>8511.7654848838883</c:v>
                </c:pt>
                <c:pt idx="82">
                  <c:v>8489.2661196111112</c:v>
                </c:pt>
                <c:pt idx="83">
                  <c:v>8348.9527644878799</c:v>
                </c:pt>
                <c:pt idx="84">
                  <c:v>8669.7919458119977</c:v>
                </c:pt>
                <c:pt idx="85">
                  <c:v>8691.8915449344458</c:v>
                </c:pt>
                <c:pt idx="86">
                  <c:v>8809.732274768814</c:v>
                </c:pt>
                <c:pt idx="87">
                  <c:v>8817.4292533595217</c:v>
                </c:pt>
                <c:pt idx="88">
                  <c:v>8514.2459703695768</c:v>
                </c:pt>
                <c:pt idx="89">
                  <c:v>6984.5295309704734</c:v>
                </c:pt>
                <c:pt idx="90">
                  <c:v>8748.6125514882769</c:v>
                </c:pt>
                <c:pt idx="91">
                  <c:v>8373.9689752672748</c:v>
                </c:pt>
              </c:numCache>
            </c:numRef>
          </c:val>
          <c:smooth val="0"/>
          <c:extLst>
            <c:ext xmlns:c16="http://schemas.microsoft.com/office/drawing/2014/chart" uri="{C3380CC4-5D6E-409C-BE32-E72D297353CC}">
              <c16:uniqueId val="{00000001-1C1F-4DE2-A4F0-3334C9D6FCE8}"/>
            </c:ext>
          </c:extLst>
        </c:ser>
        <c:ser>
          <c:idx val="2"/>
          <c:order val="2"/>
          <c:tx>
            <c:strRef>
              <c:f>place!$AA$2</c:f>
              <c:strCache>
                <c:ptCount val="1"/>
                <c:pt idx="0">
                  <c:v>Scenarij3</c:v>
                </c:pt>
              </c:strCache>
            </c:strRef>
          </c:tx>
          <c:spPr>
            <a:ln w="28575" cmpd="sng">
              <a:solidFill>
                <a:schemeClr val="accent3"/>
              </a:solidFill>
            </a:ln>
          </c:spPr>
          <c:marker>
            <c:symbol val="none"/>
          </c:marker>
          <c:cat>
            <c:numRef>
              <c:f>place!$X$3:$X$94</c:f>
              <c:numCache>
                <c:formatCode>m/d/yyyy</c:formatCode>
                <c:ptCount val="92"/>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pt idx="86">
                  <c:v>43738</c:v>
                </c:pt>
                <c:pt idx="87">
                  <c:v>43830</c:v>
                </c:pt>
                <c:pt idx="88">
                  <c:v>43921</c:v>
                </c:pt>
                <c:pt idx="89">
                  <c:v>44012</c:v>
                </c:pt>
                <c:pt idx="90">
                  <c:v>44104</c:v>
                </c:pt>
                <c:pt idx="91">
                  <c:v>44196</c:v>
                </c:pt>
              </c:numCache>
            </c:numRef>
          </c:cat>
          <c:val>
            <c:numRef>
              <c:f>place!$AA$3:$AA$94</c:f>
              <c:numCache>
                <c:formatCode>_-* #,##0\ _k_n_-;\-* #,##0\ _k_n_-;_-* "-"??\ _k_n_-;_-@</c:formatCode>
                <c:ptCount val="92"/>
                <c:pt idx="0">
                  <c:v>3968.9319195314938</c:v>
                </c:pt>
                <c:pt idx="1">
                  <c:v>4087.4607212149413</c:v>
                </c:pt>
                <c:pt idx="2">
                  <c:v>4232.776323748054</c:v>
                </c:pt>
                <c:pt idx="3">
                  <c:v>4218.8724233947014</c:v>
                </c:pt>
                <c:pt idx="4">
                  <c:v>4394.4045436129991</c:v>
                </c:pt>
                <c:pt idx="5">
                  <c:v>4487.8724172153798</c:v>
                </c:pt>
                <c:pt idx="6">
                  <c:v>4582.7291960699895</c:v>
                </c:pt>
                <c:pt idx="7">
                  <c:v>4692.4066157995439</c:v>
                </c:pt>
                <c:pt idx="8">
                  <c:v>4831.5809333104453</c:v>
                </c:pt>
                <c:pt idx="9">
                  <c:v>4796.1447090287666</c:v>
                </c:pt>
                <c:pt idx="10">
                  <c:v>4887.4721878246219</c:v>
                </c:pt>
                <c:pt idx="11">
                  <c:v>4951.0492324502429</c:v>
                </c:pt>
                <c:pt idx="12">
                  <c:v>4991.5114511899937</c:v>
                </c:pt>
                <c:pt idx="13">
                  <c:v>5058.6912939283029</c:v>
                </c:pt>
                <c:pt idx="14">
                  <c:v>5063.3044505638927</c:v>
                </c:pt>
                <c:pt idx="15">
                  <c:v>5152.8724860963111</c:v>
                </c:pt>
                <c:pt idx="16">
                  <c:v>5180.0605072247308</c:v>
                </c:pt>
                <c:pt idx="17">
                  <c:v>5356.4104925452011</c:v>
                </c:pt>
                <c:pt idx="18">
                  <c:v>5423.440416726793</c:v>
                </c:pt>
                <c:pt idx="19">
                  <c:v>5553.6846270063343</c:v>
                </c:pt>
                <c:pt idx="20">
                  <c:v>5541.1217723959717</c:v>
                </c:pt>
                <c:pt idx="21">
                  <c:v>5561.1551312170368</c:v>
                </c:pt>
                <c:pt idx="22">
                  <c:v>5665.426178578261</c:v>
                </c:pt>
                <c:pt idx="23">
                  <c:v>5713.0580403588501</c:v>
                </c:pt>
                <c:pt idx="24">
                  <c:v>5841.7971870050378</c:v>
                </c:pt>
                <c:pt idx="25">
                  <c:v>5928.8691919492012</c:v>
                </c:pt>
                <c:pt idx="26">
                  <c:v>6027.6392295354126</c:v>
                </c:pt>
                <c:pt idx="27">
                  <c:v>6074.859608769355</c:v>
                </c:pt>
                <c:pt idx="28">
                  <c:v>6119.9140338700026</c:v>
                </c:pt>
                <c:pt idx="29">
                  <c:v>6242.1834350905638</c:v>
                </c:pt>
                <c:pt idx="30">
                  <c:v>6294.9212006344314</c:v>
                </c:pt>
                <c:pt idx="31">
                  <c:v>6381.2364920427526</c:v>
                </c:pt>
                <c:pt idx="32">
                  <c:v>6473.2066364058646</c:v>
                </c:pt>
                <c:pt idx="33">
                  <c:v>6618.3936364002057</c:v>
                </c:pt>
                <c:pt idx="34">
                  <c:v>6665.3560022340425</c:v>
                </c:pt>
                <c:pt idx="35">
                  <c:v>6886.6362631551501</c:v>
                </c:pt>
                <c:pt idx="36">
                  <c:v>6883.119009985583</c:v>
                </c:pt>
                <c:pt idx="37">
                  <c:v>6948.6040190158019</c:v>
                </c:pt>
                <c:pt idx="38">
                  <c:v>7080.7563149577791</c:v>
                </c:pt>
                <c:pt idx="39">
                  <c:v>7309.6486813670244</c:v>
                </c:pt>
                <c:pt idx="40">
                  <c:v>7397.6621470253567</c:v>
                </c:pt>
                <c:pt idx="41">
                  <c:v>7535.2927184454402</c:v>
                </c:pt>
                <c:pt idx="42">
                  <c:v>7570.9523752667692</c:v>
                </c:pt>
                <c:pt idx="43">
                  <c:v>7723.3965096120246</c:v>
                </c:pt>
                <c:pt idx="44">
                  <c:v>7740.3545220029227</c:v>
                </c:pt>
                <c:pt idx="45">
                  <c:v>7721.8757139627651</c:v>
                </c:pt>
                <c:pt idx="46">
                  <c:v>7693.6171683637858</c:v>
                </c:pt>
                <c:pt idx="47">
                  <c:v>7660.7140158643069</c:v>
                </c:pt>
                <c:pt idx="48">
                  <c:v>7598.7553192123514</c:v>
                </c:pt>
                <c:pt idx="49">
                  <c:v>7642.8088189646833</c:v>
                </c:pt>
                <c:pt idx="50">
                  <c:v>7708.6155014649521</c:v>
                </c:pt>
                <c:pt idx="51">
                  <c:v>7707.7069508531686</c:v>
                </c:pt>
                <c:pt idx="52">
                  <c:v>7621.4719808029668</c:v>
                </c:pt>
                <c:pt idx="53">
                  <c:v>7711.698148572309</c:v>
                </c:pt>
                <c:pt idx="54">
                  <c:v>7849.1082864497457</c:v>
                </c:pt>
                <c:pt idx="55">
                  <c:v>7959.6767435051233</c:v>
                </c:pt>
                <c:pt idx="56">
                  <c:v>7745.2717313829889</c:v>
                </c:pt>
                <c:pt idx="57">
                  <c:v>7863.5417820959201</c:v>
                </c:pt>
                <c:pt idx="58">
                  <c:v>7911.3870697243019</c:v>
                </c:pt>
                <c:pt idx="59">
                  <c:v>7920.9165024721651</c:v>
                </c:pt>
                <c:pt idx="60">
                  <c:v>7976.2172356494539</c:v>
                </c:pt>
                <c:pt idx="61">
                  <c:v>7949.5491425291493</c:v>
                </c:pt>
                <c:pt idx="62">
                  <c:v>7920.4708077811974</c:v>
                </c:pt>
                <c:pt idx="63">
                  <c:v>7916.3934133722569</c:v>
                </c:pt>
                <c:pt idx="64">
                  <c:v>7900.7749374207378</c:v>
                </c:pt>
                <c:pt idx="65">
                  <c:v>7861.1479954807664</c:v>
                </c:pt>
                <c:pt idx="66">
                  <c:v>7985.1245825746619</c:v>
                </c:pt>
                <c:pt idx="67">
                  <c:v>8001.4736318823261</c:v>
                </c:pt>
                <c:pt idx="68">
                  <c:v>7558.6647949474682</c:v>
                </c:pt>
                <c:pt idx="69">
                  <c:v>7582.3480619692509</c:v>
                </c:pt>
                <c:pt idx="70">
                  <c:v>7636.4493239799385</c:v>
                </c:pt>
                <c:pt idx="71">
                  <c:v>7682.2286796340877</c:v>
                </c:pt>
                <c:pt idx="72">
                  <c:v>7706.3079340249724</c:v>
                </c:pt>
                <c:pt idx="73">
                  <c:v>7730.0790919387155</c:v>
                </c:pt>
                <c:pt idx="74">
                  <c:v>7732.2211745276791</c:v>
                </c:pt>
                <c:pt idx="75">
                  <c:v>7834.6487041749378</c:v>
                </c:pt>
                <c:pt idx="76">
                  <c:v>7972.9395693416445</c:v>
                </c:pt>
                <c:pt idx="77">
                  <c:v>7996.0620780940008</c:v>
                </c:pt>
                <c:pt idx="78">
                  <c:v>8098.3878238194957</c:v>
                </c:pt>
                <c:pt idx="79">
                  <c:v>8262.170756650321</c:v>
                </c:pt>
                <c:pt idx="80">
                  <c:v>8303.9894960403271</c:v>
                </c:pt>
                <c:pt idx="81">
                  <c:v>8511.7654848838883</c:v>
                </c:pt>
                <c:pt idx="82">
                  <c:v>8489.2661196111112</c:v>
                </c:pt>
                <c:pt idx="83">
                  <c:v>8348.9527644878799</c:v>
                </c:pt>
                <c:pt idx="84">
                  <c:v>8669.7919458119977</c:v>
                </c:pt>
                <c:pt idx="85">
                  <c:v>8691.8915449344458</c:v>
                </c:pt>
                <c:pt idx="86">
                  <c:v>8809.732274768814</c:v>
                </c:pt>
                <c:pt idx="87">
                  <c:v>8817.4292533595217</c:v>
                </c:pt>
                <c:pt idx="88">
                  <c:v>8513.5568073296472</c:v>
                </c:pt>
                <c:pt idx="89">
                  <c:v>6995.4945064278336</c:v>
                </c:pt>
                <c:pt idx="90">
                  <c:v>8851.4098512858436</c:v>
                </c:pt>
                <c:pt idx="91">
                  <c:v>8545.5739754378174</c:v>
                </c:pt>
              </c:numCache>
            </c:numRef>
          </c:val>
          <c:smooth val="0"/>
          <c:extLst>
            <c:ext xmlns:c16="http://schemas.microsoft.com/office/drawing/2014/chart" uri="{C3380CC4-5D6E-409C-BE32-E72D297353CC}">
              <c16:uniqueId val="{00000002-1C1F-4DE2-A4F0-3334C9D6FCE8}"/>
            </c:ext>
          </c:extLst>
        </c:ser>
        <c:dLbls>
          <c:showLegendKey val="0"/>
          <c:showVal val="0"/>
          <c:showCatName val="0"/>
          <c:showSerName val="0"/>
          <c:showPercent val="0"/>
          <c:showBubbleSize val="0"/>
        </c:dLbls>
        <c:smooth val="0"/>
        <c:axId val="162697587"/>
        <c:axId val="1646040224"/>
      </c:lineChart>
      <c:dateAx>
        <c:axId val="162697587"/>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646040224"/>
        <c:crosses val="autoZero"/>
        <c:auto val="1"/>
        <c:lblOffset val="100"/>
        <c:baseTimeUnit val="months"/>
      </c:dateAx>
      <c:valAx>
        <c:axId val="16460402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_-* #,##0\ _k_n_-;\-* #,##0\ _k_n_-;_-* &quot;-&quot;??\ _k_n_-;_-@" sourceLinked="1"/>
        <c:majorTickMark val="none"/>
        <c:minorTickMark val="none"/>
        <c:tickLblPos val="nextTo"/>
        <c:spPr>
          <a:ln/>
        </c:spPr>
        <c:txPr>
          <a:bodyPr/>
          <a:lstStyle/>
          <a:p>
            <a:pPr lvl="0">
              <a:defRPr sz="900" b="0" i="0">
                <a:solidFill>
                  <a:srgbClr val="000000"/>
                </a:solidFill>
                <a:latin typeface="+mn-lt"/>
              </a:defRPr>
            </a:pPr>
            <a:endParaRPr lang="sr-Latn-RS"/>
          </a:p>
        </c:txPr>
        <c:crossAx val="162697587"/>
        <c:crosses val="autoZero"/>
        <c:crossBetween val="between"/>
      </c:val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spPr>
            <a:ln w="28575" cmpd="sng">
              <a:solidFill>
                <a:schemeClr val="accent1"/>
              </a:solidFill>
            </a:ln>
          </c:spPr>
          <c:marker>
            <c:symbol val="none"/>
          </c:marker>
          <c:cat>
            <c:numRef>
              <c:f>place!$X$91:$X$94</c:f>
              <c:numCache>
                <c:formatCode>m/d/yyyy</c:formatCode>
                <c:ptCount val="4"/>
                <c:pt idx="0">
                  <c:v>43921</c:v>
                </c:pt>
                <c:pt idx="1">
                  <c:v>44012</c:v>
                </c:pt>
                <c:pt idx="2">
                  <c:v>44104</c:v>
                </c:pt>
                <c:pt idx="3">
                  <c:v>44196</c:v>
                </c:pt>
              </c:numCache>
            </c:numRef>
          </c:cat>
          <c:val>
            <c:numRef>
              <c:f>place!$Y$91:$Y$94</c:f>
              <c:numCache>
                <c:formatCode>_-* #,##0\ _k_n_-;\-* #,##0\ _k_n_-;_-* "-"??\ _k_n_-;_-@</c:formatCode>
                <c:ptCount val="4"/>
                <c:pt idx="0">
                  <c:v>8515.0681632972774</c:v>
                </c:pt>
                <c:pt idx="1">
                  <c:v>6978.2248574693222</c:v>
                </c:pt>
                <c:pt idx="2">
                  <c:v>8662.3575162152356</c:v>
                </c:pt>
                <c:pt idx="3">
                  <c:v>8222.5675921012771</c:v>
                </c:pt>
              </c:numCache>
            </c:numRef>
          </c:val>
          <c:smooth val="0"/>
          <c:extLst>
            <c:ext xmlns:c16="http://schemas.microsoft.com/office/drawing/2014/chart" uri="{C3380CC4-5D6E-409C-BE32-E72D297353CC}">
              <c16:uniqueId val="{00000000-FC2B-4BB2-8EC4-F09BA40696FF}"/>
            </c:ext>
          </c:extLst>
        </c:ser>
        <c:ser>
          <c:idx val="1"/>
          <c:order val="1"/>
          <c:spPr>
            <a:ln w="28575" cmpd="sng">
              <a:solidFill>
                <a:schemeClr val="accent2"/>
              </a:solidFill>
            </a:ln>
          </c:spPr>
          <c:marker>
            <c:symbol val="none"/>
          </c:marker>
          <c:cat>
            <c:numRef>
              <c:f>place!$X$91:$X$94</c:f>
              <c:numCache>
                <c:formatCode>m/d/yyyy</c:formatCode>
                <c:ptCount val="4"/>
                <c:pt idx="0">
                  <c:v>43921</c:v>
                </c:pt>
                <c:pt idx="1">
                  <c:v>44012</c:v>
                </c:pt>
                <c:pt idx="2">
                  <c:v>44104</c:v>
                </c:pt>
                <c:pt idx="3">
                  <c:v>44196</c:v>
                </c:pt>
              </c:numCache>
            </c:numRef>
          </c:cat>
          <c:val>
            <c:numRef>
              <c:f>place!$Z$91:$Z$94</c:f>
              <c:numCache>
                <c:formatCode>_-* #,##0\ _k_n_-;\-* #,##0\ _k_n_-;_-* "-"??\ _k_n_-;_-@</c:formatCode>
                <c:ptCount val="4"/>
                <c:pt idx="0">
                  <c:v>8514.2459703695768</c:v>
                </c:pt>
                <c:pt idx="1">
                  <c:v>6984.5295309704734</c:v>
                </c:pt>
                <c:pt idx="2">
                  <c:v>8748.6125514882769</c:v>
                </c:pt>
                <c:pt idx="3">
                  <c:v>8373.9689752672748</c:v>
                </c:pt>
              </c:numCache>
            </c:numRef>
          </c:val>
          <c:smooth val="0"/>
          <c:extLst>
            <c:ext xmlns:c16="http://schemas.microsoft.com/office/drawing/2014/chart" uri="{C3380CC4-5D6E-409C-BE32-E72D297353CC}">
              <c16:uniqueId val="{00000001-FC2B-4BB2-8EC4-F09BA40696FF}"/>
            </c:ext>
          </c:extLst>
        </c:ser>
        <c:ser>
          <c:idx val="2"/>
          <c:order val="2"/>
          <c:spPr>
            <a:ln w="28575" cmpd="sng">
              <a:solidFill>
                <a:schemeClr val="accent3"/>
              </a:solidFill>
            </a:ln>
          </c:spPr>
          <c:marker>
            <c:symbol val="none"/>
          </c:marker>
          <c:cat>
            <c:numRef>
              <c:f>place!$X$91:$X$94</c:f>
              <c:numCache>
                <c:formatCode>m/d/yyyy</c:formatCode>
                <c:ptCount val="4"/>
                <c:pt idx="0">
                  <c:v>43921</c:v>
                </c:pt>
                <c:pt idx="1">
                  <c:v>44012</c:v>
                </c:pt>
                <c:pt idx="2">
                  <c:v>44104</c:v>
                </c:pt>
                <c:pt idx="3">
                  <c:v>44196</c:v>
                </c:pt>
              </c:numCache>
            </c:numRef>
          </c:cat>
          <c:val>
            <c:numRef>
              <c:f>place!$AA$91:$AA$94</c:f>
              <c:numCache>
                <c:formatCode>_-* #,##0\ _k_n_-;\-* #,##0\ _k_n_-;_-* "-"??\ _k_n_-;_-@</c:formatCode>
                <c:ptCount val="4"/>
                <c:pt idx="0">
                  <c:v>8513.5568073296472</c:v>
                </c:pt>
                <c:pt idx="1">
                  <c:v>6995.4945064278336</c:v>
                </c:pt>
                <c:pt idx="2">
                  <c:v>8851.4098512858436</c:v>
                </c:pt>
                <c:pt idx="3">
                  <c:v>8545.5739754378174</c:v>
                </c:pt>
              </c:numCache>
            </c:numRef>
          </c:val>
          <c:smooth val="0"/>
          <c:extLst>
            <c:ext xmlns:c16="http://schemas.microsoft.com/office/drawing/2014/chart" uri="{C3380CC4-5D6E-409C-BE32-E72D297353CC}">
              <c16:uniqueId val="{00000002-FC2B-4BB2-8EC4-F09BA40696FF}"/>
            </c:ext>
          </c:extLst>
        </c:ser>
        <c:ser>
          <c:idx val="3"/>
          <c:order val="3"/>
          <c:spPr>
            <a:ln w="28575" cmpd="sng">
              <a:solidFill>
                <a:schemeClr val="accent4"/>
              </a:solidFill>
            </a:ln>
          </c:spPr>
          <c:marker>
            <c:symbol val="none"/>
          </c:marker>
          <c:cat>
            <c:numRef>
              <c:f>place!$X$91:$X$94</c:f>
              <c:numCache>
                <c:formatCode>m/d/yyyy</c:formatCode>
                <c:ptCount val="4"/>
                <c:pt idx="0">
                  <c:v>43921</c:v>
                </c:pt>
                <c:pt idx="1">
                  <c:v>44012</c:v>
                </c:pt>
                <c:pt idx="2">
                  <c:v>44104</c:v>
                </c:pt>
                <c:pt idx="3">
                  <c:v>44196</c:v>
                </c:pt>
              </c:numCache>
            </c:numRef>
          </c:cat>
          <c:val>
            <c:numRef>
              <c:f>place!$AB$91:$AB$94</c:f>
              <c:numCache>
                <c:formatCode>_-* #,##0\ _k_n_-;\-* #,##0\ _k_n_-;_-* "-"??\ _k_n_-;_-@</c:formatCode>
                <c:ptCount val="4"/>
                <c:pt idx="0">
                  <c:v>0</c:v>
                </c:pt>
                <c:pt idx="1">
                  <c:v>0</c:v>
                </c:pt>
                <c:pt idx="2">
                  <c:v>0</c:v>
                </c:pt>
                <c:pt idx="3">
                  <c:v>0</c:v>
                </c:pt>
              </c:numCache>
            </c:numRef>
          </c:val>
          <c:smooth val="0"/>
          <c:extLst>
            <c:ext xmlns:c16="http://schemas.microsoft.com/office/drawing/2014/chart" uri="{C3380CC4-5D6E-409C-BE32-E72D297353CC}">
              <c16:uniqueId val="{00000003-FC2B-4BB2-8EC4-F09BA40696FF}"/>
            </c:ext>
          </c:extLst>
        </c:ser>
        <c:dLbls>
          <c:showLegendKey val="0"/>
          <c:showVal val="0"/>
          <c:showCatName val="0"/>
          <c:showSerName val="0"/>
          <c:showPercent val="0"/>
          <c:showBubbleSize val="0"/>
        </c:dLbls>
        <c:smooth val="0"/>
        <c:axId val="818667795"/>
        <c:axId val="1339329156"/>
      </c:lineChart>
      <c:dateAx>
        <c:axId val="818667795"/>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339329156"/>
        <c:crosses val="autoZero"/>
        <c:auto val="1"/>
        <c:lblOffset val="100"/>
        <c:baseTimeUnit val="months"/>
      </c:dateAx>
      <c:valAx>
        <c:axId val="1339329156"/>
        <c:scaling>
          <c:orientation val="minMax"/>
          <c:min val="7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_-* #,##0\ _k_n_-;\-* #,##0\ _k_n_-;_-* &quot;-&quot;??\ _k_n_-;_-@" sourceLinked="1"/>
        <c:majorTickMark val="none"/>
        <c:minorTickMark val="none"/>
        <c:tickLblPos val="nextTo"/>
        <c:spPr>
          <a:ln/>
        </c:spPr>
        <c:txPr>
          <a:bodyPr/>
          <a:lstStyle/>
          <a:p>
            <a:pPr lvl="0">
              <a:defRPr sz="900" b="0" i="0">
                <a:solidFill>
                  <a:srgbClr val="000000"/>
                </a:solidFill>
                <a:latin typeface="+mn-lt"/>
              </a:defRPr>
            </a:pPr>
            <a:endParaRPr lang="sr-Latn-RS"/>
          </a:p>
        </c:txPr>
        <c:crossAx val="818667795"/>
        <c:crosses val="autoZero"/>
        <c:crossBetween val="between"/>
      </c:valAx>
    </c:plotArea>
    <c:legend>
      <c:legendPos val="b"/>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r-Latn-RS"/>
        </a:p>
      </c:txPr>
    </c:title>
    <c:autoTitleDeleted val="0"/>
    <c:plotArea>
      <c:layout/>
      <c:barChart>
        <c:barDir val="col"/>
        <c:grouping val="clustered"/>
        <c:varyColors val="0"/>
        <c:ser>
          <c:idx val="0"/>
          <c:order val="0"/>
          <c:spPr>
            <a:solidFill>
              <a:schemeClr val="accent1"/>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place!$Y$91:$Y$94</c:f>
              <c:numCache>
                <c:formatCode>_-* #,##0\ _k_n_-;\-* #,##0\ _k_n_-;_-* "-"??\ _k_n_-;_-@</c:formatCode>
                <c:ptCount val="4"/>
                <c:pt idx="0">
                  <c:v>8515.0681632972774</c:v>
                </c:pt>
                <c:pt idx="1">
                  <c:v>6978.2248574693222</c:v>
                </c:pt>
                <c:pt idx="2">
                  <c:v>8662.3575162152356</c:v>
                </c:pt>
                <c:pt idx="3">
                  <c:v>8222.5675921012771</c:v>
                </c:pt>
              </c:numCache>
            </c:numRef>
          </c:val>
          <c:extLst>
            <c:ext xmlns:c16="http://schemas.microsoft.com/office/drawing/2014/chart" uri="{C3380CC4-5D6E-409C-BE32-E72D297353CC}">
              <c16:uniqueId val="{00000000-B509-44A8-9301-D3F22D66C788}"/>
            </c:ext>
          </c:extLst>
        </c:ser>
        <c:ser>
          <c:idx val="1"/>
          <c:order val="1"/>
          <c:spPr>
            <a:solidFill>
              <a:schemeClr val="accent2"/>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place!$Z$91:$Z$94</c:f>
              <c:numCache>
                <c:formatCode>_-* #,##0\ _k_n_-;\-* #,##0\ _k_n_-;_-* "-"??\ _k_n_-;_-@</c:formatCode>
                <c:ptCount val="4"/>
                <c:pt idx="0">
                  <c:v>8514.2459703695768</c:v>
                </c:pt>
                <c:pt idx="1">
                  <c:v>6984.5295309704734</c:v>
                </c:pt>
                <c:pt idx="2">
                  <c:v>8748.6125514882769</c:v>
                </c:pt>
                <c:pt idx="3">
                  <c:v>8373.9689752672748</c:v>
                </c:pt>
              </c:numCache>
            </c:numRef>
          </c:val>
          <c:extLst>
            <c:ext xmlns:c16="http://schemas.microsoft.com/office/drawing/2014/chart" uri="{C3380CC4-5D6E-409C-BE32-E72D297353CC}">
              <c16:uniqueId val="{00000001-B509-44A8-9301-D3F22D66C788}"/>
            </c:ext>
          </c:extLst>
        </c:ser>
        <c:ser>
          <c:idx val="2"/>
          <c:order val="2"/>
          <c:spPr>
            <a:solidFill>
              <a:schemeClr val="accent3"/>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place!$AA$91:$AA$94</c:f>
              <c:numCache>
                <c:formatCode>_-* #,##0\ _k_n_-;\-* #,##0\ _k_n_-;_-* "-"??\ _k_n_-;_-@</c:formatCode>
                <c:ptCount val="4"/>
                <c:pt idx="0">
                  <c:v>8513.5568073296472</c:v>
                </c:pt>
                <c:pt idx="1">
                  <c:v>6995.4945064278336</c:v>
                </c:pt>
                <c:pt idx="2">
                  <c:v>8851.4098512858436</c:v>
                </c:pt>
                <c:pt idx="3">
                  <c:v>8545.5739754378174</c:v>
                </c:pt>
              </c:numCache>
            </c:numRef>
          </c:val>
          <c:extLst>
            <c:ext xmlns:c16="http://schemas.microsoft.com/office/drawing/2014/chart" uri="{C3380CC4-5D6E-409C-BE32-E72D297353CC}">
              <c16:uniqueId val="{00000002-B509-44A8-9301-D3F22D66C788}"/>
            </c:ext>
          </c:extLst>
        </c:ser>
        <c:ser>
          <c:idx val="3"/>
          <c:order val="3"/>
          <c:spPr>
            <a:solidFill>
              <a:schemeClr val="accent4"/>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place!$AI$91:$AI$94</c:f>
              <c:numCache>
                <c:formatCode>#,##0.00</c:formatCode>
                <c:ptCount val="4"/>
                <c:pt idx="0">
                  <c:v>7436.0658268269754</c:v>
                </c:pt>
                <c:pt idx="1">
                  <c:v>7115.5689756816637</c:v>
                </c:pt>
                <c:pt idx="2">
                  <c:v>6893.77332178708</c:v>
                </c:pt>
                <c:pt idx="3">
                  <c:v>6652.2690862660475</c:v>
                </c:pt>
              </c:numCache>
            </c:numRef>
          </c:val>
          <c:extLst>
            <c:ext xmlns:c16="http://schemas.microsoft.com/office/drawing/2014/chart" uri="{C3380CC4-5D6E-409C-BE32-E72D297353CC}">
              <c16:uniqueId val="{00000003-B509-44A8-9301-D3F22D66C788}"/>
            </c:ext>
          </c:extLst>
        </c:ser>
        <c:ser>
          <c:idx val="4"/>
          <c:order val="4"/>
          <c:spPr>
            <a:solidFill>
              <a:schemeClr val="accent5"/>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place!$AJ$91:$AJ$94</c:f>
              <c:numCache>
                <c:formatCode>#,##0.00</c:formatCode>
                <c:ptCount val="4"/>
                <c:pt idx="0">
                  <c:v>7435.4400402759757</c:v>
                </c:pt>
                <c:pt idx="1">
                  <c:v>7119.4744859675329</c:v>
                </c:pt>
                <c:pt idx="2">
                  <c:v>6955.0475617124339</c:v>
                </c:pt>
                <c:pt idx="3">
                  <c:v>6751.6821617644664</c:v>
                </c:pt>
              </c:numCache>
            </c:numRef>
          </c:val>
          <c:extLst>
            <c:ext xmlns:c16="http://schemas.microsoft.com/office/drawing/2014/chart" uri="{C3380CC4-5D6E-409C-BE32-E72D297353CC}">
              <c16:uniqueId val="{00000004-B509-44A8-9301-D3F22D66C788}"/>
            </c:ext>
          </c:extLst>
        </c:ser>
        <c:ser>
          <c:idx val="5"/>
          <c:order val="5"/>
          <c:spPr>
            <a:solidFill>
              <a:schemeClr val="accent6"/>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place!$AK$91:$AK$94</c:f>
              <c:numCache>
                <c:formatCode>#,##0.00</c:formatCode>
                <c:ptCount val="4"/>
                <c:pt idx="0">
                  <c:v>7434.9155052826618</c:v>
                </c:pt>
                <c:pt idx="1">
                  <c:v>7126.2901521067561</c:v>
                </c:pt>
                <c:pt idx="2">
                  <c:v>7025.9679216090217</c:v>
                </c:pt>
                <c:pt idx="3">
                  <c:v>6861.5170747477468</c:v>
                </c:pt>
              </c:numCache>
            </c:numRef>
          </c:val>
          <c:extLst>
            <c:ext xmlns:c16="http://schemas.microsoft.com/office/drawing/2014/chart" uri="{C3380CC4-5D6E-409C-BE32-E72D297353CC}">
              <c16:uniqueId val="{00000005-B509-44A8-9301-D3F22D66C788}"/>
            </c:ext>
          </c:extLst>
        </c:ser>
        <c:dLbls>
          <c:showLegendKey val="0"/>
          <c:showVal val="0"/>
          <c:showCatName val="0"/>
          <c:showSerName val="0"/>
          <c:showPercent val="0"/>
          <c:showBubbleSize val="0"/>
        </c:dLbls>
        <c:gapWidth val="219"/>
        <c:overlap val="-27"/>
        <c:axId val="1850810272"/>
        <c:axId val="1850811936"/>
      </c:barChart>
      <c:dateAx>
        <c:axId val="18508102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crossAx val="1850811936"/>
        <c:crosses val="autoZero"/>
        <c:auto val="1"/>
        <c:lblOffset val="100"/>
        <c:baseTimeUnit val="months"/>
      </c:dateAx>
      <c:valAx>
        <c:axId val="1850811936"/>
        <c:scaling>
          <c:orientation val="minMax"/>
        </c:scaling>
        <c:delete val="0"/>
        <c:axPos val="l"/>
        <c:majorGridlines>
          <c:spPr>
            <a:ln w="9525" cap="flat" cmpd="sng" algn="ctr">
              <a:solidFill>
                <a:schemeClr val="tx1">
                  <a:lumMod val="15000"/>
                  <a:lumOff val="85000"/>
                </a:schemeClr>
              </a:solidFill>
              <a:round/>
            </a:ln>
            <a:effectLst/>
          </c:spPr>
        </c:majorGridlines>
        <c:numFmt formatCode="_-* #,##0\ _k_n_-;\-* #,##0\ _k_n_-;_-* &quot;-&quot;??\ _k_n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crossAx val="1850810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r-Latn-R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strRef>
              <c:f>vanjski_sektor!$K$2</c:f>
              <c:strCache>
                <c:ptCount val="1"/>
                <c:pt idx="0">
                  <c:v>Međunarodne pričuve</c:v>
                </c:pt>
              </c:strCache>
            </c:strRef>
          </c:tx>
          <c:spPr>
            <a:ln w="28575" cmpd="sng">
              <a:solidFill>
                <a:schemeClr val="accent1"/>
              </a:solidFill>
            </a:ln>
          </c:spPr>
          <c:marker>
            <c:symbol val="none"/>
          </c:marker>
          <c:cat>
            <c:numRef>
              <c:f>vanjski_sektor!$A$3:$A$82</c:f>
              <c:numCache>
                <c:formatCode>m/d/yyyy</c:formatCode>
                <c:ptCount val="80"/>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numCache>
            </c:numRef>
          </c:cat>
          <c:val>
            <c:numRef>
              <c:f>vanjski_sektor!$K$3:$K$82</c:f>
              <c:numCache>
                <c:formatCode>#,##0.0</c:formatCode>
                <c:ptCount val="80"/>
                <c:pt idx="0">
                  <c:v>-14.463144744870696</c:v>
                </c:pt>
                <c:pt idx="1">
                  <c:v>363.80881688603733</c:v>
                </c:pt>
                <c:pt idx="2">
                  <c:v>291.65183348756676</c:v>
                </c:pt>
                <c:pt idx="3">
                  <c:v>36.276109757642217</c:v>
                </c:pt>
                <c:pt idx="4">
                  <c:v>152.76247661437964</c:v>
                </c:pt>
                <c:pt idx="5">
                  <c:v>456.39910861869379</c:v>
                </c:pt>
                <c:pt idx="6">
                  <c:v>479.37185957651332</c:v>
                </c:pt>
                <c:pt idx="7">
                  <c:v>460.44937644067926</c:v>
                </c:pt>
                <c:pt idx="8">
                  <c:v>252.23408668900157</c:v>
                </c:pt>
                <c:pt idx="9">
                  <c:v>301.92558547386761</c:v>
                </c:pt>
                <c:pt idx="10">
                  <c:v>171.64396060069762</c:v>
                </c:pt>
                <c:pt idx="11">
                  <c:v>16.062555319322897</c:v>
                </c:pt>
                <c:pt idx="12">
                  <c:v>180.9220558573673</c:v>
                </c:pt>
                <c:pt idx="13">
                  <c:v>253.85490877435984</c:v>
                </c:pt>
                <c:pt idx="14">
                  <c:v>250.0520499279103</c:v>
                </c:pt>
                <c:pt idx="15">
                  <c:v>550.64200951128601</c:v>
                </c:pt>
                <c:pt idx="16">
                  <c:v>-421.65638582364983</c:v>
                </c:pt>
                <c:pt idx="17">
                  <c:v>202.70718659998701</c:v>
                </c:pt>
                <c:pt idx="18">
                  <c:v>88.615892122134042</c:v>
                </c:pt>
                <c:pt idx="19">
                  <c:v>173.36713417672451</c:v>
                </c:pt>
                <c:pt idx="20">
                  <c:v>188.07689987574938</c:v>
                </c:pt>
                <c:pt idx="21">
                  <c:v>282.39218314092022</c:v>
                </c:pt>
                <c:pt idx="22">
                  <c:v>-67.574851451983491</c:v>
                </c:pt>
                <c:pt idx="23">
                  <c:v>418.91583618290446</c:v>
                </c:pt>
                <c:pt idx="24">
                  <c:v>672.55407077532141</c:v>
                </c:pt>
                <c:pt idx="25">
                  <c:v>697.18984428304009</c:v>
                </c:pt>
                <c:pt idx="26">
                  <c:v>-596.41351613621168</c:v>
                </c:pt>
                <c:pt idx="27">
                  <c:v>638.89993150982514</c:v>
                </c:pt>
                <c:pt idx="28">
                  <c:v>808.13699561606006</c:v>
                </c:pt>
                <c:pt idx="29">
                  <c:v>-335.85773201262026</c:v>
                </c:pt>
                <c:pt idx="30">
                  <c:v>-310.46030751967061</c:v>
                </c:pt>
                <c:pt idx="31">
                  <c:v>559.79691599979151</c:v>
                </c:pt>
                <c:pt idx="32">
                  <c:v>695.93103951711885</c:v>
                </c:pt>
                <c:pt idx="33">
                  <c:v>95.761473847593408</c:v>
                </c:pt>
                <c:pt idx="34">
                  <c:v>-383.00667445874035</c:v>
                </c:pt>
                <c:pt idx="35">
                  <c:v>-739.08800235258047</c:v>
                </c:pt>
                <c:pt idx="36">
                  <c:v>-410.67743750344664</c:v>
                </c:pt>
                <c:pt idx="37">
                  <c:v>331.31684989591037</c:v>
                </c:pt>
                <c:pt idx="38">
                  <c:v>304.60927324788605</c:v>
                </c:pt>
                <c:pt idx="39">
                  <c:v>1002.9724449033681</c:v>
                </c:pt>
                <c:pt idx="40">
                  <c:v>-528.1395051165382</c:v>
                </c:pt>
                <c:pt idx="41">
                  <c:v>73.09430872030552</c:v>
                </c:pt>
                <c:pt idx="42">
                  <c:v>1136.4131879717636</c:v>
                </c:pt>
                <c:pt idx="43">
                  <c:v>-574.57801081495995</c:v>
                </c:pt>
                <c:pt idx="44">
                  <c:v>913.97549201153981</c:v>
                </c:pt>
                <c:pt idx="45">
                  <c:v>48.328615217684025</c:v>
                </c:pt>
                <c:pt idx="46">
                  <c:v>-234.14963965682833</c:v>
                </c:pt>
                <c:pt idx="47">
                  <c:v>-265.73963718635486</c:v>
                </c:pt>
                <c:pt idx="48">
                  <c:v>222.64841631672815</c:v>
                </c:pt>
                <c:pt idx="49">
                  <c:v>108.75103219818291</c:v>
                </c:pt>
                <c:pt idx="50">
                  <c:v>-184.30970442646475</c:v>
                </c:pt>
                <c:pt idx="51">
                  <c:v>-101.27979415117382</c:v>
                </c:pt>
                <c:pt idx="52">
                  <c:v>-38.623096000000054</c:v>
                </c:pt>
                <c:pt idx="53">
                  <c:v>804.22626600010017</c:v>
                </c:pt>
                <c:pt idx="54">
                  <c:v>-185.144732</c:v>
                </c:pt>
                <c:pt idx="55">
                  <c:v>1263.629117</c:v>
                </c:pt>
                <c:pt idx="56">
                  <c:v>-801.32541600000002</c:v>
                </c:pt>
                <c:pt idx="57">
                  <c:v>208.74065200000004</c:v>
                </c:pt>
                <c:pt idx="58">
                  <c:v>-407.65781100000004</c:v>
                </c:pt>
                <c:pt idx="59">
                  <c:v>470.362415</c:v>
                </c:pt>
                <c:pt idx="60">
                  <c:v>1115.41526</c:v>
                </c:pt>
                <c:pt idx="61">
                  <c:v>-322.93179700000007</c:v>
                </c:pt>
                <c:pt idx="62">
                  <c:v>-241.97285999999997</c:v>
                </c:pt>
                <c:pt idx="63">
                  <c:v>194.83548300000027</c:v>
                </c:pt>
                <c:pt idx="64">
                  <c:v>-447.68827600000009</c:v>
                </c:pt>
                <c:pt idx="65">
                  <c:v>-388.92530299999999</c:v>
                </c:pt>
                <c:pt idx="66">
                  <c:v>141.99169699989994</c:v>
                </c:pt>
                <c:pt idx="67">
                  <c:v>429.93825700000002</c:v>
                </c:pt>
                <c:pt idx="68">
                  <c:v>2653.7549040000004</c:v>
                </c:pt>
                <c:pt idx="69">
                  <c:v>-1883.2567770000001</c:v>
                </c:pt>
                <c:pt idx="70">
                  <c:v>1009.935355</c:v>
                </c:pt>
                <c:pt idx="71">
                  <c:v>812.70644700000003</c:v>
                </c:pt>
                <c:pt idx="72">
                  <c:v>785.75924904999999</c:v>
                </c:pt>
                <c:pt idx="73">
                  <c:v>25.056777919999995</c:v>
                </c:pt>
                <c:pt idx="74">
                  <c:v>12.786647849999964</c:v>
                </c:pt>
                <c:pt idx="75">
                  <c:v>721.43776332999994</c:v>
                </c:pt>
                <c:pt idx="76">
                  <c:v>725.5415992500001</c:v>
                </c:pt>
                <c:pt idx="77">
                  <c:v>1531.6371312999997</c:v>
                </c:pt>
                <c:pt idx="78">
                  <c:v>365.79429075999991</c:v>
                </c:pt>
                <c:pt idx="79">
                  <c:v>-1633.3239852499999</c:v>
                </c:pt>
              </c:numCache>
            </c:numRef>
          </c:val>
          <c:smooth val="0"/>
          <c:extLst>
            <c:ext xmlns:c16="http://schemas.microsoft.com/office/drawing/2014/chart" uri="{C3380CC4-5D6E-409C-BE32-E72D297353CC}">
              <c16:uniqueId val="{00000000-8478-410A-89D3-AFD445920611}"/>
            </c:ext>
          </c:extLst>
        </c:ser>
        <c:dLbls>
          <c:showLegendKey val="0"/>
          <c:showVal val="0"/>
          <c:showCatName val="0"/>
          <c:showSerName val="0"/>
          <c:showPercent val="0"/>
          <c:showBubbleSize val="0"/>
        </c:dLbls>
        <c:smooth val="0"/>
        <c:axId val="602412268"/>
        <c:axId val="1486986148"/>
      </c:lineChart>
      <c:dateAx>
        <c:axId val="602412268"/>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486986148"/>
        <c:crosses val="autoZero"/>
        <c:auto val="1"/>
        <c:lblOffset val="100"/>
        <c:baseTimeUnit val="months"/>
      </c:dateAx>
      <c:valAx>
        <c:axId val="14869861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602412268"/>
        <c:crosses val="autoZero"/>
        <c:crossBetween val="between"/>
      </c:val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strRef>
              <c:f>krediti!$C$2</c:f>
              <c:strCache>
                <c:ptCount val="1"/>
                <c:pt idx="0">
                  <c:v>dkred</c:v>
                </c:pt>
              </c:strCache>
            </c:strRef>
          </c:tx>
          <c:spPr>
            <a:ln w="28575" cmpd="sng">
              <a:solidFill>
                <a:schemeClr val="accent1"/>
              </a:solidFill>
            </a:ln>
          </c:spPr>
          <c:marker>
            <c:symbol val="none"/>
          </c:marker>
          <c:cat>
            <c:numRef>
              <c:f>krediti!$A$3:$A$82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krediti!$C$3:$C$82</c:f>
              <c:numCache>
                <c:formatCode>0.0</c:formatCode>
                <c:ptCount val="80"/>
                <c:pt idx="0">
                  <c:v>15.339758068527187</c:v>
                </c:pt>
                <c:pt idx="1">
                  <c:v>19.628209963809763</c:v>
                </c:pt>
                <c:pt idx="2">
                  <c:v>23.684996858984153</c:v>
                </c:pt>
                <c:pt idx="3">
                  <c:v>23.144081180534858</c:v>
                </c:pt>
                <c:pt idx="4">
                  <c:v>23.382538845302768</c:v>
                </c:pt>
                <c:pt idx="5">
                  <c:v>25.828519614663037</c:v>
                </c:pt>
                <c:pt idx="6">
                  <c:v>27.52086417033599</c:v>
                </c:pt>
                <c:pt idx="7">
                  <c:v>30.117466156454586</c:v>
                </c:pt>
                <c:pt idx="8">
                  <c:v>28.706081426335817</c:v>
                </c:pt>
                <c:pt idx="9">
                  <c:v>22.507895967338442</c:v>
                </c:pt>
                <c:pt idx="10">
                  <c:v>17.651335654884505</c:v>
                </c:pt>
                <c:pt idx="11">
                  <c:v>14.649778309674577</c:v>
                </c:pt>
                <c:pt idx="12">
                  <c:v>10.384637360180605</c:v>
                </c:pt>
                <c:pt idx="13">
                  <c:v>12.316470325074613</c:v>
                </c:pt>
                <c:pt idx="14">
                  <c:v>12.664669131773598</c:v>
                </c:pt>
                <c:pt idx="15">
                  <c:v>14.155481335172325</c:v>
                </c:pt>
                <c:pt idx="16">
                  <c:v>13.32149727629437</c:v>
                </c:pt>
                <c:pt idx="17">
                  <c:v>14.731427300288447</c:v>
                </c:pt>
                <c:pt idx="18">
                  <c:v>16.93765887210763</c:v>
                </c:pt>
                <c:pt idx="19">
                  <c:v>17.278977973044761</c:v>
                </c:pt>
                <c:pt idx="20">
                  <c:v>22.299405752243008</c:v>
                </c:pt>
                <c:pt idx="21">
                  <c:v>23.300449534493083</c:v>
                </c:pt>
                <c:pt idx="22">
                  <c:v>22.631795556214552</c:v>
                </c:pt>
                <c:pt idx="23">
                  <c:v>23.327638624370529</c:v>
                </c:pt>
                <c:pt idx="24">
                  <c:v>22.744249383353999</c:v>
                </c:pt>
                <c:pt idx="25">
                  <c:v>21.600186313204329</c:v>
                </c:pt>
                <c:pt idx="26">
                  <c:v>17.762938152163123</c:v>
                </c:pt>
                <c:pt idx="27">
                  <c:v>15.363870394136892</c:v>
                </c:pt>
                <c:pt idx="28">
                  <c:v>13.390549315164208</c:v>
                </c:pt>
                <c:pt idx="29">
                  <c:v>10.872020773374217</c:v>
                </c:pt>
                <c:pt idx="30">
                  <c:v>12.041973135024406</c:v>
                </c:pt>
                <c:pt idx="31">
                  <c:v>8.7039305515353931</c:v>
                </c:pt>
                <c:pt idx="32">
                  <c:v>6.5478294595665005</c:v>
                </c:pt>
                <c:pt idx="33">
                  <c:v>3.4683884842165185</c:v>
                </c:pt>
                <c:pt idx="34">
                  <c:v>-0.28058039842994731</c:v>
                </c:pt>
                <c:pt idx="35">
                  <c:v>-0.33655687572895943</c:v>
                </c:pt>
                <c:pt idx="36">
                  <c:v>0.63999509884550321</c:v>
                </c:pt>
                <c:pt idx="37">
                  <c:v>2.0169068936327363</c:v>
                </c:pt>
                <c:pt idx="38">
                  <c:v>3.4382928180565813</c:v>
                </c:pt>
                <c:pt idx="39">
                  <c:v>2.263464407623573</c:v>
                </c:pt>
                <c:pt idx="40">
                  <c:v>2.0821402429715334</c:v>
                </c:pt>
                <c:pt idx="41">
                  <c:v>1.8813782447935523</c:v>
                </c:pt>
                <c:pt idx="42">
                  <c:v>1.9485258562609289</c:v>
                </c:pt>
                <c:pt idx="43">
                  <c:v>3.4904656111675081</c:v>
                </c:pt>
                <c:pt idx="44">
                  <c:v>3.5858524652855976</c:v>
                </c:pt>
                <c:pt idx="45">
                  <c:v>2.1212537292004043</c:v>
                </c:pt>
                <c:pt idx="46">
                  <c:v>0.92266626850106093</c:v>
                </c:pt>
                <c:pt idx="47">
                  <c:v>-1.1882587997532141</c:v>
                </c:pt>
                <c:pt idx="48">
                  <c:v>-1.5941280272353424</c:v>
                </c:pt>
                <c:pt idx="49">
                  <c:v>-0.13619033831960792</c:v>
                </c:pt>
                <c:pt idx="50">
                  <c:v>-0.33567215663687477</c:v>
                </c:pt>
                <c:pt idx="51">
                  <c:v>0.80127183753349129</c:v>
                </c:pt>
                <c:pt idx="52">
                  <c:v>0.3024998421784062</c:v>
                </c:pt>
                <c:pt idx="53">
                  <c:v>-0.99523758808408047</c:v>
                </c:pt>
                <c:pt idx="54">
                  <c:v>-0.89402284902550377</c:v>
                </c:pt>
                <c:pt idx="55">
                  <c:v>-1.49794183246469</c:v>
                </c:pt>
                <c:pt idx="56">
                  <c:v>-1.6046080166230041</c:v>
                </c:pt>
                <c:pt idx="57">
                  <c:v>-1.9168879288737202</c:v>
                </c:pt>
                <c:pt idx="58">
                  <c:v>-1.9763381704152465</c:v>
                </c:pt>
                <c:pt idx="59">
                  <c:v>-2.2821843390586309</c:v>
                </c:pt>
                <c:pt idx="60">
                  <c:v>-0.87373908172831705</c:v>
                </c:pt>
                <c:pt idx="61">
                  <c:v>-0.19383711145928828</c:v>
                </c:pt>
                <c:pt idx="62">
                  <c:v>0.43816731632175276</c:v>
                </c:pt>
                <c:pt idx="63">
                  <c:v>1.1071854037444098</c:v>
                </c:pt>
                <c:pt idx="64">
                  <c:v>0.83939530992257971</c:v>
                </c:pt>
                <c:pt idx="65">
                  <c:v>1.7238004938552933</c:v>
                </c:pt>
                <c:pt idx="66">
                  <c:v>1.8781511318490089</c:v>
                </c:pt>
                <c:pt idx="67">
                  <c:v>2.8526205813892602</c:v>
                </c:pt>
                <c:pt idx="68">
                  <c:v>3.0508764767163967</c:v>
                </c:pt>
                <c:pt idx="69">
                  <c:v>4.1054483670102542</c:v>
                </c:pt>
                <c:pt idx="70">
                  <c:v>4.5564374132871279</c:v>
                </c:pt>
                <c:pt idx="71">
                  <c:v>4.3974496686121682</c:v>
                </c:pt>
                <c:pt idx="72">
                  <c:v>4.5609377229903316</c:v>
                </c:pt>
                <c:pt idx="73">
                  <c:v>3.5782051666062098</c:v>
                </c:pt>
                <c:pt idx="74">
                  <c:v>2.9502087381398918</c:v>
                </c:pt>
                <c:pt idx="75">
                  <c:v>4.1832089500657466</c:v>
                </c:pt>
                <c:pt idx="76" formatCode="_-* #,##0.0\ _k_n_-;\-* #,##0.0\ _k_n_-;_-* &quot;-&quot;??\ _k_n_-;_-@">
                  <c:v>6.0769417838374444</c:v>
                </c:pt>
                <c:pt idx="77" formatCode="_-* #,##0.0\ _k_n_-;\-* #,##0.0\ _k_n_-;_-* &quot;-&quot;??\ _k_n_-;_-@">
                  <c:v>-4.6634172645025824</c:v>
                </c:pt>
                <c:pt idx="78" formatCode="_-* #,##0.0\ _k_n_-;\-* #,##0.0\ _k_n_-;_-* &quot;-&quot;??\ _k_n_-;_-@">
                  <c:v>-13.447176189803569</c:v>
                </c:pt>
                <c:pt idx="79" formatCode="_-* #,##0.0\ _k_n_-;\-* #,##0.0\ _k_n_-;_-* &quot;-&quot;??\ _k_n_-;_-@">
                  <c:v>-17.034365562433628</c:v>
                </c:pt>
              </c:numCache>
            </c:numRef>
          </c:val>
          <c:smooth val="0"/>
          <c:extLst>
            <c:ext xmlns:c16="http://schemas.microsoft.com/office/drawing/2014/chart" uri="{C3380CC4-5D6E-409C-BE32-E72D297353CC}">
              <c16:uniqueId val="{00000000-52CC-4E13-99CA-E4903D427D16}"/>
            </c:ext>
          </c:extLst>
        </c:ser>
        <c:dLbls>
          <c:showLegendKey val="0"/>
          <c:showVal val="0"/>
          <c:showCatName val="0"/>
          <c:showSerName val="0"/>
          <c:showPercent val="0"/>
          <c:showBubbleSize val="0"/>
        </c:dLbls>
        <c:smooth val="0"/>
        <c:axId val="355824360"/>
        <c:axId val="486416266"/>
      </c:lineChart>
      <c:dateAx>
        <c:axId val="355824360"/>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486416266"/>
        <c:crosses val="autoZero"/>
        <c:auto val="1"/>
        <c:lblOffset val="100"/>
        <c:baseTimeUnit val="months"/>
      </c:dateAx>
      <c:valAx>
        <c:axId val="4864162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355824360"/>
        <c:crosses val="autoZero"/>
        <c:crossBetween val="between"/>
      </c:valAx>
    </c:plotArea>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9.8105671573661998E-2"/>
          <c:y val="0.34126163391933817"/>
          <c:w val="0.88042358231791074"/>
          <c:h val="0.56480116820971316"/>
        </c:manualLayout>
      </c:layout>
      <c:lineChart>
        <c:grouping val="standard"/>
        <c:varyColors val="1"/>
        <c:ser>
          <c:idx val="0"/>
          <c:order val="0"/>
          <c:tx>
            <c:strRef>
              <c:f>inflacija!$D$98</c:f>
              <c:strCache>
                <c:ptCount val="1"/>
                <c:pt idx="0">
                  <c:v>All-items HICP</c:v>
                </c:pt>
              </c:strCache>
            </c:strRef>
          </c:tx>
          <c:spPr>
            <a:ln w="28575" cmpd="sng">
              <a:solidFill>
                <a:schemeClr val="accent1"/>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inflacija!$E$98:$FG$98</c:f>
              <c:numCache>
                <c:formatCode>#,##0.0</c:formatCode>
                <c:ptCount val="159"/>
                <c:pt idx="0">
                  <c:v>1.9</c:v>
                </c:pt>
                <c:pt idx="1">
                  <c:v>1.5</c:v>
                </c:pt>
                <c:pt idx="2">
                  <c:v>2</c:v>
                </c:pt>
                <c:pt idx="3">
                  <c:v>2</c:v>
                </c:pt>
                <c:pt idx="4">
                  <c:v>2</c:v>
                </c:pt>
                <c:pt idx="5">
                  <c:v>1.4</c:v>
                </c:pt>
                <c:pt idx="6">
                  <c:v>1.7</c:v>
                </c:pt>
                <c:pt idx="7">
                  <c:v>2.2000000000000002</c:v>
                </c:pt>
                <c:pt idx="8">
                  <c:v>3.4</c:v>
                </c:pt>
                <c:pt idx="9">
                  <c:v>3.9</c:v>
                </c:pt>
                <c:pt idx="10">
                  <c:v>4.5</c:v>
                </c:pt>
                <c:pt idx="11">
                  <c:v>5.4</c:v>
                </c:pt>
                <c:pt idx="12">
                  <c:v>5.8</c:v>
                </c:pt>
                <c:pt idx="13">
                  <c:v>5.4</c:v>
                </c:pt>
                <c:pt idx="14">
                  <c:v>5.4</c:v>
                </c:pt>
                <c:pt idx="15">
                  <c:v>5.4</c:v>
                </c:pt>
                <c:pt idx="16">
                  <c:v>6.1</c:v>
                </c:pt>
                <c:pt idx="17">
                  <c:v>7.3</c:v>
                </c:pt>
                <c:pt idx="18">
                  <c:v>8</c:v>
                </c:pt>
                <c:pt idx="19">
                  <c:v>7.1</c:v>
                </c:pt>
                <c:pt idx="20">
                  <c:v>6.2</c:v>
                </c:pt>
                <c:pt idx="21">
                  <c:v>5.7</c:v>
                </c:pt>
                <c:pt idx="22">
                  <c:v>4.5</c:v>
                </c:pt>
                <c:pt idx="23">
                  <c:v>2.8</c:v>
                </c:pt>
                <c:pt idx="24">
                  <c:v>3.2</c:v>
                </c:pt>
                <c:pt idx="25">
                  <c:v>3.8</c:v>
                </c:pt>
                <c:pt idx="26">
                  <c:v>3.4</c:v>
                </c:pt>
                <c:pt idx="27">
                  <c:v>3.5</c:v>
                </c:pt>
                <c:pt idx="28">
                  <c:v>2.5</c:v>
                </c:pt>
                <c:pt idx="29">
                  <c:v>1.9</c:v>
                </c:pt>
                <c:pt idx="30">
                  <c:v>1.2</c:v>
                </c:pt>
                <c:pt idx="31">
                  <c:v>1.5</c:v>
                </c:pt>
                <c:pt idx="32">
                  <c:v>0.9</c:v>
                </c:pt>
                <c:pt idx="33">
                  <c:v>1.2</c:v>
                </c:pt>
                <c:pt idx="34">
                  <c:v>1.8</c:v>
                </c:pt>
                <c:pt idx="35">
                  <c:v>1.8</c:v>
                </c:pt>
                <c:pt idx="36">
                  <c:v>1.3</c:v>
                </c:pt>
                <c:pt idx="37">
                  <c:v>0.9</c:v>
                </c:pt>
                <c:pt idx="38">
                  <c:v>1.1000000000000001</c:v>
                </c:pt>
                <c:pt idx="39">
                  <c:v>0.8</c:v>
                </c:pt>
                <c:pt idx="40">
                  <c:v>0.9</c:v>
                </c:pt>
                <c:pt idx="41">
                  <c:v>0.6</c:v>
                </c:pt>
                <c:pt idx="42">
                  <c:v>0.9</c:v>
                </c:pt>
                <c:pt idx="43">
                  <c:v>0.8</c:v>
                </c:pt>
                <c:pt idx="44">
                  <c:v>1.4</c:v>
                </c:pt>
                <c:pt idx="45">
                  <c:v>1.4</c:v>
                </c:pt>
                <c:pt idx="46">
                  <c:v>1.2</c:v>
                </c:pt>
                <c:pt idx="47">
                  <c:v>1.7</c:v>
                </c:pt>
                <c:pt idx="48">
                  <c:v>1.8</c:v>
                </c:pt>
                <c:pt idx="49">
                  <c:v>2.2000000000000002</c:v>
                </c:pt>
                <c:pt idx="50">
                  <c:v>2.5</c:v>
                </c:pt>
                <c:pt idx="51">
                  <c:v>2.2999999999999998</c:v>
                </c:pt>
                <c:pt idx="52">
                  <c:v>2.5</c:v>
                </c:pt>
                <c:pt idx="53">
                  <c:v>2</c:v>
                </c:pt>
                <c:pt idx="54">
                  <c:v>1.9</c:v>
                </c:pt>
                <c:pt idx="55">
                  <c:v>2.1</c:v>
                </c:pt>
                <c:pt idx="56">
                  <c:v>2.1</c:v>
                </c:pt>
                <c:pt idx="57">
                  <c:v>2.5</c:v>
                </c:pt>
                <c:pt idx="58">
                  <c:v>2.5</c:v>
                </c:pt>
                <c:pt idx="59">
                  <c:v>2.1</c:v>
                </c:pt>
                <c:pt idx="60">
                  <c:v>1.4</c:v>
                </c:pt>
                <c:pt idx="61">
                  <c:v>1.6</c:v>
                </c:pt>
                <c:pt idx="62">
                  <c:v>2.1</c:v>
                </c:pt>
                <c:pt idx="63">
                  <c:v>2.6</c:v>
                </c:pt>
                <c:pt idx="64">
                  <c:v>3.5</c:v>
                </c:pt>
                <c:pt idx="65">
                  <c:v>3.6</c:v>
                </c:pt>
                <c:pt idx="66">
                  <c:v>3.4</c:v>
                </c:pt>
                <c:pt idx="67">
                  <c:v>4.0999999999999996</c:v>
                </c:pt>
                <c:pt idx="68">
                  <c:v>4.8</c:v>
                </c:pt>
                <c:pt idx="69">
                  <c:v>4.5999999999999996</c:v>
                </c:pt>
                <c:pt idx="70">
                  <c:v>4.0999999999999996</c:v>
                </c:pt>
                <c:pt idx="71">
                  <c:v>4.4000000000000004</c:v>
                </c:pt>
                <c:pt idx="72">
                  <c:v>4.5999999999999996</c:v>
                </c:pt>
                <c:pt idx="73">
                  <c:v>4.4000000000000004</c:v>
                </c:pt>
                <c:pt idx="74">
                  <c:v>3.4</c:v>
                </c:pt>
                <c:pt idx="75">
                  <c:v>3.1</c:v>
                </c:pt>
                <c:pt idx="76">
                  <c:v>1.8</c:v>
                </c:pt>
                <c:pt idx="77">
                  <c:v>2.2000000000000002</c:v>
                </c:pt>
                <c:pt idx="78">
                  <c:v>2.7</c:v>
                </c:pt>
                <c:pt idx="79">
                  <c:v>2.4</c:v>
                </c:pt>
                <c:pt idx="80">
                  <c:v>1.7</c:v>
                </c:pt>
                <c:pt idx="81">
                  <c:v>0.8</c:v>
                </c:pt>
                <c:pt idx="82">
                  <c:v>0.7</c:v>
                </c:pt>
                <c:pt idx="83">
                  <c:v>0.5</c:v>
                </c:pt>
                <c:pt idx="84">
                  <c:v>0.4</c:v>
                </c:pt>
                <c:pt idx="85">
                  <c:v>-0.2</c:v>
                </c:pt>
                <c:pt idx="86">
                  <c:v>-0.1</c:v>
                </c:pt>
                <c:pt idx="87">
                  <c:v>-0.1</c:v>
                </c:pt>
                <c:pt idx="88">
                  <c:v>0.4</c:v>
                </c:pt>
                <c:pt idx="89">
                  <c:v>0.5</c:v>
                </c:pt>
                <c:pt idx="90">
                  <c:v>0.5</c:v>
                </c:pt>
                <c:pt idx="91">
                  <c:v>0.3</c:v>
                </c:pt>
                <c:pt idx="92">
                  <c:v>0.2</c:v>
                </c:pt>
                <c:pt idx="93">
                  <c:v>0.5</c:v>
                </c:pt>
                <c:pt idx="94">
                  <c:v>0.3</c:v>
                </c:pt>
                <c:pt idx="95">
                  <c:v>-0.1</c:v>
                </c:pt>
                <c:pt idx="96">
                  <c:v>-0.6</c:v>
                </c:pt>
                <c:pt idx="97">
                  <c:v>-0.4</c:v>
                </c:pt>
                <c:pt idx="98">
                  <c:v>0</c:v>
                </c:pt>
                <c:pt idx="99">
                  <c:v>-0.1</c:v>
                </c:pt>
                <c:pt idx="100">
                  <c:v>0</c:v>
                </c:pt>
                <c:pt idx="101">
                  <c:v>0.1</c:v>
                </c:pt>
                <c:pt idx="102">
                  <c:v>-0.2</c:v>
                </c:pt>
                <c:pt idx="103">
                  <c:v>-0.1</c:v>
                </c:pt>
                <c:pt idx="104">
                  <c:v>-0.5</c:v>
                </c:pt>
                <c:pt idx="105">
                  <c:v>-0.5</c:v>
                </c:pt>
                <c:pt idx="106">
                  <c:v>-0.4</c:v>
                </c:pt>
                <c:pt idx="107">
                  <c:v>-0.3</c:v>
                </c:pt>
                <c:pt idx="108">
                  <c:v>-0.2</c:v>
                </c:pt>
                <c:pt idx="109">
                  <c:v>-0.6</c:v>
                </c:pt>
                <c:pt idx="110">
                  <c:v>-0.9</c:v>
                </c:pt>
                <c:pt idx="111">
                  <c:v>-0.9</c:v>
                </c:pt>
                <c:pt idx="112">
                  <c:v>-1.2</c:v>
                </c:pt>
                <c:pt idx="113">
                  <c:v>-1.2</c:v>
                </c:pt>
                <c:pt idx="114">
                  <c:v>-1.1000000000000001</c:v>
                </c:pt>
                <c:pt idx="115">
                  <c:v>-1.5</c:v>
                </c:pt>
                <c:pt idx="116">
                  <c:v>-0.7</c:v>
                </c:pt>
                <c:pt idx="117">
                  <c:v>-0.3</c:v>
                </c:pt>
                <c:pt idx="118">
                  <c:v>0.2</c:v>
                </c:pt>
                <c:pt idx="119">
                  <c:v>0.7</c:v>
                </c:pt>
                <c:pt idx="120">
                  <c:v>0.9</c:v>
                </c:pt>
                <c:pt idx="121">
                  <c:v>1.4</c:v>
                </c:pt>
                <c:pt idx="122">
                  <c:v>1.1000000000000001</c:v>
                </c:pt>
                <c:pt idx="123">
                  <c:v>1.4</c:v>
                </c:pt>
                <c:pt idx="124">
                  <c:v>1</c:v>
                </c:pt>
                <c:pt idx="125">
                  <c:v>1.1000000000000001</c:v>
                </c:pt>
                <c:pt idx="126">
                  <c:v>1.2</c:v>
                </c:pt>
                <c:pt idx="127">
                  <c:v>1.5</c:v>
                </c:pt>
                <c:pt idx="128">
                  <c:v>1.6</c:v>
                </c:pt>
                <c:pt idx="129">
                  <c:v>1.6</c:v>
                </c:pt>
                <c:pt idx="130">
                  <c:v>1.6</c:v>
                </c:pt>
                <c:pt idx="131">
                  <c:v>1.3</c:v>
                </c:pt>
                <c:pt idx="132">
                  <c:v>1.2</c:v>
                </c:pt>
                <c:pt idx="133">
                  <c:v>0.9</c:v>
                </c:pt>
                <c:pt idx="134">
                  <c:v>1.2</c:v>
                </c:pt>
                <c:pt idx="135">
                  <c:v>1.4</c:v>
                </c:pt>
                <c:pt idx="136">
                  <c:v>1.8</c:v>
                </c:pt>
                <c:pt idx="137">
                  <c:v>2.2000000000000002</c:v>
                </c:pt>
                <c:pt idx="138">
                  <c:v>2.2000000000000002</c:v>
                </c:pt>
                <c:pt idx="139">
                  <c:v>2.1</c:v>
                </c:pt>
                <c:pt idx="140">
                  <c:v>1.6</c:v>
                </c:pt>
                <c:pt idx="141">
                  <c:v>1.7</c:v>
                </c:pt>
                <c:pt idx="142">
                  <c:v>1.3</c:v>
                </c:pt>
                <c:pt idx="143">
                  <c:v>1</c:v>
                </c:pt>
                <c:pt idx="144">
                  <c:v>0.6</c:v>
                </c:pt>
                <c:pt idx="145">
                  <c:v>0.8</c:v>
                </c:pt>
                <c:pt idx="146">
                  <c:v>1.1000000000000001</c:v>
                </c:pt>
                <c:pt idx="147">
                  <c:v>0.8</c:v>
                </c:pt>
                <c:pt idx="148">
                  <c:v>1</c:v>
                </c:pt>
                <c:pt idx="149">
                  <c:v>0.5</c:v>
                </c:pt>
                <c:pt idx="150">
                  <c:v>0.9</c:v>
                </c:pt>
                <c:pt idx="151">
                  <c:v>0.6</c:v>
                </c:pt>
                <c:pt idx="152">
                  <c:v>0.6</c:v>
                </c:pt>
                <c:pt idx="153">
                  <c:v>0.6</c:v>
                </c:pt>
                <c:pt idx="154">
                  <c:v>0.8</c:v>
                </c:pt>
                <c:pt idx="155">
                  <c:v>1.3</c:v>
                </c:pt>
                <c:pt idx="156">
                  <c:v>1.8</c:v>
                </c:pt>
                <c:pt idx="157">
                  <c:v>1.2</c:v>
                </c:pt>
                <c:pt idx="158">
                  <c:v>0.5</c:v>
                </c:pt>
              </c:numCache>
            </c:numRef>
          </c:val>
          <c:smooth val="0"/>
          <c:extLst>
            <c:ext xmlns:c16="http://schemas.microsoft.com/office/drawing/2014/chart" uri="{C3380CC4-5D6E-409C-BE32-E72D297353CC}">
              <c16:uniqueId val="{00000000-AA6E-4CB5-8B46-70D57AC6A0EA}"/>
            </c:ext>
          </c:extLst>
        </c:ser>
        <c:ser>
          <c:idx val="1"/>
          <c:order val="1"/>
          <c:tx>
            <c:strRef>
              <c:f>inflacija!$D$99</c:f>
              <c:strCache>
                <c:ptCount val="1"/>
                <c:pt idx="0">
                  <c:v>Food and non-alcoholic beverages</c:v>
                </c:pt>
              </c:strCache>
            </c:strRef>
          </c:tx>
          <c:spPr>
            <a:ln w="28575" cmpd="sng">
              <a:solidFill>
                <a:schemeClr val="accent2"/>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inflacija!$E$99:$FG$99</c:f>
              <c:numCache>
                <c:formatCode>#,##0.0</c:formatCode>
                <c:ptCount val="159"/>
                <c:pt idx="0">
                  <c:v>1.2</c:v>
                </c:pt>
                <c:pt idx="1">
                  <c:v>0.2</c:v>
                </c:pt>
                <c:pt idx="2">
                  <c:v>1.1000000000000001</c:v>
                </c:pt>
                <c:pt idx="3">
                  <c:v>1.1000000000000001</c:v>
                </c:pt>
                <c:pt idx="4">
                  <c:v>0.2</c:v>
                </c:pt>
                <c:pt idx="5">
                  <c:v>-1</c:v>
                </c:pt>
                <c:pt idx="6">
                  <c:v>0.3</c:v>
                </c:pt>
                <c:pt idx="7">
                  <c:v>2.2000000000000002</c:v>
                </c:pt>
                <c:pt idx="8">
                  <c:v>5.5</c:v>
                </c:pt>
                <c:pt idx="9">
                  <c:v>6.6</c:v>
                </c:pt>
                <c:pt idx="10">
                  <c:v>7.4</c:v>
                </c:pt>
                <c:pt idx="11">
                  <c:v>10.1</c:v>
                </c:pt>
                <c:pt idx="12">
                  <c:v>10.4</c:v>
                </c:pt>
                <c:pt idx="13">
                  <c:v>9.1999999999999993</c:v>
                </c:pt>
                <c:pt idx="14">
                  <c:v>8.6</c:v>
                </c:pt>
                <c:pt idx="15">
                  <c:v>8.9</c:v>
                </c:pt>
                <c:pt idx="16">
                  <c:v>10.3</c:v>
                </c:pt>
                <c:pt idx="17">
                  <c:v>12.7</c:v>
                </c:pt>
                <c:pt idx="18">
                  <c:v>13.4</c:v>
                </c:pt>
                <c:pt idx="19">
                  <c:v>12</c:v>
                </c:pt>
                <c:pt idx="20">
                  <c:v>9.4</c:v>
                </c:pt>
                <c:pt idx="21">
                  <c:v>9</c:v>
                </c:pt>
                <c:pt idx="22">
                  <c:v>6.9</c:v>
                </c:pt>
                <c:pt idx="23">
                  <c:v>5</c:v>
                </c:pt>
                <c:pt idx="24">
                  <c:v>4.7</c:v>
                </c:pt>
                <c:pt idx="25">
                  <c:v>6.2</c:v>
                </c:pt>
                <c:pt idx="26">
                  <c:v>6.3</c:v>
                </c:pt>
                <c:pt idx="27">
                  <c:v>4.5999999999999996</c:v>
                </c:pt>
                <c:pt idx="28">
                  <c:v>2.9</c:v>
                </c:pt>
                <c:pt idx="29">
                  <c:v>1.5</c:v>
                </c:pt>
                <c:pt idx="30">
                  <c:v>0.5</c:v>
                </c:pt>
                <c:pt idx="31">
                  <c:v>-0.3</c:v>
                </c:pt>
                <c:pt idx="32">
                  <c:v>-0.9</c:v>
                </c:pt>
                <c:pt idx="33">
                  <c:v>-1.6</c:v>
                </c:pt>
                <c:pt idx="34">
                  <c:v>-1.1000000000000001</c:v>
                </c:pt>
                <c:pt idx="35">
                  <c:v>-2</c:v>
                </c:pt>
                <c:pt idx="36">
                  <c:v>-2.6</c:v>
                </c:pt>
                <c:pt idx="37">
                  <c:v>-3.3</c:v>
                </c:pt>
                <c:pt idx="38">
                  <c:v>-3.4</c:v>
                </c:pt>
                <c:pt idx="39">
                  <c:v>-2.9</c:v>
                </c:pt>
                <c:pt idx="40">
                  <c:v>-2.8</c:v>
                </c:pt>
                <c:pt idx="41">
                  <c:v>-2.6</c:v>
                </c:pt>
                <c:pt idx="42">
                  <c:v>-1.1000000000000001</c:v>
                </c:pt>
                <c:pt idx="43">
                  <c:v>-0.8</c:v>
                </c:pt>
                <c:pt idx="44">
                  <c:v>0.1</c:v>
                </c:pt>
                <c:pt idx="45">
                  <c:v>0.2</c:v>
                </c:pt>
                <c:pt idx="46">
                  <c:v>-0.1</c:v>
                </c:pt>
                <c:pt idx="47">
                  <c:v>0.9</c:v>
                </c:pt>
                <c:pt idx="48">
                  <c:v>2.2999999999999998</c:v>
                </c:pt>
                <c:pt idx="49">
                  <c:v>3.7</c:v>
                </c:pt>
                <c:pt idx="50">
                  <c:v>4.4000000000000004</c:v>
                </c:pt>
                <c:pt idx="51">
                  <c:v>3.4</c:v>
                </c:pt>
                <c:pt idx="52">
                  <c:v>4.5999999999999996</c:v>
                </c:pt>
                <c:pt idx="53">
                  <c:v>3.3</c:v>
                </c:pt>
                <c:pt idx="54">
                  <c:v>2.8</c:v>
                </c:pt>
                <c:pt idx="55">
                  <c:v>2.9</c:v>
                </c:pt>
                <c:pt idx="56">
                  <c:v>2.9</c:v>
                </c:pt>
                <c:pt idx="57">
                  <c:v>3.8</c:v>
                </c:pt>
                <c:pt idx="58">
                  <c:v>4.4000000000000004</c:v>
                </c:pt>
                <c:pt idx="59">
                  <c:v>3.7</c:v>
                </c:pt>
                <c:pt idx="60">
                  <c:v>2.1</c:v>
                </c:pt>
                <c:pt idx="61">
                  <c:v>2.4</c:v>
                </c:pt>
                <c:pt idx="62">
                  <c:v>1.7</c:v>
                </c:pt>
                <c:pt idx="63">
                  <c:v>2.8</c:v>
                </c:pt>
                <c:pt idx="64">
                  <c:v>2</c:v>
                </c:pt>
                <c:pt idx="65">
                  <c:v>3</c:v>
                </c:pt>
                <c:pt idx="66">
                  <c:v>3.8</c:v>
                </c:pt>
                <c:pt idx="67">
                  <c:v>4.8</c:v>
                </c:pt>
                <c:pt idx="68">
                  <c:v>5.7</c:v>
                </c:pt>
                <c:pt idx="69">
                  <c:v>5</c:v>
                </c:pt>
                <c:pt idx="70">
                  <c:v>4.4000000000000004</c:v>
                </c:pt>
                <c:pt idx="71">
                  <c:v>5.6</c:v>
                </c:pt>
                <c:pt idx="72">
                  <c:v>6.3</c:v>
                </c:pt>
                <c:pt idx="73">
                  <c:v>5.2</c:v>
                </c:pt>
                <c:pt idx="74">
                  <c:v>4.5999999999999996</c:v>
                </c:pt>
                <c:pt idx="75">
                  <c:v>5.3</c:v>
                </c:pt>
                <c:pt idx="76">
                  <c:v>6.5</c:v>
                </c:pt>
                <c:pt idx="77">
                  <c:v>6.5</c:v>
                </c:pt>
                <c:pt idx="78">
                  <c:v>4.8</c:v>
                </c:pt>
                <c:pt idx="79">
                  <c:v>4.2</c:v>
                </c:pt>
                <c:pt idx="80">
                  <c:v>2.8</c:v>
                </c:pt>
                <c:pt idx="81">
                  <c:v>1.6</c:v>
                </c:pt>
                <c:pt idx="82">
                  <c:v>1</c:v>
                </c:pt>
                <c:pt idx="83">
                  <c:v>-0.2</c:v>
                </c:pt>
                <c:pt idx="84">
                  <c:v>-0.7</c:v>
                </c:pt>
                <c:pt idx="85">
                  <c:v>-1.4</c:v>
                </c:pt>
                <c:pt idx="86">
                  <c:v>-1.3</c:v>
                </c:pt>
                <c:pt idx="87">
                  <c:v>-2.5</c:v>
                </c:pt>
                <c:pt idx="88">
                  <c:v>-4.0999999999999996</c:v>
                </c:pt>
                <c:pt idx="89">
                  <c:v>-4.4000000000000004</c:v>
                </c:pt>
                <c:pt idx="90">
                  <c:v>-3.2</c:v>
                </c:pt>
                <c:pt idx="91">
                  <c:v>-3.4</c:v>
                </c:pt>
                <c:pt idx="92">
                  <c:v>-2.7</c:v>
                </c:pt>
                <c:pt idx="93">
                  <c:v>-2.2000000000000002</c:v>
                </c:pt>
                <c:pt idx="94">
                  <c:v>-1.4</c:v>
                </c:pt>
                <c:pt idx="95">
                  <c:v>-1.9</c:v>
                </c:pt>
                <c:pt idx="96">
                  <c:v>-0.8</c:v>
                </c:pt>
                <c:pt idx="97">
                  <c:v>0.2</c:v>
                </c:pt>
                <c:pt idx="98">
                  <c:v>0.4</c:v>
                </c:pt>
                <c:pt idx="99">
                  <c:v>0.5</c:v>
                </c:pt>
                <c:pt idx="100">
                  <c:v>0.4</c:v>
                </c:pt>
                <c:pt idx="101">
                  <c:v>0.7</c:v>
                </c:pt>
                <c:pt idx="102">
                  <c:v>0.4</c:v>
                </c:pt>
                <c:pt idx="103">
                  <c:v>0.7</c:v>
                </c:pt>
                <c:pt idx="104">
                  <c:v>0</c:v>
                </c:pt>
                <c:pt idx="105">
                  <c:v>0.7</c:v>
                </c:pt>
                <c:pt idx="106">
                  <c:v>0.4</c:v>
                </c:pt>
                <c:pt idx="107">
                  <c:v>0.2</c:v>
                </c:pt>
                <c:pt idx="108">
                  <c:v>-0.4</c:v>
                </c:pt>
                <c:pt idx="109">
                  <c:v>-1.3</c:v>
                </c:pt>
                <c:pt idx="110">
                  <c:v>-2</c:v>
                </c:pt>
                <c:pt idx="111">
                  <c:v>-1.5</c:v>
                </c:pt>
                <c:pt idx="112">
                  <c:v>-0.1</c:v>
                </c:pt>
                <c:pt idx="113">
                  <c:v>-0.1</c:v>
                </c:pt>
                <c:pt idx="114">
                  <c:v>0.3</c:v>
                </c:pt>
                <c:pt idx="115">
                  <c:v>-0.7</c:v>
                </c:pt>
                <c:pt idx="116">
                  <c:v>-0.3</c:v>
                </c:pt>
                <c:pt idx="117">
                  <c:v>-0.2</c:v>
                </c:pt>
                <c:pt idx="118">
                  <c:v>0.2</c:v>
                </c:pt>
                <c:pt idx="119">
                  <c:v>0.9</c:v>
                </c:pt>
                <c:pt idx="120">
                  <c:v>2.4</c:v>
                </c:pt>
                <c:pt idx="121">
                  <c:v>3.2</c:v>
                </c:pt>
                <c:pt idx="122">
                  <c:v>3.3</c:v>
                </c:pt>
                <c:pt idx="123">
                  <c:v>3.5</c:v>
                </c:pt>
                <c:pt idx="124">
                  <c:v>2.4</c:v>
                </c:pt>
                <c:pt idx="125">
                  <c:v>2.1</c:v>
                </c:pt>
                <c:pt idx="126">
                  <c:v>2.6</c:v>
                </c:pt>
                <c:pt idx="127">
                  <c:v>3.2</c:v>
                </c:pt>
                <c:pt idx="128">
                  <c:v>3.6</c:v>
                </c:pt>
                <c:pt idx="129">
                  <c:v>3.3</c:v>
                </c:pt>
                <c:pt idx="130">
                  <c:v>2.9</c:v>
                </c:pt>
                <c:pt idx="131">
                  <c:v>2</c:v>
                </c:pt>
                <c:pt idx="132">
                  <c:v>0.8</c:v>
                </c:pt>
                <c:pt idx="133">
                  <c:v>0.3</c:v>
                </c:pt>
                <c:pt idx="134">
                  <c:v>0.9</c:v>
                </c:pt>
                <c:pt idx="135">
                  <c:v>1</c:v>
                </c:pt>
                <c:pt idx="136">
                  <c:v>1.2</c:v>
                </c:pt>
                <c:pt idx="137">
                  <c:v>2</c:v>
                </c:pt>
                <c:pt idx="138">
                  <c:v>1.5</c:v>
                </c:pt>
                <c:pt idx="139">
                  <c:v>1.2</c:v>
                </c:pt>
                <c:pt idx="140">
                  <c:v>0.2</c:v>
                </c:pt>
                <c:pt idx="141">
                  <c:v>0.4</c:v>
                </c:pt>
                <c:pt idx="142">
                  <c:v>0.3</c:v>
                </c:pt>
                <c:pt idx="143">
                  <c:v>0.4</c:v>
                </c:pt>
                <c:pt idx="144">
                  <c:v>-0.6</c:v>
                </c:pt>
                <c:pt idx="145">
                  <c:v>-0.6</c:v>
                </c:pt>
                <c:pt idx="146">
                  <c:v>-0.3</c:v>
                </c:pt>
                <c:pt idx="147">
                  <c:v>-1.6</c:v>
                </c:pt>
                <c:pt idx="148">
                  <c:v>-0.6</c:v>
                </c:pt>
                <c:pt idx="149">
                  <c:v>-0.3</c:v>
                </c:pt>
                <c:pt idx="150">
                  <c:v>0.3</c:v>
                </c:pt>
                <c:pt idx="151">
                  <c:v>0.3</c:v>
                </c:pt>
                <c:pt idx="152">
                  <c:v>0.4</c:v>
                </c:pt>
                <c:pt idx="153">
                  <c:v>0.2</c:v>
                </c:pt>
                <c:pt idx="154">
                  <c:v>0.3</c:v>
                </c:pt>
                <c:pt idx="155">
                  <c:v>1.9</c:v>
                </c:pt>
                <c:pt idx="156">
                  <c:v>2.8</c:v>
                </c:pt>
                <c:pt idx="157">
                  <c:v>2.4</c:v>
                </c:pt>
                <c:pt idx="158">
                  <c:v>2.6</c:v>
                </c:pt>
              </c:numCache>
            </c:numRef>
          </c:val>
          <c:smooth val="0"/>
          <c:extLst>
            <c:ext xmlns:c16="http://schemas.microsoft.com/office/drawing/2014/chart" uri="{C3380CC4-5D6E-409C-BE32-E72D297353CC}">
              <c16:uniqueId val="{00000001-AA6E-4CB5-8B46-70D57AC6A0EA}"/>
            </c:ext>
          </c:extLst>
        </c:ser>
        <c:ser>
          <c:idx val="2"/>
          <c:order val="2"/>
          <c:tx>
            <c:strRef>
              <c:f>inflacija!$D$100</c:f>
              <c:strCache>
                <c:ptCount val="1"/>
                <c:pt idx="0">
                  <c:v>Alcoholic beverages, tobacco and narcotics</c:v>
                </c:pt>
              </c:strCache>
            </c:strRef>
          </c:tx>
          <c:spPr>
            <a:ln w="28575" cmpd="sng">
              <a:solidFill>
                <a:schemeClr val="accent3"/>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inflacija!$E$100:$FG$100</c:f>
              <c:numCache>
                <c:formatCode>#,##0.0</c:formatCode>
                <c:ptCount val="159"/>
                <c:pt idx="0">
                  <c:v>2.1</c:v>
                </c:pt>
                <c:pt idx="1">
                  <c:v>1.5</c:v>
                </c:pt>
                <c:pt idx="2">
                  <c:v>1.6</c:v>
                </c:pt>
                <c:pt idx="3">
                  <c:v>1.4</c:v>
                </c:pt>
                <c:pt idx="4">
                  <c:v>2.7</c:v>
                </c:pt>
                <c:pt idx="5">
                  <c:v>2.7</c:v>
                </c:pt>
                <c:pt idx="6">
                  <c:v>3.8</c:v>
                </c:pt>
                <c:pt idx="7">
                  <c:v>3.8</c:v>
                </c:pt>
                <c:pt idx="8">
                  <c:v>3.8</c:v>
                </c:pt>
                <c:pt idx="9">
                  <c:v>3.7</c:v>
                </c:pt>
                <c:pt idx="10">
                  <c:v>3.8</c:v>
                </c:pt>
                <c:pt idx="11">
                  <c:v>5.9</c:v>
                </c:pt>
                <c:pt idx="12">
                  <c:v>6.1</c:v>
                </c:pt>
                <c:pt idx="13">
                  <c:v>6</c:v>
                </c:pt>
                <c:pt idx="14">
                  <c:v>6.1</c:v>
                </c:pt>
                <c:pt idx="15">
                  <c:v>6.8</c:v>
                </c:pt>
                <c:pt idx="16">
                  <c:v>5.4</c:v>
                </c:pt>
                <c:pt idx="17">
                  <c:v>5.3</c:v>
                </c:pt>
                <c:pt idx="18">
                  <c:v>4.3</c:v>
                </c:pt>
                <c:pt idx="19">
                  <c:v>4.5</c:v>
                </c:pt>
                <c:pt idx="20">
                  <c:v>4.5</c:v>
                </c:pt>
                <c:pt idx="21">
                  <c:v>4.5</c:v>
                </c:pt>
                <c:pt idx="22">
                  <c:v>4.3</c:v>
                </c:pt>
                <c:pt idx="23">
                  <c:v>2.2000000000000002</c:v>
                </c:pt>
                <c:pt idx="24">
                  <c:v>6.8</c:v>
                </c:pt>
                <c:pt idx="25">
                  <c:v>7.1</c:v>
                </c:pt>
                <c:pt idx="26">
                  <c:v>6.9</c:v>
                </c:pt>
                <c:pt idx="27">
                  <c:v>14.5</c:v>
                </c:pt>
                <c:pt idx="28">
                  <c:v>14.2</c:v>
                </c:pt>
                <c:pt idx="29">
                  <c:v>14.1</c:v>
                </c:pt>
                <c:pt idx="30">
                  <c:v>14.2</c:v>
                </c:pt>
                <c:pt idx="31">
                  <c:v>13.9</c:v>
                </c:pt>
                <c:pt idx="32">
                  <c:v>12.4</c:v>
                </c:pt>
                <c:pt idx="33">
                  <c:v>12.5</c:v>
                </c:pt>
                <c:pt idx="34">
                  <c:v>12.5</c:v>
                </c:pt>
                <c:pt idx="35">
                  <c:v>12.6</c:v>
                </c:pt>
                <c:pt idx="36">
                  <c:v>7.7</c:v>
                </c:pt>
                <c:pt idx="37">
                  <c:v>7.5</c:v>
                </c:pt>
                <c:pt idx="38">
                  <c:v>7.5</c:v>
                </c:pt>
                <c:pt idx="39">
                  <c:v>-0.3</c:v>
                </c:pt>
                <c:pt idx="40">
                  <c:v>-0.1</c:v>
                </c:pt>
                <c:pt idx="41">
                  <c:v>0.1</c:v>
                </c:pt>
                <c:pt idx="42">
                  <c:v>-0.1</c:v>
                </c:pt>
                <c:pt idx="43">
                  <c:v>-0.3</c:v>
                </c:pt>
                <c:pt idx="44">
                  <c:v>1</c:v>
                </c:pt>
                <c:pt idx="45">
                  <c:v>0.8</c:v>
                </c:pt>
                <c:pt idx="46">
                  <c:v>3.8</c:v>
                </c:pt>
                <c:pt idx="47">
                  <c:v>3.6</c:v>
                </c:pt>
                <c:pt idx="48">
                  <c:v>5.8</c:v>
                </c:pt>
                <c:pt idx="49">
                  <c:v>5.5</c:v>
                </c:pt>
                <c:pt idx="50">
                  <c:v>6.6</c:v>
                </c:pt>
                <c:pt idx="51">
                  <c:v>6.5</c:v>
                </c:pt>
                <c:pt idx="52">
                  <c:v>6.2</c:v>
                </c:pt>
                <c:pt idx="53">
                  <c:v>6.1</c:v>
                </c:pt>
                <c:pt idx="54">
                  <c:v>7.2</c:v>
                </c:pt>
                <c:pt idx="55">
                  <c:v>7.2</c:v>
                </c:pt>
                <c:pt idx="56">
                  <c:v>7.1</c:v>
                </c:pt>
                <c:pt idx="57">
                  <c:v>7.5</c:v>
                </c:pt>
                <c:pt idx="58">
                  <c:v>4.9000000000000004</c:v>
                </c:pt>
                <c:pt idx="59">
                  <c:v>5</c:v>
                </c:pt>
                <c:pt idx="60">
                  <c:v>2.8</c:v>
                </c:pt>
                <c:pt idx="61">
                  <c:v>2.8</c:v>
                </c:pt>
                <c:pt idx="62">
                  <c:v>2</c:v>
                </c:pt>
                <c:pt idx="63">
                  <c:v>3.7</c:v>
                </c:pt>
                <c:pt idx="64">
                  <c:v>3.6</c:v>
                </c:pt>
                <c:pt idx="65">
                  <c:v>4.5999999999999996</c:v>
                </c:pt>
                <c:pt idx="66">
                  <c:v>3.4</c:v>
                </c:pt>
                <c:pt idx="67">
                  <c:v>4.3</c:v>
                </c:pt>
                <c:pt idx="68">
                  <c:v>5.2</c:v>
                </c:pt>
                <c:pt idx="69">
                  <c:v>5</c:v>
                </c:pt>
                <c:pt idx="70">
                  <c:v>4.7</c:v>
                </c:pt>
                <c:pt idx="71">
                  <c:v>4.8</c:v>
                </c:pt>
                <c:pt idx="72">
                  <c:v>4.7</c:v>
                </c:pt>
                <c:pt idx="73">
                  <c:v>7.7</c:v>
                </c:pt>
                <c:pt idx="74">
                  <c:v>7.5</c:v>
                </c:pt>
                <c:pt idx="75">
                  <c:v>6.9</c:v>
                </c:pt>
                <c:pt idx="76">
                  <c:v>6.8</c:v>
                </c:pt>
                <c:pt idx="77">
                  <c:v>5.9</c:v>
                </c:pt>
                <c:pt idx="78">
                  <c:v>11</c:v>
                </c:pt>
                <c:pt idx="79">
                  <c:v>10.8</c:v>
                </c:pt>
                <c:pt idx="80">
                  <c:v>10.1</c:v>
                </c:pt>
                <c:pt idx="81">
                  <c:v>10.4</c:v>
                </c:pt>
                <c:pt idx="82">
                  <c:v>10.3</c:v>
                </c:pt>
                <c:pt idx="83">
                  <c:v>9.9</c:v>
                </c:pt>
                <c:pt idx="84">
                  <c:v>10</c:v>
                </c:pt>
                <c:pt idx="85">
                  <c:v>7.1</c:v>
                </c:pt>
                <c:pt idx="86">
                  <c:v>8.1999999999999993</c:v>
                </c:pt>
                <c:pt idx="87">
                  <c:v>8.1</c:v>
                </c:pt>
                <c:pt idx="88">
                  <c:v>8.4</c:v>
                </c:pt>
                <c:pt idx="89">
                  <c:v>8.1999999999999993</c:v>
                </c:pt>
                <c:pt idx="90">
                  <c:v>3.5</c:v>
                </c:pt>
                <c:pt idx="91">
                  <c:v>2.9</c:v>
                </c:pt>
                <c:pt idx="92">
                  <c:v>2.7</c:v>
                </c:pt>
                <c:pt idx="93">
                  <c:v>2.2999999999999998</c:v>
                </c:pt>
                <c:pt idx="94">
                  <c:v>2.6</c:v>
                </c:pt>
                <c:pt idx="95">
                  <c:v>3.1</c:v>
                </c:pt>
                <c:pt idx="96">
                  <c:v>2.9</c:v>
                </c:pt>
                <c:pt idx="97">
                  <c:v>3</c:v>
                </c:pt>
                <c:pt idx="98">
                  <c:v>1.7</c:v>
                </c:pt>
                <c:pt idx="99">
                  <c:v>2</c:v>
                </c:pt>
                <c:pt idx="100">
                  <c:v>1.9</c:v>
                </c:pt>
                <c:pt idx="101">
                  <c:v>1.8</c:v>
                </c:pt>
                <c:pt idx="102">
                  <c:v>1.5</c:v>
                </c:pt>
                <c:pt idx="103">
                  <c:v>1.9</c:v>
                </c:pt>
                <c:pt idx="104">
                  <c:v>1.9</c:v>
                </c:pt>
                <c:pt idx="105">
                  <c:v>1.8</c:v>
                </c:pt>
                <c:pt idx="106">
                  <c:v>1.2</c:v>
                </c:pt>
                <c:pt idx="107">
                  <c:v>0.9</c:v>
                </c:pt>
                <c:pt idx="108">
                  <c:v>0.9</c:v>
                </c:pt>
                <c:pt idx="109">
                  <c:v>1.2</c:v>
                </c:pt>
                <c:pt idx="110">
                  <c:v>1.3</c:v>
                </c:pt>
                <c:pt idx="111">
                  <c:v>0.1</c:v>
                </c:pt>
                <c:pt idx="112">
                  <c:v>0.2</c:v>
                </c:pt>
                <c:pt idx="113">
                  <c:v>0.3</c:v>
                </c:pt>
                <c:pt idx="114">
                  <c:v>0.5</c:v>
                </c:pt>
                <c:pt idx="115">
                  <c:v>0.1</c:v>
                </c:pt>
                <c:pt idx="116">
                  <c:v>0.2</c:v>
                </c:pt>
                <c:pt idx="117">
                  <c:v>0.3</c:v>
                </c:pt>
                <c:pt idx="118">
                  <c:v>0.3</c:v>
                </c:pt>
                <c:pt idx="119">
                  <c:v>2.4</c:v>
                </c:pt>
                <c:pt idx="120">
                  <c:v>2.2000000000000002</c:v>
                </c:pt>
                <c:pt idx="121">
                  <c:v>1.9</c:v>
                </c:pt>
                <c:pt idx="122">
                  <c:v>2.2000000000000002</c:v>
                </c:pt>
                <c:pt idx="123">
                  <c:v>2.4</c:v>
                </c:pt>
                <c:pt idx="124">
                  <c:v>1.8</c:v>
                </c:pt>
                <c:pt idx="125">
                  <c:v>2.2000000000000002</c:v>
                </c:pt>
                <c:pt idx="126">
                  <c:v>2.1</c:v>
                </c:pt>
                <c:pt idx="127">
                  <c:v>1.8</c:v>
                </c:pt>
                <c:pt idx="128">
                  <c:v>2</c:v>
                </c:pt>
                <c:pt idx="129">
                  <c:v>1.9</c:v>
                </c:pt>
                <c:pt idx="130">
                  <c:v>2.1</c:v>
                </c:pt>
                <c:pt idx="131">
                  <c:v>1.3</c:v>
                </c:pt>
                <c:pt idx="132">
                  <c:v>2.1</c:v>
                </c:pt>
                <c:pt idx="133">
                  <c:v>2</c:v>
                </c:pt>
                <c:pt idx="134">
                  <c:v>1.7</c:v>
                </c:pt>
                <c:pt idx="135">
                  <c:v>1.7</c:v>
                </c:pt>
                <c:pt idx="136">
                  <c:v>2.5</c:v>
                </c:pt>
                <c:pt idx="137">
                  <c:v>1.6</c:v>
                </c:pt>
                <c:pt idx="138">
                  <c:v>1.7</c:v>
                </c:pt>
                <c:pt idx="139">
                  <c:v>2.5</c:v>
                </c:pt>
                <c:pt idx="140">
                  <c:v>1.9</c:v>
                </c:pt>
                <c:pt idx="141">
                  <c:v>2.2000000000000002</c:v>
                </c:pt>
                <c:pt idx="142">
                  <c:v>2.4</c:v>
                </c:pt>
                <c:pt idx="143">
                  <c:v>3.9</c:v>
                </c:pt>
                <c:pt idx="144">
                  <c:v>3.6</c:v>
                </c:pt>
                <c:pt idx="145">
                  <c:v>3.4</c:v>
                </c:pt>
                <c:pt idx="146">
                  <c:v>3.9</c:v>
                </c:pt>
                <c:pt idx="147">
                  <c:v>3.8</c:v>
                </c:pt>
                <c:pt idx="148">
                  <c:v>3.5</c:v>
                </c:pt>
                <c:pt idx="149">
                  <c:v>3.8</c:v>
                </c:pt>
                <c:pt idx="150">
                  <c:v>4</c:v>
                </c:pt>
                <c:pt idx="151">
                  <c:v>3.6</c:v>
                </c:pt>
                <c:pt idx="152">
                  <c:v>3.7</c:v>
                </c:pt>
                <c:pt idx="153">
                  <c:v>3.7</c:v>
                </c:pt>
                <c:pt idx="154">
                  <c:v>3.9</c:v>
                </c:pt>
                <c:pt idx="155">
                  <c:v>1</c:v>
                </c:pt>
                <c:pt idx="156">
                  <c:v>0.8</c:v>
                </c:pt>
                <c:pt idx="157">
                  <c:v>1.3</c:v>
                </c:pt>
                <c:pt idx="158">
                  <c:v>0.5</c:v>
                </c:pt>
              </c:numCache>
            </c:numRef>
          </c:val>
          <c:smooth val="0"/>
          <c:extLst>
            <c:ext xmlns:c16="http://schemas.microsoft.com/office/drawing/2014/chart" uri="{C3380CC4-5D6E-409C-BE32-E72D297353CC}">
              <c16:uniqueId val="{00000002-AA6E-4CB5-8B46-70D57AC6A0EA}"/>
            </c:ext>
          </c:extLst>
        </c:ser>
        <c:ser>
          <c:idx val="3"/>
          <c:order val="3"/>
          <c:tx>
            <c:strRef>
              <c:f>inflacija!$D$101</c:f>
              <c:strCache>
                <c:ptCount val="1"/>
                <c:pt idx="0">
                  <c:v>Clothing and footwear</c:v>
                </c:pt>
              </c:strCache>
            </c:strRef>
          </c:tx>
          <c:spPr>
            <a:ln w="28575" cmpd="sng">
              <a:solidFill>
                <a:schemeClr val="accent4"/>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inflacija!$E$101:$FG$101</c:f>
              <c:numCache>
                <c:formatCode>#,##0.0</c:formatCode>
                <c:ptCount val="159"/>
                <c:pt idx="0">
                  <c:v>5</c:v>
                </c:pt>
                <c:pt idx="1">
                  <c:v>4.5999999999999996</c:v>
                </c:pt>
                <c:pt idx="2">
                  <c:v>5.0999999999999996</c:v>
                </c:pt>
                <c:pt idx="3">
                  <c:v>5.4</c:v>
                </c:pt>
                <c:pt idx="4">
                  <c:v>5.8</c:v>
                </c:pt>
                <c:pt idx="5">
                  <c:v>5.5</c:v>
                </c:pt>
                <c:pt idx="6">
                  <c:v>4.9000000000000004</c:v>
                </c:pt>
                <c:pt idx="7">
                  <c:v>5.5</c:v>
                </c:pt>
                <c:pt idx="8">
                  <c:v>4.9000000000000004</c:v>
                </c:pt>
                <c:pt idx="9">
                  <c:v>4.8</c:v>
                </c:pt>
                <c:pt idx="10">
                  <c:v>4.9000000000000004</c:v>
                </c:pt>
                <c:pt idx="11">
                  <c:v>5.0999999999999996</c:v>
                </c:pt>
                <c:pt idx="12">
                  <c:v>3.8</c:v>
                </c:pt>
                <c:pt idx="13">
                  <c:v>3.8</c:v>
                </c:pt>
                <c:pt idx="14">
                  <c:v>3.7</c:v>
                </c:pt>
                <c:pt idx="15">
                  <c:v>3</c:v>
                </c:pt>
                <c:pt idx="16">
                  <c:v>3.1</c:v>
                </c:pt>
                <c:pt idx="17">
                  <c:v>2.8</c:v>
                </c:pt>
                <c:pt idx="18">
                  <c:v>2.2999999999999998</c:v>
                </c:pt>
                <c:pt idx="19">
                  <c:v>2.1</c:v>
                </c:pt>
                <c:pt idx="20">
                  <c:v>3</c:v>
                </c:pt>
                <c:pt idx="21">
                  <c:v>2.4</c:v>
                </c:pt>
                <c:pt idx="22">
                  <c:v>4</c:v>
                </c:pt>
                <c:pt idx="23">
                  <c:v>-1.1000000000000001</c:v>
                </c:pt>
                <c:pt idx="24">
                  <c:v>0</c:v>
                </c:pt>
                <c:pt idx="25">
                  <c:v>0.4</c:v>
                </c:pt>
                <c:pt idx="26">
                  <c:v>1.6</c:v>
                </c:pt>
                <c:pt idx="27">
                  <c:v>2.7</c:v>
                </c:pt>
                <c:pt idx="28">
                  <c:v>2.2999999999999998</c:v>
                </c:pt>
                <c:pt idx="29">
                  <c:v>1.9</c:v>
                </c:pt>
                <c:pt idx="30">
                  <c:v>1.1000000000000001</c:v>
                </c:pt>
                <c:pt idx="31">
                  <c:v>-1.5</c:v>
                </c:pt>
                <c:pt idx="32">
                  <c:v>-2.2000000000000002</c:v>
                </c:pt>
                <c:pt idx="33">
                  <c:v>-0.3</c:v>
                </c:pt>
                <c:pt idx="34">
                  <c:v>-3.2</c:v>
                </c:pt>
                <c:pt idx="35">
                  <c:v>-4.4000000000000004</c:v>
                </c:pt>
                <c:pt idx="36">
                  <c:v>-4.9000000000000004</c:v>
                </c:pt>
                <c:pt idx="37">
                  <c:v>-3.4</c:v>
                </c:pt>
                <c:pt idx="38">
                  <c:v>-4.5999999999999996</c:v>
                </c:pt>
                <c:pt idx="39">
                  <c:v>-3.9</c:v>
                </c:pt>
                <c:pt idx="40">
                  <c:v>-4.4000000000000004</c:v>
                </c:pt>
                <c:pt idx="41">
                  <c:v>-6.2</c:v>
                </c:pt>
                <c:pt idx="42">
                  <c:v>-6.2</c:v>
                </c:pt>
                <c:pt idx="43">
                  <c:v>-5</c:v>
                </c:pt>
                <c:pt idx="44">
                  <c:v>-2.7</c:v>
                </c:pt>
                <c:pt idx="45">
                  <c:v>-4.8</c:v>
                </c:pt>
                <c:pt idx="46">
                  <c:v>-3.8</c:v>
                </c:pt>
                <c:pt idx="47">
                  <c:v>-2.1</c:v>
                </c:pt>
                <c:pt idx="48">
                  <c:v>-1.1000000000000001</c:v>
                </c:pt>
                <c:pt idx="49">
                  <c:v>-3.1</c:v>
                </c:pt>
                <c:pt idx="50">
                  <c:v>-2.9</c:v>
                </c:pt>
                <c:pt idx="51">
                  <c:v>-4</c:v>
                </c:pt>
                <c:pt idx="52">
                  <c:v>-3.2</c:v>
                </c:pt>
                <c:pt idx="53">
                  <c:v>-4.7</c:v>
                </c:pt>
                <c:pt idx="54">
                  <c:v>-5.9</c:v>
                </c:pt>
                <c:pt idx="55">
                  <c:v>-7.3</c:v>
                </c:pt>
                <c:pt idx="56">
                  <c:v>-6.6</c:v>
                </c:pt>
                <c:pt idx="57">
                  <c:v>-1.6</c:v>
                </c:pt>
                <c:pt idx="58">
                  <c:v>-1.1000000000000001</c:v>
                </c:pt>
                <c:pt idx="59">
                  <c:v>0.4</c:v>
                </c:pt>
                <c:pt idx="60">
                  <c:v>-3.9</c:v>
                </c:pt>
                <c:pt idx="61">
                  <c:v>-6.7</c:v>
                </c:pt>
                <c:pt idx="62">
                  <c:v>-4.2</c:v>
                </c:pt>
                <c:pt idx="63">
                  <c:v>-2.7</c:v>
                </c:pt>
                <c:pt idx="64">
                  <c:v>-3.5</c:v>
                </c:pt>
                <c:pt idx="65">
                  <c:v>-3.5</c:v>
                </c:pt>
                <c:pt idx="66">
                  <c:v>-4.5999999999999996</c:v>
                </c:pt>
                <c:pt idx="67">
                  <c:v>-3.7</c:v>
                </c:pt>
                <c:pt idx="68">
                  <c:v>-2.9</c:v>
                </c:pt>
                <c:pt idx="69">
                  <c:v>-2.5</c:v>
                </c:pt>
                <c:pt idx="70">
                  <c:v>-2.7</c:v>
                </c:pt>
                <c:pt idx="71">
                  <c:v>-4.9000000000000004</c:v>
                </c:pt>
                <c:pt idx="72">
                  <c:v>-3.9</c:v>
                </c:pt>
                <c:pt idx="73">
                  <c:v>-3.3</c:v>
                </c:pt>
                <c:pt idx="74">
                  <c:v>-3.9</c:v>
                </c:pt>
                <c:pt idx="75">
                  <c:v>-4</c:v>
                </c:pt>
                <c:pt idx="76">
                  <c:v>-4</c:v>
                </c:pt>
                <c:pt idx="77">
                  <c:v>-2.8</c:v>
                </c:pt>
                <c:pt idx="78">
                  <c:v>-1.6</c:v>
                </c:pt>
                <c:pt idx="79">
                  <c:v>-1.8</c:v>
                </c:pt>
                <c:pt idx="80">
                  <c:v>-1.9</c:v>
                </c:pt>
                <c:pt idx="81">
                  <c:v>-3.9</c:v>
                </c:pt>
                <c:pt idx="82">
                  <c:v>-5.0999999999999996</c:v>
                </c:pt>
                <c:pt idx="83">
                  <c:v>-5.4</c:v>
                </c:pt>
                <c:pt idx="84">
                  <c:v>-5.4</c:v>
                </c:pt>
                <c:pt idx="85">
                  <c:v>-5.2</c:v>
                </c:pt>
                <c:pt idx="86">
                  <c:v>-2</c:v>
                </c:pt>
                <c:pt idx="87">
                  <c:v>-4.3</c:v>
                </c:pt>
                <c:pt idx="88">
                  <c:v>-4.5999999999999996</c:v>
                </c:pt>
                <c:pt idx="89">
                  <c:v>-4.5999999999999996</c:v>
                </c:pt>
                <c:pt idx="90">
                  <c:v>-4.4000000000000004</c:v>
                </c:pt>
                <c:pt idx="91">
                  <c:v>-3.9</c:v>
                </c:pt>
                <c:pt idx="92">
                  <c:v>-2.1</c:v>
                </c:pt>
                <c:pt idx="93">
                  <c:v>-3.6</c:v>
                </c:pt>
                <c:pt idx="94">
                  <c:v>-3.3</c:v>
                </c:pt>
                <c:pt idx="95">
                  <c:v>-4</c:v>
                </c:pt>
                <c:pt idx="96">
                  <c:v>-2.6</c:v>
                </c:pt>
                <c:pt idx="97">
                  <c:v>-0.7</c:v>
                </c:pt>
                <c:pt idx="98">
                  <c:v>-0.5</c:v>
                </c:pt>
                <c:pt idx="99">
                  <c:v>0</c:v>
                </c:pt>
                <c:pt idx="100">
                  <c:v>-0.1</c:v>
                </c:pt>
                <c:pt idx="101">
                  <c:v>-0.3</c:v>
                </c:pt>
                <c:pt idx="102">
                  <c:v>-1.5</c:v>
                </c:pt>
                <c:pt idx="103">
                  <c:v>-1.1000000000000001</c:v>
                </c:pt>
                <c:pt idx="104">
                  <c:v>0</c:v>
                </c:pt>
                <c:pt idx="105">
                  <c:v>1.3</c:v>
                </c:pt>
                <c:pt idx="106">
                  <c:v>1.1000000000000001</c:v>
                </c:pt>
                <c:pt idx="107">
                  <c:v>3.2</c:v>
                </c:pt>
                <c:pt idx="108">
                  <c:v>0.2</c:v>
                </c:pt>
                <c:pt idx="109">
                  <c:v>-1.5</c:v>
                </c:pt>
                <c:pt idx="110">
                  <c:v>2.4</c:v>
                </c:pt>
                <c:pt idx="111">
                  <c:v>1.7</c:v>
                </c:pt>
                <c:pt idx="112">
                  <c:v>-0.2</c:v>
                </c:pt>
                <c:pt idx="113">
                  <c:v>-1.7</c:v>
                </c:pt>
                <c:pt idx="114">
                  <c:v>-2.7</c:v>
                </c:pt>
                <c:pt idx="115">
                  <c:v>-1.3</c:v>
                </c:pt>
                <c:pt idx="116">
                  <c:v>1.6</c:v>
                </c:pt>
                <c:pt idx="117">
                  <c:v>1.5</c:v>
                </c:pt>
                <c:pt idx="118">
                  <c:v>2</c:v>
                </c:pt>
                <c:pt idx="119">
                  <c:v>-0.6</c:v>
                </c:pt>
                <c:pt idx="120">
                  <c:v>-1.2</c:v>
                </c:pt>
                <c:pt idx="121">
                  <c:v>0.7</c:v>
                </c:pt>
                <c:pt idx="122">
                  <c:v>-1</c:v>
                </c:pt>
                <c:pt idx="123">
                  <c:v>1.5</c:v>
                </c:pt>
                <c:pt idx="124">
                  <c:v>1.8</c:v>
                </c:pt>
                <c:pt idx="125">
                  <c:v>1.3</c:v>
                </c:pt>
                <c:pt idx="126">
                  <c:v>2.6</c:v>
                </c:pt>
                <c:pt idx="127">
                  <c:v>-1.2</c:v>
                </c:pt>
                <c:pt idx="128">
                  <c:v>0</c:v>
                </c:pt>
                <c:pt idx="129">
                  <c:v>0.7</c:v>
                </c:pt>
                <c:pt idx="130">
                  <c:v>0.4</c:v>
                </c:pt>
                <c:pt idx="131">
                  <c:v>2.4</c:v>
                </c:pt>
                <c:pt idx="132">
                  <c:v>-0.3</c:v>
                </c:pt>
                <c:pt idx="133">
                  <c:v>-0.8</c:v>
                </c:pt>
                <c:pt idx="134">
                  <c:v>0</c:v>
                </c:pt>
                <c:pt idx="135">
                  <c:v>-1</c:v>
                </c:pt>
                <c:pt idx="136">
                  <c:v>-0.4</c:v>
                </c:pt>
                <c:pt idx="137">
                  <c:v>0</c:v>
                </c:pt>
                <c:pt idx="138">
                  <c:v>-5</c:v>
                </c:pt>
                <c:pt idx="139">
                  <c:v>-2.2999999999999998</c:v>
                </c:pt>
                <c:pt idx="140">
                  <c:v>-4.0999999999999996</c:v>
                </c:pt>
                <c:pt idx="141">
                  <c:v>-1.8</c:v>
                </c:pt>
                <c:pt idx="142">
                  <c:v>-1.5</c:v>
                </c:pt>
                <c:pt idx="143">
                  <c:v>-1.7</c:v>
                </c:pt>
                <c:pt idx="144">
                  <c:v>-1.3</c:v>
                </c:pt>
                <c:pt idx="145">
                  <c:v>-2.2000000000000002</c:v>
                </c:pt>
                <c:pt idx="146">
                  <c:v>-2.6</c:v>
                </c:pt>
                <c:pt idx="147">
                  <c:v>-2.9</c:v>
                </c:pt>
                <c:pt idx="148">
                  <c:v>-2.2000000000000002</c:v>
                </c:pt>
                <c:pt idx="149">
                  <c:v>-2.1</c:v>
                </c:pt>
                <c:pt idx="150">
                  <c:v>0.8</c:v>
                </c:pt>
                <c:pt idx="151">
                  <c:v>-1.1000000000000001</c:v>
                </c:pt>
                <c:pt idx="152">
                  <c:v>3.8</c:v>
                </c:pt>
                <c:pt idx="153">
                  <c:v>1.3</c:v>
                </c:pt>
                <c:pt idx="154">
                  <c:v>1.3</c:v>
                </c:pt>
                <c:pt idx="155">
                  <c:v>-1.8</c:v>
                </c:pt>
                <c:pt idx="156">
                  <c:v>-1.6</c:v>
                </c:pt>
                <c:pt idx="157">
                  <c:v>0.3</c:v>
                </c:pt>
                <c:pt idx="158">
                  <c:v>0.2</c:v>
                </c:pt>
              </c:numCache>
            </c:numRef>
          </c:val>
          <c:smooth val="0"/>
          <c:extLst>
            <c:ext xmlns:c16="http://schemas.microsoft.com/office/drawing/2014/chart" uri="{C3380CC4-5D6E-409C-BE32-E72D297353CC}">
              <c16:uniqueId val="{00000003-AA6E-4CB5-8B46-70D57AC6A0EA}"/>
            </c:ext>
          </c:extLst>
        </c:ser>
        <c:ser>
          <c:idx val="4"/>
          <c:order val="4"/>
          <c:tx>
            <c:strRef>
              <c:f>inflacija!$D$102</c:f>
              <c:strCache>
                <c:ptCount val="1"/>
                <c:pt idx="0">
                  <c:v>Housing, water, electricity, gas and other fuels</c:v>
                </c:pt>
              </c:strCache>
            </c:strRef>
          </c:tx>
          <c:spPr>
            <a:ln w="28575" cmpd="sng">
              <a:solidFill>
                <a:schemeClr val="accent5"/>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inflacija!$E$102:$FG$102</c:f>
              <c:numCache>
                <c:formatCode>#,##0.0</c:formatCode>
                <c:ptCount val="159"/>
                <c:pt idx="0">
                  <c:v>4.7</c:v>
                </c:pt>
                <c:pt idx="1">
                  <c:v>3.5</c:v>
                </c:pt>
                <c:pt idx="2">
                  <c:v>3</c:v>
                </c:pt>
                <c:pt idx="3">
                  <c:v>3.4</c:v>
                </c:pt>
                <c:pt idx="4">
                  <c:v>2.8</c:v>
                </c:pt>
                <c:pt idx="5">
                  <c:v>2.4</c:v>
                </c:pt>
                <c:pt idx="6">
                  <c:v>2.2999999999999998</c:v>
                </c:pt>
                <c:pt idx="7">
                  <c:v>1.8</c:v>
                </c:pt>
                <c:pt idx="8">
                  <c:v>2.6</c:v>
                </c:pt>
                <c:pt idx="9">
                  <c:v>2.9</c:v>
                </c:pt>
                <c:pt idx="10">
                  <c:v>3.2</c:v>
                </c:pt>
                <c:pt idx="11">
                  <c:v>3.9</c:v>
                </c:pt>
                <c:pt idx="12">
                  <c:v>4.9000000000000004</c:v>
                </c:pt>
                <c:pt idx="13">
                  <c:v>4.7</c:v>
                </c:pt>
                <c:pt idx="14">
                  <c:v>4.9000000000000004</c:v>
                </c:pt>
                <c:pt idx="15">
                  <c:v>4.8</c:v>
                </c:pt>
                <c:pt idx="16">
                  <c:v>5.3</c:v>
                </c:pt>
                <c:pt idx="17">
                  <c:v>5.8</c:v>
                </c:pt>
                <c:pt idx="18">
                  <c:v>10</c:v>
                </c:pt>
                <c:pt idx="19">
                  <c:v>9.1</c:v>
                </c:pt>
                <c:pt idx="20">
                  <c:v>8.1999999999999993</c:v>
                </c:pt>
                <c:pt idx="21">
                  <c:v>8.1999999999999993</c:v>
                </c:pt>
                <c:pt idx="22">
                  <c:v>8.1999999999999993</c:v>
                </c:pt>
                <c:pt idx="23">
                  <c:v>7.1</c:v>
                </c:pt>
                <c:pt idx="24">
                  <c:v>7.2</c:v>
                </c:pt>
                <c:pt idx="25">
                  <c:v>7.3</c:v>
                </c:pt>
                <c:pt idx="26">
                  <c:v>6.4</c:v>
                </c:pt>
                <c:pt idx="27">
                  <c:v>6.3</c:v>
                </c:pt>
                <c:pt idx="28">
                  <c:v>5.4</c:v>
                </c:pt>
                <c:pt idx="29">
                  <c:v>5.2</c:v>
                </c:pt>
                <c:pt idx="30">
                  <c:v>2.2000000000000002</c:v>
                </c:pt>
                <c:pt idx="31">
                  <c:v>3.3</c:v>
                </c:pt>
                <c:pt idx="32">
                  <c:v>3.3</c:v>
                </c:pt>
                <c:pt idx="33">
                  <c:v>3.3</c:v>
                </c:pt>
                <c:pt idx="34">
                  <c:v>3.9</c:v>
                </c:pt>
                <c:pt idx="35">
                  <c:v>4.5</c:v>
                </c:pt>
                <c:pt idx="36">
                  <c:v>4.9000000000000004</c:v>
                </c:pt>
                <c:pt idx="37">
                  <c:v>4.4000000000000004</c:v>
                </c:pt>
                <c:pt idx="38">
                  <c:v>5.2</c:v>
                </c:pt>
                <c:pt idx="39">
                  <c:v>5.7</c:v>
                </c:pt>
                <c:pt idx="40">
                  <c:v>6.8</c:v>
                </c:pt>
                <c:pt idx="41">
                  <c:v>7</c:v>
                </c:pt>
                <c:pt idx="42">
                  <c:v>6.1</c:v>
                </c:pt>
                <c:pt idx="43">
                  <c:v>5.8</c:v>
                </c:pt>
                <c:pt idx="44">
                  <c:v>5.9</c:v>
                </c:pt>
                <c:pt idx="45">
                  <c:v>5.8</c:v>
                </c:pt>
                <c:pt idx="46">
                  <c:v>4.9000000000000004</c:v>
                </c:pt>
                <c:pt idx="47">
                  <c:v>4.7</c:v>
                </c:pt>
                <c:pt idx="48">
                  <c:v>2.1</c:v>
                </c:pt>
                <c:pt idx="49">
                  <c:v>2.2000000000000002</c:v>
                </c:pt>
                <c:pt idx="50">
                  <c:v>2.2000000000000002</c:v>
                </c:pt>
                <c:pt idx="51">
                  <c:v>2.4</c:v>
                </c:pt>
                <c:pt idx="52">
                  <c:v>2.2000000000000002</c:v>
                </c:pt>
                <c:pt idx="53">
                  <c:v>2</c:v>
                </c:pt>
                <c:pt idx="54">
                  <c:v>2.8</c:v>
                </c:pt>
                <c:pt idx="55">
                  <c:v>3</c:v>
                </c:pt>
                <c:pt idx="56">
                  <c:v>3.1</c:v>
                </c:pt>
                <c:pt idx="57">
                  <c:v>3</c:v>
                </c:pt>
                <c:pt idx="58">
                  <c:v>3</c:v>
                </c:pt>
                <c:pt idx="59">
                  <c:v>2.9</c:v>
                </c:pt>
                <c:pt idx="60">
                  <c:v>2.8</c:v>
                </c:pt>
                <c:pt idx="61">
                  <c:v>3</c:v>
                </c:pt>
                <c:pt idx="62">
                  <c:v>5.2</c:v>
                </c:pt>
                <c:pt idx="63">
                  <c:v>4.9000000000000004</c:v>
                </c:pt>
                <c:pt idx="64">
                  <c:v>14.4</c:v>
                </c:pt>
                <c:pt idx="65">
                  <c:v>13.8</c:v>
                </c:pt>
                <c:pt idx="66">
                  <c:v>12.2</c:v>
                </c:pt>
                <c:pt idx="67">
                  <c:v>12.6</c:v>
                </c:pt>
                <c:pt idx="68">
                  <c:v>13.2</c:v>
                </c:pt>
                <c:pt idx="69">
                  <c:v>13.1</c:v>
                </c:pt>
                <c:pt idx="70">
                  <c:v>12.9</c:v>
                </c:pt>
                <c:pt idx="71">
                  <c:v>13.2</c:v>
                </c:pt>
                <c:pt idx="72">
                  <c:v>13.2</c:v>
                </c:pt>
                <c:pt idx="73">
                  <c:v>12.5</c:v>
                </c:pt>
                <c:pt idx="74">
                  <c:v>10.1</c:v>
                </c:pt>
                <c:pt idx="75">
                  <c:v>9.8000000000000007</c:v>
                </c:pt>
                <c:pt idx="76">
                  <c:v>0</c:v>
                </c:pt>
                <c:pt idx="77">
                  <c:v>0.7</c:v>
                </c:pt>
                <c:pt idx="78">
                  <c:v>1.5</c:v>
                </c:pt>
                <c:pt idx="79">
                  <c:v>1</c:v>
                </c:pt>
                <c:pt idx="80">
                  <c:v>0.5</c:v>
                </c:pt>
                <c:pt idx="81">
                  <c:v>-1.5</c:v>
                </c:pt>
                <c:pt idx="82">
                  <c:v>0.2</c:v>
                </c:pt>
                <c:pt idx="83">
                  <c:v>0.1</c:v>
                </c:pt>
                <c:pt idx="84">
                  <c:v>0.5</c:v>
                </c:pt>
                <c:pt idx="85">
                  <c:v>0.4</c:v>
                </c:pt>
                <c:pt idx="86">
                  <c:v>0.1</c:v>
                </c:pt>
                <c:pt idx="87">
                  <c:v>1</c:v>
                </c:pt>
                <c:pt idx="88">
                  <c:v>1.5</c:v>
                </c:pt>
                <c:pt idx="89">
                  <c:v>1.2</c:v>
                </c:pt>
                <c:pt idx="90">
                  <c:v>1.2</c:v>
                </c:pt>
                <c:pt idx="91">
                  <c:v>1</c:v>
                </c:pt>
                <c:pt idx="92">
                  <c:v>0.8</c:v>
                </c:pt>
                <c:pt idx="93">
                  <c:v>3.2</c:v>
                </c:pt>
                <c:pt idx="94">
                  <c:v>0.9</c:v>
                </c:pt>
                <c:pt idx="95">
                  <c:v>0.4</c:v>
                </c:pt>
                <c:pt idx="96">
                  <c:v>-1.1000000000000001</c:v>
                </c:pt>
                <c:pt idx="97">
                  <c:v>-0.7</c:v>
                </c:pt>
                <c:pt idx="98">
                  <c:v>0.3</c:v>
                </c:pt>
                <c:pt idx="99">
                  <c:v>-1.8</c:v>
                </c:pt>
                <c:pt idx="100">
                  <c:v>-1.2</c:v>
                </c:pt>
                <c:pt idx="101">
                  <c:v>-1.6</c:v>
                </c:pt>
                <c:pt idx="102">
                  <c:v>-2.1</c:v>
                </c:pt>
                <c:pt idx="103">
                  <c:v>-2.5</c:v>
                </c:pt>
                <c:pt idx="104">
                  <c:v>-1.9</c:v>
                </c:pt>
                <c:pt idx="105">
                  <c:v>-2.2000000000000002</c:v>
                </c:pt>
                <c:pt idx="106">
                  <c:v>-2.1</c:v>
                </c:pt>
                <c:pt idx="107">
                  <c:v>-2.1</c:v>
                </c:pt>
                <c:pt idx="108">
                  <c:v>-2.2999999999999998</c:v>
                </c:pt>
                <c:pt idx="109">
                  <c:v>-2.7</c:v>
                </c:pt>
                <c:pt idx="110">
                  <c:v>-3.2</c:v>
                </c:pt>
                <c:pt idx="111">
                  <c:v>-3.7</c:v>
                </c:pt>
                <c:pt idx="112">
                  <c:v>-4</c:v>
                </c:pt>
                <c:pt idx="113">
                  <c:v>-3</c:v>
                </c:pt>
                <c:pt idx="114">
                  <c:v>-2.9</c:v>
                </c:pt>
                <c:pt idx="115">
                  <c:v>-2.7</c:v>
                </c:pt>
                <c:pt idx="116">
                  <c:v>-2.8</c:v>
                </c:pt>
                <c:pt idx="117">
                  <c:v>-2.6</c:v>
                </c:pt>
                <c:pt idx="118">
                  <c:v>-2.2000000000000002</c:v>
                </c:pt>
                <c:pt idx="119">
                  <c:v>-1.6</c:v>
                </c:pt>
                <c:pt idx="120">
                  <c:v>-3.8</c:v>
                </c:pt>
                <c:pt idx="121">
                  <c:v>-3.5</c:v>
                </c:pt>
                <c:pt idx="122">
                  <c:v>-4.2</c:v>
                </c:pt>
                <c:pt idx="123">
                  <c:v>-2.6</c:v>
                </c:pt>
                <c:pt idx="124">
                  <c:v>-3.1</c:v>
                </c:pt>
                <c:pt idx="125">
                  <c:v>-3.9</c:v>
                </c:pt>
                <c:pt idx="126">
                  <c:v>-3.8</c:v>
                </c:pt>
                <c:pt idx="127">
                  <c:v>-3.1</c:v>
                </c:pt>
                <c:pt idx="128">
                  <c:v>-0.7</c:v>
                </c:pt>
                <c:pt idx="129">
                  <c:v>-0.5</c:v>
                </c:pt>
                <c:pt idx="130">
                  <c:v>-0.3</c:v>
                </c:pt>
                <c:pt idx="131">
                  <c:v>-0.5</c:v>
                </c:pt>
                <c:pt idx="132">
                  <c:v>3.5</c:v>
                </c:pt>
                <c:pt idx="133">
                  <c:v>3.1</c:v>
                </c:pt>
                <c:pt idx="134">
                  <c:v>3.3</c:v>
                </c:pt>
                <c:pt idx="135">
                  <c:v>3.9</c:v>
                </c:pt>
                <c:pt idx="136">
                  <c:v>4.9000000000000004</c:v>
                </c:pt>
                <c:pt idx="137">
                  <c:v>5.6</c:v>
                </c:pt>
                <c:pt idx="138">
                  <c:v>5.8</c:v>
                </c:pt>
                <c:pt idx="139">
                  <c:v>5.4</c:v>
                </c:pt>
                <c:pt idx="140">
                  <c:v>2.8</c:v>
                </c:pt>
                <c:pt idx="141">
                  <c:v>3</c:v>
                </c:pt>
                <c:pt idx="142">
                  <c:v>2.6</c:v>
                </c:pt>
                <c:pt idx="143">
                  <c:v>1.5</c:v>
                </c:pt>
                <c:pt idx="144">
                  <c:v>1</c:v>
                </c:pt>
                <c:pt idx="145">
                  <c:v>2.1</c:v>
                </c:pt>
                <c:pt idx="146">
                  <c:v>2.6</c:v>
                </c:pt>
                <c:pt idx="147">
                  <c:v>3.3</c:v>
                </c:pt>
                <c:pt idx="148">
                  <c:v>3.2</c:v>
                </c:pt>
                <c:pt idx="149">
                  <c:v>2.6</c:v>
                </c:pt>
                <c:pt idx="150">
                  <c:v>2.2999999999999998</c:v>
                </c:pt>
                <c:pt idx="151">
                  <c:v>2.2000000000000002</c:v>
                </c:pt>
                <c:pt idx="152">
                  <c:v>1.7</c:v>
                </c:pt>
                <c:pt idx="153">
                  <c:v>1.4</c:v>
                </c:pt>
                <c:pt idx="154">
                  <c:v>1.4</c:v>
                </c:pt>
                <c:pt idx="155">
                  <c:v>2.4</c:v>
                </c:pt>
                <c:pt idx="156">
                  <c:v>2.9</c:v>
                </c:pt>
                <c:pt idx="157">
                  <c:v>1.1000000000000001</c:v>
                </c:pt>
                <c:pt idx="158">
                  <c:v>-1.2</c:v>
                </c:pt>
              </c:numCache>
            </c:numRef>
          </c:val>
          <c:smooth val="0"/>
          <c:extLst>
            <c:ext xmlns:c16="http://schemas.microsoft.com/office/drawing/2014/chart" uri="{C3380CC4-5D6E-409C-BE32-E72D297353CC}">
              <c16:uniqueId val="{00000004-AA6E-4CB5-8B46-70D57AC6A0EA}"/>
            </c:ext>
          </c:extLst>
        </c:ser>
        <c:ser>
          <c:idx val="5"/>
          <c:order val="5"/>
          <c:tx>
            <c:strRef>
              <c:f>inflacija!$D$103</c:f>
              <c:strCache>
                <c:ptCount val="1"/>
                <c:pt idx="0">
                  <c:v>Furnishings, household equipment and routine household maintenance</c:v>
                </c:pt>
              </c:strCache>
            </c:strRef>
          </c:tx>
          <c:spPr>
            <a:ln w="28575" cmpd="sng">
              <a:solidFill>
                <a:schemeClr val="accent6"/>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inflacija!$E$103:$FG$103</c:f>
              <c:numCache>
                <c:formatCode>#,##0.0</c:formatCode>
                <c:ptCount val="159"/>
                <c:pt idx="0">
                  <c:v>2.2000000000000002</c:v>
                </c:pt>
                <c:pt idx="1">
                  <c:v>2.1</c:v>
                </c:pt>
                <c:pt idx="2">
                  <c:v>2.2000000000000002</c:v>
                </c:pt>
                <c:pt idx="3">
                  <c:v>2.2000000000000002</c:v>
                </c:pt>
                <c:pt idx="4">
                  <c:v>2.2999999999999998</c:v>
                </c:pt>
                <c:pt idx="5">
                  <c:v>1.8</c:v>
                </c:pt>
                <c:pt idx="6">
                  <c:v>1.6</c:v>
                </c:pt>
                <c:pt idx="7">
                  <c:v>1.9</c:v>
                </c:pt>
                <c:pt idx="8">
                  <c:v>2</c:v>
                </c:pt>
                <c:pt idx="9">
                  <c:v>2.4</c:v>
                </c:pt>
                <c:pt idx="10">
                  <c:v>2.7</c:v>
                </c:pt>
                <c:pt idx="11">
                  <c:v>3.1</c:v>
                </c:pt>
                <c:pt idx="12">
                  <c:v>3.4</c:v>
                </c:pt>
                <c:pt idx="13">
                  <c:v>3.8</c:v>
                </c:pt>
                <c:pt idx="14">
                  <c:v>4</c:v>
                </c:pt>
                <c:pt idx="15">
                  <c:v>4.5</c:v>
                </c:pt>
                <c:pt idx="16">
                  <c:v>4.8</c:v>
                </c:pt>
                <c:pt idx="17">
                  <c:v>5.2</c:v>
                </c:pt>
                <c:pt idx="18">
                  <c:v>5.7</c:v>
                </c:pt>
                <c:pt idx="19">
                  <c:v>5.6</c:v>
                </c:pt>
                <c:pt idx="20">
                  <c:v>5.5</c:v>
                </c:pt>
                <c:pt idx="21">
                  <c:v>5.0999999999999996</c:v>
                </c:pt>
                <c:pt idx="22">
                  <c:v>5</c:v>
                </c:pt>
                <c:pt idx="23">
                  <c:v>4.5999999999999996</c:v>
                </c:pt>
                <c:pt idx="24">
                  <c:v>4.5999999999999996</c:v>
                </c:pt>
                <c:pt idx="25">
                  <c:v>4.5</c:v>
                </c:pt>
                <c:pt idx="26">
                  <c:v>4.2</c:v>
                </c:pt>
                <c:pt idx="27">
                  <c:v>4</c:v>
                </c:pt>
                <c:pt idx="28">
                  <c:v>3.3</c:v>
                </c:pt>
                <c:pt idx="29">
                  <c:v>2.9</c:v>
                </c:pt>
                <c:pt idx="30">
                  <c:v>2.9</c:v>
                </c:pt>
                <c:pt idx="31">
                  <c:v>2.5</c:v>
                </c:pt>
                <c:pt idx="32">
                  <c:v>1.9</c:v>
                </c:pt>
                <c:pt idx="33">
                  <c:v>1.6</c:v>
                </c:pt>
                <c:pt idx="34">
                  <c:v>1.3</c:v>
                </c:pt>
                <c:pt idx="35">
                  <c:v>0.5</c:v>
                </c:pt>
                <c:pt idx="36">
                  <c:v>0.5</c:v>
                </c:pt>
                <c:pt idx="37">
                  <c:v>0.2</c:v>
                </c:pt>
                <c:pt idx="38">
                  <c:v>0</c:v>
                </c:pt>
                <c:pt idx="39">
                  <c:v>-0.7</c:v>
                </c:pt>
                <c:pt idx="40">
                  <c:v>-0.5</c:v>
                </c:pt>
                <c:pt idx="41">
                  <c:v>-0.6</c:v>
                </c:pt>
                <c:pt idx="42">
                  <c:v>-0.7</c:v>
                </c:pt>
                <c:pt idx="43">
                  <c:v>-0.6</c:v>
                </c:pt>
                <c:pt idx="44">
                  <c:v>0.2</c:v>
                </c:pt>
                <c:pt idx="45">
                  <c:v>0.6</c:v>
                </c:pt>
                <c:pt idx="46">
                  <c:v>0.3</c:v>
                </c:pt>
                <c:pt idx="47">
                  <c:v>0.3</c:v>
                </c:pt>
                <c:pt idx="48">
                  <c:v>-0.2</c:v>
                </c:pt>
                <c:pt idx="49">
                  <c:v>0.7</c:v>
                </c:pt>
                <c:pt idx="50">
                  <c:v>1.1000000000000001</c:v>
                </c:pt>
                <c:pt idx="51">
                  <c:v>1.8</c:v>
                </c:pt>
                <c:pt idx="52">
                  <c:v>2.1</c:v>
                </c:pt>
                <c:pt idx="53">
                  <c:v>2.5</c:v>
                </c:pt>
                <c:pt idx="54">
                  <c:v>2.2999999999999998</c:v>
                </c:pt>
                <c:pt idx="55">
                  <c:v>2.7</c:v>
                </c:pt>
                <c:pt idx="56">
                  <c:v>2.5</c:v>
                </c:pt>
                <c:pt idx="57">
                  <c:v>2.2000000000000002</c:v>
                </c:pt>
                <c:pt idx="58">
                  <c:v>2.2999999999999998</c:v>
                </c:pt>
                <c:pt idx="59">
                  <c:v>2.8</c:v>
                </c:pt>
                <c:pt idx="60">
                  <c:v>2.6</c:v>
                </c:pt>
                <c:pt idx="61">
                  <c:v>2.1</c:v>
                </c:pt>
                <c:pt idx="62">
                  <c:v>2.7</c:v>
                </c:pt>
                <c:pt idx="63">
                  <c:v>2.5</c:v>
                </c:pt>
                <c:pt idx="64">
                  <c:v>2.4</c:v>
                </c:pt>
                <c:pt idx="65">
                  <c:v>2</c:v>
                </c:pt>
                <c:pt idx="66">
                  <c:v>2</c:v>
                </c:pt>
                <c:pt idx="67">
                  <c:v>1.6</c:v>
                </c:pt>
                <c:pt idx="68">
                  <c:v>1.5</c:v>
                </c:pt>
                <c:pt idx="69">
                  <c:v>1.6</c:v>
                </c:pt>
                <c:pt idx="70">
                  <c:v>2.1</c:v>
                </c:pt>
                <c:pt idx="71">
                  <c:v>2.2999999999999998</c:v>
                </c:pt>
                <c:pt idx="72">
                  <c:v>2.6</c:v>
                </c:pt>
                <c:pt idx="73">
                  <c:v>2.2000000000000002</c:v>
                </c:pt>
                <c:pt idx="74">
                  <c:v>1.1000000000000001</c:v>
                </c:pt>
                <c:pt idx="75">
                  <c:v>0.7</c:v>
                </c:pt>
                <c:pt idx="76">
                  <c:v>0.4</c:v>
                </c:pt>
                <c:pt idx="77">
                  <c:v>0.3</c:v>
                </c:pt>
                <c:pt idx="78">
                  <c:v>-0.1</c:v>
                </c:pt>
                <c:pt idx="79">
                  <c:v>0</c:v>
                </c:pt>
                <c:pt idx="80">
                  <c:v>0</c:v>
                </c:pt>
                <c:pt idx="81">
                  <c:v>0.2</c:v>
                </c:pt>
                <c:pt idx="82">
                  <c:v>-0.2</c:v>
                </c:pt>
                <c:pt idx="83">
                  <c:v>-0.7</c:v>
                </c:pt>
                <c:pt idx="84">
                  <c:v>-0.6</c:v>
                </c:pt>
                <c:pt idx="85">
                  <c:v>-0.9</c:v>
                </c:pt>
                <c:pt idx="86">
                  <c:v>-0.8</c:v>
                </c:pt>
                <c:pt idx="87">
                  <c:v>-0.8</c:v>
                </c:pt>
                <c:pt idx="88">
                  <c:v>-0.9</c:v>
                </c:pt>
                <c:pt idx="89">
                  <c:v>-0.9</c:v>
                </c:pt>
                <c:pt idx="90">
                  <c:v>-0.7</c:v>
                </c:pt>
                <c:pt idx="91">
                  <c:v>-0.8</c:v>
                </c:pt>
                <c:pt idx="92">
                  <c:v>-1</c:v>
                </c:pt>
                <c:pt idx="93">
                  <c:v>-1</c:v>
                </c:pt>
                <c:pt idx="94">
                  <c:v>-0.6</c:v>
                </c:pt>
                <c:pt idx="95">
                  <c:v>-0.9</c:v>
                </c:pt>
                <c:pt idx="96">
                  <c:v>-0.6</c:v>
                </c:pt>
                <c:pt idx="97">
                  <c:v>-0.1</c:v>
                </c:pt>
                <c:pt idx="98">
                  <c:v>-0.6</c:v>
                </c:pt>
                <c:pt idx="99">
                  <c:v>-0.4</c:v>
                </c:pt>
                <c:pt idx="100">
                  <c:v>-0.3</c:v>
                </c:pt>
                <c:pt idx="101">
                  <c:v>-0.3</c:v>
                </c:pt>
                <c:pt idx="102">
                  <c:v>-0.3</c:v>
                </c:pt>
                <c:pt idx="103">
                  <c:v>-0.2</c:v>
                </c:pt>
                <c:pt idx="104">
                  <c:v>0</c:v>
                </c:pt>
                <c:pt idx="105">
                  <c:v>0.1</c:v>
                </c:pt>
                <c:pt idx="106">
                  <c:v>-0.3</c:v>
                </c:pt>
                <c:pt idx="107">
                  <c:v>-0.3</c:v>
                </c:pt>
                <c:pt idx="108">
                  <c:v>-0.4</c:v>
                </c:pt>
                <c:pt idx="109">
                  <c:v>-0.6</c:v>
                </c:pt>
                <c:pt idx="110">
                  <c:v>-0.1</c:v>
                </c:pt>
                <c:pt idx="111">
                  <c:v>0.2</c:v>
                </c:pt>
                <c:pt idx="112">
                  <c:v>0.2</c:v>
                </c:pt>
                <c:pt idx="113">
                  <c:v>0.2</c:v>
                </c:pt>
                <c:pt idx="114">
                  <c:v>0.3</c:v>
                </c:pt>
                <c:pt idx="115">
                  <c:v>0.6</c:v>
                </c:pt>
                <c:pt idx="116">
                  <c:v>0.3</c:v>
                </c:pt>
                <c:pt idx="117">
                  <c:v>-0.2</c:v>
                </c:pt>
                <c:pt idx="118">
                  <c:v>0</c:v>
                </c:pt>
                <c:pt idx="119">
                  <c:v>0.6</c:v>
                </c:pt>
                <c:pt idx="120">
                  <c:v>0.1</c:v>
                </c:pt>
                <c:pt idx="121">
                  <c:v>0.3</c:v>
                </c:pt>
                <c:pt idx="122">
                  <c:v>0.3</c:v>
                </c:pt>
                <c:pt idx="123">
                  <c:v>0</c:v>
                </c:pt>
                <c:pt idx="124">
                  <c:v>0.3</c:v>
                </c:pt>
                <c:pt idx="125">
                  <c:v>0.4</c:v>
                </c:pt>
                <c:pt idx="126">
                  <c:v>0.2</c:v>
                </c:pt>
                <c:pt idx="127">
                  <c:v>-0.3</c:v>
                </c:pt>
                <c:pt idx="128">
                  <c:v>-0.3</c:v>
                </c:pt>
                <c:pt idx="129">
                  <c:v>0.1</c:v>
                </c:pt>
                <c:pt idx="130">
                  <c:v>-0.1</c:v>
                </c:pt>
                <c:pt idx="131">
                  <c:v>-0.2</c:v>
                </c:pt>
                <c:pt idx="132">
                  <c:v>0.3</c:v>
                </c:pt>
                <c:pt idx="133">
                  <c:v>0.2</c:v>
                </c:pt>
                <c:pt idx="134">
                  <c:v>0.3</c:v>
                </c:pt>
                <c:pt idx="135">
                  <c:v>0.4</c:v>
                </c:pt>
                <c:pt idx="136">
                  <c:v>0.2</c:v>
                </c:pt>
                <c:pt idx="137">
                  <c:v>0.3</c:v>
                </c:pt>
                <c:pt idx="138">
                  <c:v>0.3</c:v>
                </c:pt>
                <c:pt idx="139">
                  <c:v>0.8</c:v>
                </c:pt>
                <c:pt idx="140">
                  <c:v>1.1000000000000001</c:v>
                </c:pt>
                <c:pt idx="141">
                  <c:v>1</c:v>
                </c:pt>
                <c:pt idx="142">
                  <c:v>0.9</c:v>
                </c:pt>
                <c:pt idx="143">
                  <c:v>0.8</c:v>
                </c:pt>
                <c:pt idx="144">
                  <c:v>0.7</c:v>
                </c:pt>
                <c:pt idx="145">
                  <c:v>1.2</c:v>
                </c:pt>
                <c:pt idx="146">
                  <c:v>1</c:v>
                </c:pt>
                <c:pt idx="147">
                  <c:v>1.4</c:v>
                </c:pt>
                <c:pt idx="148">
                  <c:v>1.3</c:v>
                </c:pt>
                <c:pt idx="149">
                  <c:v>0.6</c:v>
                </c:pt>
                <c:pt idx="150">
                  <c:v>1.4</c:v>
                </c:pt>
                <c:pt idx="151">
                  <c:v>0.7</c:v>
                </c:pt>
                <c:pt idx="152">
                  <c:v>0.9</c:v>
                </c:pt>
                <c:pt idx="153">
                  <c:v>1</c:v>
                </c:pt>
                <c:pt idx="154">
                  <c:v>0.7</c:v>
                </c:pt>
                <c:pt idx="155">
                  <c:v>1.2</c:v>
                </c:pt>
                <c:pt idx="156">
                  <c:v>0.8</c:v>
                </c:pt>
                <c:pt idx="157">
                  <c:v>0.6</c:v>
                </c:pt>
                <c:pt idx="158">
                  <c:v>0.9</c:v>
                </c:pt>
              </c:numCache>
            </c:numRef>
          </c:val>
          <c:smooth val="0"/>
          <c:extLst>
            <c:ext xmlns:c16="http://schemas.microsoft.com/office/drawing/2014/chart" uri="{C3380CC4-5D6E-409C-BE32-E72D297353CC}">
              <c16:uniqueId val="{00000005-AA6E-4CB5-8B46-70D57AC6A0EA}"/>
            </c:ext>
          </c:extLst>
        </c:ser>
        <c:ser>
          <c:idx val="6"/>
          <c:order val="6"/>
          <c:tx>
            <c:strRef>
              <c:f>inflacija!$D$104</c:f>
              <c:strCache>
                <c:ptCount val="1"/>
                <c:pt idx="0">
                  <c:v>Health</c:v>
                </c:pt>
              </c:strCache>
            </c:strRef>
          </c:tx>
          <c:spPr>
            <a:ln w="28575" cmpd="sng">
              <a:solidFill>
                <a:schemeClr val="accent1">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inflacija!$E$104:$FG$104</c:f>
              <c:numCache>
                <c:formatCode>#,##0.0</c:formatCode>
                <c:ptCount val="159"/>
                <c:pt idx="0">
                  <c:v>1.7</c:v>
                </c:pt>
                <c:pt idx="1">
                  <c:v>1.8</c:v>
                </c:pt>
                <c:pt idx="2">
                  <c:v>1.6</c:v>
                </c:pt>
                <c:pt idx="3">
                  <c:v>2</c:v>
                </c:pt>
                <c:pt idx="4">
                  <c:v>2.1</c:v>
                </c:pt>
                <c:pt idx="5">
                  <c:v>2.2999999999999998</c:v>
                </c:pt>
                <c:pt idx="6">
                  <c:v>2.4</c:v>
                </c:pt>
                <c:pt idx="7">
                  <c:v>1.5</c:v>
                </c:pt>
                <c:pt idx="8">
                  <c:v>1.4</c:v>
                </c:pt>
                <c:pt idx="9">
                  <c:v>1.5</c:v>
                </c:pt>
                <c:pt idx="10">
                  <c:v>1.5</c:v>
                </c:pt>
                <c:pt idx="11">
                  <c:v>1.4</c:v>
                </c:pt>
                <c:pt idx="12">
                  <c:v>4</c:v>
                </c:pt>
                <c:pt idx="13">
                  <c:v>3.7</c:v>
                </c:pt>
                <c:pt idx="14">
                  <c:v>3.9</c:v>
                </c:pt>
                <c:pt idx="15">
                  <c:v>5.5</c:v>
                </c:pt>
                <c:pt idx="16">
                  <c:v>5.6</c:v>
                </c:pt>
                <c:pt idx="17">
                  <c:v>5.4</c:v>
                </c:pt>
                <c:pt idx="18">
                  <c:v>5.4</c:v>
                </c:pt>
                <c:pt idx="19">
                  <c:v>6.5</c:v>
                </c:pt>
                <c:pt idx="20">
                  <c:v>7.4</c:v>
                </c:pt>
                <c:pt idx="21">
                  <c:v>7.5</c:v>
                </c:pt>
                <c:pt idx="22">
                  <c:v>7.4</c:v>
                </c:pt>
                <c:pt idx="23">
                  <c:v>7.5</c:v>
                </c:pt>
                <c:pt idx="24">
                  <c:v>15.9</c:v>
                </c:pt>
                <c:pt idx="25">
                  <c:v>16.7</c:v>
                </c:pt>
                <c:pt idx="26">
                  <c:v>16.7</c:v>
                </c:pt>
                <c:pt idx="27">
                  <c:v>15.3</c:v>
                </c:pt>
                <c:pt idx="28">
                  <c:v>15.5</c:v>
                </c:pt>
                <c:pt idx="29">
                  <c:v>15.5</c:v>
                </c:pt>
                <c:pt idx="30">
                  <c:v>15.4</c:v>
                </c:pt>
                <c:pt idx="31">
                  <c:v>15.1</c:v>
                </c:pt>
                <c:pt idx="32">
                  <c:v>14.6</c:v>
                </c:pt>
                <c:pt idx="33">
                  <c:v>14.6</c:v>
                </c:pt>
                <c:pt idx="34">
                  <c:v>14.6</c:v>
                </c:pt>
                <c:pt idx="35">
                  <c:v>14.7</c:v>
                </c:pt>
                <c:pt idx="36">
                  <c:v>4.0999999999999996</c:v>
                </c:pt>
                <c:pt idx="37">
                  <c:v>3.9</c:v>
                </c:pt>
                <c:pt idx="38">
                  <c:v>3.5</c:v>
                </c:pt>
                <c:pt idx="39">
                  <c:v>3</c:v>
                </c:pt>
                <c:pt idx="40">
                  <c:v>2.7</c:v>
                </c:pt>
                <c:pt idx="41">
                  <c:v>2.7</c:v>
                </c:pt>
                <c:pt idx="42">
                  <c:v>2.7</c:v>
                </c:pt>
                <c:pt idx="43">
                  <c:v>1.9</c:v>
                </c:pt>
                <c:pt idx="44">
                  <c:v>1.9</c:v>
                </c:pt>
                <c:pt idx="45">
                  <c:v>1.8</c:v>
                </c:pt>
                <c:pt idx="46">
                  <c:v>1.8</c:v>
                </c:pt>
                <c:pt idx="47">
                  <c:v>1.7</c:v>
                </c:pt>
                <c:pt idx="48">
                  <c:v>1.2</c:v>
                </c:pt>
                <c:pt idx="49">
                  <c:v>0.9</c:v>
                </c:pt>
                <c:pt idx="50">
                  <c:v>1.1000000000000001</c:v>
                </c:pt>
                <c:pt idx="51">
                  <c:v>1.4</c:v>
                </c:pt>
                <c:pt idx="52">
                  <c:v>1.2</c:v>
                </c:pt>
                <c:pt idx="53">
                  <c:v>1.1000000000000001</c:v>
                </c:pt>
                <c:pt idx="54">
                  <c:v>1.1000000000000001</c:v>
                </c:pt>
                <c:pt idx="55">
                  <c:v>1.2</c:v>
                </c:pt>
                <c:pt idx="56">
                  <c:v>0.9</c:v>
                </c:pt>
                <c:pt idx="57">
                  <c:v>0.9</c:v>
                </c:pt>
                <c:pt idx="58">
                  <c:v>1.1000000000000001</c:v>
                </c:pt>
                <c:pt idx="59">
                  <c:v>1.4</c:v>
                </c:pt>
                <c:pt idx="60">
                  <c:v>1.3</c:v>
                </c:pt>
                <c:pt idx="61">
                  <c:v>1.2</c:v>
                </c:pt>
                <c:pt idx="62">
                  <c:v>1.8</c:v>
                </c:pt>
                <c:pt idx="63">
                  <c:v>1.6</c:v>
                </c:pt>
                <c:pt idx="64">
                  <c:v>2.2000000000000002</c:v>
                </c:pt>
                <c:pt idx="65">
                  <c:v>2.4</c:v>
                </c:pt>
                <c:pt idx="66">
                  <c:v>2.5</c:v>
                </c:pt>
                <c:pt idx="67">
                  <c:v>2.5</c:v>
                </c:pt>
                <c:pt idx="68">
                  <c:v>2.8</c:v>
                </c:pt>
                <c:pt idx="69">
                  <c:v>2.7</c:v>
                </c:pt>
                <c:pt idx="70">
                  <c:v>2.4</c:v>
                </c:pt>
                <c:pt idx="71">
                  <c:v>2</c:v>
                </c:pt>
                <c:pt idx="72">
                  <c:v>2.8</c:v>
                </c:pt>
                <c:pt idx="73">
                  <c:v>2.8</c:v>
                </c:pt>
                <c:pt idx="74">
                  <c:v>2.1</c:v>
                </c:pt>
                <c:pt idx="75">
                  <c:v>1.9</c:v>
                </c:pt>
                <c:pt idx="76">
                  <c:v>-0.2</c:v>
                </c:pt>
                <c:pt idx="77">
                  <c:v>-0.7</c:v>
                </c:pt>
                <c:pt idx="78">
                  <c:v>-0.7</c:v>
                </c:pt>
                <c:pt idx="79">
                  <c:v>-0.7</c:v>
                </c:pt>
                <c:pt idx="80">
                  <c:v>-0.8</c:v>
                </c:pt>
                <c:pt idx="81">
                  <c:v>-0.7</c:v>
                </c:pt>
                <c:pt idx="82">
                  <c:v>-0.7</c:v>
                </c:pt>
                <c:pt idx="83">
                  <c:v>-0.6</c:v>
                </c:pt>
                <c:pt idx="84">
                  <c:v>-0.9</c:v>
                </c:pt>
                <c:pt idx="85">
                  <c:v>-1.1000000000000001</c:v>
                </c:pt>
                <c:pt idx="86">
                  <c:v>-1.2</c:v>
                </c:pt>
                <c:pt idx="87">
                  <c:v>2.4</c:v>
                </c:pt>
                <c:pt idx="88">
                  <c:v>4.2</c:v>
                </c:pt>
                <c:pt idx="89">
                  <c:v>4.5999999999999996</c:v>
                </c:pt>
                <c:pt idx="90">
                  <c:v>4.5</c:v>
                </c:pt>
                <c:pt idx="91">
                  <c:v>4.4000000000000004</c:v>
                </c:pt>
                <c:pt idx="92">
                  <c:v>4.0999999999999996</c:v>
                </c:pt>
                <c:pt idx="93">
                  <c:v>4.0999999999999996</c:v>
                </c:pt>
                <c:pt idx="94">
                  <c:v>4.0999999999999996</c:v>
                </c:pt>
                <c:pt idx="95">
                  <c:v>4</c:v>
                </c:pt>
                <c:pt idx="96">
                  <c:v>3.6</c:v>
                </c:pt>
                <c:pt idx="97">
                  <c:v>3.8</c:v>
                </c:pt>
                <c:pt idx="98">
                  <c:v>4</c:v>
                </c:pt>
                <c:pt idx="99">
                  <c:v>0.7</c:v>
                </c:pt>
                <c:pt idx="100">
                  <c:v>0.7</c:v>
                </c:pt>
                <c:pt idx="101">
                  <c:v>0.8</c:v>
                </c:pt>
                <c:pt idx="102">
                  <c:v>1</c:v>
                </c:pt>
                <c:pt idx="103">
                  <c:v>6.8</c:v>
                </c:pt>
                <c:pt idx="104">
                  <c:v>6.8</c:v>
                </c:pt>
                <c:pt idx="105">
                  <c:v>6.8</c:v>
                </c:pt>
                <c:pt idx="106">
                  <c:v>6.6</c:v>
                </c:pt>
                <c:pt idx="107">
                  <c:v>6.5</c:v>
                </c:pt>
                <c:pt idx="108">
                  <c:v>6.5</c:v>
                </c:pt>
                <c:pt idx="109">
                  <c:v>6.6</c:v>
                </c:pt>
                <c:pt idx="110">
                  <c:v>6.5</c:v>
                </c:pt>
                <c:pt idx="111">
                  <c:v>6.3</c:v>
                </c:pt>
                <c:pt idx="112">
                  <c:v>6.1</c:v>
                </c:pt>
                <c:pt idx="113">
                  <c:v>6.7</c:v>
                </c:pt>
                <c:pt idx="114">
                  <c:v>7.9</c:v>
                </c:pt>
                <c:pt idx="115">
                  <c:v>2</c:v>
                </c:pt>
                <c:pt idx="116">
                  <c:v>2</c:v>
                </c:pt>
                <c:pt idx="117">
                  <c:v>2</c:v>
                </c:pt>
                <c:pt idx="118">
                  <c:v>2.2000000000000002</c:v>
                </c:pt>
                <c:pt idx="119">
                  <c:v>2.4</c:v>
                </c:pt>
                <c:pt idx="120">
                  <c:v>2.4</c:v>
                </c:pt>
                <c:pt idx="121">
                  <c:v>2.1</c:v>
                </c:pt>
                <c:pt idx="122">
                  <c:v>2.1</c:v>
                </c:pt>
                <c:pt idx="123">
                  <c:v>2.1</c:v>
                </c:pt>
                <c:pt idx="124">
                  <c:v>2.1</c:v>
                </c:pt>
                <c:pt idx="125">
                  <c:v>1.4</c:v>
                </c:pt>
                <c:pt idx="126">
                  <c:v>0.2</c:v>
                </c:pt>
                <c:pt idx="127">
                  <c:v>-0.1</c:v>
                </c:pt>
                <c:pt idx="128">
                  <c:v>0.1</c:v>
                </c:pt>
                <c:pt idx="129">
                  <c:v>0.2</c:v>
                </c:pt>
                <c:pt idx="130">
                  <c:v>0.2</c:v>
                </c:pt>
                <c:pt idx="131">
                  <c:v>0.2</c:v>
                </c:pt>
                <c:pt idx="132">
                  <c:v>0.2</c:v>
                </c:pt>
                <c:pt idx="133">
                  <c:v>0.3</c:v>
                </c:pt>
                <c:pt idx="134">
                  <c:v>1.4</c:v>
                </c:pt>
                <c:pt idx="135">
                  <c:v>1.4</c:v>
                </c:pt>
                <c:pt idx="136">
                  <c:v>1.5</c:v>
                </c:pt>
                <c:pt idx="137">
                  <c:v>1.5</c:v>
                </c:pt>
                <c:pt idx="138">
                  <c:v>1.5</c:v>
                </c:pt>
                <c:pt idx="139">
                  <c:v>1.8</c:v>
                </c:pt>
                <c:pt idx="140">
                  <c:v>1.7</c:v>
                </c:pt>
                <c:pt idx="141">
                  <c:v>1.7</c:v>
                </c:pt>
                <c:pt idx="142">
                  <c:v>1.7</c:v>
                </c:pt>
                <c:pt idx="143">
                  <c:v>1.8</c:v>
                </c:pt>
                <c:pt idx="144">
                  <c:v>-0.1</c:v>
                </c:pt>
                <c:pt idx="145">
                  <c:v>0</c:v>
                </c:pt>
                <c:pt idx="146">
                  <c:v>-1.1000000000000001</c:v>
                </c:pt>
                <c:pt idx="147">
                  <c:v>-1.3</c:v>
                </c:pt>
                <c:pt idx="148">
                  <c:v>-1.2</c:v>
                </c:pt>
                <c:pt idx="149">
                  <c:v>-1.2</c:v>
                </c:pt>
                <c:pt idx="150">
                  <c:v>-1.1000000000000001</c:v>
                </c:pt>
                <c:pt idx="151">
                  <c:v>-1.1000000000000001</c:v>
                </c:pt>
                <c:pt idx="152">
                  <c:v>-1.1000000000000001</c:v>
                </c:pt>
                <c:pt idx="153">
                  <c:v>-0.9</c:v>
                </c:pt>
                <c:pt idx="154">
                  <c:v>-1</c:v>
                </c:pt>
                <c:pt idx="155">
                  <c:v>-1</c:v>
                </c:pt>
                <c:pt idx="156">
                  <c:v>0.8</c:v>
                </c:pt>
                <c:pt idx="157">
                  <c:v>1.2</c:v>
                </c:pt>
                <c:pt idx="158">
                  <c:v>1.2</c:v>
                </c:pt>
              </c:numCache>
            </c:numRef>
          </c:val>
          <c:smooth val="0"/>
          <c:extLst>
            <c:ext xmlns:c16="http://schemas.microsoft.com/office/drawing/2014/chart" uri="{C3380CC4-5D6E-409C-BE32-E72D297353CC}">
              <c16:uniqueId val="{00000006-AA6E-4CB5-8B46-70D57AC6A0EA}"/>
            </c:ext>
          </c:extLst>
        </c:ser>
        <c:ser>
          <c:idx val="7"/>
          <c:order val="7"/>
          <c:tx>
            <c:strRef>
              <c:f>inflacija!$D$105</c:f>
              <c:strCache>
                <c:ptCount val="1"/>
                <c:pt idx="0">
                  <c:v>Transport</c:v>
                </c:pt>
              </c:strCache>
            </c:strRef>
          </c:tx>
          <c:spPr>
            <a:ln w="28575" cmpd="sng">
              <a:solidFill>
                <a:schemeClr val="accent2">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inflacija!$E$105:$FG$105</c:f>
              <c:numCache>
                <c:formatCode>#,##0.0</c:formatCode>
                <c:ptCount val="159"/>
                <c:pt idx="0">
                  <c:v>0.4</c:v>
                </c:pt>
                <c:pt idx="1">
                  <c:v>0.7</c:v>
                </c:pt>
                <c:pt idx="2">
                  <c:v>1.7</c:v>
                </c:pt>
                <c:pt idx="3">
                  <c:v>1.6</c:v>
                </c:pt>
                <c:pt idx="4">
                  <c:v>2.5</c:v>
                </c:pt>
                <c:pt idx="5">
                  <c:v>2.7</c:v>
                </c:pt>
                <c:pt idx="6">
                  <c:v>1.7</c:v>
                </c:pt>
                <c:pt idx="7">
                  <c:v>1.5</c:v>
                </c:pt>
                <c:pt idx="8">
                  <c:v>2.8</c:v>
                </c:pt>
                <c:pt idx="9">
                  <c:v>3.2</c:v>
                </c:pt>
                <c:pt idx="10">
                  <c:v>5.3</c:v>
                </c:pt>
                <c:pt idx="11">
                  <c:v>4.8</c:v>
                </c:pt>
                <c:pt idx="12">
                  <c:v>5.9</c:v>
                </c:pt>
                <c:pt idx="13">
                  <c:v>5.7</c:v>
                </c:pt>
                <c:pt idx="14">
                  <c:v>5.9</c:v>
                </c:pt>
                <c:pt idx="15">
                  <c:v>5.2</c:v>
                </c:pt>
                <c:pt idx="16">
                  <c:v>7.1</c:v>
                </c:pt>
                <c:pt idx="17">
                  <c:v>10</c:v>
                </c:pt>
                <c:pt idx="18">
                  <c:v>10.7</c:v>
                </c:pt>
                <c:pt idx="19">
                  <c:v>6.8</c:v>
                </c:pt>
                <c:pt idx="20">
                  <c:v>6</c:v>
                </c:pt>
                <c:pt idx="21">
                  <c:v>3.5</c:v>
                </c:pt>
                <c:pt idx="22">
                  <c:v>-2.2999999999999998</c:v>
                </c:pt>
                <c:pt idx="23">
                  <c:v>-5.4</c:v>
                </c:pt>
                <c:pt idx="24">
                  <c:v>-6.8</c:v>
                </c:pt>
                <c:pt idx="25">
                  <c:v>-6.4</c:v>
                </c:pt>
                <c:pt idx="26">
                  <c:v>-8.6999999999999993</c:v>
                </c:pt>
                <c:pt idx="27">
                  <c:v>-7.8</c:v>
                </c:pt>
                <c:pt idx="28">
                  <c:v>-9.5</c:v>
                </c:pt>
                <c:pt idx="29">
                  <c:v>-10.3</c:v>
                </c:pt>
                <c:pt idx="30">
                  <c:v>-10.7</c:v>
                </c:pt>
                <c:pt idx="31">
                  <c:v>-5.9</c:v>
                </c:pt>
                <c:pt idx="32">
                  <c:v>-6.9</c:v>
                </c:pt>
                <c:pt idx="33">
                  <c:v>-4.7</c:v>
                </c:pt>
                <c:pt idx="34">
                  <c:v>0.3</c:v>
                </c:pt>
                <c:pt idx="35">
                  <c:v>3.1</c:v>
                </c:pt>
                <c:pt idx="36">
                  <c:v>5.2</c:v>
                </c:pt>
                <c:pt idx="37">
                  <c:v>4.2</c:v>
                </c:pt>
                <c:pt idx="38">
                  <c:v>6.9</c:v>
                </c:pt>
                <c:pt idx="39">
                  <c:v>6.8</c:v>
                </c:pt>
                <c:pt idx="40">
                  <c:v>6</c:v>
                </c:pt>
                <c:pt idx="41">
                  <c:v>4.5</c:v>
                </c:pt>
                <c:pt idx="42">
                  <c:v>3.8</c:v>
                </c:pt>
                <c:pt idx="43">
                  <c:v>1.5</c:v>
                </c:pt>
                <c:pt idx="44">
                  <c:v>3.7</c:v>
                </c:pt>
                <c:pt idx="45">
                  <c:v>5.3</c:v>
                </c:pt>
                <c:pt idx="46">
                  <c:v>4.4000000000000004</c:v>
                </c:pt>
                <c:pt idx="47">
                  <c:v>6.7</c:v>
                </c:pt>
                <c:pt idx="48">
                  <c:v>5.5</c:v>
                </c:pt>
                <c:pt idx="49">
                  <c:v>6.3</c:v>
                </c:pt>
                <c:pt idx="50">
                  <c:v>6.7</c:v>
                </c:pt>
                <c:pt idx="51">
                  <c:v>7</c:v>
                </c:pt>
                <c:pt idx="52">
                  <c:v>6.4</c:v>
                </c:pt>
                <c:pt idx="53">
                  <c:v>6</c:v>
                </c:pt>
                <c:pt idx="54">
                  <c:v>5.9</c:v>
                </c:pt>
                <c:pt idx="55">
                  <c:v>7.6</c:v>
                </c:pt>
                <c:pt idx="56">
                  <c:v>7.4</c:v>
                </c:pt>
                <c:pt idx="57">
                  <c:v>5.4</c:v>
                </c:pt>
                <c:pt idx="58">
                  <c:v>4.5</c:v>
                </c:pt>
                <c:pt idx="59">
                  <c:v>2</c:v>
                </c:pt>
                <c:pt idx="60">
                  <c:v>2.2999999999999998</c:v>
                </c:pt>
                <c:pt idx="61">
                  <c:v>4.0999999999999996</c:v>
                </c:pt>
                <c:pt idx="62">
                  <c:v>4.9000000000000004</c:v>
                </c:pt>
                <c:pt idx="63">
                  <c:v>5.6</c:v>
                </c:pt>
                <c:pt idx="64">
                  <c:v>5.0999999999999996</c:v>
                </c:pt>
                <c:pt idx="65">
                  <c:v>3.4</c:v>
                </c:pt>
                <c:pt idx="66">
                  <c:v>2</c:v>
                </c:pt>
                <c:pt idx="67">
                  <c:v>2.9</c:v>
                </c:pt>
                <c:pt idx="68">
                  <c:v>5.2</c:v>
                </c:pt>
                <c:pt idx="69">
                  <c:v>4.9000000000000004</c:v>
                </c:pt>
                <c:pt idx="70">
                  <c:v>3.8</c:v>
                </c:pt>
                <c:pt idx="71">
                  <c:v>3.6</c:v>
                </c:pt>
                <c:pt idx="72">
                  <c:v>2.7</c:v>
                </c:pt>
                <c:pt idx="73">
                  <c:v>1.9</c:v>
                </c:pt>
                <c:pt idx="74">
                  <c:v>0.1</c:v>
                </c:pt>
                <c:pt idx="75">
                  <c:v>-3</c:v>
                </c:pt>
                <c:pt idx="76">
                  <c:v>-3.9</c:v>
                </c:pt>
                <c:pt idx="77">
                  <c:v>-1.4</c:v>
                </c:pt>
                <c:pt idx="78">
                  <c:v>0.2</c:v>
                </c:pt>
                <c:pt idx="79">
                  <c:v>0.2</c:v>
                </c:pt>
                <c:pt idx="80">
                  <c:v>-2</c:v>
                </c:pt>
                <c:pt idx="81">
                  <c:v>-2.2999999999999998</c:v>
                </c:pt>
                <c:pt idx="82">
                  <c:v>-1.6</c:v>
                </c:pt>
                <c:pt idx="83">
                  <c:v>-0.1</c:v>
                </c:pt>
                <c:pt idx="84">
                  <c:v>-0.2</c:v>
                </c:pt>
                <c:pt idx="85">
                  <c:v>-1.7</c:v>
                </c:pt>
                <c:pt idx="86">
                  <c:v>-1.7</c:v>
                </c:pt>
                <c:pt idx="87">
                  <c:v>-0.5</c:v>
                </c:pt>
                <c:pt idx="88">
                  <c:v>2.9</c:v>
                </c:pt>
                <c:pt idx="89">
                  <c:v>2.9</c:v>
                </c:pt>
                <c:pt idx="90">
                  <c:v>4.4000000000000004</c:v>
                </c:pt>
                <c:pt idx="91">
                  <c:v>1.6</c:v>
                </c:pt>
                <c:pt idx="92">
                  <c:v>0.2</c:v>
                </c:pt>
                <c:pt idx="93">
                  <c:v>0.7</c:v>
                </c:pt>
                <c:pt idx="94">
                  <c:v>-0.4</c:v>
                </c:pt>
                <c:pt idx="95">
                  <c:v>-2.9</c:v>
                </c:pt>
                <c:pt idx="96">
                  <c:v>-6.9</c:v>
                </c:pt>
                <c:pt idx="97">
                  <c:v>-6.9</c:v>
                </c:pt>
                <c:pt idx="98">
                  <c:v>-4.5999999999999996</c:v>
                </c:pt>
                <c:pt idx="99">
                  <c:v>-4.7</c:v>
                </c:pt>
                <c:pt idx="100">
                  <c:v>-4.4000000000000004</c:v>
                </c:pt>
                <c:pt idx="101">
                  <c:v>-4.5</c:v>
                </c:pt>
                <c:pt idx="102">
                  <c:v>-5.5</c:v>
                </c:pt>
                <c:pt idx="103">
                  <c:v>-6.7</c:v>
                </c:pt>
                <c:pt idx="104">
                  <c:v>-7.4</c:v>
                </c:pt>
                <c:pt idx="105">
                  <c:v>-8</c:v>
                </c:pt>
                <c:pt idx="106">
                  <c:v>-6.8</c:v>
                </c:pt>
                <c:pt idx="107">
                  <c:v>-5.4</c:v>
                </c:pt>
                <c:pt idx="108">
                  <c:v>-3</c:v>
                </c:pt>
                <c:pt idx="109">
                  <c:v>-3.9</c:v>
                </c:pt>
                <c:pt idx="110">
                  <c:v>-6.2</c:v>
                </c:pt>
                <c:pt idx="111">
                  <c:v>-5.2</c:v>
                </c:pt>
                <c:pt idx="112">
                  <c:v>-6.1</c:v>
                </c:pt>
                <c:pt idx="113">
                  <c:v>-5</c:v>
                </c:pt>
                <c:pt idx="114">
                  <c:v>-5.8</c:v>
                </c:pt>
                <c:pt idx="115">
                  <c:v>-4.9000000000000004</c:v>
                </c:pt>
                <c:pt idx="116">
                  <c:v>-2.2999999999999998</c:v>
                </c:pt>
                <c:pt idx="117">
                  <c:v>-1.1000000000000001</c:v>
                </c:pt>
                <c:pt idx="118">
                  <c:v>-0.3</c:v>
                </c:pt>
                <c:pt idx="119">
                  <c:v>1.2</c:v>
                </c:pt>
                <c:pt idx="120">
                  <c:v>4.5</c:v>
                </c:pt>
                <c:pt idx="121">
                  <c:v>5.4</c:v>
                </c:pt>
                <c:pt idx="122">
                  <c:v>4.3</c:v>
                </c:pt>
                <c:pt idx="123">
                  <c:v>3.1</c:v>
                </c:pt>
                <c:pt idx="124">
                  <c:v>1.8</c:v>
                </c:pt>
                <c:pt idx="125">
                  <c:v>0.8</c:v>
                </c:pt>
                <c:pt idx="126">
                  <c:v>0.5</c:v>
                </c:pt>
                <c:pt idx="127">
                  <c:v>2.4</c:v>
                </c:pt>
                <c:pt idx="128">
                  <c:v>1.9</c:v>
                </c:pt>
                <c:pt idx="129">
                  <c:v>1.8</c:v>
                </c:pt>
                <c:pt idx="130">
                  <c:v>2.4</c:v>
                </c:pt>
                <c:pt idx="131">
                  <c:v>1.9</c:v>
                </c:pt>
                <c:pt idx="132">
                  <c:v>0.6</c:v>
                </c:pt>
                <c:pt idx="133">
                  <c:v>0.3</c:v>
                </c:pt>
                <c:pt idx="134">
                  <c:v>-0.1</c:v>
                </c:pt>
                <c:pt idx="135">
                  <c:v>1.3</c:v>
                </c:pt>
                <c:pt idx="136">
                  <c:v>3.7</c:v>
                </c:pt>
                <c:pt idx="137">
                  <c:v>5.2</c:v>
                </c:pt>
                <c:pt idx="138">
                  <c:v>5.6</c:v>
                </c:pt>
                <c:pt idx="139">
                  <c:v>4.9000000000000004</c:v>
                </c:pt>
                <c:pt idx="140">
                  <c:v>5.4</c:v>
                </c:pt>
                <c:pt idx="141">
                  <c:v>5.2</c:v>
                </c:pt>
                <c:pt idx="142">
                  <c:v>2.4</c:v>
                </c:pt>
                <c:pt idx="143">
                  <c:v>0</c:v>
                </c:pt>
                <c:pt idx="144">
                  <c:v>-1.1000000000000001</c:v>
                </c:pt>
                <c:pt idx="145">
                  <c:v>-0.3</c:v>
                </c:pt>
                <c:pt idx="146">
                  <c:v>2.2000000000000002</c:v>
                </c:pt>
                <c:pt idx="147">
                  <c:v>2.5</c:v>
                </c:pt>
                <c:pt idx="148">
                  <c:v>1.3</c:v>
                </c:pt>
                <c:pt idx="149">
                  <c:v>-1.6</c:v>
                </c:pt>
                <c:pt idx="150">
                  <c:v>-1.5</c:v>
                </c:pt>
                <c:pt idx="151">
                  <c:v>-1.9</c:v>
                </c:pt>
                <c:pt idx="152">
                  <c:v>-3.3</c:v>
                </c:pt>
                <c:pt idx="153">
                  <c:v>-2.4</c:v>
                </c:pt>
                <c:pt idx="154">
                  <c:v>-0.8</c:v>
                </c:pt>
                <c:pt idx="155">
                  <c:v>1.7</c:v>
                </c:pt>
                <c:pt idx="156">
                  <c:v>3.6</c:v>
                </c:pt>
                <c:pt idx="157">
                  <c:v>0.8</c:v>
                </c:pt>
                <c:pt idx="158">
                  <c:v>-3.3</c:v>
                </c:pt>
              </c:numCache>
            </c:numRef>
          </c:val>
          <c:smooth val="0"/>
          <c:extLst>
            <c:ext xmlns:c16="http://schemas.microsoft.com/office/drawing/2014/chart" uri="{C3380CC4-5D6E-409C-BE32-E72D297353CC}">
              <c16:uniqueId val="{00000007-AA6E-4CB5-8B46-70D57AC6A0EA}"/>
            </c:ext>
          </c:extLst>
        </c:ser>
        <c:ser>
          <c:idx val="8"/>
          <c:order val="8"/>
          <c:tx>
            <c:strRef>
              <c:f>inflacija!$D$106</c:f>
              <c:strCache>
                <c:ptCount val="1"/>
                <c:pt idx="0">
                  <c:v>Communications</c:v>
                </c:pt>
              </c:strCache>
            </c:strRef>
          </c:tx>
          <c:spPr>
            <a:ln w="28575" cmpd="sng">
              <a:solidFill>
                <a:schemeClr val="accent3">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inflacija!$E$106:$FG$106</c:f>
              <c:numCache>
                <c:formatCode>#,##0.0</c:formatCode>
                <c:ptCount val="159"/>
                <c:pt idx="0">
                  <c:v>-0.2</c:v>
                </c:pt>
                <c:pt idx="1">
                  <c:v>-0.2</c:v>
                </c:pt>
                <c:pt idx="2">
                  <c:v>-0.3</c:v>
                </c:pt>
                <c:pt idx="3">
                  <c:v>-0.2</c:v>
                </c:pt>
                <c:pt idx="4">
                  <c:v>-0.2</c:v>
                </c:pt>
                <c:pt idx="5">
                  <c:v>-0.2</c:v>
                </c:pt>
                <c:pt idx="6">
                  <c:v>-0.1</c:v>
                </c:pt>
                <c:pt idx="7">
                  <c:v>-0.1</c:v>
                </c:pt>
                <c:pt idx="8">
                  <c:v>-0.2</c:v>
                </c:pt>
                <c:pt idx="9">
                  <c:v>-0.1</c:v>
                </c:pt>
                <c:pt idx="10">
                  <c:v>-0.1</c:v>
                </c:pt>
                <c:pt idx="11">
                  <c:v>-0.2</c:v>
                </c:pt>
                <c:pt idx="12">
                  <c:v>-1.2</c:v>
                </c:pt>
                <c:pt idx="13">
                  <c:v>-1.3</c:v>
                </c:pt>
                <c:pt idx="14">
                  <c:v>-1.2</c:v>
                </c:pt>
                <c:pt idx="15">
                  <c:v>-1.3</c:v>
                </c:pt>
                <c:pt idx="16">
                  <c:v>-1.3</c:v>
                </c:pt>
                <c:pt idx="17">
                  <c:v>-1.3</c:v>
                </c:pt>
                <c:pt idx="18">
                  <c:v>-1.3</c:v>
                </c:pt>
                <c:pt idx="19">
                  <c:v>-1.4</c:v>
                </c:pt>
                <c:pt idx="20">
                  <c:v>-1.4</c:v>
                </c:pt>
                <c:pt idx="21">
                  <c:v>-1.6</c:v>
                </c:pt>
                <c:pt idx="22">
                  <c:v>-1.6</c:v>
                </c:pt>
                <c:pt idx="23">
                  <c:v>-1.7</c:v>
                </c:pt>
                <c:pt idx="24">
                  <c:v>-0.6</c:v>
                </c:pt>
                <c:pt idx="25">
                  <c:v>-0.5</c:v>
                </c:pt>
                <c:pt idx="26">
                  <c:v>-0.5</c:v>
                </c:pt>
                <c:pt idx="27">
                  <c:v>-0.5</c:v>
                </c:pt>
                <c:pt idx="28">
                  <c:v>-0.5</c:v>
                </c:pt>
                <c:pt idx="29">
                  <c:v>-0.5</c:v>
                </c:pt>
                <c:pt idx="30">
                  <c:v>-0.5</c:v>
                </c:pt>
                <c:pt idx="31">
                  <c:v>-0.2</c:v>
                </c:pt>
                <c:pt idx="32">
                  <c:v>0</c:v>
                </c:pt>
                <c:pt idx="33">
                  <c:v>0.2</c:v>
                </c:pt>
                <c:pt idx="34">
                  <c:v>0.2</c:v>
                </c:pt>
                <c:pt idx="35">
                  <c:v>0.2</c:v>
                </c:pt>
                <c:pt idx="36">
                  <c:v>0.1</c:v>
                </c:pt>
                <c:pt idx="37">
                  <c:v>-0.1</c:v>
                </c:pt>
                <c:pt idx="38">
                  <c:v>0</c:v>
                </c:pt>
                <c:pt idx="39">
                  <c:v>-0.7</c:v>
                </c:pt>
                <c:pt idx="40">
                  <c:v>-0.7</c:v>
                </c:pt>
                <c:pt idx="41">
                  <c:v>-0.7</c:v>
                </c:pt>
                <c:pt idx="42">
                  <c:v>-0.7</c:v>
                </c:pt>
                <c:pt idx="43">
                  <c:v>-1</c:v>
                </c:pt>
                <c:pt idx="44">
                  <c:v>-1.1000000000000001</c:v>
                </c:pt>
                <c:pt idx="45">
                  <c:v>-1.1000000000000001</c:v>
                </c:pt>
                <c:pt idx="46">
                  <c:v>-1.1000000000000001</c:v>
                </c:pt>
                <c:pt idx="47">
                  <c:v>-1.1000000000000001</c:v>
                </c:pt>
                <c:pt idx="48">
                  <c:v>-1.1000000000000001</c:v>
                </c:pt>
                <c:pt idx="49">
                  <c:v>-0.7</c:v>
                </c:pt>
                <c:pt idx="50">
                  <c:v>-0.8</c:v>
                </c:pt>
                <c:pt idx="51">
                  <c:v>-0.1</c:v>
                </c:pt>
                <c:pt idx="52">
                  <c:v>-2.6</c:v>
                </c:pt>
                <c:pt idx="53">
                  <c:v>-2.6</c:v>
                </c:pt>
                <c:pt idx="54">
                  <c:v>-2.7</c:v>
                </c:pt>
                <c:pt idx="55">
                  <c:v>-5.5</c:v>
                </c:pt>
                <c:pt idx="56">
                  <c:v>-7.4</c:v>
                </c:pt>
                <c:pt idx="57">
                  <c:v>-7.3</c:v>
                </c:pt>
                <c:pt idx="58">
                  <c:v>-7.4</c:v>
                </c:pt>
                <c:pt idx="59">
                  <c:v>-9.4</c:v>
                </c:pt>
                <c:pt idx="60">
                  <c:v>-9.4</c:v>
                </c:pt>
                <c:pt idx="61">
                  <c:v>-9.6</c:v>
                </c:pt>
                <c:pt idx="62">
                  <c:v>-8.6</c:v>
                </c:pt>
                <c:pt idx="63">
                  <c:v>-8.6</c:v>
                </c:pt>
                <c:pt idx="64">
                  <c:v>-5.8</c:v>
                </c:pt>
                <c:pt idx="65">
                  <c:v>-5.4</c:v>
                </c:pt>
                <c:pt idx="66">
                  <c:v>-5.2</c:v>
                </c:pt>
                <c:pt idx="67">
                  <c:v>-2.5</c:v>
                </c:pt>
                <c:pt idx="68">
                  <c:v>-1.4</c:v>
                </c:pt>
                <c:pt idx="69">
                  <c:v>-1.4</c:v>
                </c:pt>
                <c:pt idx="70">
                  <c:v>-1.5</c:v>
                </c:pt>
                <c:pt idx="71">
                  <c:v>-0.8</c:v>
                </c:pt>
                <c:pt idx="72">
                  <c:v>0.7</c:v>
                </c:pt>
                <c:pt idx="73">
                  <c:v>0.5</c:v>
                </c:pt>
                <c:pt idx="74">
                  <c:v>-0.6</c:v>
                </c:pt>
                <c:pt idx="75">
                  <c:v>-0.7</c:v>
                </c:pt>
                <c:pt idx="76">
                  <c:v>-3</c:v>
                </c:pt>
                <c:pt idx="77">
                  <c:v>-3.4</c:v>
                </c:pt>
                <c:pt idx="78">
                  <c:v>-3.5</c:v>
                </c:pt>
                <c:pt idx="79">
                  <c:v>-3.6</c:v>
                </c:pt>
                <c:pt idx="80">
                  <c:v>-2.7</c:v>
                </c:pt>
                <c:pt idx="81">
                  <c:v>-2.8</c:v>
                </c:pt>
                <c:pt idx="82">
                  <c:v>-2.6</c:v>
                </c:pt>
                <c:pt idx="83">
                  <c:v>-1.1000000000000001</c:v>
                </c:pt>
                <c:pt idx="84">
                  <c:v>-2.6</c:v>
                </c:pt>
                <c:pt idx="85">
                  <c:v>-1.8</c:v>
                </c:pt>
                <c:pt idx="86">
                  <c:v>-1.8</c:v>
                </c:pt>
                <c:pt idx="87">
                  <c:v>-2.2000000000000002</c:v>
                </c:pt>
                <c:pt idx="88">
                  <c:v>-0.2</c:v>
                </c:pt>
                <c:pt idx="89">
                  <c:v>0.1</c:v>
                </c:pt>
                <c:pt idx="90">
                  <c:v>0.2</c:v>
                </c:pt>
                <c:pt idx="91">
                  <c:v>0.4</c:v>
                </c:pt>
                <c:pt idx="92">
                  <c:v>0.4</c:v>
                </c:pt>
                <c:pt idx="93">
                  <c:v>1.4</c:v>
                </c:pt>
                <c:pt idx="94">
                  <c:v>1.4</c:v>
                </c:pt>
                <c:pt idx="95">
                  <c:v>1.5</c:v>
                </c:pt>
                <c:pt idx="96">
                  <c:v>1.7</c:v>
                </c:pt>
                <c:pt idx="97">
                  <c:v>1.1000000000000001</c:v>
                </c:pt>
                <c:pt idx="98">
                  <c:v>1.1000000000000001</c:v>
                </c:pt>
                <c:pt idx="99">
                  <c:v>1.7</c:v>
                </c:pt>
                <c:pt idx="100">
                  <c:v>1.7</c:v>
                </c:pt>
                <c:pt idx="101">
                  <c:v>1.3</c:v>
                </c:pt>
                <c:pt idx="102">
                  <c:v>1.3</c:v>
                </c:pt>
                <c:pt idx="103">
                  <c:v>1</c:v>
                </c:pt>
                <c:pt idx="104">
                  <c:v>1</c:v>
                </c:pt>
                <c:pt idx="105">
                  <c:v>-0.5</c:v>
                </c:pt>
                <c:pt idx="106">
                  <c:v>-0.3</c:v>
                </c:pt>
                <c:pt idx="107">
                  <c:v>-0.4</c:v>
                </c:pt>
                <c:pt idx="108">
                  <c:v>-0.6</c:v>
                </c:pt>
                <c:pt idx="109">
                  <c:v>-0.6</c:v>
                </c:pt>
                <c:pt idx="110">
                  <c:v>-0.9</c:v>
                </c:pt>
                <c:pt idx="111">
                  <c:v>-1.1000000000000001</c:v>
                </c:pt>
                <c:pt idx="112">
                  <c:v>-3.3</c:v>
                </c:pt>
                <c:pt idx="113">
                  <c:v>-3.2</c:v>
                </c:pt>
                <c:pt idx="114">
                  <c:v>-3.2</c:v>
                </c:pt>
                <c:pt idx="115">
                  <c:v>-3.1</c:v>
                </c:pt>
                <c:pt idx="116">
                  <c:v>-3.3</c:v>
                </c:pt>
                <c:pt idx="117">
                  <c:v>-2.8</c:v>
                </c:pt>
                <c:pt idx="118">
                  <c:v>-3</c:v>
                </c:pt>
                <c:pt idx="119">
                  <c:v>-2.9</c:v>
                </c:pt>
                <c:pt idx="120">
                  <c:v>-2.7</c:v>
                </c:pt>
                <c:pt idx="121">
                  <c:v>-2.7</c:v>
                </c:pt>
                <c:pt idx="122">
                  <c:v>-2.7</c:v>
                </c:pt>
                <c:pt idx="123">
                  <c:v>-3.1</c:v>
                </c:pt>
                <c:pt idx="124">
                  <c:v>-1.6</c:v>
                </c:pt>
                <c:pt idx="125">
                  <c:v>-0.3</c:v>
                </c:pt>
                <c:pt idx="126">
                  <c:v>-1.2</c:v>
                </c:pt>
                <c:pt idx="127">
                  <c:v>-1.1000000000000001</c:v>
                </c:pt>
                <c:pt idx="128">
                  <c:v>-1</c:v>
                </c:pt>
                <c:pt idx="129">
                  <c:v>-1.2</c:v>
                </c:pt>
                <c:pt idx="130">
                  <c:v>-0.5</c:v>
                </c:pt>
                <c:pt idx="131">
                  <c:v>-0.7</c:v>
                </c:pt>
                <c:pt idx="132">
                  <c:v>-0.8</c:v>
                </c:pt>
                <c:pt idx="133">
                  <c:v>-0.7</c:v>
                </c:pt>
                <c:pt idx="134">
                  <c:v>-0.4</c:v>
                </c:pt>
                <c:pt idx="135">
                  <c:v>0.1</c:v>
                </c:pt>
                <c:pt idx="136">
                  <c:v>0.8</c:v>
                </c:pt>
                <c:pt idx="137">
                  <c:v>-0.5</c:v>
                </c:pt>
                <c:pt idx="138">
                  <c:v>0.2</c:v>
                </c:pt>
                <c:pt idx="139">
                  <c:v>0</c:v>
                </c:pt>
                <c:pt idx="140">
                  <c:v>0.3</c:v>
                </c:pt>
                <c:pt idx="141">
                  <c:v>0.4</c:v>
                </c:pt>
                <c:pt idx="142">
                  <c:v>-0.3</c:v>
                </c:pt>
                <c:pt idx="143">
                  <c:v>-0.3</c:v>
                </c:pt>
                <c:pt idx="144">
                  <c:v>-0.4</c:v>
                </c:pt>
                <c:pt idx="145">
                  <c:v>-0.4</c:v>
                </c:pt>
                <c:pt idx="146">
                  <c:v>-0.3</c:v>
                </c:pt>
                <c:pt idx="147">
                  <c:v>-0.6</c:v>
                </c:pt>
                <c:pt idx="148">
                  <c:v>-1.8</c:v>
                </c:pt>
                <c:pt idx="149">
                  <c:v>-0.5</c:v>
                </c:pt>
                <c:pt idx="150">
                  <c:v>-0.5</c:v>
                </c:pt>
                <c:pt idx="151">
                  <c:v>-0.4</c:v>
                </c:pt>
                <c:pt idx="152">
                  <c:v>0.3</c:v>
                </c:pt>
                <c:pt idx="153">
                  <c:v>0.3</c:v>
                </c:pt>
                <c:pt idx="154">
                  <c:v>0.2</c:v>
                </c:pt>
                <c:pt idx="155">
                  <c:v>0</c:v>
                </c:pt>
                <c:pt idx="156">
                  <c:v>0.3</c:v>
                </c:pt>
                <c:pt idx="157">
                  <c:v>0.2</c:v>
                </c:pt>
                <c:pt idx="158">
                  <c:v>0.4</c:v>
                </c:pt>
              </c:numCache>
            </c:numRef>
          </c:val>
          <c:smooth val="0"/>
          <c:extLst>
            <c:ext xmlns:c16="http://schemas.microsoft.com/office/drawing/2014/chart" uri="{C3380CC4-5D6E-409C-BE32-E72D297353CC}">
              <c16:uniqueId val="{00000008-AA6E-4CB5-8B46-70D57AC6A0EA}"/>
            </c:ext>
          </c:extLst>
        </c:ser>
        <c:ser>
          <c:idx val="9"/>
          <c:order val="9"/>
          <c:tx>
            <c:strRef>
              <c:f>inflacija!$D$107</c:f>
              <c:strCache>
                <c:ptCount val="1"/>
                <c:pt idx="0">
                  <c:v>Recreation and culture</c:v>
                </c:pt>
              </c:strCache>
            </c:strRef>
          </c:tx>
          <c:spPr>
            <a:ln w="28575" cmpd="sng">
              <a:solidFill>
                <a:schemeClr val="accent4">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inflacija!$E$107:$FG$107</c:f>
              <c:numCache>
                <c:formatCode>#,##0.0</c:formatCode>
                <c:ptCount val="159"/>
                <c:pt idx="0">
                  <c:v>0.5</c:v>
                </c:pt>
                <c:pt idx="1">
                  <c:v>0.9</c:v>
                </c:pt>
                <c:pt idx="2">
                  <c:v>1.8</c:v>
                </c:pt>
                <c:pt idx="3">
                  <c:v>1.7</c:v>
                </c:pt>
                <c:pt idx="4">
                  <c:v>1.9</c:v>
                </c:pt>
                <c:pt idx="5">
                  <c:v>1</c:v>
                </c:pt>
                <c:pt idx="6">
                  <c:v>1.2</c:v>
                </c:pt>
                <c:pt idx="7">
                  <c:v>2.2000000000000002</c:v>
                </c:pt>
                <c:pt idx="8">
                  <c:v>2.4</c:v>
                </c:pt>
                <c:pt idx="9">
                  <c:v>2.1</c:v>
                </c:pt>
                <c:pt idx="10">
                  <c:v>2.2000000000000002</c:v>
                </c:pt>
                <c:pt idx="11">
                  <c:v>2.2999999999999998</c:v>
                </c:pt>
                <c:pt idx="12">
                  <c:v>2.4</c:v>
                </c:pt>
                <c:pt idx="13">
                  <c:v>1.8</c:v>
                </c:pt>
                <c:pt idx="14">
                  <c:v>1.1000000000000001</c:v>
                </c:pt>
                <c:pt idx="15">
                  <c:v>1</c:v>
                </c:pt>
                <c:pt idx="16">
                  <c:v>0.7</c:v>
                </c:pt>
                <c:pt idx="17">
                  <c:v>2</c:v>
                </c:pt>
                <c:pt idx="18">
                  <c:v>1.5</c:v>
                </c:pt>
                <c:pt idx="19">
                  <c:v>1.6</c:v>
                </c:pt>
                <c:pt idx="20">
                  <c:v>1.6</c:v>
                </c:pt>
                <c:pt idx="21">
                  <c:v>1.7</c:v>
                </c:pt>
                <c:pt idx="22">
                  <c:v>1.4</c:v>
                </c:pt>
                <c:pt idx="23">
                  <c:v>1</c:v>
                </c:pt>
                <c:pt idx="24">
                  <c:v>1</c:v>
                </c:pt>
                <c:pt idx="25">
                  <c:v>1.7</c:v>
                </c:pt>
                <c:pt idx="26">
                  <c:v>2.2000000000000002</c:v>
                </c:pt>
                <c:pt idx="27">
                  <c:v>2</c:v>
                </c:pt>
                <c:pt idx="28">
                  <c:v>2</c:v>
                </c:pt>
                <c:pt idx="29">
                  <c:v>1.9</c:v>
                </c:pt>
                <c:pt idx="30">
                  <c:v>2.7</c:v>
                </c:pt>
                <c:pt idx="31">
                  <c:v>1.6</c:v>
                </c:pt>
                <c:pt idx="32">
                  <c:v>1.4</c:v>
                </c:pt>
                <c:pt idx="33">
                  <c:v>1.8</c:v>
                </c:pt>
                <c:pt idx="34">
                  <c:v>1.9</c:v>
                </c:pt>
                <c:pt idx="35">
                  <c:v>2.2000000000000002</c:v>
                </c:pt>
                <c:pt idx="36">
                  <c:v>1.7</c:v>
                </c:pt>
                <c:pt idx="37">
                  <c:v>1.7</c:v>
                </c:pt>
                <c:pt idx="38">
                  <c:v>1.4</c:v>
                </c:pt>
                <c:pt idx="39">
                  <c:v>1.4</c:v>
                </c:pt>
                <c:pt idx="40">
                  <c:v>2.2000000000000002</c:v>
                </c:pt>
                <c:pt idx="41">
                  <c:v>2</c:v>
                </c:pt>
                <c:pt idx="42">
                  <c:v>2.4</c:v>
                </c:pt>
                <c:pt idx="43">
                  <c:v>2.5</c:v>
                </c:pt>
                <c:pt idx="44">
                  <c:v>1.1000000000000001</c:v>
                </c:pt>
                <c:pt idx="45">
                  <c:v>0.4</c:v>
                </c:pt>
                <c:pt idx="46">
                  <c:v>-0.1</c:v>
                </c:pt>
                <c:pt idx="47">
                  <c:v>-0.8</c:v>
                </c:pt>
                <c:pt idx="48">
                  <c:v>-0.9</c:v>
                </c:pt>
                <c:pt idx="49">
                  <c:v>-1.6</c:v>
                </c:pt>
                <c:pt idx="50">
                  <c:v>-1.6</c:v>
                </c:pt>
                <c:pt idx="51">
                  <c:v>-1.4</c:v>
                </c:pt>
                <c:pt idx="52">
                  <c:v>-2.1</c:v>
                </c:pt>
                <c:pt idx="53">
                  <c:v>-2.7</c:v>
                </c:pt>
                <c:pt idx="54">
                  <c:v>-3.7</c:v>
                </c:pt>
                <c:pt idx="55">
                  <c:v>-3.5</c:v>
                </c:pt>
                <c:pt idx="56">
                  <c:v>-2</c:v>
                </c:pt>
                <c:pt idx="57">
                  <c:v>-0.9</c:v>
                </c:pt>
                <c:pt idx="58">
                  <c:v>-0.9</c:v>
                </c:pt>
                <c:pt idx="59">
                  <c:v>-0.5</c:v>
                </c:pt>
                <c:pt idx="60">
                  <c:v>0</c:v>
                </c:pt>
                <c:pt idx="61">
                  <c:v>0.4</c:v>
                </c:pt>
                <c:pt idx="62">
                  <c:v>1.7</c:v>
                </c:pt>
                <c:pt idx="63">
                  <c:v>2.4</c:v>
                </c:pt>
                <c:pt idx="64">
                  <c:v>3.6</c:v>
                </c:pt>
                <c:pt idx="65">
                  <c:v>4.2</c:v>
                </c:pt>
                <c:pt idx="66">
                  <c:v>5</c:v>
                </c:pt>
                <c:pt idx="67">
                  <c:v>5</c:v>
                </c:pt>
                <c:pt idx="68">
                  <c:v>3.7</c:v>
                </c:pt>
                <c:pt idx="69">
                  <c:v>4.5999999999999996</c:v>
                </c:pt>
                <c:pt idx="70">
                  <c:v>3.6</c:v>
                </c:pt>
                <c:pt idx="71">
                  <c:v>3.5</c:v>
                </c:pt>
                <c:pt idx="72">
                  <c:v>3.7</c:v>
                </c:pt>
                <c:pt idx="73">
                  <c:v>4.2</c:v>
                </c:pt>
                <c:pt idx="74">
                  <c:v>3.7</c:v>
                </c:pt>
                <c:pt idx="75">
                  <c:v>3.4</c:v>
                </c:pt>
                <c:pt idx="76">
                  <c:v>2</c:v>
                </c:pt>
                <c:pt idx="77">
                  <c:v>1.9</c:v>
                </c:pt>
                <c:pt idx="78">
                  <c:v>2.6</c:v>
                </c:pt>
                <c:pt idx="79">
                  <c:v>2.8</c:v>
                </c:pt>
                <c:pt idx="80">
                  <c:v>1.9</c:v>
                </c:pt>
                <c:pt idx="81">
                  <c:v>0.6</c:v>
                </c:pt>
                <c:pt idx="82">
                  <c:v>0.7</c:v>
                </c:pt>
                <c:pt idx="83">
                  <c:v>1.6</c:v>
                </c:pt>
                <c:pt idx="84">
                  <c:v>2</c:v>
                </c:pt>
                <c:pt idx="85">
                  <c:v>1.6</c:v>
                </c:pt>
                <c:pt idx="86">
                  <c:v>0.6</c:v>
                </c:pt>
                <c:pt idx="87">
                  <c:v>0.1</c:v>
                </c:pt>
                <c:pt idx="88">
                  <c:v>1.5</c:v>
                </c:pt>
                <c:pt idx="89">
                  <c:v>1.8</c:v>
                </c:pt>
                <c:pt idx="90">
                  <c:v>1.8</c:v>
                </c:pt>
                <c:pt idx="91">
                  <c:v>3.5</c:v>
                </c:pt>
                <c:pt idx="92">
                  <c:v>3.9</c:v>
                </c:pt>
                <c:pt idx="93">
                  <c:v>3.6</c:v>
                </c:pt>
                <c:pt idx="94">
                  <c:v>3</c:v>
                </c:pt>
                <c:pt idx="95">
                  <c:v>2.2999999999999998</c:v>
                </c:pt>
                <c:pt idx="96">
                  <c:v>1.7</c:v>
                </c:pt>
                <c:pt idx="97">
                  <c:v>0.8</c:v>
                </c:pt>
                <c:pt idx="98">
                  <c:v>1.4</c:v>
                </c:pt>
                <c:pt idx="99">
                  <c:v>2.9</c:v>
                </c:pt>
                <c:pt idx="100">
                  <c:v>3</c:v>
                </c:pt>
                <c:pt idx="101">
                  <c:v>2.6</c:v>
                </c:pt>
                <c:pt idx="102">
                  <c:v>2.5</c:v>
                </c:pt>
                <c:pt idx="103">
                  <c:v>1.5</c:v>
                </c:pt>
                <c:pt idx="104">
                  <c:v>0.3</c:v>
                </c:pt>
                <c:pt idx="105">
                  <c:v>-0.9</c:v>
                </c:pt>
                <c:pt idx="106">
                  <c:v>-0.5</c:v>
                </c:pt>
                <c:pt idx="107">
                  <c:v>-0.7</c:v>
                </c:pt>
                <c:pt idx="108">
                  <c:v>-0.6</c:v>
                </c:pt>
                <c:pt idx="109">
                  <c:v>0.1</c:v>
                </c:pt>
                <c:pt idx="110">
                  <c:v>-0.2</c:v>
                </c:pt>
                <c:pt idx="111">
                  <c:v>-1.8</c:v>
                </c:pt>
                <c:pt idx="112">
                  <c:v>-3.1</c:v>
                </c:pt>
                <c:pt idx="113">
                  <c:v>-3.9</c:v>
                </c:pt>
                <c:pt idx="114">
                  <c:v>-5.2</c:v>
                </c:pt>
                <c:pt idx="115">
                  <c:v>-5.5</c:v>
                </c:pt>
                <c:pt idx="116">
                  <c:v>-2.6</c:v>
                </c:pt>
                <c:pt idx="117">
                  <c:v>0</c:v>
                </c:pt>
                <c:pt idx="118">
                  <c:v>1.2</c:v>
                </c:pt>
                <c:pt idx="119">
                  <c:v>1.8</c:v>
                </c:pt>
                <c:pt idx="120">
                  <c:v>1.6</c:v>
                </c:pt>
                <c:pt idx="121">
                  <c:v>1.8</c:v>
                </c:pt>
                <c:pt idx="122">
                  <c:v>1.4</c:v>
                </c:pt>
                <c:pt idx="123">
                  <c:v>0.9</c:v>
                </c:pt>
                <c:pt idx="124">
                  <c:v>1.2</c:v>
                </c:pt>
                <c:pt idx="125">
                  <c:v>1.3</c:v>
                </c:pt>
                <c:pt idx="126">
                  <c:v>1.3</c:v>
                </c:pt>
                <c:pt idx="127">
                  <c:v>0.8</c:v>
                </c:pt>
                <c:pt idx="128">
                  <c:v>0.9</c:v>
                </c:pt>
                <c:pt idx="129">
                  <c:v>0.6</c:v>
                </c:pt>
                <c:pt idx="130">
                  <c:v>1</c:v>
                </c:pt>
                <c:pt idx="131">
                  <c:v>0.4</c:v>
                </c:pt>
                <c:pt idx="132">
                  <c:v>0.3</c:v>
                </c:pt>
                <c:pt idx="133">
                  <c:v>0.1</c:v>
                </c:pt>
                <c:pt idx="134">
                  <c:v>0.5</c:v>
                </c:pt>
                <c:pt idx="135">
                  <c:v>1.2</c:v>
                </c:pt>
                <c:pt idx="136">
                  <c:v>1</c:v>
                </c:pt>
                <c:pt idx="137">
                  <c:v>1</c:v>
                </c:pt>
                <c:pt idx="138">
                  <c:v>0.3</c:v>
                </c:pt>
                <c:pt idx="139">
                  <c:v>0.4</c:v>
                </c:pt>
                <c:pt idx="140">
                  <c:v>1.3</c:v>
                </c:pt>
                <c:pt idx="141">
                  <c:v>1.6</c:v>
                </c:pt>
                <c:pt idx="142">
                  <c:v>1.1000000000000001</c:v>
                </c:pt>
                <c:pt idx="143">
                  <c:v>0.9</c:v>
                </c:pt>
                <c:pt idx="144">
                  <c:v>0.9</c:v>
                </c:pt>
                <c:pt idx="145">
                  <c:v>0.8</c:v>
                </c:pt>
                <c:pt idx="146">
                  <c:v>0.9</c:v>
                </c:pt>
                <c:pt idx="147">
                  <c:v>0.7</c:v>
                </c:pt>
                <c:pt idx="148">
                  <c:v>0.6</c:v>
                </c:pt>
                <c:pt idx="149">
                  <c:v>0.7</c:v>
                </c:pt>
                <c:pt idx="150">
                  <c:v>1.8</c:v>
                </c:pt>
                <c:pt idx="151">
                  <c:v>1.6</c:v>
                </c:pt>
                <c:pt idx="152">
                  <c:v>-0.1</c:v>
                </c:pt>
                <c:pt idx="153">
                  <c:v>-0.2</c:v>
                </c:pt>
                <c:pt idx="154">
                  <c:v>-0.2</c:v>
                </c:pt>
                <c:pt idx="155">
                  <c:v>-0.2</c:v>
                </c:pt>
                <c:pt idx="156">
                  <c:v>0.4</c:v>
                </c:pt>
                <c:pt idx="157">
                  <c:v>0.4</c:v>
                </c:pt>
                <c:pt idx="158">
                  <c:v>0</c:v>
                </c:pt>
              </c:numCache>
            </c:numRef>
          </c:val>
          <c:smooth val="0"/>
          <c:extLst>
            <c:ext xmlns:c16="http://schemas.microsoft.com/office/drawing/2014/chart" uri="{C3380CC4-5D6E-409C-BE32-E72D297353CC}">
              <c16:uniqueId val="{00000009-AA6E-4CB5-8B46-70D57AC6A0EA}"/>
            </c:ext>
          </c:extLst>
        </c:ser>
        <c:ser>
          <c:idx val="10"/>
          <c:order val="10"/>
          <c:tx>
            <c:strRef>
              <c:f>inflacija!$D$108</c:f>
              <c:strCache>
                <c:ptCount val="1"/>
                <c:pt idx="0">
                  <c:v>Education</c:v>
                </c:pt>
              </c:strCache>
            </c:strRef>
          </c:tx>
          <c:spPr>
            <a:ln w="28575" cmpd="sng">
              <a:solidFill>
                <a:schemeClr val="accent5">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inflacija!$E$108:$FG$108</c:f>
              <c:numCache>
                <c:formatCode>#,##0.0</c:formatCode>
                <c:ptCount val="159"/>
                <c:pt idx="0">
                  <c:v>0.2</c:v>
                </c:pt>
                <c:pt idx="1">
                  <c:v>0.1</c:v>
                </c:pt>
                <c:pt idx="2">
                  <c:v>0.2</c:v>
                </c:pt>
                <c:pt idx="3">
                  <c:v>0.2</c:v>
                </c:pt>
                <c:pt idx="4">
                  <c:v>0.2</c:v>
                </c:pt>
                <c:pt idx="5">
                  <c:v>0.2</c:v>
                </c:pt>
                <c:pt idx="6">
                  <c:v>0.7</c:v>
                </c:pt>
                <c:pt idx="7">
                  <c:v>0.8</c:v>
                </c:pt>
                <c:pt idx="8">
                  <c:v>2.2999999999999998</c:v>
                </c:pt>
                <c:pt idx="9">
                  <c:v>2.2999999999999998</c:v>
                </c:pt>
                <c:pt idx="10">
                  <c:v>2.2999999999999998</c:v>
                </c:pt>
                <c:pt idx="11">
                  <c:v>2.2999999999999998</c:v>
                </c:pt>
                <c:pt idx="12">
                  <c:v>2.2999999999999998</c:v>
                </c:pt>
                <c:pt idx="13">
                  <c:v>2.8</c:v>
                </c:pt>
                <c:pt idx="14">
                  <c:v>2.6</c:v>
                </c:pt>
                <c:pt idx="15">
                  <c:v>2.6</c:v>
                </c:pt>
                <c:pt idx="16">
                  <c:v>2.6</c:v>
                </c:pt>
                <c:pt idx="17">
                  <c:v>2.2000000000000002</c:v>
                </c:pt>
                <c:pt idx="18">
                  <c:v>2.1</c:v>
                </c:pt>
                <c:pt idx="19">
                  <c:v>2.1</c:v>
                </c:pt>
                <c:pt idx="20">
                  <c:v>2</c:v>
                </c:pt>
                <c:pt idx="21">
                  <c:v>2</c:v>
                </c:pt>
                <c:pt idx="22">
                  <c:v>2.8</c:v>
                </c:pt>
                <c:pt idx="23">
                  <c:v>2.8</c:v>
                </c:pt>
                <c:pt idx="24">
                  <c:v>2.8</c:v>
                </c:pt>
                <c:pt idx="25">
                  <c:v>2.6</c:v>
                </c:pt>
                <c:pt idx="26">
                  <c:v>2.6</c:v>
                </c:pt>
                <c:pt idx="27">
                  <c:v>2.6</c:v>
                </c:pt>
                <c:pt idx="28">
                  <c:v>2.6</c:v>
                </c:pt>
                <c:pt idx="29">
                  <c:v>3.1</c:v>
                </c:pt>
                <c:pt idx="30">
                  <c:v>2.6</c:v>
                </c:pt>
                <c:pt idx="31">
                  <c:v>2.5</c:v>
                </c:pt>
                <c:pt idx="32">
                  <c:v>2.6</c:v>
                </c:pt>
                <c:pt idx="33">
                  <c:v>2.6</c:v>
                </c:pt>
                <c:pt idx="34">
                  <c:v>1.9</c:v>
                </c:pt>
                <c:pt idx="35">
                  <c:v>1.9</c:v>
                </c:pt>
                <c:pt idx="36">
                  <c:v>1.9</c:v>
                </c:pt>
                <c:pt idx="37">
                  <c:v>1.7</c:v>
                </c:pt>
                <c:pt idx="38">
                  <c:v>1.7</c:v>
                </c:pt>
                <c:pt idx="39">
                  <c:v>1.6</c:v>
                </c:pt>
                <c:pt idx="40">
                  <c:v>1.5</c:v>
                </c:pt>
                <c:pt idx="41">
                  <c:v>1.5</c:v>
                </c:pt>
                <c:pt idx="42">
                  <c:v>1.6</c:v>
                </c:pt>
                <c:pt idx="43">
                  <c:v>1.7</c:v>
                </c:pt>
                <c:pt idx="44">
                  <c:v>-8.8000000000000007</c:v>
                </c:pt>
                <c:pt idx="45">
                  <c:v>-8.8000000000000007</c:v>
                </c:pt>
                <c:pt idx="46">
                  <c:v>-8.9</c:v>
                </c:pt>
                <c:pt idx="47">
                  <c:v>-8.9</c:v>
                </c:pt>
                <c:pt idx="48">
                  <c:v>-8.9</c:v>
                </c:pt>
                <c:pt idx="49">
                  <c:v>-8.9</c:v>
                </c:pt>
                <c:pt idx="50">
                  <c:v>-8.9</c:v>
                </c:pt>
                <c:pt idx="51">
                  <c:v>-8.9</c:v>
                </c:pt>
                <c:pt idx="52">
                  <c:v>-8.9</c:v>
                </c:pt>
                <c:pt idx="53">
                  <c:v>-8.9</c:v>
                </c:pt>
                <c:pt idx="54">
                  <c:v>-9.4</c:v>
                </c:pt>
                <c:pt idx="55">
                  <c:v>-9.4</c:v>
                </c:pt>
                <c:pt idx="56">
                  <c:v>0.7</c:v>
                </c:pt>
                <c:pt idx="57">
                  <c:v>0.9</c:v>
                </c:pt>
                <c:pt idx="58">
                  <c:v>1.1000000000000001</c:v>
                </c:pt>
                <c:pt idx="59">
                  <c:v>1.1000000000000001</c:v>
                </c:pt>
                <c:pt idx="60">
                  <c:v>-0.8</c:v>
                </c:pt>
                <c:pt idx="61">
                  <c:v>-0.8</c:v>
                </c:pt>
                <c:pt idx="62">
                  <c:v>-0.8</c:v>
                </c:pt>
                <c:pt idx="63">
                  <c:v>-0.8</c:v>
                </c:pt>
                <c:pt idx="64">
                  <c:v>-0.5</c:v>
                </c:pt>
                <c:pt idx="65">
                  <c:v>-0.4</c:v>
                </c:pt>
                <c:pt idx="66">
                  <c:v>0.1</c:v>
                </c:pt>
                <c:pt idx="67">
                  <c:v>-0.6</c:v>
                </c:pt>
                <c:pt idx="68">
                  <c:v>-0.7</c:v>
                </c:pt>
                <c:pt idx="69">
                  <c:v>-1</c:v>
                </c:pt>
                <c:pt idx="70">
                  <c:v>-1</c:v>
                </c:pt>
                <c:pt idx="71">
                  <c:v>-1</c:v>
                </c:pt>
                <c:pt idx="72">
                  <c:v>0.9</c:v>
                </c:pt>
                <c:pt idx="73">
                  <c:v>0.9</c:v>
                </c:pt>
                <c:pt idx="74">
                  <c:v>0.8</c:v>
                </c:pt>
                <c:pt idx="75">
                  <c:v>0.8</c:v>
                </c:pt>
                <c:pt idx="76">
                  <c:v>0.5</c:v>
                </c:pt>
                <c:pt idx="77">
                  <c:v>0.5</c:v>
                </c:pt>
                <c:pt idx="78">
                  <c:v>0.3</c:v>
                </c:pt>
                <c:pt idx="79">
                  <c:v>0.9</c:v>
                </c:pt>
                <c:pt idx="80">
                  <c:v>0.1</c:v>
                </c:pt>
                <c:pt idx="81">
                  <c:v>0</c:v>
                </c:pt>
                <c:pt idx="82">
                  <c:v>0</c:v>
                </c:pt>
                <c:pt idx="83">
                  <c:v>0</c:v>
                </c:pt>
                <c:pt idx="84">
                  <c:v>0</c:v>
                </c:pt>
                <c:pt idx="85">
                  <c:v>0</c:v>
                </c:pt>
                <c:pt idx="86">
                  <c:v>0</c:v>
                </c:pt>
                <c:pt idx="87">
                  <c:v>0</c:v>
                </c:pt>
                <c:pt idx="88">
                  <c:v>0</c:v>
                </c:pt>
                <c:pt idx="89">
                  <c:v>0</c:v>
                </c:pt>
                <c:pt idx="90">
                  <c:v>0.2</c:v>
                </c:pt>
                <c:pt idx="91">
                  <c:v>0.2</c:v>
                </c:pt>
                <c:pt idx="92">
                  <c:v>0.1</c:v>
                </c:pt>
                <c:pt idx="93">
                  <c:v>0.1</c:v>
                </c:pt>
                <c:pt idx="94">
                  <c:v>0.1</c:v>
                </c:pt>
                <c:pt idx="95">
                  <c:v>0.2</c:v>
                </c:pt>
                <c:pt idx="96">
                  <c:v>0.3</c:v>
                </c:pt>
                <c:pt idx="97">
                  <c:v>0.1</c:v>
                </c:pt>
                <c:pt idx="98">
                  <c:v>0.1</c:v>
                </c:pt>
                <c:pt idx="99">
                  <c:v>0.1</c:v>
                </c:pt>
                <c:pt idx="100">
                  <c:v>0.1</c:v>
                </c:pt>
                <c:pt idx="101">
                  <c:v>0.1</c:v>
                </c:pt>
                <c:pt idx="102">
                  <c:v>-0.8</c:v>
                </c:pt>
                <c:pt idx="103">
                  <c:v>-0.9</c:v>
                </c:pt>
                <c:pt idx="104">
                  <c:v>-1</c:v>
                </c:pt>
                <c:pt idx="105">
                  <c:v>-1.1000000000000001</c:v>
                </c:pt>
                <c:pt idx="106">
                  <c:v>-1.1000000000000001</c:v>
                </c:pt>
                <c:pt idx="107">
                  <c:v>-1.1000000000000001</c:v>
                </c:pt>
                <c:pt idx="108">
                  <c:v>-1.2</c:v>
                </c:pt>
                <c:pt idx="109">
                  <c:v>-1</c:v>
                </c:pt>
                <c:pt idx="110">
                  <c:v>-1</c:v>
                </c:pt>
                <c:pt idx="111">
                  <c:v>-1</c:v>
                </c:pt>
                <c:pt idx="112">
                  <c:v>-1</c:v>
                </c:pt>
                <c:pt idx="113">
                  <c:v>-0.9</c:v>
                </c:pt>
                <c:pt idx="114">
                  <c:v>0.6</c:v>
                </c:pt>
                <c:pt idx="115">
                  <c:v>0.7</c:v>
                </c:pt>
                <c:pt idx="116">
                  <c:v>0.7</c:v>
                </c:pt>
                <c:pt idx="117">
                  <c:v>1.1000000000000001</c:v>
                </c:pt>
                <c:pt idx="118">
                  <c:v>1.1000000000000001</c:v>
                </c:pt>
                <c:pt idx="119">
                  <c:v>1.1000000000000001</c:v>
                </c:pt>
                <c:pt idx="120">
                  <c:v>1.1000000000000001</c:v>
                </c:pt>
                <c:pt idx="121">
                  <c:v>1.1000000000000001</c:v>
                </c:pt>
                <c:pt idx="122">
                  <c:v>1.1000000000000001</c:v>
                </c:pt>
                <c:pt idx="123">
                  <c:v>1.1000000000000001</c:v>
                </c:pt>
                <c:pt idx="124">
                  <c:v>1.1000000000000001</c:v>
                </c:pt>
                <c:pt idx="125">
                  <c:v>1</c:v>
                </c:pt>
                <c:pt idx="126">
                  <c:v>0.3</c:v>
                </c:pt>
                <c:pt idx="127">
                  <c:v>0.3</c:v>
                </c:pt>
                <c:pt idx="128">
                  <c:v>0.7</c:v>
                </c:pt>
                <c:pt idx="129">
                  <c:v>0.4</c:v>
                </c:pt>
                <c:pt idx="130">
                  <c:v>0.4</c:v>
                </c:pt>
                <c:pt idx="131">
                  <c:v>0.5</c:v>
                </c:pt>
                <c:pt idx="132">
                  <c:v>0.4</c:v>
                </c:pt>
                <c:pt idx="133">
                  <c:v>0.3</c:v>
                </c:pt>
                <c:pt idx="134">
                  <c:v>0.3</c:v>
                </c:pt>
                <c:pt idx="135">
                  <c:v>0.4</c:v>
                </c:pt>
                <c:pt idx="136">
                  <c:v>0.4</c:v>
                </c:pt>
                <c:pt idx="137">
                  <c:v>0.4</c:v>
                </c:pt>
                <c:pt idx="138">
                  <c:v>0.1</c:v>
                </c:pt>
                <c:pt idx="139">
                  <c:v>0.1</c:v>
                </c:pt>
                <c:pt idx="140">
                  <c:v>-0.2</c:v>
                </c:pt>
                <c:pt idx="141">
                  <c:v>0.8</c:v>
                </c:pt>
                <c:pt idx="142">
                  <c:v>0.8</c:v>
                </c:pt>
                <c:pt idx="143">
                  <c:v>0.7</c:v>
                </c:pt>
                <c:pt idx="144">
                  <c:v>0.8</c:v>
                </c:pt>
                <c:pt idx="145">
                  <c:v>0.9</c:v>
                </c:pt>
                <c:pt idx="146">
                  <c:v>0.8</c:v>
                </c:pt>
                <c:pt idx="147">
                  <c:v>0.8</c:v>
                </c:pt>
                <c:pt idx="148">
                  <c:v>0.8</c:v>
                </c:pt>
                <c:pt idx="149">
                  <c:v>1</c:v>
                </c:pt>
                <c:pt idx="150">
                  <c:v>1.1000000000000001</c:v>
                </c:pt>
                <c:pt idx="151">
                  <c:v>1.1000000000000001</c:v>
                </c:pt>
                <c:pt idx="152">
                  <c:v>1.2</c:v>
                </c:pt>
                <c:pt idx="153">
                  <c:v>0.3</c:v>
                </c:pt>
                <c:pt idx="154">
                  <c:v>0.3</c:v>
                </c:pt>
                <c:pt idx="155">
                  <c:v>0.3</c:v>
                </c:pt>
                <c:pt idx="156">
                  <c:v>0.4</c:v>
                </c:pt>
                <c:pt idx="157">
                  <c:v>0.4</c:v>
                </c:pt>
                <c:pt idx="158">
                  <c:v>-0.6</c:v>
                </c:pt>
              </c:numCache>
            </c:numRef>
          </c:val>
          <c:smooth val="0"/>
          <c:extLst>
            <c:ext xmlns:c16="http://schemas.microsoft.com/office/drawing/2014/chart" uri="{C3380CC4-5D6E-409C-BE32-E72D297353CC}">
              <c16:uniqueId val="{0000000A-AA6E-4CB5-8B46-70D57AC6A0EA}"/>
            </c:ext>
          </c:extLst>
        </c:ser>
        <c:ser>
          <c:idx val="11"/>
          <c:order val="11"/>
          <c:tx>
            <c:strRef>
              <c:f>inflacija!$D$109</c:f>
              <c:strCache>
                <c:ptCount val="1"/>
                <c:pt idx="0">
                  <c:v>Restaurants and hotels</c:v>
                </c:pt>
              </c:strCache>
            </c:strRef>
          </c:tx>
          <c:spPr>
            <a:ln w="28575" cmpd="sng">
              <a:solidFill>
                <a:schemeClr val="accent6">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inflacija!$E$109:$FG$109</c:f>
              <c:numCache>
                <c:formatCode>#,##0.0</c:formatCode>
                <c:ptCount val="159"/>
                <c:pt idx="0">
                  <c:v>2.6</c:v>
                </c:pt>
                <c:pt idx="1">
                  <c:v>2.5</c:v>
                </c:pt>
                <c:pt idx="2">
                  <c:v>2.7</c:v>
                </c:pt>
                <c:pt idx="3">
                  <c:v>2.5</c:v>
                </c:pt>
                <c:pt idx="4">
                  <c:v>2.1</c:v>
                </c:pt>
                <c:pt idx="5">
                  <c:v>0.4</c:v>
                </c:pt>
                <c:pt idx="6">
                  <c:v>1.9</c:v>
                </c:pt>
                <c:pt idx="7">
                  <c:v>1.4</c:v>
                </c:pt>
                <c:pt idx="8">
                  <c:v>1.4</c:v>
                </c:pt>
                <c:pt idx="9">
                  <c:v>1.8</c:v>
                </c:pt>
                <c:pt idx="10">
                  <c:v>1.9</c:v>
                </c:pt>
                <c:pt idx="11">
                  <c:v>2</c:v>
                </c:pt>
                <c:pt idx="12">
                  <c:v>2.5</c:v>
                </c:pt>
                <c:pt idx="13">
                  <c:v>3.4</c:v>
                </c:pt>
                <c:pt idx="14">
                  <c:v>4.4000000000000004</c:v>
                </c:pt>
                <c:pt idx="15">
                  <c:v>4.5</c:v>
                </c:pt>
                <c:pt idx="16">
                  <c:v>6</c:v>
                </c:pt>
                <c:pt idx="17">
                  <c:v>6.4</c:v>
                </c:pt>
                <c:pt idx="18">
                  <c:v>6.5</c:v>
                </c:pt>
                <c:pt idx="19">
                  <c:v>6.9</c:v>
                </c:pt>
                <c:pt idx="20">
                  <c:v>7.2</c:v>
                </c:pt>
                <c:pt idx="21">
                  <c:v>6.7</c:v>
                </c:pt>
                <c:pt idx="22">
                  <c:v>6.5</c:v>
                </c:pt>
                <c:pt idx="23">
                  <c:v>6.5</c:v>
                </c:pt>
                <c:pt idx="24">
                  <c:v>6.1</c:v>
                </c:pt>
                <c:pt idx="25">
                  <c:v>6.4</c:v>
                </c:pt>
                <c:pt idx="26">
                  <c:v>5.2</c:v>
                </c:pt>
                <c:pt idx="27">
                  <c:v>4.5999999999999996</c:v>
                </c:pt>
                <c:pt idx="28">
                  <c:v>3.6</c:v>
                </c:pt>
                <c:pt idx="29">
                  <c:v>4.5999999999999996</c:v>
                </c:pt>
                <c:pt idx="30">
                  <c:v>5</c:v>
                </c:pt>
                <c:pt idx="31">
                  <c:v>4.4000000000000004</c:v>
                </c:pt>
                <c:pt idx="32">
                  <c:v>3.4</c:v>
                </c:pt>
                <c:pt idx="33">
                  <c:v>3.5</c:v>
                </c:pt>
                <c:pt idx="34">
                  <c:v>4.0999999999999996</c:v>
                </c:pt>
                <c:pt idx="35">
                  <c:v>3.7</c:v>
                </c:pt>
                <c:pt idx="36">
                  <c:v>4</c:v>
                </c:pt>
                <c:pt idx="37">
                  <c:v>2.8</c:v>
                </c:pt>
                <c:pt idx="38">
                  <c:v>2.8</c:v>
                </c:pt>
                <c:pt idx="39">
                  <c:v>2.8</c:v>
                </c:pt>
                <c:pt idx="40">
                  <c:v>2.2999999999999998</c:v>
                </c:pt>
                <c:pt idx="41">
                  <c:v>2.2000000000000002</c:v>
                </c:pt>
                <c:pt idx="42">
                  <c:v>2</c:v>
                </c:pt>
                <c:pt idx="43">
                  <c:v>2.7</c:v>
                </c:pt>
                <c:pt idx="44">
                  <c:v>2.1</c:v>
                </c:pt>
                <c:pt idx="45">
                  <c:v>2.2000000000000002</c:v>
                </c:pt>
                <c:pt idx="46">
                  <c:v>1.1000000000000001</c:v>
                </c:pt>
                <c:pt idx="47">
                  <c:v>0.3</c:v>
                </c:pt>
                <c:pt idx="48">
                  <c:v>0.1</c:v>
                </c:pt>
                <c:pt idx="49">
                  <c:v>0.1</c:v>
                </c:pt>
                <c:pt idx="50">
                  <c:v>0.2</c:v>
                </c:pt>
                <c:pt idx="51">
                  <c:v>0.5</c:v>
                </c:pt>
                <c:pt idx="52">
                  <c:v>0.3</c:v>
                </c:pt>
                <c:pt idx="53">
                  <c:v>1.3</c:v>
                </c:pt>
                <c:pt idx="54">
                  <c:v>1.9</c:v>
                </c:pt>
                <c:pt idx="55">
                  <c:v>2</c:v>
                </c:pt>
                <c:pt idx="56">
                  <c:v>0.7</c:v>
                </c:pt>
                <c:pt idx="57">
                  <c:v>0.4</c:v>
                </c:pt>
                <c:pt idx="58">
                  <c:v>0.5</c:v>
                </c:pt>
                <c:pt idx="59">
                  <c:v>0.9</c:v>
                </c:pt>
                <c:pt idx="60">
                  <c:v>0.7</c:v>
                </c:pt>
                <c:pt idx="61">
                  <c:v>0.3</c:v>
                </c:pt>
                <c:pt idx="62">
                  <c:v>1.6</c:v>
                </c:pt>
                <c:pt idx="63">
                  <c:v>1.8</c:v>
                </c:pt>
                <c:pt idx="64">
                  <c:v>-0.8</c:v>
                </c:pt>
                <c:pt idx="65">
                  <c:v>-2.2999999999999998</c:v>
                </c:pt>
                <c:pt idx="66">
                  <c:v>-4.3</c:v>
                </c:pt>
                <c:pt idx="67">
                  <c:v>-4.3</c:v>
                </c:pt>
                <c:pt idx="68">
                  <c:v>-1.2</c:v>
                </c:pt>
                <c:pt idx="69">
                  <c:v>1.1000000000000001</c:v>
                </c:pt>
                <c:pt idx="70">
                  <c:v>1</c:v>
                </c:pt>
                <c:pt idx="71">
                  <c:v>0.9</c:v>
                </c:pt>
                <c:pt idx="72">
                  <c:v>0.7</c:v>
                </c:pt>
                <c:pt idx="73">
                  <c:v>1.1000000000000001</c:v>
                </c:pt>
                <c:pt idx="74">
                  <c:v>0.2</c:v>
                </c:pt>
                <c:pt idx="75">
                  <c:v>1.5</c:v>
                </c:pt>
                <c:pt idx="76">
                  <c:v>4</c:v>
                </c:pt>
                <c:pt idx="77">
                  <c:v>3.5</c:v>
                </c:pt>
                <c:pt idx="78">
                  <c:v>3.6</c:v>
                </c:pt>
                <c:pt idx="79">
                  <c:v>3.1</c:v>
                </c:pt>
                <c:pt idx="80">
                  <c:v>5.8</c:v>
                </c:pt>
                <c:pt idx="81">
                  <c:v>3.9</c:v>
                </c:pt>
                <c:pt idx="82">
                  <c:v>1.3</c:v>
                </c:pt>
                <c:pt idx="83">
                  <c:v>-0.2</c:v>
                </c:pt>
                <c:pt idx="84">
                  <c:v>0.3</c:v>
                </c:pt>
                <c:pt idx="85">
                  <c:v>0.3</c:v>
                </c:pt>
                <c:pt idx="86">
                  <c:v>0.2</c:v>
                </c:pt>
                <c:pt idx="87">
                  <c:v>0.6</c:v>
                </c:pt>
                <c:pt idx="88">
                  <c:v>1.8</c:v>
                </c:pt>
                <c:pt idx="89">
                  <c:v>2.9</c:v>
                </c:pt>
                <c:pt idx="90">
                  <c:v>0.9</c:v>
                </c:pt>
                <c:pt idx="91">
                  <c:v>1.1000000000000001</c:v>
                </c:pt>
                <c:pt idx="92">
                  <c:v>0.9</c:v>
                </c:pt>
                <c:pt idx="93">
                  <c:v>0.3</c:v>
                </c:pt>
                <c:pt idx="94">
                  <c:v>0.8</c:v>
                </c:pt>
                <c:pt idx="95">
                  <c:v>2.6</c:v>
                </c:pt>
                <c:pt idx="96">
                  <c:v>2.5</c:v>
                </c:pt>
                <c:pt idx="97">
                  <c:v>2</c:v>
                </c:pt>
                <c:pt idx="98">
                  <c:v>1.3</c:v>
                </c:pt>
                <c:pt idx="99">
                  <c:v>1.6</c:v>
                </c:pt>
                <c:pt idx="100">
                  <c:v>1.6</c:v>
                </c:pt>
                <c:pt idx="101">
                  <c:v>2.2999999999999998</c:v>
                </c:pt>
                <c:pt idx="102">
                  <c:v>3.3</c:v>
                </c:pt>
                <c:pt idx="103">
                  <c:v>3.4</c:v>
                </c:pt>
                <c:pt idx="104">
                  <c:v>1.6</c:v>
                </c:pt>
                <c:pt idx="105">
                  <c:v>1.4</c:v>
                </c:pt>
                <c:pt idx="106">
                  <c:v>1.4</c:v>
                </c:pt>
                <c:pt idx="107">
                  <c:v>1.4</c:v>
                </c:pt>
                <c:pt idx="108">
                  <c:v>2.2999999999999998</c:v>
                </c:pt>
                <c:pt idx="109">
                  <c:v>1.8</c:v>
                </c:pt>
                <c:pt idx="110">
                  <c:v>2</c:v>
                </c:pt>
                <c:pt idx="111">
                  <c:v>2</c:v>
                </c:pt>
                <c:pt idx="112">
                  <c:v>0.5</c:v>
                </c:pt>
                <c:pt idx="113">
                  <c:v>-1.2</c:v>
                </c:pt>
                <c:pt idx="114">
                  <c:v>-0.5</c:v>
                </c:pt>
                <c:pt idx="115">
                  <c:v>-0.9</c:v>
                </c:pt>
                <c:pt idx="116">
                  <c:v>0.1</c:v>
                </c:pt>
                <c:pt idx="117">
                  <c:v>-0.3</c:v>
                </c:pt>
                <c:pt idx="118">
                  <c:v>0.8</c:v>
                </c:pt>
                <c:pt idx="119">
                  <c:v>1.1000000000000001</c:v>
                </c:pt>
                <c:pt idx="120">
                  <c:v>0.2</c:v>
                </c:pt>
                <c:pt idx="121">
                  <c:v>1</c:v>
                </c:pt>
                <c:pt idx="122">
                  <c:v>1.1000000000000001</c:v>
                </c:pt>
                <c:pt idx="123">
                  <c:v>1.9</c:v>
                </c:pt>
                <c:pt idx="124">
                  <c:v>1.7</c:v>
                </c:pt>
                <c:pt idx="125">
                  <c:v>4.3</c:v>
                </c:pt>
                <c:pt idx="126">
                  <c:v>4.5999999999999996</c:v>
                </c:pt>
                <c:pt idx="127">
                  <c:v>5</c:v>
                </c:pt>
                <c:pt idx="128">
                  <c:v>4.2</c:v>
                </c:pt>
                <c:pt idx="129">
                  <c:v>4.3</c:v>
                </c:pt>
                <c:pt idx="130">
                  <c:v>3.9</c:v>
                </c:pt>
                <c:pt idx="131">
                  <c:v>3.4</c:v>
                </c:pt>
                <c:pt idx="132">
                  <c:v>3.3</c:v>
                </c:pt>
                <c:pt idx="133">
                  <c:v>2.6</c:v>
                </c:pt>
                <c:pt idx="134">
                  <c:v>2.7</c:v>
                </c:pt>
                <c:pt idx="135">
                  <c:v>2.2000000000000002</c:v>
                </c:pt>
                <c:pt idx="136">
                  <c:v>1.6</c:v>
                </c:pt>
                <c:pt idx="137">
                  <c:v>1.5</c:v>
                </c:pt>
                <c:pt idx="138">
                  <c:v>3.4</c:v>
                </c:pt>
                <c:pt idx="139">
                  <c:v>2.6</c:v>
                </c:pt>
                <c:pt idx="140">
                  <c:v>2.6</c:v>
                </c:pt>
                <c:pt idx="141">
                  <c:v>2</c:v>
                </c:pt>
                <c:pt idx="142">
                  <c:v>2.4</c:v>
                </c:pt>
                <c:pt idx="143">
                  <c:v>2.5</c:v>
                </c:pt>
                <c:pt idx="144">
                  <c:v>2.7</c:v>
                </c:pt>
                <c:pt idx="145">
                  <c:v>3</c:v>
                </c:pt>
                <c:pt idx="146">
                  <c:v>2.7</c:v>
                </c:pt>
                <c:pt idx="147">
                  <c:v>2.4</c:v>
                </c:pt>
                <c:pt idx="148">
                  <c:v>3.5</c:v>
                </c:pt>
                <c:pt idx="149">
                  <c:v>2.2000000000000002</c:v>
                </c:pt>
                <c:pt idx="150">
                  <c:v>2.1</c:v>
                </c:pt>
                <c:pt idx="151">
                  <c:v>1.3</c:v>
                </c:pt>
                <c:pt idx="152">
                  <c:v>1.6</c:v>
                </c:pt>
                <c:pt idx="153">
                  <c:v>2.4</c:v>
                </c:pt>
                <c:pt idx="154">
                  <c:v>1.9</c:v>
                </c:pt>
                <c:pt idx="155">
                  <c:v>2.4</c:v>
                </c:pt>
                <c:pt idx="156">
                  <c:v>1.7</c:v>
                </c:pt>
                <c:pt idx="157">
                  <c:v>1.3</c:v>
                </c:pt>
                <c:pt idx="158">
                  <c:v>1.8</c:v>
                </c:pt>
              </c:numCache>
            </c:numRef>
          </c:val>
          <c:smooth val="0"/>
          <c:extLst>
            <c:ext xmlns:c16="http://schemas.microsoft.com/office/drawing/2014/chart" uri="{C3380CC4-5D6E-409C-BE32-E72D297353CC}">
              <c16:uniqueId val="{0000000B-AA6E-4CB5-8B46-70D57AC6A0EA}"/>
            </c:ext>
          </c:extLst>
        </c:ser>
        <c:ser>
          <c:idx val="12"/>
          <c:order val="12"/>
          <c:tx>
            <c:strRef>
              <c:f>inflacija!$D$110</c:f>
              <c:strCache>
                <c:ptCount val="1"/>
                <c:pt idx="0">
                  <c:v>Miscellaneous goods and services</c:v>
                </c:pt>
              </c:strCache>
            </c:strRef>
          </c:tx>
          <c:spPr>
            <a:ln w="28575" cmpd="sng">
              <a:solidFill>
                <a:schemeClr val="accent1">
                  <a:lumOff val="6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inflacija!$E$110:$FG$110</c:f>
              <c:numCache>
                <c:formatCode>#,##0.0</c:formatCode>
                <c:ptCount val="159"/>
                <c:pt idx="0">
                  <c:v>2.7</c:v>
                </c:pt>
                <c:pt idx="1">
                  <c:v>2.7</c:v>
                </c:pt>
                <c:pt idx="2">
                  <c:v>2.7</c:v>
                </c:pt>
                <c:pt idx="3">
                  <c:v>2.8</c:v>
                </c:pt>
                <c:pt idx="4">
                  <c:v>3.1</c:v>
                </c:pt>
                <c:pt idx="5">
                  <c:v>3</c:v>
                </c:pt>
                <c:pt idx="6">
                  <c:v>3</c:v>
                </c:pt>
                <c:pt idx="7">
                  <c:v>3.2</c:v>
                </c:pt>
                <c:pt idx="8">
                  <c:v>3.1</c:v>
                </c:pt>
                <c:pt idx="9">
                  <c:v>3.6</c:v>
                </c:pt>
                <c:pt idx="10">
                  <c:v>3.9</c:v>
                </c:pt>
                <c:pt idx="11">
                  <c:v>4.0999999999999996</c:v>
                </c:pt>
                <c:pt idx="12">
                  <c:v>3.6</c:v>
                </c:pt>
                <c:pt idx="13">
                  <c:v>3.8</c:v>
                </c:pt>
                <c:pt idx="14">
                  <c:v>3.9</c:v>
                </c:pt>
                <c:pt idx="15">
                  <c:v>4.3</c:v>
                </c:pt>
                <c:pt idx="16">
                  <c:v>4</c:v>
                </c:pt>
                <c:pt idx="17">
                  <c:v>4.0999999999999996</c:v>
                </c:pt>
                <c:pt idx="18">
                  <c:v>4.2</c:v>
                </c:pt>
                <c:pt idx="19">
                  <c:v>4.2</c:v>
                </c:pt>
                <c:pt idx="20">
                  <c:v>4.2</c:v>
                </c:pt>
                <c:pt idx="21">
                  <c:v>4.2</c:v>
                </c:pt>
                <c:pt idx="22">
                  <c:v>4.4000000000000004</c:v>
                </c:pt>
                <c:pt idx="23">
                  <c:v>4.4000000000000004</c:v>
                </c:pt>
                <c:pt idx="24">
                  <c:v>4.3</c:v>
                </c:pt>
                <c:pt idx="25">
                  <c:v>4.2</c:v>
                </c:pt>
                <c:pt idx="26">
                  <c:v>4.0999999999999996</c:v>
                </c:pt>
                <c:pt idx="27">
                  <c:v>3.8</c:v>
                </c:pt>
                <c:pt idx="28">
                  <c:v>3.9</c:v>
                </c:pt>
                <c:pt idx="29">
                  <c:v>4</c:v>
                </c:pt>
                <c:pt idx="30">
                  <c:v>4</c:v>
                </c:pt>
                <c:pt idx="31">
                  <c:v>3.8</c:v>
                </c:pt>
                <c:pt idx="32">
                  <c:v>3.4</c:v>
                </c:pt>
                <c:pt idx="33">
                  <c:v>3.2</c:v>
                </c:pt>
                <c:pt idx="34">
                  <c:v>2.8</c:v>
                </c:pt>
                <c:pt idx="35">
                  <c:v>2.6</c:v>
                </c:pt>
                <c:pt idx="36">
                  <c:v>2.7</c:v>
                </c:pt>
                <c:pt idx="37">
                  <c:v>2.2999999999999998</c:v>
                </c:pt>
                <c:pt idx="38">
                  <c:v>2.2999999999999998</c:v>
                </c:pt>
                <c:pt idx="39">
                  <c:v>1.9</c:v>
                </c:pt>
                <c:pt idx="40">
                  <c:v>1.8</c:v>
                </c:pt>
                <c:pt idx="41">
                  <c:v>1.2</c:v>
                </c:pt>
                <c:pt idx="42">
                  <c:v>1.1000000000000001</c:v>
                </c:pt>
                <c:pt idx="43">
                  <c:v>1.1000000000000001</c:v>
                </c:pt>
                <c:pt idx="44">
                  <c:v>1.3</c:v>
                </c:pt>
                <c:pt idx="45">
                  <c:v>1.5</c:v>
                </c:pt>
                <c:pt idx="46">
                  <c:v>1.3</c:v>
                </c:pt>
                <c:pt idx="47">
                  <c:v>1.2</c:v>
                </c:pt>
                <c:pt idx="48">
                  <c:v>1</c:v>
                </c:pt>
                <c:pt idx="49">
                  <c:v>1.2</c:v>
                </c:pt>
                <c:pt idx="50">
                  <c:v>1.3</c:v>
                </c:pt>
                <c:pt idx="51">
                  <c:v>1.4</c:v>
                </c:pt>
                <c:pt idx="52">
                  <c:v>1.4</c:v>
                </c:pt>
                <c:pt idx="53">
                  <c:v>1.8</c:v>
                </c:pt>
                <c:pt idx="54">
                  <c:v>1.8</c:v>
                </c:pt>
                <c:pt idx="55">
                  <c:v>1.8</c:v>
                </c:pt>
                <c:pt idx="56">
                  <c:v>1.9</c:v>
                </c:pt>
                <c:pt idx="57">
                  <c:v>1.7</c:v>
                </c:pt>
                <c:pt idx="58">
                  <c:v>1.7</c:v>
                </c:pt>
                <c:pt idx="59">
                  <c:v>2</c:v>
                </c:pt>
                <c:pt idx="60">
                  <c:v>1.7</c:v>
                </c:pt>
                <c:pt idx="61">
                  <c:v>1.6</c:v>
                </c:pt>
                <c:pt idx="62">
                  <c:v>1.8</c:v>
                </c:pt>
                <c:pt idx="63">
                  <c:v>1.9</c:v>
                </c:pt>
                <c:pt idx="64">
                  <c:v>2.4</c:v>
                </c:pt>
                <c:pt idx="65">
                  <c:v>2.4</c:v>
                </c:pt>
                <c:pt idx="66">
                  <c:v>2.4</c:v>
                </c:pt>
                <c:pt idx="67">
                  <c:v>2.2999999999999998</c:v>
                </c:pt>
                <c:pt idx="68">
                  <c:v>1.9</c:v>
                </c:pt>
                <c:pt idx="69">
                  <c:v>2.2000000000000002</c:v>
                </c:pt>
                <c:pt idx="70">
                  <c:v>2.2000000000000002</c:v>
                </c:pt>
                <c:pt idx="71">
                  <c:v>2.1</c:v>
                </c:pt>
                <c:pt idx="72">
                  <c:v>2.5</c:v>
                </c:pt>
                <c:pt idx="73">
                  <c:v>2.2999999999999998</c:v>
                </c:pt>
                <c:pt idx="74">
                  <c:v>2</c:v>
                </c:pt>
                <c:pt idx="75">
                  <c:v>2</c:v>
                </c:pt>
                <c:pt idx="76">
                  <c:v>1.3</c:v>
                </c:pt>
                <c:pt idx="77">
                  <c:v>1.1000000000000001</c:v>
                </c:pt>
                <c:pt idx="78">
                  <c:v>1.2</c:v>
                </c:pt>
                <c:pt idx="79">
                  <c:v>1</c:v>
                </c:pt>
                <c:pt idx="80">
                  <c:v>1.4</c:v>
                </c:pt>
                <c:pt idx="81">
                  <c:v>1.3</c:v>
                </c:pt>
                <c:pt idx="82">
                  <c:v>1.3</c:v>
                </c:pt>
                <c:pt idx="83">
                  <c:v>1</c:v>
                </c:pt>
                <c:pt idx="84">
                  <c:v>0.7</c:v>
                </c:pt>
                <c:pt idx="85">
                  <c:v>0.5</c:v>
                </c:pt>
                <c:pt idx="86">
                  <c:v>0.6</c:v>
                </c:pt>
                <c:pt idx="87">
                  <c:v>0.2</c:v>
                </c:pt>
                <c:pt idx="88">
                  <c:v>-0.1</c:v>
                </c:pt>
                <c:pt idx="89">
                  <c:v>0</c:v>
                </c:pt>
                <c:pt idx="90">
                  <c:v>-0.1</c:v>
                </c:pt>
                <c:pt idx="91">
                  <c:v>-0.2</c:v>
                </c:pt>
                <c:pt idx="92">
                  <c:v>-0.4</c:v>
                </c:pt>
                <c:pt idx="93">
                  <c:v>-1.1000000000000001</c:v>
                </c:pt>
                <c:pt idx="94">
                  <c:v>-1</c:v>
                </c:pt>
                <c:pt idx="95">
                  <c:v>-0.8</c:v>
                </c:pt>
                <c:pt idx="96">
                  <c:v>-0.5</c:v>
                </c:pt>
                <c:pt idx="97">
                  <c:v>-0.3</c:v>
                </c:pt>
                <c:pt idx="98">
                  <c:v>-0.6</c:v>
                </c:pt>
                <c:pt idx="99">
                  <c:v>-0.2</c:v>
                </c:pt>
                <c:pt idx="100">
                  <c:v>-0.1</c:v>
                </c:pt>
                <c:pt idx="101">
                  <c:v>0.3</c:v>
                </c:pt>
                <c:pt idx="102">
                  <c:v>0.2</c:v>
                </c:pt>
                <c:pt idx="103">
                  <c:v>0.6</c:v>
                </c:pt>
                <c:pt idx="104">
                  <c:v>0.3</c:v>
                </c:pt>
                <c:pt idx="105">
                  <c:v>0.5</c:v>
                </c:pt>
                <c:pt idx="106">
                  <c:v>0.3</c:v>
                </c:pt>
                <c:pt idx="107">
                  <c:v>0.2</c:v>
                </c:pt>
                <c:pt idx="108">
                  <c:v>0.2</c:v>
                </c:pt>
                <c:pt idx="109">
                  <c:v>0.2</c:v>
                </c:pt>
                <c:pt idx="110">
                  <c:v>0.3</c:v>
                </c:pt>
                <c:pt idx="111">
                  <c:v>0.4</c:v>
                </c:pt>
                <c:pt idx="112">
                  <c:v>0.6</c:v>
                </c:pt>
                <c:pt idx="113">
                  <c:v>0.5</c:v>
                </c:pt>
                <c:pt idx="114">
                  <c:v>0.6</c:v>
                </c:pt>
                <c:pt idx="115">
                  <c:v>0.3</c:v>
                </c:pt>
                <c:pt idx="116">
                  <c:v>0.7</c:v>
                </c:pt>
                <c:pt idx="117">
                  <c:v>0.7</c:v>
                </c:pt>
                <c:pt idx="118">
                  <c:v>0.8</c:v>
                </c:pt>
                <c:pt idx="119">
                  <c:v>0.9</c:v>
                </c:pt>
                <c:pt idx="120">
                  <c:v>0.9</c:v>
                </c:pt>
                <c:pt idx="121">
                  <c:v>0.8</c:v>
                </c:pt>
                <c:pt idx="122">
                  <c:v>0.9</c:v>
                </c:pt>
                <c:pt idx="123">
                  <c:v>0.8</c:v>
                </c:pt>
                <c:pt idx="124">
                  <c:v>0.5</c:v>
                </c:pt>
                <c:pt idx="125">
                  <c:v>0.2</c:v>
                </c:pt>
                <c:pt idx="126">
                  <c:v>0</c:v>
                </c:pt>
                <c:pt idx="127">
                  <c:v>0.4</c:v>
                </c:pt>
                <c:pt idx="128">
                  <c:v>0.3</c:v>
                </c:pt>
                <c:pt idx="129">
                  <c:v>0.8</c:v>
                </c:pt>
                <c:pt idx="130">
                  <c:v>0.6</c:v>
                </c:pt>
                <c:pt idx="131">
                  <c:v>0.5</c:v>
                </c:pt>
                <c:pt idx="132">
                  <c:v>0.7</c:v>
                </c:pt>
                <c:pt idx="133">
                  <c:v>1</c:v>
                </c:pt>
                <c:pt idx="134">
                  <c:v>0.8</c:v>
                </c:pt>
                <c:pt idx="135">
                  <c:v>0.7</c:v>
                </c:pt>
                <c:pt idx="136">
                  <c:v>0.9</c:v>
                </c:pt>
                <c:pt idx="137">
                  <c:v>1.1000000000000001</c:v>
                </c:pt>
                <c:pt idx="138">
                  <c:v>1.4</c:v>
                </c:pt>
                <c:pt idx="139">
                  <c:v>1.6</c:v>
                </c:pt>
                <c:pt idx="140">
                  <c:v>1.4</c:v>
                </c:pt>
                <c:pt idx="141">
                  <c:v>0.1</c:v>
                </c:pt>
                <c:pt idx="142">
                  <c:v>0.3</c:v>
                </c:pt>
                <c:pt idx="143">
                  <c:v>0.2</c:v>
                </c:pt>
                <c:pt idx="144">
                  <c:v>0.1</c:v>
                </c:pt>
                <c:pt idx="145">
                  <c:v>0</c:v>
                </c:pt>
                <c:pt idx="146">
                  <c:v>0.2</c:v>
                </c:pt>
                <c:pt idx="147">
                  <c:v>0.2</c:v>
                </c:pt>
                <c:pt idx="148">
                  <c:v>0.3</c:v>
                </c:pt>
                <c:pt idx="149">
                  <c:v>0.1</c:v>
                </c:pt>
                <c:pt idx="150">
                  <c:v>0</c:v>
                </c:pt>
                <c:pt idx="151">
                  <c:v>-0.3</c:v>
                </c:pt>
                <c:pt idx="152">
                  <c:v>0.5</c:v>
                </c:pt>
                <c:pt idx="153">
                  <c:v>1.8</c:v>
                </c:pt>
                <c:pt idx="154">
                  <c:v>1.4</c:v>
                </c:pt>
                <c:pt idx="155">
                  <c:v>1.6</c:v>
                </c:pt>
                <c:pt idx="156">
                  <c:v>1.9</c:v>
                </c:pt>
                <c:pt idx="157">
                  <c:v>2.2000000000000002</c:v>
                </c:pt>
                <c:pt idx="158">
                  <c:v>1.4</c:v>
                </c:pt>
              </c:numCache>
            </c:numRef>
          </c:val>
          <c:smooth val="0"/>
          <c:extLst>
            <c:ext xmlns:c16="http://schemas.microsoft.com/office/drawing/2014/chart" uri="{C3380CC4-5D6E-409C-BE32-E72D297353CC}">
              <c16:uniqueId val="{0000000C-AA6E-4CB5-8B46-70D57AC6A0EA}"/>
            </c:ext>
          </c:extLst>
        </c:ser>
        <c:dLbls>
          <c:showLegendKey val="0"/>
          <c:showVal val="0"/>
          <c:showCatName val="0"/>
          <c:showSerName val="0"/>
          <c:showPercent val="0"/>
          <c:showBubbleSize val="0"/>
        </c:dLbls>
        <c:smooth val="0"/>
        <c:axId val="810398622"/>
        <c:axId val="413073774"/>
      </c:lineChart>
      <c:dateAx>
        <c:axId val="810398622"/>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413073774"/>
        <c:crosses val="autoZero"/>
        <c:auto val="1"/>
        <c:lblOffset val="100"/>
        <c:baseTimeUnit val="months"/>
      </c:dateAx>
      <c:valAx>
        <c:axId val="4130737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810398622"/>
        <c:crosses val="autoZero"/>
        <c:crossBetween val="between"/>
      </c:valAx>
    </c:plotArea>
    <c:legend>
      <c:legendPos val="t"/>
      <c:layout>
        <c:manualLayout>
          <c:xMode val="edge"/>
          <c:yMode val="edge"/>
          <c:x val="1.5023951481373452E-2"/>
          <c:y val="2.0080321285140562E-2"/>
        </c:manualLayou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strRef>
              <c:f>inflacija!$F$2</c:f>
              <c:strCache>
                <c:ptCount val="1"/>
                <c:pt idx="0">
                  <c:v>unemp_s1_gap</c:v>
                </c:pt>
              </c:strCache>
            </c:strRef>
          </c:tx>
          <c:spPr>
            <a:solidFill>
              <a:srgbClr val="A5A5A5"/>
            </a:solidFill>
          </c:spPr>
          <c:invertIfNegative val="1"/>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inflacija!$F$3:$F$82</c:f>
              <c:numCache>
                <c:formatCode>_-* #,##0.0\ _k_n_-;\-* #,##0.0\ _k_n_-;_-* "-"??\ _k_n_-;_-@</c:formatCode>
                <c:ptCount val="80"/>
                <c:pt idx="0">
                  <c:v>0.88571488722695202</c:v>
                </c:pt>
                <c:pt idx="1">
                  <c:v>0.99951859965371004</c:v>
                </c:pt>
                <c:pt idx="2">
                  <c:v>1.4542121268058401</c:v>
                </c:pt>
                <c:pt idx="3">
                  <c:v>1.9284674439827201</c:v>
                </c:pt>
                <c:pt idx="4">
                  <c:v>2.55823368152936</c:v>
                </c:pt>
                <c:pt idx="5">
                  <c:v>2.4964975466587802</c:v>
                </c:pt>
                <c:pt idx="6">
                  <c:v>2.0391786412810902</c:v>
                </c:pt>
                <c:pt idx="7">
                  <c:v>1.1636790873073399</c:v>
                </c:pt>
                <c:pt idx="8">
                  <c:v>0.197972373646425</c:v>
                </c:pt>
                <c:pt idx="9">
                  <c:v>-0.228106969522098</c:v>
                </c:pt>
                <c:pt idx="10">
                  <c:v>-0.77812260598203797</c:v>
                </c:pt>
                <c:pt idx="11">
                  <c:v>-0.84486904598072599</c:v>
                </c:pt>
                <c:pt idx="12">
                  <c:v>-0.87911209039738603</c:v>
                </c:pt>
                <c:pt idx="13">
                  <c:v>-0.82930288717627698</c:v>
                </c:pt>
                <c:pt idx="14">
                  <c:v>-0.60720808090994105</c:v>
                </c:pt>
                <c:pt idx="15">
                  <c:v>-0.42080919310221598</c:v>
                </c:pt>
                <c:pt idx="16">
                  <c:v>-0.158888996306251</c:v>
                </c:pt>
                <c:pt idx="17">
                  <c:v>-0.19791934497426</c:v>
                </c:pt>
                <c:pt idx="18">
                  <c:v>-0.42305912228714698</c:v>
                </c:pt>
                <c:pt idx="19">
                  <c:v>-0.58781104123641104</c:v>
                </c:pt>
                <c:pt idx="20">
                  <c:v>-0.96441390591542198</c:v>
                </c:pt>
                <c:pt idx="21">
                  <c:v>-1.26392680235288</c:v>
                </c:pt>
                <c:pt idx="22">
                  <c:v>-1.19389915514078</c:v>
                </c:pt>
                <c:pt idx="23">
                  <c:v>-1.3507943188358</c:v>
                </c:pt>
                <c:pt idx="24">
                  <c:v>-1.9866257803387</c:v>
                </c:pt>
                <c:pt idx="25">
                  <c:v>-2.4947660084610201</c:v>
                </c:pt>
                <c:pt idx="26">
                  <c:v>-2.8120545478340899</c:v>
                </c:pt>
                <c:pt idx="27">
                  <c:v>-3.2887756136833199</c:v>
                </c:pt>
                <c:pt idx="28">
                  <c:v>-3.8568439568069999</c:v>
                </c:pt>
                <c:pt idx="29">
                  <c:v>-3.8803790126191702</c:v>
                </c:pt>
                <c:pt idx="30">
                  <c:v>-3.93360492860235</c:v>
                </c:pt>
                <c:pt idx="31">
                  <c:v>-3.9920085835817098</c:v>
                </c:pt>
                <c:pt idx="32">
                  <c:v>-3.0092986537059101</c:v>
                </c:pt>
                <c:pt idx="33">
                  <c:v>-2.0709503294624101</c:v>
                </c:pt>
                <c:pt idx="34">
                  <c:v>-1.2627007338638101</c:v>
                </c:pt>
                <c:pt idx="35">
                  <c:v>-0.69767034249272597</c:v>
                </c:pt>
                <c:pt idx="36">
                  <c:v>8.8295169154431905E-2</c:v>
                </c:pt>
                <c:pt idx="37">
                  <c:v>0.55776214348708897</c:v>
                </c:pt>
                <c:pt idx="38">
                  <c:v>0.92596664290096997</c:v>
                </c:pt>
                <c:pt idx="39">
                  <c:v>1.15633242387073</c:v>
                </c:pt>
                <c:pt idx="40">
                  <c:v>0.91396571944666205</c:v>
                </c:pt>
                <c:pt idx="41">
                  <c:v>1.0421656241741499</c:v>
                </c:pt>
                <c:pt idx="42">
                  <c:v>1.0010708839029301</c:v>
                </c:pt>
                <c:pt idx="43">
                  <c:v>1.05763167810818</c:v>
                </c:pt>
                <c:pt idx="44">
                  <c:v>1.5290072061034501</c:v>
                </c:pt>
                <c:pt idx="45">
                  <c:v>1.80234070472</c:v>
                </c:pt>
                <c:pt idx="46">
                  <c:v>2.8061316720477301</c:v>
                </c:pt>
                <c:pt idx="47">
                  <c:v>3.5293614309867798</c:v>
                </c:pt>
                <c:pt idx="48">
                  <c:v>3.5764667724815302</c:v>
                </c:pt>
                <c:pt idx="49">
                  <c:v>3.7581506432262501</c:v>
                </c:pt>
                <c:pt idx="50">
                  <c:v>4.1185832354644001</c:v>
                </c:pt>
                <c:pt idx="51">
                  <c:v>4.4713031781670702</c:v>
                </c:pt>
                <c:pt idx="52">
                  <c:v>4.7490094834812604</c:v>
                </c:pt>
                <c:pt idx="53">
                  <c:v>3.9326786941559302</c:v>
                </c:pt>
                <c:pt idx="54">
                  <c:v>3.2598178937229201</c:v>
                </c:pt>
                <c:pt idx="55">
                  <c:v>2.9305365612408298</c:v>
                </c:pt>
                <c:pt idx="56">
                  <c:v>2.3539206494237899</c:v>
                </c:pt>
                <c:pt idx="57">
                  <c:v>1.98291268812146</c:v>
                </c:pt>
                <c:pt idx="58">
                  <c:v>1.7780585622610701</c:v>
                </c:pt>
                <c:pt idx="59">
                  <c:v>1.5206834000861</c:v>
                </c:pt>
                <c:pt idx="60">
                  <c:v>0.67756886737604805</c:v>
                </c:pt>
                <c:pt idx="61">
                  <c:v>0.23088177814524899</c:v>
                </c:pt>
                <c:pt idx="62">
                  <c:v>-0.33811582911239202</c:v>
                </c:pt>
                <c:pt idx="63">
                  <c:v>-0.678939983785672</c:v>
                </c:pt>
                <c:pt idx="64">
                  <c:v>-1.1869515852733701</c:v>
                </c:pt>
                <c:pt idx="65">
                  <c:v>-1.81538062083096</c:v>
                </c:pt>
                <c:pt idx="66">
                  <c:v>-2.0091566401390701</c:v>
                </c:pt>
                <c:pt idx="67">
                  <c:v>-2.5427254590823201</c:v>
                </c:pt>
                <c:pt idx="68">
                  <c:v>-2.9201148046569498</c:v>
                </c:pt>
                <c:pt idx="69">
                  <c:v>-2.8585456973767598</c:v>
                </c:pt>
                <c:pt idx="70">
                  <c:v>-3.4152319024244702</c:v>
                </c:pt>
                <c:pt idx="71">
                  <c:v>-3.7966706331076701</c:v>
                </c:pt>
                <c:pt idx="72">
                  <c:v>-3.8057337113737102</c:v>
                </c:pt>
                <c:pt idx="73">
                  <c:v>-3.50099503689755</c:v>
                </c:pt>
                <c:pt idx="74">
                  <c:v>-3.61194035408657</c:v>
                </c:pt>
                <c:pt idx="75">
                  <c:v>-3.8232365006773898</c:v>
                </c:pt>
                <c:pt idx="76">
                  <c:v>-2.4478506602775001</c:v>
                </c:pt>
                <c:pt idx="77">
                  <c:v>2.0779321032673201</c:v>
                </c:pt>
                <c:pt idx="78">
                  <c:v>5.1905843763379904</c:v>
                </c:pt>
                <c:pt idx="79">
                  <c:v>6.0229168967197202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5F38-457C-B001-E4D548B656C5}"/>
            </c:ext>
          </c:extLst>
        </c:ser>
        <c:dLbls>
          <c:showLegendKey val="0"/>
          <c:showVal val="0"/>
          <c:showCatName val="0"/>
          <c:showSerName val="0"/>
          <c:showPercent val="0"/>
          <c:showBubbleSize val="0"/>
        </c:dLbls>
        <c:gapWidth val="150"/>
        <c:axId val="110254893"/>
        <c:axId val="34639704"/>
      </c:barChart>
      <c:lineChart>
        <c:grouping val="standard"/>
        <c:varyColors val="1"/>
        <c:ser>
          <c:idx val="1"/>
          <c:order val="1"/>
          <c:tx>
            <c:strRef>
              <c:f>inflacija!$E$2</c:f>
              <c:strCache>
                <c:ptCount val="1"/>
                <c:pt idx="0">
                  <c:v>unemp_s1</c:v>
                </c:pt>
              </c:strCache>
            </c:strRef>
          </c:tx>
          <c:spPr>
            <a:ln w="28575" cmpd="sng">
              <a:solidFill>
                <a:schemeClr val="accent2"/>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inflacija!$E$3:$E$82</c:f>
              <c:numCache>
                <c:formatCode>0.0</c:formatCode>
                <c:ptCount val="80"/>
                <c:pt idx="0">
                  <c:v>21.9192374908319</c:v>
                </c:pt>
                <c:pt idx="1">
                  <c:v>21.853602628401099</c:v>
                </c:pt>
                <c:pt idx="2">
                  <c:v>22.1288930092913</c:v>
                </c:pt>
                <c:pt idx="3">
                  <c:v>22.423856018141102</c:v>
                </c:pt>
                <c:pt idx="4">
                  <c:v>22.8745743631201</c:v>
                </c:pt>
                <c:pt idx="5">
                  <c:v>22.634245467963801</c:v>
                </c:pt>
                <c:pt idx="6">
                  <c:v>21.999101980451801</c:v>
                </c:pt>
                <c:pt idx="7">
                  <c:v>20.946958928266501</c:v>
                </c:pt>
                <c:pt idx="8">
                  <c:v>19.806284273233899</c:v>
                </c:pt>
                <c:pt idx="9">
                  <c:v>19.207453565613999</c:v>
                </c:pt>
                <c:pt idx="10">
                  <c:v>18.487452080598601</c:v>
                </c:pt>
                <c:pt idx="11">
                  <c:v>18.254025122637099</c:v>
                </c:pt>
                <c:pt idx="12">
                  <c:v>18.056915580643</c:v>
                </c:pt>
                <c:pt idx="13">
                  <c:v>17.948147201702501</c:v>
                </c:pt>
                <c:pt idx="14">
                  <c:v>18.016393071770199</c:v>
                </c:pt>
                <c:pt idx="15">
                  <c:v>18.0540782277738</c:v>
                </c:pt>
                <c:pt idx="16">
                  <c:v>18.172802167268401</c:v>
                </c:pt>
                <c:pt idx="17">
                  <c:v>17.9964584735425</c:v>
                </c:pt>
                <c:pt idx="18">
                  <c:v>17.640247345595998</c:v>
                </c:pt>
                <c:pt idx="19">
                  <c:v>17.351017235844001</c:v>
                </c:pt>
                <c:pt idx="20">
                  <c:v>16.8568635832358</c:v>
                </c:pt>
                <c:pt idx="21">
                  <c:v>16.4470380323427</c:v>
                </c:pt>
                <c:pt idx="22">
                  <c:v>16.4142633126169</c:v>
                </c:pt>
                <c:pt idx="23">
                  <c:v>16.1622976664741</c:v>
                </c:pt>
                <c:pt idx="24">
                  <c:v>15.4393014480191</c:v>
                </c:pt>
                <c:pt idx="25">
                  <c:v>14.852021997673701</c:v>
                </c:pt>
                <c:pt idx="26">
                  <c:v>14.463660115008</c:v>
                </c:pt>
                <c:pt idx="27">
                  <c:v>13.9238721383584</c:v>
                </c:pt>
                <c:pt idx="28">
                  <c:v>13.300571388306601</c:v>
                </c:pt>
                <c:pt idx="29">
                  <c:v>13.2293349497932</c:v>
                </c:pt>
                <c:pt idx="30">
                  <c:v>13.1354809219327</c:v>
                </c:pt>
                <c:pt idx="31">
                  <c:v>13.0429094573364</c:v>
                </c:pt>
                <c:pt idx="32">
                  <c:v>13.997141567094801</c:v>
                </c:pt>
                <c:pt idx="33">
                  <c:v>14.9117720676161</c:v>
                </c:pt>
                <c:pt idx="34">
                  <c:v>15.7000134708374</c:v>
                </c:pt>
                <c:pt idx="35">
                  <c:v>16.2476120981128</c:v>
                </c:pt>
                <c:pt idx="36">
                  <c:v>17.017538562852799</c:v>
                </c:pt>
                <c:pt idx="37">
                  <c:v>17.471147589560498</c:v>
                </c:pt>
                <c:pt idx="38">
                  <c:v>17.822467154531701</c:v>
                </c:pt>
                <c:pt idx="39">
                  <c:v>18.033735238627202</c:v>
                </c:pt>
                <c:pt idx="40">
                  <c:v>17.768909337948799</c:v>
                </c:pt>
                <c:pt idx="41">
                  <c:v>17.870186063390602</c:v>
                </c:pt>
                <c:pt idx="42">
                  <c:v>17.796638235779799</c:v>
                </c:pt>
                <c:pt idx="43">
                  <c:v>17.814191796193999</c:v>
                </c:pt>
                <c:pt idx="44">
                  <c:v>18.2390217483842</c:v>
                </c:pt>
                <c:pt idx="45">
                  <c:v>18.457329438886799</c:v>
                </c:pt>
                <c:pt idx="46">
                  <c:v>19.396733635784798</c:v>
                </c:pt>
                <c:pt idx="47">
                  <c:v>20.0454070255993</c:v>
                </c:pt>
                <c:pt idx="48">
                  <c:v>20.0070900081632</c:v>
                </c:pt>
                <c:pt idx="49">
                  <c:v>20.091930313516102</c:v>
                </c:pt>
                <c:pt idx="50">
                  <c:v>20.343685975917701</c:v>
                </c:pt>
                <c:pt idx="51">
                  <c:v>20.5756337923813</c:v>
                </c:pt>
                <c:pt idx="52">
                  <c:v>20.7203756864252</c:v>
                </c:pt>
                <c:pt idx="53">
                  <c:v>19.758969964296899</c:v>
                </c:pt>
                <c:pt idx="54">
                  <c:v>18.929195433406399</c:v>
                </c:pt>
                <c:pt idx="55">
                  <c:v>18.431590603838</c:v>
                </c:pt>
                <c:pt idx="56">
                  <c:v>17.6758008520471</c:v>
                </c:pt>
                <c:pt idx="57">
                  <c:v>17.115445353087399</c:v>
                </c:pt>
                <c:pt idx="58">
                  <c:v>16.711840793915901</c:v>
                </c:pt>
                <c:pt idx="59">
                  <c:v>16.247162421313501</c:v>
                </c:pt>
                <c:pt idx="60">
                  <c:v>15.1891131419394</c:v>
                </c:pt>
                <c:pt idx="61">
                  <c:v>14.520841838024101</c:v>
                </c:pt>
                <c:pt idx="62">
                  <c:v>13.724619719032001</c:v>
                </c:pt>
                <c:pt idx="63">
                  <c:v>13.151949161815899</c:v>
                </c:pt>
                <c:pt idx="64">
                  <c:v>12.4084741485858</c:v>
                </c:pt>
                <c:pt idx="65">
                  <c:v>11.541942416095299</c:v>
                </c:pt>
                <c:pt idx="66">
                  <c:v>11.108354660609599</c:v>
                </c:pt>
                <c:pt idx="67">
                  <c:v>10.334122696964799</c:v>
                </c:pt>
                <c:pt idx="68">
                  <c:v>9.7159960626203006</c:v>
                </c:pt>
                <c:pt idx="69">
                  <c:v>9.5374292924991302</c:v>
                </c:pt>
                <c:pt idx="70">
                  <c:v>8.7417673722633804</c:v>
                </c:pt>
                <c:pt idx="71">
                  <c:v>8.1229574976223802</c:v>
                </c:pt>
                <c:pt idx="72">
                  <c:v>7.8784356463696303</c:v>
                </c:pt>
                <c:pt idx="73">
                  <c:v>7.9497838517455701</c:v>
                </c:pt>
                <c:pt idx="74">
                  <c:v>7.6075200729098897</c:v>
                </c:pt>
                <c:pt idx="75">
                  <c:v>7.16684113589156</c:v>
                </c:pt>
                <c:pt idx="76" formatCode="_-* #,##0.0\ _k_n_-;\-* #,##0.0\ _k_n_-;_-* &quot;-&quot;??\ _k_n_-;_-@">
                  <c:v>8.6493411751229132</c:v>
                </c:pt>
                <c:pt idx="77" formatCode="_-* #,##0.0\ _k_n_-;\-* #,##0.0\ _k_n_-;_-* &quot;-&quot;??\ _k_n_-;_-@">
                  <c:v>10.31508493011683</c:v>
                </c:pt>
                <c:pt idx="78" formatCode="_-* #,##0.0\ _k_n_-;\-* #,##0.0\ _k_n_-;_-* &quot;-&quot;??\ _k_n_-;_-@">
                  <c:v>14.089210063870754</c:v>
                </c:pt>
                <c:pt idx="79" formatCode="_-* #,##0.0\ _k_n_-;\-* #,##0.0\ _k_n_-;_-* &quot;-&quot;??\ _k_n_-;_-@">
                  <c:v>14.614332901839912</c:v>
                </c:pt>
              </c:numCache>
            </c:numRef>
          </c:val>
          <c:smooth val="0"/>
          <c:extLst>
            <c:ext xmlns:c16="http://schemas.microsoft.com/office/drawing/2014/chart" uri="{C3380CC4-5D6E-409C-BE32-E72D297353CC}">
              <c16:uniqueId val="{00000001-5F38-457C-B001-E4D548B656C5}"/>
            </c:ext>
          </c:extLst>
        </c:ser>
        <c:ser>
          <c:idx val="2"/>
          <c:order val="2"/>
          <c:tx>
            <c:strRef>
              <c:f>inflacija!$M$2</c:f>
              <c:strCache>
                <c:ptCount val="1"/>
                <c:pt idx="0">
                  <c:v>unemp_trend</c:v>
                </c:pt>
              </c:strCache>
            </c:strRef>
          </c:tx>
          <c:spPr>
            <a:ln w="28575" cmpd="sng">
              <a:solidFill>
                <a:schemeClr val="accent3"/>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inflacija!$M$3:$M$82</c:f>
              <c:numCache>
                <c:formatCode>_-* #,##0.00\ _k_n_-;\-* #,##0.00\ _k_n_-;_-* "-"??\ _k_n_-;_-@</c:formatCode>
                <c:ptCount val="80"/>
                <c:pt idx="0">
                  <c:v>21.033522603604947</c:v>
                </c:pt>
                <c:pt idx="1">
                  <c:v>20.854084028747387</c:v>
                </c:pt>
                <c:pt idx="2">
                  <c:v>20.674680882485461</c:v>
                </c:pt>
                <c:pt idx="3">
                  <c:v>20.495388574158383</c:v>
                </c:pt>
                <c:pt idx="4">
                  <c:v>20.316340681590741</c:v>
                </c:pt>
                <c:pt idx="5">
                  <c:v>20.137747921305021</c:v>
                </c:pt>
                <c:pt idx="6">
                  <c:v>19.959923339170711</c:v>
                </c:pt>
                <c:pt idx="7">
                  <c:v>19.78327984095916</c:v>
                </c:pt>
                <c:pt idx="8">
                  <c:v>19.608311899587473</c:v>
                </c:pt>
                <c:pt idx="9">
                  <c:v>19.435560535136098</c:v>
                </c:pt>
                <c:pt idx="10">
                  <c:v>19.265574686580639</c:v>
                </c:pt>
                <c:pt idx="11">
                  <c:v>19.098894168617825</c:v>
                </c:pt>
                <c:pt idx="12">
                  <c:v>18.936027671040385</c:v>
                </c:pt>
                <c:pt idx="13">
                  <c:v>18.777450088878776</c:v>
                </c:pt>
                <c:pt idx="14">
                  <c:v>18.623601152680141</c:v>
                </c:pt>
                <c:pt idx="15">
                  <c:v>18.474887420876016</c:v>
                </c:pt>
                <c:pt idx="16">
                  <c:v>18.331691163574654</c:v>
                </c:pt>
                <c:pt idx="17">
                  <c:v>18.19437781851676</c:v>
                </c:pt>
                <c:pt idx="18">
                  <c:v>18.063306467883145</c:v>
                </c:pt>
                <c:pt idx="19">
                  <c:v>17.938828277080411</c:v>
                </c:pt>
                <c:pt idx="20">
                  <c:v>17.821277489151221</c:v>
                </c:pt>
                <c:pt idx="21">
                  <c:v>17.710964834695581</c:v>
                </c:pt>
                <c:pt idx="22">
                  <c:v>17.60816246775768</c:v>
                </c:pt>
                <c:pt idx="23">
                  <c:v>17.513091985309899</c:v>
                </c:pt>
                <c:pt idx="24">
                  <c:v>17.4259272283578</c:v>
                </c:pt>
                <c:pt idx="25">
                  <c:v>17.346788006134719</c:v>
                </c:pt>
                <c:pt idx="26">
                  <c:v>17.275714662842091</c:v>
                </c:pt>
                <c:pt idx="27">
                  <c:v>17.212647752041718</c:v>
                </c:pt>
                <c:pt idx="28">
                  <c:v>17.157415345113602</c:v>
                </c:pt>
                <c:pt idx="29">
                  <c:v>17.109713962412371</c:v>
                </c:pt>
                <c:pt idx="30">
                  <c:v>17.06908585053505</c:v>
                </c:pt>
                <c:pt idx="31">
                  <c:v>17.034918040918111</c:v>
                </c:pt>
                <c:pt idx="32">
                  <c:v>17.006440220800712</c:v>
                </c:pt>
                <c:pt idx="33">
                  <c:v>16.982722397078511</c:v>
                </c:pt>
                <c:pt idx="34">
                  <c:v>16.962714204701211</c:v>
                </c:pt>
                <c:pt idx="35">
                  <c:v>16.945282440605524</c:v>
                </c:pt>
                <c:pt idx="36">
                  <c:v>16.929243393698368</c:v>
                </c:pt>
                <c:pt idx="37">
                  <c:v>16.913385446073409</c:v>
                </c:pt>
                <c:pt idx="38">
                  <c:v>16.89650051163073</c:v>
                </c:pt>
                <c:pt idx="39">
                  <c:v>16.877402814756472</c:v>
                </c:pt>
                <c:pt idx="40">
                  <c:v>16.854943618502137</c:v>
                </c:pt>
                <c:pt idx="41">
                  <c:v>16.828020439216452</c:v>
                </c:pt>
                <c:pt idx="42">
                  <c:v>16.795567351876869</c:v>
                </c:pt>
                <c:pt idx="43">
                  <c:v>16.756560118085819</c:v>
                </c:pt>
                <c:pt idx="44">
                  <c:v>16.710014542280749</c:v>
                </c:pt>
                <c:pt idx="45">
                  <c:v>16.6549887341668</c:v>
                </c:pt>
                <c:pt idx="46">
                  <c:v>16.590601963737068</c:v>
                </c:pt>
                <c:pt idx="47">
                  <c:v>16.516045594612521</c:v>
                </c:pt>
                <c:pt idx="48">
                  <c:v>16.430623235681669</c:v>
                </c:pt>
                <c:pt idx="49">
                  <c:v>16.33377967028985</c:v>
                </c:pt>
                <c:pt idx="50">
                  <c:v>16.225102740453302</c:v>
                </c:pt>
                <c:pt idx="51">
                  <c:v>16.104330614214231</c:v>
                </c:pt>
                <c:pt idx="52">
                  <c:v>15.97136620294394</c:v>
                </c:pt>
                <c:pt idx="53">
                  <c:v>15.826291270140969</c:v>
                </c:pt>
                <c:pt idx="54">
                  <c:v>15.669377539683479</c:v>
                </c:pt>
                <c:pt idx="55">
                  <c:v>15.50105404259717</c:v>
                </c:pt>
                <c:pt idx="56">
                  <c:v>15.32188020262331</c:v>
                </c:pt>
                <c:pt idx="57">
                  <c:v>15.13253266496594</c:v>
                </c:pt>
                <c:pt idx="58">
                  <c:v>14.933782231654831</c:v>
                </c:pt>
                <c:pt idx="59">
                  <c:v>14.726479021227401</c:v>
                </c:pt>
                <c:pt idx="60">
                  <c:v>14.511544274563352</c:v>
                </c:pt>
                <c:pt idx="61">
                  <c:v>14.289960059878851</c:v>
                </c:pt>
                <c:pt idx="62">
                  <c:v>14.062735548144392</c:v>
                </c:pt>
                <c:pt idx="63">
                  <c:v>13.830889145601571</c:v>
                </c:pt>
                <c:pt idx="64">
                  <c:v>13.59542573385917</c:v>
                </c:pt>
                <c:pt idx="65">
                  <c:v>13.357323036926259</c:v>
                </c:pt>
                <c:pt idx="66">
                  <c:v>13.117511300748669</c:v>
                </c:pt>
                <c:pt idx="67">
                  <c:v>12.876848156047119</c:v>
                </c:pt>
                <c:pt idx="68">
                  <c:v>12.63611086727725</c:v>
                </c:pt>
                <c:pt idx="69">
                  <c:v>12.39597498987589</c:v>
                </c:pt>
                <c:pt idx="70">
                  <c:v>12.15699927468785</c:v>
                </c:pt>
                <c:pt idx="71">
                  <c:v>11.91962813073005</c:v>
                </c:pt>
                <c:pt idx="72">
                  <c:v>11.68416935774334</c:v>
                </c:pt>
                <c:pt idx="73">
                  <c:v>11.45077888864312</c:v>
                </c:pt>
                <c:pt idx="74">
                  <c:v>11.219460426996459</c:v>
                </c:pt>
                <c:pt idx="75">
                  <c:v>10.99007763656895</c:v>
                </c:pt>
                <c:pt idx="76">
                  <c:v>11.097191835400412</c:v>
                </c:pt>
                <c:pt idx="77">
                  <c:v>8.2371528268495098</c:v>
                </c:pt>
                <c:pt idx="78">
                  <c:v>8.8986256875327641</c:v>
                </c:pt>
                <c:pt idx="79">
                  <c:v>8.5914160051201911</c:v>
                </c:pt>
              </c:numCache>
            </c:numRef>
          </c:val>
          <c:smooth val="0"/>
          <c:extLst>
            <c:ext xmlns:c16="http://schemas.microsoft.com/office/drawing/2014/chart" uri="{C3380CC4-5D6E-409C-BE32-E72D297353CC}">
              <c16:uniqueId val="{00000002-5F38-457C-B001-E4D548B656C5}"/>
            </c:ext>
          </c:extLst>
        </c:ser>
        <c:dLbls>
          <c:showLegendKey val="0"/>
          <c:showVal val="0"/>
          <c:showCatName val="0"/>
          <c:showSerName val="0"/>
          <c:showPercent val="0"/>
          <c:showBubbleSize val="0"/>
        </c:dLbls>
        <c:marker val="1"/>
        <c:smooth val="0"/>
        <c:axId val="110254893"/>
        <c:axId val="34639704"/>
      </c:lineChart>
      <c:dateAx>
        <c:axId val="110254893"/>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34639704"/>
        <c:crosses val="autoZero"/>
        <c:auto val="1"/>
        <c:lblOffset val="100"/>
        <c:baseTimeUnit val="months"/>
      </c:dateAx>
      <c:valAx>
        <c:axId val="346397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_-* #,##0.0\ _k_n_-;\-* #,##0.0\ _k_n_-;_-* &quot;-&quot;??\ _k_n_-;_-@" sourceLinked="1"/>
        <c:majorTickMark val="none"/>
        <c:minorTickMark val="none"/>
        <c:tickLblPos val="nextTo"/>
        <c:spPr>
          <a:ln/>
        </c:spPr>
        <c:txPr>
          <a:bodyPr/>
          <a:lstStyle/>
          <a:p>
            <a:pPr lvl="0">
              <a:defRPr sz="900" b="0" i="0">
                <a:solidFill>
                  <a:srgbClr val="000000"/>
                </a:solidFill>
                <a:latin typeface="+mn-lt"/>
              </a:defRPr>
            </a:pPr>
            <a:endParaRPr lang="sr-Latn-RS"/>
          </a:p>
        </c:txPr>
        <c:crossAx val="110254893"/>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8.5582238582405309E-2"/>
          <c:y val="0.14904740259920232"/>
          <c:w val="0.85606459413370173"/>
          <c:h val="0.70167134142454468"/>
        </c:manualLayout>
      </c:layout>
      <c:lineChart>
        <c:grouping val="standard"/>
        <c:varyColors val="1"/>
        <c:ser>
          <c:idx val="0"/>
          <c:order val="0"/>
          <c:tx>
            <c:strRef>
              <c:f>inflacija!$C$2</c:f>
              <c:strCache>
                <c:ptCount val="1"/>
                <c:pt idx="0">
                  <c:v>infl_core_s1</c:v>
                </c:pt>
              </c:strCache>
            </c:strRef>
          </c:tx>
          <c:spPr>
            <a:ln w="28575" cmpd="sng">
              <a:solidFill>
                <a:schemeClr val="accent1"/>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inflacija!$C$3:$C$82</c:f>
              <c:numCache>
                <c:formatCode>#,##0.0</c:formatCode>
                <c:ptCount val="80"/>
                <c:pt idx="0">
                  <c:v>0.72838370934229502</c:v>
                </c:pt>
                <c:pt idx="1">
                  <c:v>4.2441318401800201</c:v>
                </c:pt>
                <c:pt idx="2">
                  <c:v>0.86364844563415799</c:v>
                </c:pt>
                <c:pt idx="3">
                  <c:v>-0.90744788777179497</c:v>
                </c:pt>
                <c:pt idx="4">
                  <c:v>2.1413878733764098</c:v>
                </c:pt>
                <c:pt idx="5">
                  <c:v>-0.21287231020932201</c:v>
                </c:pt>
                <c:pt idx="6">
                  <c:v>1.1560440015015501</c:v>
                </c:pt>
                <c:pt idx="7">
                  <c:v>1.6039384878187</c:v>
                </c:pt>
                <c:pt idx="8">
                  <c:v>-0.35434186559322201</c:v>
                </c:pt>
                <c:pt idx="9">
                  <c:v>0.60645393470624098</c:v>
                </c:pt>
                <c:pt idx="10">
                  <c:v>0.86986168889451299</c:v>
                </c:pt>
                <c:pt idx="11">
                  <c:v>3.6318661244724599</c:v>
                </c:pt>
                <c:pt idx="12">
                  <c:v>0.77823016159577196</c:v>
                </c:pt>
                <c:pt idx="13">
                  <c:v>2.1508990893951001</c:v>
                </c:pt>
                <c:pt idx="14">
                  <c:v>2.9011246496524001</c:v>
                </c:pt>
                <c:pt idx="15">
                  <c:v>3.4723136610599101</c:v>
                </c:pt>
                <c:pt idx="16">
                  <c:v>4.0887729605344498</c:v>
                </c:pt>
                <c:pt idx="17">
                  <c:v>3.3769211544391702</c:v>
                </c:pt>
                <c:pt idx="18">
                  <c:v>1.20846219001267</c:v>
                </c:pt>
                <c:pt idx="19">
                  <c:v>3.5966412807180599</c:v>
                </c:pt>
                <c:pt idx="20">
                  <c:v>2.2294765174256002</c:v>
                </c:pt>
                <c:pt idx="21">
                  <c:v>3.35320162981145</c:v>
                </c:pt>
                <c:pt idx="22">
                  <c:v>1.73393762142879</c:v>
                </c:pt>
                <c:pt idx="23">
                  <c:v>2.1005677911666099</c:v>
                </c:pt>
                <c:pt idx="24">
                  <c:v>2.8661998652254699</c:v>
                </c:pt>
                <c:pt idx="25">
                  <c:v>2.4745493269333201</c:v>
                </c:pt>
                <c:pt idx="26">
                  <c:v>4.5228754950998002</c:v>
                </c:pt>
                <c:pt idx="27">
                  <c:v>10.941711973563701</c:v>
                </c:pt>
                <c:pt idx="28">
                  <c:v>2.87740954949667</c:v>
                </c:pt>
                <c:pt idx="29">
                  <c:v>7.7727872824811604</c:v>
                </c:pt>
                <c:pt idx="30">
                  <c:v>4.0245801693193304</c:v>
                </c:pt>
                <c:pt idx="31">
                  <c:v>2.5082764575689902</c:v>
                </c:pt>
                <c:pt idx="32">
                  <c:v>2.73549297890021</c:v>
                </c:pt>
                <c:pt idx="33">
                  <c:v>4.2857982553637504</c:v>
                </c:pt>
                <c:pt idx="34">
                  <c:v>-3.3909478407267799</c:v>
                </c:pt>
                <c:pt idx="35">
                  <c:v>-2.23996858436798</c:v>
                </c:pt>
                <c:pt idx="36">
                  <c:v>-1.5074385696499799</c:v>
                </c:pt>
                <c:pt idx="37">
                  <c:v>0.32931487763192502</c:v>
                </c:pt>
                <c:pt idx="38">
                  <c:v>1.09767096746032</c:v>
                </c:pt>
                <c:pt idx="39">
                  <c:v>0.40091975635174698</c:v>
                </c:pt>
                <c:pt idx="40">
                  <c:v>4.94944455970459</c:v>
                </c:pt>
                <c:pt idx="41">
                  <c:v>0.84441733025013599</c:v>
                </c:pt>
                <c:pt idx="42">
                  <c:v>1.63396212262263</c:v>
                </c:pt>
                <c:pt idx="43">
                  <c:v>4.2568298203361099</c:v>
                </c:pt>
                <c:pt idx="44">
                  <c:v>-0.38330001828307297</c:v>
                </c:pt>
                <c:pt idx="45">
                  <c:v>2.6391713680750799</c:v>
                </c:pt>
                <c:pt idx="46">
                  <c:v>1.13036133162678</c:v>
                </c:pt>
                <c:pt idx="47">
                  <c:v>4.5770605880136399</c:v>
                </c:pt>
                <c:pt idx="48">
                  <c:v>0.227323818357239</c:v>
                </c:pt>
                <c:pt idx="49">
                  <c:v>2.4187600488176</c:v>
                </c:pt>
                <c:pt idx="50">
                  <c:v>1.11423435854894</c:v>
                </c:pt>
                <c:pt idx="51">
                  <c:v>-1.7178259569796801</c:v>
                </c:pt>
                <c:pt idx="52">
                  <c:v>-0.64622206202604704</c:v>
                </c:pt>
                <c:pt idx="53">
                  <c:v>-1.83995759015149</c:v>
                </c:pt>
                <c:pt idx="54">
                  <c:v>1.0741991829631401</c:v>
                </c:pt>
                <c:pt idx="55">
                  <c:v>-0.242371499586191</c:v>
                </c:pt>
                <c:pt idx="56">
                  <c:v>1.3837003258801299</c:v>
                </c:pt>
                <c:pt idx="57">
                  <c:v>0.470175605697642</c:v>
                </c:pt>
                <c:pt idx="58">
                  <c:v>-0.93602624439527204</c:v>
                </c:pt>
                <c:pt idx="59">
                  <c:v>-1.13428442209466</c:v>
                </c:pt>
                <c:pt idx="60">
                  <c:v>-0.65494960147908199</c:v>
                </c:pt>
                <c:pt idx="61">
                  <c:v>-0.87043356082551204</c:v>
                </c:pt>
                <c:pt idx="62">
                  <c:v>2.0761470710487702</c:v>
                </c:pt>
                <c:pt idx="63">
                  <c:v>1.36388410127086</c:v>
                </c:pt>
                <c:pt idx="64">
                  <c:v>2.9885375043806</c:v>
                </c:pt>
                <c:pt idx="65">
                  <c:v>0.84940888390549996</c:v>
                </c:pt>
                <c:pt idx="66">
                  <c:v>0.71898778532986096</c:v>
                </c:pt>
                <c:pt idx="67">
                  <c:v>0.90134997433945996</c:v>
                </c:pt>
                <c:pt idx="68">
                  <c:v>0.26755077746316602</c:v>
                </c:pt>
                <c:pt idx="69">
                  <c:v>0.88188245839924095</c:v>
                </c:pt>
                <c:pt idx="70">
                  <c:v>-0.51321883556228998</c:v>
                </c:pt>
                <c:pt idx="71">
                  <c:v>3.2047321618851301</c:v>
                </c:pt>
                <c:pt idx="72">
                  <c:v>-8.4936328903939505E-3</c:v>
                </c:pt>
                <c:pt idx="73">
                  <c:v>1.66580246580772</c:v>
                </c:pt>
                <c:pt idx="74">
                  <c:v>1.8184100968328301</c:v>
                </c:pt>
                <c:pt idx="75">
                  <c:v>1.14433968952889</c:v>
                </c:pt>
                <c:pt idx="76" formatCode="_-* #,##0.0\ _k_n_-;\-* #,##0.0\ _k_n_-;_-* &quot;-&quot;??\ _k_n_-;_-@">
                  <c:v>1.3433892836233385</c:v>
                </c:pt>
                <c:pt idx="77" formatCode="_-* #,##0.0\ _k_n_-;\-* #,##0.0\ _k_n_-;_-* &quot;-&quot;??\ _k_n_-;_-@">
                  <c:v>0.3966732244043929</c:v>
                </c:pt>
                <c:pt idx="78" formatCode="_-* #,##0.0\ _k_n_-;\-* #,##0.0\ _k_n_-;_-* &quot;-&quot;??\ _k_n_-;_-@">
                  <c:v>-0.26620144449791527</c:v>
                </c:pt>
                <c:pt idx="79" formatCode="_-* #,##0.0\ _k_n_-;\-* #,##0.0\ _k_n_-;_-* &quot;-&quot;??\ _k_n_-;_-@">
                  <c:v>-0.47105108787512306</c:v>
                </c:pt>
              </c:numCache>
            </c:numRef>
          </c:val>
          <c:smooth val="0"/>
          <c:extLst>
            <c:ext xmlns:c16="http://schemas.microsoft.com/office/drawing/2014/chart" uri="{C3380CC4-5D6E-409C-BE32-E72D297353CC}">
              <c16:uniqueId val="{00000000-4FB4-4A41-BBC5-33EAE52A2507}"/>
            </c:ext>
          </c:extLst>
        </c:ser>
        <c:ser>
          <c:idx val="1"/>
          <c:order val="1"/>
          <c:tx>
            <c:strRef>
              <c:f>inflacija!$G$2</c:f>
              <c:strCache>
                <c:ptCount val="1"/>
                <c:pt idx="0">
                  <c:v>infl_core_s2</c:v>
                </c:pt>
              </c:strCache>
            </c:strRef>
          </c:tx>
          <c:spPr>
            <a:ln w="28575" cmpd="sng">
              <a:solidFill>
                <a:schemeClr val="accent2"/>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inflacija!$G$3:$G$82</c:f>
              <c:numCache>
                <c:formatCode>#,##0.0</c:formatCode>
                <c:ptCount val="80"/>
                <c:pt idx="0">
                  <c:v>0.72838370934229502</c:v>
                </c:pt>
                <c:pt idx="1">
                  <c:v>4.2441318401800201</c:v>
                </c:pt>
                <c:pt idx="2">
                  <c:v>0.86364844563415799</c:v>
                </c:pt>
                <c:pt idx="3">
                  <c:v>-0.90744788777179497</c:v>
                </c:pt>
                <c:pt idx="4">
                  <c:v>2.1413878733764098</c:v>
                </c:pt>
                <c:pt idx="5">
                  <c:v>-0.21287231020932201</c:v>
                </c:pt>
                <c:pt idx="6">
                  <c:v>1.1560440015015501</c:v>
                </c:pt>
                <c:pt idx="7">
                  <c:v>1.6039384878187</c:v>
                </c:pt>
                <c:pt idx="8">
                  <c:v>-0.35434186559322201</c:v>
                </c:pt>
                <c:pt idx="9">
                  <c:v>0.60645393470624098</c:v>
                </c:pt>
                <c:pt idx="10">
                  <c:v>0.86986168889451299</c:v>
                </c:pt>
                <c:pt idx="11">
                  <c:v>3.6318661244724599</c:v>
                </c:pt>
                <c:pt idx="12">
                  <c:v>0.77823016159577196</c:v>
                </c:pt>
                <c:pt idx="13">
                  <c:v>2.1508990893951001</c:v>
                </c:pt>
                <c:pt idx="14">
                  <c:v>2.9011246496524001</c:v>
                </c:pt>
                <c:pt idx="15">
                  <c:v>3.4723136610599101</c:v>
                </c:pt>
                <c:pt idx="16">
                  <c:v>4.0887729605344498</c:v>
                </c:pt>
                <c:pt idx="17">
                  <c:v>3.3769211544391702</c:v>
                </c:pt>
                <c:pt idx="18">
                  <c:v>1.20846219001267</c:v>
                </c:pt>
                <c:pt idx="19">
                  <c:v>3.5966412807180599</c:v>
                </c:pt>
                <c:pt idx="20">
                  <c:v>2.2294765174256002</c:v>
                </c:pt>
                <c:pt idx="21">
                  <c:v>3.35320162981145</c:v>
                </c:pt>
                <c:pt idx="22">
                  <c:v>1.73393762142879</c:v>
                </c:pt>
                <c:pt idx="23">
                  <c:v>2.1005677911666099</c:v>
                </c:pt>
                <c:pt idx="24">
                  <c:v>2.8661998652254699</c:v>
                </c:pt>
                <c:pt idx="25">
                  <c:v>2.4745493269333201</c:v>
                </c:pt>
                <c:pt idx="26">
                  <c:v>4.5228754950998002</c:v>
                </c:pt>
                <c:pt idx="27">
                  <c:v>10.941711973563701</c:v>
                </c:pt>
                <c:pt idx="28">
                  <c:v>2.87740954949667</c:v>
                </c:pt>
                <c:pt idx="29">
                  <c:v>7.7727872824811604</c:v>
                </c:pt>
                <c:pt idx="30">
                  <c:v>4.0245801693193304</c:v>
                </c:pt>
                <c:pt idx="31">
                  <c:v>2.5082764575689902</c:v>
                </c:pt>
                <c:pt idx="32">
                  <c:v>2.73549297890021</c:v>
                </c:pt>
                <c:pt idx="33">
                  <c:v>4.2857982553637504</c:v>
                </c:pt>
                <c:pt idx="34">
                  <c:v>-3.3909478407267799</c:v>
                </c:pt>
                <c:pt idx="35">
                  <c:v>-2.23996858436798</c:v>
                </c:pt>
                <c:pt idx="36">
                  <c:v>-1.5074385696499799</c:v>
                </c:pt>
                <c:pt idx="37">
                  <c:v>0.32931487763192502</c:v>
                </c:pt>
                <c:pt idx="38">
                  <c:v>1.09767096746032</c:v>
                </c:pt>
                <c:pt idx="39">
                  <c:v>0.40091975635174698</c:v>
                </c:pt>
                <c:pt idx="40">
                  <c:v>4.94944455970459</c:v>
                </c:pt>
                <c:pt idx="41">
                  <c:v>0.84441733025013599</c:v>
                </c:pt>
                <c:pt idx="42">
                  <c:v>1.63396212262263</c:v>
                </c:pt>
                <c:pt idx="43">
                  <c:v>4.2568298203361099</c:v>
                </c:pt>
                <c:pt idx="44">
                  <c:v>-0.38330001828307297</c:v>
                </c:pt>
                <c:pt idx="45">
                  <c:v>2.6391713680750799</c:v>
                </c:pt>
                <c:pt idx="46">
                  <c:v>1.13036133162678</c:v>
                </c:pt>
                <c:pt idx="47">
                  <c:v>4.5770605880136399</c:v>
                </c:pt>
                <c:pt idx="48">
                  <c:v>0.227323818357239</c:v>
                </c:pt>
                <c:pt idx="49">
                  <c:v>2.4187600488176</c:v>
                </c:pt>
                <c:pt idx="50">
                  <c:v>1.11423435854894</c:v>
                </c:pt>
                <c:pt idx="51">
                  <c:v>-1.7178259569796801</c:v>
                </c:pt>
                <c:pt idx="52">
                  <c:v>-0.64622206202604704</c:v>
                </c:pt>
                <c:pt idx="53">
                  <c:v>-1.83995759015149</c:v>
                </c:pt>
                <c:pt idx="54">
                  <c:v>1.0741991829631401</c:v>
                </c:pt>
                <c:pt idx="55">
                  <c:v>-0.242371499586191</c:v>
                </c:pt>
                <c:pt idx="56">
                  <c:v>1.3837003258801299</c:v>
                </c:pt>
                <c:pt idx="57">
                  <c:v>0.470175605697642</c:v>
                </c:pt>
                <c:pt idx="58">
                  <c:v>-0.93602624439527204</c:v>
                </c:pt>
                <c:pt idx="59">
                  <c:v>-1.13428442209466</c:v>
                </c:pt>
                <c:pt idx="60">
                  <c:v>-0.65494960147908199</c:v>
                </c:pt>
                <c:pt idx="61">
                  <c:v>-0.87043356082551204</c:v>
                </c:pt>
                <c:pt idx="62">
                  <c:v>2.0761470710487702</c:v>
                </c:pt>
                <c:pt idx="63">
                  <c:v>1.36388410127086</c:v>
                </c:pt>
                <c:pt idx="64">
                  <c:v>2.9885375043806</c:v>
                </c:pt>
                <c:pt idx="65">
                  <c:v>0.84940888390549996</c:v>
                </c:pt>
                <c:pt idx="66">
                  <c:v>0.71898778532986096</c:v>
                </c:pt>
                <c:pt idx="67">
                  <c:v>0.90134997433945996</c:v>
                </c:pt>
                <c:pt idx="68">
                  <c:v>0.26755077746316602</c:v>
                </c:pt>
                <c:pt idx="69">
                  <c:v>0.88188245839924095</c:v>
                </c:pt>
                <c:pt idx="70">
                  <c:v>-0.51321883556228998</c:v>
                </c:pt>
                <c:pt idx="71">
                  <c:v>3.2047321618851301</c:v>
                </c:pt>
                <c:pt idx="72">
                  <c:v>-8.4936328903939505E-3</c:v>
                </c:pt>
                <c:pt idx="73">
                  <c:v>1.66580246580772</c:v>
                </c:pt>
                <c:pt idx="74">
                  <c:v>1.8184100968328301</c:v>
                </c:pt>
                <c:pt idx="75">
                  <c:v>1.14433968952889</c:v>
                </c:pt>
                <c:pt idx="76" formatCode="_-* #,##0.0\ _k_n_-;\-* #,##0.0\ _k_n_-;_-* &quot;-&quot;??\ _k_n_-;_-@">
                  <c:v>1.303223085810701</c:v>
                </c:pt>
                <c:pt idx="77" formatCode="_-* #,##0.0\ _k_n_-;\-* #,##0.0\ _k_n_-;_-* &quot;-&quot;??\ _k_n_-;_-@">
                  <c:v>0.35390739570933216</c:v>
                </c:pt>
                <c:pt idx="78" formatCode="_-* #,##0.0\ _k_n_-;\-* #,##0.0\ _k_n_-;_-* &quot;-&quot;??\ _k_n_-;_-@">
                  <c:v>-0.10988959199354609</c:v>
                </c:pt>
                <c:pt idx="79" formatCode="_-* #,##0.0\ _k_n_-;\-* #,##0.0\ _k_n_-;_-* &quot;-&quot;??\ _k_n_-;_-@">
                  <c:v>-0.25839019616758008</c:v>
                </c:pt>
              </c:numCache>
            </c:numRef>
          </c:val>
          <c:smooth val="0"/>
          <c:extLst>
            <c:ext xmlns:c16="http://schemas.microsoft.com/office/drawing/2014/chart" uri="{C3380CC4-5D6E-409C-BE32-E72D297353CC}">
              <c16:uniqueId val="{00000001-4FB4-4A41-BBC5-33EAE52A2507}"/>
            </c:ext>
          </c:extLst>
        </c:ser>
        <c:ser>
          <c:idx val="2"/>
          <c:order val="2"/>
          <c:tx>
            <c:strRef>
              <c:f>inflacija!$J$2</c:f>
              <c:strCache>
                <c:ptCount val="1"/>
                <c:pt idx="0">
                  <c:v>infl_core_s3</c:v>
                </c:pt>
              </c:strCache>
            </c:strRef>
          </c:tx>
          <c:spPr>
            <a:ln w="28575" cmpd="sng">
              <a:solidFill>
                <a:schemeClr val="accent3"/>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inflacija!$J$3:$J$82</c:f>
              <c:numCache>
                <c:formatCode>#,##0.0</c:formatCode>
                <c:ptCount val="80"/>
                <c:pt idx="0">
                  <c:v>0.72838370934229502</c:v>
                </c:pt>
                <c:pt idx="1">
                  <c:v>4.2441318401800201</c:v>
                </c:pt>
                <c:pt idx="2">
                  <c:v>0.86364844563415799</c:v>
                </c:pt>
                <c:pt idx="3">
                  <c:v>-0.90744788777179497</c:v>
                </c:pt>
                <c:pt idx="4">
                  <c:v>2.1413878733764098</c:v>
                </c:pt>
                <c:pt idx="5">
                  <c:v>-0.21287231020932201</c:v>
                </c:pt>
                <c:pt idx="6">
                  <c:v>1.1560440015015501</c:v>
                </c:pt>
                <c:pt idx="7">
                  <c:v>1.6039384878187</c:v>
                </c:pt>
                <c:pt idx="8">
                  <c:v>-0.35434186559322201</c:v>
                </c:pt>
                <c:pt idx="9">
                  <c:v>0.60645393470624098</c:v>
                </c:pt>
                <c:pt idx="10">
                  <c:v>0.86986168889451299</c:v>
                </c:pt>
                <c:pt idx="11">
                  <c:v>3.6318661244724599</c:v>
                </c:pt>
                <c:pt idx="12">
                  <c:v>0.77823016159577196</c:v>
                </c:pt>
                <c:pt idx="13">
                  <c:v>2.1508990893951001</c:v>
                </c:pt>
                <c:pt idx="14">
                  <c:v>2.9011246496524001</c:v>
                </c:pt>
                <c:pt idx="15">
                  <c:v>3.4723136610599101</c:v>
                </c:pt>
                <c:pt idx="16">
                  <c:v>4.0887729605344498</c:v>
                </c:pt>
                <c:pt idx="17">
                  <c:v>3.3769211544391702</c:v>
                </c:pt>
                <c:pt idx="18">
                  <c:v>1.20846219001267</c:v>
                </c:pt>
                <c:pt idx="19">
                  <c:v>3.5966412807180599</c:v>
                </c:pt>
                <c:pt idx="20">
                  <c:v>2.2294765174256002</c:v>
                </c:pt>
                <c:pt idx="21">
                  <c:v>3.35320162981145</c:v>
                </c:pt>
                <c:pt idx="22">
                  <c:v>1.73393762142879</c:v>
                </c:pt>
                <c:pt idx="23">
                  <c:v>2.1005677911666099</c:v>
                </c:pt>
                <c:pt idx="24">
                  <c:v>2.8661998652254699</c:v>
                </c:pt>
                <c:pt idx="25">
                  <c:v>2.4745493269333201</c:v>
                </c:pt>
                <c:pt idx="26">
                  <c:v>4.5228754950998002</c:v>
                </c:pt>
                <c:pt idx="27">
                  <c:v>10.941711973563701</c:v>
                </c:pt>
                <c:pt idx="28">
                  <c:v>2.87740954949667</c:v>
                </c:pt>
                <c:pt idx="29">
                  <c:v>7.7727872824811604</c:v>
                </c:pt>
                <c:pt idx="30">
                  <c:v>4.0245801693193304</c:v>
                </c:pt>
                <c:pt idx="31">
                  <c:v>2.5082764575689902</c:v>
                </c:pt>
                <c:pt idx="32">
                  <c:v>2.73549297890021</c:v>
                </c:pt>
                <c:pt idx="33">
                  <c:v>4.2857982553637504</c:v>
                </c:pt>
                <c:pt idx="34">
                  <c:v>-3.3909478407267799</c:v>
                </c:pt>
                <c:pt idx="35">
                  <c:v>-2.23996858436798</c:v>
                </c:pt>
                <c:pt idx="36">
                  <c:v>-1.5074385696499799</c:v>
                </c:pt>
                <c:pt idx="37">
                  <c:v>0.32931487763192502</c:v>
                </c:pt>
                <c:pt idx="38">
                  <c:v>1.09767096746032</c:v>
                </c:pt>
                <c:pt idx="39">
                  <c:v>0.40091975635174698</c:v>
                </c:pt>
                <c:pt idx="40">
                  <c:v>4.94944455970459</c:v>
                </c:pt>
                <c:pt idx="41">
                  <c:v>0.84441733025013599</c:v>
                </c:pt>
                <c:pt idx="42">
                  <c:v>1.63396212262263</c:v>
                </c:pt>
                <c:pt idx="43">
                  <c:v>4.2568298203361099</c:v>
                </c:pt>
                <c:pt idx="44">
                  <c:v>-0.38330001828307297</c:v>
                </c:pt>
                <c:pt idx="45">
                  <c:v>2.6391713680750799</c:v>
                </c:pt>
                <c:pt idx="46">
                  <c:v>1.13036133162678</c:v>
                </c:pt>
                <c:pt idx="47">
                  <c:v>4.5770605880136399</c:v>
                </c:pt>
                <c:pt idx="48">
                  <c:v>0.227323818357239</c:v>
                </c:pt>
                <c:pt idx="49">
                  <c:v>2.4187600488176</c:v>
                </c:pt>
                <c:pt idx="50">
                  <c:v>1.11423435854894</c:v>
                </c:pt>
                <c:pt idx="51">
                  <c:v>-1.7178259569796801</c:v>
                </c:pt>
                <c:pt idx="52">
                  <c:v>-0.64622206202604704</c:v>
                </c:pt>
                <c:pt idx="53">
                  <c:v>-1.83995759015149</c:v>
                </c:pt>
                <c:pt idx="54">
                  <c:v>1.0741991829631401</c:v>
                </c:pt>
                <c:pt idx="55">
                  <c:v>-0.242371499586191</c:v>
                </c:pt>
                <c:pt idx="56">
                  <c:v>1.3837003258801299</c:v>
                </c:pt>
                <c:pt idx="57">
                  <c:v>0.470175605697642</c:v>
                </c:pt>
                <c:pt idx="58">
                  <c:v>-0.93602624439527204</c:v>
                </c:pt>
                <c:pt idx="59">
                  <c:v>-1.13428442209466</c:v>
                </c:pt>
                <c:pt idx="60">
                  <c:v>-0.65494960147908199</c:v>
                </c:pt>
                <c:pt idx="61">
                  <c:v>-0.87043356082551204</c:v>
                </c:pt>
                <c:pt idx="62">
                  <c:v>2.0761470710487702</c:v>
                </c:pt>
                <c:pt idx="63">
                  <c:v>1.36388410127086</c:v>
                </c:pt>
                <c:pt idx="64">
                  <c:v>2.9885375043806</c:v>
                </c:pt>
                <c:pt idx="65">
                  <c:v>0.84940888390549996</c:v>
                </c:pt>
                <c:pt idx="66">
                  <c:v>0.71898778532986096</c:v>
                </c:pt>
                <c:pt idx="67">
                  <c:v>0.90134997433945996</c:v>
                </c:pt>
                <c:pt idx="68">
                  <c:v>0.26755077746316602</c:v>
                </c:pt>
                <c:pt idx="69">
                  <c:v>0.88188245839924095</c:v>
                </c:pt>
                <c:pt idx="70">
                  <c:v>-0.51321883556228998</c:v>
                </c:pt>
                <c:pt idx="71">
                  <c:v>3.2047321618851301</c:v>
                </c:pt>
                <c:pt idx="72">
                  <c:v>-8.4936328903939505E-3</c:v>
                </c:pt>
                <c:pt idx="73">
                  <c:v>1.66580246580772</c:v>
                </c:pt>
                <c:pt idx="74">
                  <c:v>1.8184100968328301</c:v>
                </c:pt>
                <c:pt idx="75">
                  <c:v>1.14433968952889</c:v>
                </c:pt>
                <c:pt idx="76" formatCode="_-* #,##0.0\ _k_n_-;\-* #,##0.0\ _k_n_-;_-* &quot;-&quot;??\ _k_n_-;_-@">
                  <c:v>1.2695557334722571</c:v>
                </c:pt>
                <c:pt idx="77" formatCode="_-* #,##0.0\ _k_n_-;\-* #,##0.0\ _k_n_-;_-* &quot;-&quot;??\ _k_n_-;_-@">
                  <c:v>0.31806044410314804</c:v>
                </c:pt>
                <c:pt idx="78" formatCode="_-* #,##0.0\ _k_n_-;\-* #,##0.0\ _k_n_-;_-* &quot;-&quot;??\ _k_n_-;_-@">
                  <c:v>1.9312823654155764E-2</c:v>
                </c:pt>
                <c:pt idx="79" formatCode="_-* #,##0.0\ _k_n_-;\-* #,##0.0\ _k_n_-;_-* &quot;-&quot;??\ _k_n_-;_-@">
                  <c:v>-7.8406184763628373E-2</c:v>
                </c:pt>
              </c:numCache>
            </c:numRef>
          </c:val>
          <c:smooth val="0"/>
          <c:extLst>
            <c:ext xmlns:c16="http://schemas.microsoft.com/office/drawing/2014/chart" uri="{C3380CC4-5D6E-409C-BE32-E72D297353CC}">
              <c16:uniqueId val="{00000002-4FB4-4A41-BBC5-33EAE52A2507}"/>
            </c:ext>
          </c:extLst>
        </c:ser>
        <c:dLbls>
          <c:showLegendKey val="0"/>
          <c:showVal val="0"/>
          <c:showCatName val="0"/>
          <c:showSerName val="0"/>
          <c:showPercent val="0"/>
          <c:showBubbleSize val="0"/>
        </c:dLbls>
        <c:smooth val="0"/>
        <c:axId val="217668132"/>
        <c:axId val="1097041259"/>
      </c:lineChart>
      <c:dateAx>
        <c:axId val="217668132"/>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097041259"/>
        <c:crosses val="autoZero"/>
        <c:auto val="1"/>
        <c:lblOffset val="100"/>
        <c:baseTimeUnit val="months"/>
      </c:dateAx>
      <c:valAx>
        <c:axId val="10970412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217668132"/>
        <c:crosses val="autoZero"/>
        <c:crossBetween val="between"/>
      </c:val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9.3206036745406826E-2"/>
          <c:y val="0.15570948782535685"/>
          <c:w val="0.83457174103237097"/>
          <c:h val="0.60582121819155477"/>
        </c:manualLayout>
      </c:layout>
      <c:lineChart>
        <c:grouping val="standard"/>
        <c:varyColors val="1"/>
        <c:ser>
          <c:idx val="0"/>
          <c:order val="0"/>
          <c:spPr>
            <a:ln w="28575" cmpd="sng">
              <a:solidFill>
                <a:schemeClr val="accent1"/>
              </a:solidFill>
            </a:ln>
          </c:spPr>
          <c:marker>
            <c:symbol val="none"/>
          </c:marker>
          <c:cat>
            <c:numRef>
              <c:f>nekretnine!$D$3:$D$74</c:f>
              <c:numCache>
                <c:formatCode>m/d/yyyy</c:formatCode>
                <c:ptCount val="72"/>
                <c:pt idx="0">
                  <c:v>37711</c:v>
                </c:pt>
                <c:pt idx="1">
                  <c:v>37802</c:v>
                </c:pt>
                <c:pt idx="2">
                  <c:v>37894</c:v>
                </c:pt>
                <c:pt idx="3">
                  <c:v>37986</c:v>
                </c:pt>
                <c:pt idx="4">
                  <c:v>38077</c:v>
                </c:pt>
                <c:pt idx="5">
                  <c:v>38168</c:v>
                </c:pt>
                <c:pt idx="6">
                  <c:v>38260</c:v>
                </c:pt>
                <c:pt idx="7">
                  <c:v>38352</c:v>
                </c:pt>
                <c:pt idx="8">
                  <c:v>38442</c:v>
                </c:pt>
                <c:pt idx="9">
                  <c:v>38533</c:v>
                </c:pt>
                <c:pt idx="10">
                  <c:v>38625</c:v>
                </c:pt>
                <c:pt idx="11">
                  <c:v>38717</c:v>
                </c:pt>
                <c:pt idx="12">
                  <c:v>38807</c:v>
                </c:pt>
                <c:pt idx="13">
                  <c:v>38898</c:v>
                </c:pt>
                <c:pt idx="14">
                  <c:v>38990</c:v>
                </c:pt>
                <c:pt idx="15">
                  <c:v>39082</c:v>
                </c:pt>
                <c:pt idx="16">
                  <c:v>39172</c:v>
                </c:pt>
                <c:pt idx="17">
                  <c:v>39263</c:v>
                </c:pt>
                <c:pt idx="18">
                  <c:v>39355</c:v>
                </c:pt>
                <c:pt idx="19">
                  <c:v>39447</c:v>
                </c:pt>
                <c:pt idx="20">
                  <c:v>39538</c:v>
                </c:pt>
                <c:pt idx="21">
                  <c:v>39629</c:v>
                </c:pt>
                <c:pt idx="22">
                  <c:v>39721</c:v>
                </c:pt>
                <c:pt idx="23">
                  <c:v>39813</c:v>
                </c:pt>
                <c:pt idx="24">
                  <c:v>39903</c:v>
                </c:pt>
                <c:pt idx="25">
                  <c:v>39994</c:v>
                </c:pt>
                <c:pt idx="26">
                  <c:v>40086</c:v>
                </c:pt>
                <c:pt idx="27">
                  <c:v>40178</c:v>
                </c:pt>
                <c:pt idx="28">
                  <c:v>40268</c:v>
                </c:pt>
                <c:pt idx="29">
                  <c:v>40359</c:v>
                </c:pt>
                <c:pt idx="30">
                  <c:v>40451</c:v>
                </c:pt>
                <c:pt idx="31">
                  <c:v>40543</c:v>
                </c:pt>
                <c:pt idx="32">
                  <c:v>40633</c:v>
                </c:pt>
                <c:pt idx="33">
                  <c:v>40724</c:v>
                </c:pt>
                <c:pt idx="34">
                  <c:v>40816</c:v>
                </c:pt>
                <c:pt idx="35">
                  <c:v>40908</c:v>
                </c:pt>
                <c:pt idx="36">
                  <c:v>40999</c:v>
                </c:pt>
                <c:pt idx="37">
                  <c:v>41090</c:v>
                </c:pt>
                <c:pt idx="38">
                  <c:v>41182</c:v>
                </c:pt>
                <c:pt idx="39">
                  <c:v>41274</c:v>
                </c:pt>
                <c:pt idx="40">
                  <c:v>41364</c:v>
                </c:pt>
                <c:pt idx="41">
                  <c:v>41455</c:v>
                </c:pt>
                <c:pt idx="42">
                  <c:v>41547</c:v>
                </c:pt>
                <c:pt idx="43">
                  <c:v>41639</c:v>
                </c:pt>
                <c:pt idx="44">
                  <c:v>41729</c:v>
                </c:pt>
                <c:pt idx="45">
                  <c:v>41820</c:v>
                </c:pt>
                <c:pt idx="46">
                  <c:v>41912</c:v>
                </c:pt>
                <c:pt idx="47">
                  <c:v>42004</c:v>
                </c:pt>
                <c:pt idx="48">
                  <c:v>42094</c:v>
                </c:pt>
                <c:pt idx="49">
                  <c:v>42185</c:v>
                </c:pt>
                <c:pt idx="50">
                  <c:v>42277</c:v>
                </c:pt>
                <c:pt idx="51">
                  <c:v>42369</c:v>
                </c:pt>
                <c:pt idx="52">
                  <c:v>42460</c:v>
                </c:pt>
                <c:pt idx="53">
                  <c:v>42551</c:v>
                </c:pt>
                <c:pt idx="54">
                  <c:v>42643</c:v>
                </c:pt>
                <c:pt idx="55">
                  <c:v>42735</c:v>
                </c:pt>
                <c:pt idx="56">
                  <c:v>42825</c:v>
                </c:pt>
                <c:pt idx="57">
                  <c:v>42916</c:v>
                </c:pt>
                <c:pt idx="58">
                  <c:v>43008</c:v>
                </c:pt>
                <c:pt idx="59">
                  <c:v>43100</c:v>
                </c:pt>
                <c:pt idx="60">
                  <c:v>43190</c:v>
                </c:pt>
                <c:pt idx="61">
                  <c:v>43281</c:v>
                </c:pt>
                <c:pt idx="62">
                  <c:v>43373</c:v>
                </c:pt>
                <c:pt idx="63">
                  <c:v>43465</c:v>
                </c:pt>
                <c:pt idx="64">
                  <c:v>43555</c:v>
                </c:pt>
                <c:pt idx="65">
                  <c:v>43646</c:v>
                </c:pt>
                <c:pt idx="66">
                  <c:v>43738</c:v>
                </c:pt>
                <c:pt idx="67">
                  <c:v>43830</c:v>
                </c:pt>
                <c:pt idx="68">
                  <c:v>43921</c:v>
                </c:pt>
                <c:pt idx="69">
                  <c:v>44012</c:v>
                </c:pt>
                <c:pt idx="70">
                  <c:v>44104</c:v>
                </c:pt>
                <c:pt idx="71">
                  <c:v>44196</c:v>
                </c:pt>
              </c:numCache>
            </c:numRef>
          </c:cat>
          <c:val>
            <c:numRef>
              <c:f>nekretnine!$E$3:$E$74</c:f>
              <c:numCache>
                <c:formatCode>#,##0.0</c:formatCode>
                <c:ptCount val="72"/>
                <c:pt idx="0">
                  <c:v>14.384349827387808</c:v>
                </c:pt>
                <c:pt idx="1">
                  <c:v>19.078509647371945</c:v>
                </c:pt>
                <c:pt idx="2">
                  <c:v>13.867464190146393</c:v>
                </c:pt>
                <c:pt idx="3">
                  <c:v>20.901126408010001</c:v>
                </c:pt>
                <c:pt idx="4">
                  <c:v>13.222190284564533</c:v>
                </c:pt>
                <c:pt idx="5">
                  <c:v>13.703031149601898</c:v>
                </c:pt>
                <c:pt idx="6">
                  <c:v>16.505391208183568</c:v>
                </c:pt>
                <c:pt idx="7">
                  <c:v>15.799689440993788</c:v>
                </c:pt>
                <c:pt idx="8">
                  <c:v>13.632901751713632</c:v>
                </c:pt>
                <c:pt idx="9">
                  <c:v>14.594594594594582</c:v>
                </c:pt>
                <c:pt idx="10">
                  <c:v>12.529663028001892</c:v>
                </c:pt>
                <c:pt idx="11">
                  <c:v>11.353223823890943</c:v>
                </c:pt>
                <c:pt idx="12">
                  <c:v>15.77301161751565</c:v>
                </c:pt>
                <c:pt idx="13">
                  <c:v>12.650085763293319</c:v>
                </c:pt>
                <c:pt idx="14">
                  <c:v>13.443694643610286</c:v>
                </c:pt>
                <c:pt idx="15">
                  <c:v>15.253386853988957</c:v>
                </c:pt>
                <c:pt idx="16">
                  <c:v>14.164415283674245</c:v>
                </c:pt>
                <c:pt idx="17">
                  <c:v>17.072706509326224</c:v>
                </c:pt>
                <c:pt idx="18">
                  <c:v>16.256157635467972</c:v>
                </c:pt>
                <c:pt idx="19">
                  <c:v>8.3761427949499421</c:v>
                </c:pt>
                <c:pt idx="20">
                  <c:v>4.1159567275185935</c:v>
                </c:pt>
                <c:pt idx="21">
                  <c:v>0.80474719557797414</c:v>
                </c:pt>
                <c:pt idx="22">
                  <c:v>1.0073552926127292</c:v>
                </c:pt>
                <c:pt idx="23">
                  <c:v>-1.1649393428135255</c:v>
                </c:pt>
                <c:pt idx="24">
                  <c:v>-0.49517006250506768</c:v>
                </c:pt>
                <c:pt idx="25">
                  <c:v>-4.4593177969518507</c:v>
                </c:pt>
                <c:pt idx="26">
                  <c:v>-7.8914041475383812</c:v>
                </c:pt>
                <c:pt idx="27">
                  <c:v>-7.1045358478296237</c:v>
                </c:pt>
                <c:pt idx="28">
                  <c:v>-8.5739924946973503</c:v>
                </c:pt>
                <c:pt idx="29">
                  <c:v>-6.743754220121545</c:v>
                </c:pt>
                <c:pt idx="30">
                  <c:v>-5.8863968376729474</c:v>
                </c:pt>
                <c:pt idx="31">
                  <c:v>-3.9201960098004918</c:v>
                </c:pt>
                <c:pt idx="32">
                  <c:v>-2.9088962255733009</c:v>
                </c:pt>
                <c:pt idx="33">
                  <c:v>3.6202371255328103E-2</c:v>
                </c:pt>
                <c:pt idx="34">
                  <c:v>1.6344046749452161</c:v>
                </c:pt>
                <c:pt idx="35">
                  <c:v>1.9945355191256766</c:v>
                </c:pt>
                <c:pt idx="36">
                  <c:v>2.343534601599103</c:v>
                </c:pt>
                <c:pt idx="37">
                  <c:v>-0.60617027051479511</c:v>
                </c:pt>
                <c:pt idx="38">
                  <c:v>-1.9944299703530675</c:v>
                </c:pt>
                <c:pt idx="39">
                  <c:v>-5.8844539691043707</c:v>
                </c:pt>
                <c:pt idx="40">
                  <c:v>-5.4597701149425291</c:v>
                </c:pt>
                <c:pt idx="41">
                  <c:v>-4.7606044056071397</c:v>
                </c:pt>
                <c:pt idx="42">
                  <c:v>-3.7766981391511649</c:v>
                </c:pt>
                <c:pt idx="43">
                  <c:v>-1.6793168880455482</c:v>
                </c:pt>
                <c:pt idx="44">
                  <c:v>-2.2226443768996944</c:v>
                </c:pt>
                <c:pt idx="45">
                  <c:v>-0.77415655165822272</c:v>
                </c:pt>
                <c:pt idx="46">
                  <c:v>-1.8767266838144252</c:v>
                </c:pt>
                <c:pt idx="47">
                  <c:v>-1.4378075846762499</c:v>
                </c:pt>
                <c:pt idx="48">
                  <c:v>-1.836020983096958</c:v>
                </c:pt>
                <c:pt idx="49">
                  <c:v>-4.5174340204199552</c:v>
                </c:pt>
                <c:pt idx="50">
                  <c:v>-3.0485436893203968</c:v>
                </c:pt>
                <c:pt idx="51">
                  <c:v>-2.13432543567653</c:v>
                </c:pt>
                <c:pt idx="52">
                  <c:v>0.15833745670460075</c:v>
                </c:pt>
                <c:pt idx="53">
                  <c:v>1.16009280742459</c:v>
                </c:pt>
                <c:pt idx="54">
                  <c:v>1.452032845984391</c:v>
                </c:pt>
                <c:pt idx="55">
                  <c:v>0.79031612645059113</c:v>
                </c:pt>
                <c:pt idx="56">
                  <c:v>-0.35569607746269583</c:v>
                </c:pt>
                <c:pt idx="57">
                  <c:v>4.258077383326679</c:v>
                </c:pt>
                <c:pt idx="58">
                  <c:v>3.7706050735366574</c:v>
                </c:pt>
                <c:pt idx="59">
                  <c:v>7.6426799007444117</c:v>
                </c:pt>
                <c:pt idx="60">
                  <c:v>8.5176003966286515</c:v>
                </c:pt>
                <c:pt idx="61">
                  <c:v>4.505021520803453</c:v>
                </c:pt>
                <c:pt idx="62">
                  <c:v>6.8391515266812348</c:v>
                </c:pt>
                <c:pt idx="63">
                  <c:v>4.6934071000461159</c:v>
                </c:pt>
                <c:pt idx="64">
                  <c:v>7.4104532163742647</c:v>
                </c:pt>
                <c:pt idx="65">
                  <c:v>10.378912685337724</c:v>
                </c:pt>
                <c:pt idx="66">
                  <c:v>8.0484330484330542</c:v>
                </c:pt>
                <c:pt idx="67">
                  <c:v>6.8874405495860316</c:v>
                </c:pt>
                <c:pt idx="68">
                  <c:v>0.76164751172238532</c:v>
                </c:pt>
                <c:pt idx="69">
                  <c:v>-3.8854874217307054</c:v>
                </c:pt>
                <c:pt idx="70">
                  <c:v>-8.1272554884749741</c:v>
                </c:pt>
                <c:pt idx="71">
                  <c:v>-12.238850275894697</c:v>
                </c:pt>
              </c:numCache>
            </c:numRef>
          </c:val>
          <c:smooth val="0"/>
          <c:extLst>
            <c:ext xmlns:c16="http://schemas.microsoft.com/office/drawing/2014/chart" uri="{C3380CC4-5D6E-409C-BE32-E72D297353CC}">
              <c16:uniqueId val="{00000000-A9BE-4D90-BE41-D27BADF03BE5}"/>
            </c:ext>
          </c:extLst>
        </c:ser>
        <c:ser>
          <c:idx val="1"/>
          <c:order val="1"/>
          <c:spPr>
            <a:ln w="28575" cmpd="sng">
              <a:solidFill>
                <a:schemeClr val="accent2"/>
              </a:solidFill>
            </a:ln>
          </c:spPr>
          <c:marker>
            <c:symbol val="none"/>
          </c:marker>
          <c:cat>
            <c:numRef>
              <c:f>nekretnine!$D$3:$D$74</c:f>
              <c:numCache>
                <c:formatCode>m/d/yyyy</c:formatCode>
                <c:ptCount val="72"/>
                <c:pt idx="0">
                  <c:v>37711</c:v>
                </c:pt>
                <c:pt idx="1">
                  <c:v>37802</c:v>
                </c:pt>
                <c:pt idx="2">
                  <c:v>37894</c:v>
                </c:pt>
                <c:pt idx="3">
                  <c:v>37986</c:v>
                </c:pt>
                <c:pt idx="4">
                  <c:v>38077</c:v>
                </c:pt>
                <c:pt idx="5">
                  <c:v>38168</c:v>
                </c:pt>
                <c:pt idx="6">
                  <c:v>38260</c:v>
                </c:pt>
                <c:pt idx="7">
                  <c:v>38352</c:v>
                </c:pt>
                <c:pt idx="8">
                  <c:v>38442</c:v>
                </c:pt>
                <c:pt idx="9">
                  <c:v>38533</c:v>
                </c:pt>
                <c:pt idx="10">
                  <c:v>38625</c:v>
                </c:pt>
                <c:pt idx="11">
                  <c:v>38717</c:v>
                </c:pt>
                <c:pt idx="12">
                  <c:v>38807</c:v>
                </c:pt>
                <c:pt idx="13">
                  <c:v>38898</c:v>
                </c:pt>
                <c:pt idx="14">
                  <c:v>38990</c:v>
                </c:pt>
                <c:pt idx="15">
                  <c:v>39082</c:v>
                </c:pt>
                <c:pt idx="16">
                  <c:v>39172</c:v>
                </c:pt>
                <c:pt idx="17">
                  <c:v>39263</c:v>
                </c:pt>
                <c:pt idx="18">
                  <c:v>39355</c:v>
                </c:pt>
                <c:pt idx="19">
                  <c:v>39447</c:v>
                </c:pt>
                <c:pt idx="20">
                  <c:v>39538</c:v>
                </c:pt>
                <c:pt idx="21">
                  <c:v>39629</c:v>
                </c:pt>
                <c:pt idx="22">
                  <c:v>39721</c:v>
                </c:pt>
                <c:pt idx="23">
                  <c:v>39813</c:v>
                </c:pt>
                <c:pt idx="24">
                  <c:v>39903</c:v>
                </c:pt>
                <c:pt idx="25">
                  <c:v>39994</c:v>
                </c:pt>
                <c:pt idx="26">
                  <c:v>40086</c:v>
                </c:pt>
                <c:pt idx="27">
                  <c:v>40178</c:v>
                </c:pt>
                <c:pt idx="28">
                  <c:v>40268</c:v>
                </c:pt>
                <c:pt idx="29">
                  <c:v>40359</c:v>
                </c:pt>
                <c:pt idx="30">
                  <c:v>40451</c:v>
                </c:pt>
                <c:pt idx="31">
                  <c:v>40543</c:v>
                </c:pt>
                <c:pt idx="32">
                  <c:v>40633</c:v>
                </c:pt>
                <c:pt idx="33">
                  <c:v>40724</c:v>
                </c:pt>
                <c:pt idx="34">
                  <c:v>40816</c:v>
                </c:pt>
                <c:pt idx="35">
                  <c:v>40908</c:v>
                </c:pt>
                <c:pt idx="36">
                  <c:v>40999</c:v>
                </c:pt>
                <c:pt idx="37">
                  <c:v>41090</c:v>
                </c:pt>
                <c:pt idx="38">
                  <c:v>41182</c:v>
                </c:pt>
                <c:pt idx="39">
                  <c:v>41274</c:v>
                </c:pt>
                <c:pt idx="40">
                  <c:v>41364</c:v>
                </c:pt>
                <c:pt idx="41">
                  <c:v>41455</c:v>
                </c:pt>
                <c:pt idx="42">
                  <c:v>41547</c:v>
                </c:pt>
                <c:pt idx="43">
                  <c:v>41639</c:v>
                </c:pt>
                <c:pt idx="44">
                  <c:v>41729</c:v>
                </c:pt>
                <c:pt idx="45">
                  <c:v>41820</c:v>
                </c:pt>
                <c:pt idx="46">
                  <c:v>41912</c:v>
                </c:pt>
                <c:pt idx="47">
                  <c:v>42004</c:v>
                </c:pt>
                <c:pt idx="48">
                  <c:v>42094</c:v>
                </c:pt>
                <c:pt idx="49">
                  <c:v>42185</c:v>
                </c:pt>
                <c:pt idx="50">
                  <c:v>42277</c:v>
                </c:pt>
                <c:pt idx="51">
                  <c:v>42369</c:v>
                </c:pt>
                <c:pt idx="52">
                  <c:v>42460</c:v>
                </c:pt>
                <c:pt idx="53">
                  <c:v>42551</c:v>
                </c:pt>
                <c:pt idx="54">
                  <c:v>42643</c:v>
                </c:pt>
                <c:pt idx="55">
                  <c:v>42735</c:v>
                </c:pt>
                <c:pt idx="56">
                  <c:v>42825</c:v>
                </c:pt>
                <c:pt idx="57">
                  <c:v>42916</c:v>
                </c:pt>
                <c:pt idx="58">
                  <c:v>43008</c:v>
                </c:pt>
                <c:pt idx="59">
                  <c:v>43100</c:v>
                </c:pt>
                <c:pt idx="60">
                  <c:v>43190</c:v>
                </c:pt>
                <c:pt idx="61">
                  <c:v>43281</c:v>
                </c:pt>
                <c:pt idx="62">
                  <c:v>43373</c:v>
                </c:pt>
                <c:pt idx="63">
                  <c:v>43465</c:v>
                </c:pt>
                <c:pt idx="64">
                  <c:v>43555</c:v>
                </c:pt>
                <c:pt idx="65">
                  <c:v>43646</c:v>
                </c:pt>
                <c:pt idx="66">
                  <c:v>43738</c:v>
                </c:pt>
                <c:pt idx="67">
                  <c:v>43830</c:v>
                </c:pt>
                <c:pt idx="68">
                  <c:v>43921</c:v>
                </c:pt>
                <c:pt idx="69">
                  <c:v>44012</c:v>
                </c:pt>
                <c:pt idx="70">
                  <c:v>44104</c:v>
                </c:pt>
                <c:pt idx="71">
                  <c:v>44196</c:v>
                </c:pt>
              </c:numCache>
            </c:numRef>
          </c:cat>
          <c:val>
            <c:numRef>
              <c:f>nekretnine!$L$3:$L$74</c:f>
              <c:numCache>
                <c:formatCode>#,##0.0</c:formatCode>
                <c:ptCount val="72"/>
                <c:pt idx="0">
                  <c:v>14.384349827387808</c:v>
                </c:pt>
                <c:pt idx="1">
                  <c:v>19.078509647371945</c:v>
                </c:pt>
                <c:pt idx="2">
                  <c:v>13.867464190146393</c:v>
                </c:pt>
                <c:pt idx="3">
                  <c:v>20.901126408010001</c:v>
                </c:pt>
                <c:pt idx="4">
                  <c:v>13.222190284564533</c:v>
                </c:pt>
                <c:pt idx="5">
                  <c:v>13.703031149601898</c:v>
                </c:pt>
                <c:pt idx="6">
                  <c:v>16.505391208183568</c:v>
                </c:pt>
                <c:pt idx="7">
                  <c:v>15.799689440993788</c:v>
                </c:pt>
                <c:pt idx="8">
                  <c:v>13.632901751713632</c:v>
                </c:pt>
                <c:pt idx="9">
                  <c:v>14.594594594594582</c:v>
                </c:pt>
                <c:pt idx="10">
                  <c:v>12.529663028001892</c:v>
                </c:pt>
                <c:pt idx="11">
                  <c:v>11.353223823890943</c:v>
                </c:pt>
                <c:pt idx="12">
                  <c:v>15.77301161751565</c:v>
                </c:pt>
                <c:pt idx="13">
                  <c:v>12.650085763293319</c:v>
                </c:pt>
                <c:pt idx="14">
                  <c:v>13.443694643610286</c:v>
                </c:pt>
                <c:pt idx="15">
                  <c:v>15.253386853988957</c:v>
                </c:pt>
                <c:pt idx="16">
                  <c:v>14.164415283674245</c:v>
                </c:pt>
                <c:pt idx="17">
                  <c:v>17.072706509326224</c:v>
                </c:pt>
                <c:pt idx="18">
                  <c:v>16.256157635467972</c:v>
                </c:pt>
                <c:pt idx="19">
                  <c:v>8.3761427949499421</c:v>
                </c:pt>
                <c:pt idx="20">
                  <c:v>4.1159567275185935</c:v>
                </c:pt>
                <c:pt idx="21">
                  <c:v>0.80474719557797414</c:v>
                </c:pt>
                <c:pt idx="22">
                  <c:v>1.0073552926127292</c:v>
                </c:pt>
                <c:pt idx="23">
                  <c:v>-1.1649393428135255</c:v>
                </c:pt>
                <c:pt idx="24">
                  <c:v>-0.49517006250506768</c:v>
                </c:pt>
                <c:pt idx="25">
                  <c:v>-4.4593177969518507</c:v>
                </c:pt>
                <c:pt idx="26">
                  <c:v>-7.8914041475383812</c:v>
                </c:pt>
                <c:pt idx="27">
                  <c:v>-7.1045358478296237</c:v>
                </c:pt>
                <c:pt idx="28">
                  <c:v>-8.5739924946973503</c:v>
                </c:pt>
                <c:pt idx="29">
                  <c:v>-6.743754220121545</c:v>
                </c:pt>
                <c:pt idx="30">
                  <c:v>-5.8863968376729474</c:v>
                </c:pt>
                <c:pt idx="31">
                  <c:v>-3.9201960098004918</c:v>
                </c:pt>
                <c:pt idx="32">
                  <c:v>-2.9088962255733009</c:v>
                </c:pt>
                <c:pt idx="33">
                  <c:v>3.6202371255328103E-2</c:v>
                </c:pt>
                <c:pt idx="34">
                  <c:v>1.6344046749452161</c:v>
                </c:pt>
                <c:pt idx="35">
                  <c:v>1.9945355191256766</c:v>
                </c:pt>
                <c:pt idx="36">
                  <c:v>2.343534601599103</c:v>
                </c:pt>
                <c:pt idx="37">
                  <c:v>-0.60617027051479511</c:v>
                </c:pt>
                <c:pt idx="38">
                  <c:v>-1.9944299703530675</c:v>
                </c:pt>
                <c:pt idx="39">
                  <c:v>-5.8844539691043707</c:v>
                </c:pt>
                <c:pt idx="40">
                  <c:v>-5.4597701149425291</c:v>
                </c:pt>
                <c:pt idx="41">
                  <c:v>-4.7606044056071397</c:v>
                </c:pt>
                <c:pt idx="42">
                  <c:v>-3.7766981391511649</c:v>
                </c:pt>
                <c:pt idx="43">
                  <c:v>-1.6793168880455482</c:v>
                </c:pt>
                <c:pt idx="44">
                  <c:v>-2.2226443768996944</c:v>
                </c:pt>
                <c:pt idx="45">
                  <c:v>-0.77415655165822272</c:v>
                </c:pt>
                <c:pt idx="46">
                  <c:v>-1.8767266838144252</c:v>
                </c:pt>
                <c:pt idx="47">
                  <c:v>-1.4378075846762499</c:v>
                </c:pt>
                <c:pt idx="48">
                  <c:v>-1.836020983096958</c:v>
                </c:pt>
                <c:pt idx="49">
                  <c:v>-4.5174340204199552</c:v>
                </c:pt>
                <c:pt idx="50">
                  <c:v>-3.0485436893203968</c:v>
                </c:pt>
                <c:pt idx="51">
                  <c:v>-2.13432543567653</c:v>
                </c:pt>
                <c:pt idx="52">
                  <c:v>0.15833745670460075</c:v>
                </c:pt>
                <c:pt idx="53">
                  <c:v>1.16009280742459</c:v>
                </c:pt>
                <c:pt idx="54">
                  <c:v>1.452032845984391</c:v>
                </c:pt>
                <c:pt idx="55">
                  <c:v>0.79031612645059113</c:v>
                </c:pt>
                <c:pt idx="56">
                  <c:v>-0.35569607746269583</c:v>
                </c:pt>
                <c:pt idx="57">
                  <c:v>4.258077383326679</c:v>
                </c:pt>
                <c:pt idx="58">
                  <c:v>3.7706050735366574</c:v>
                </c:pt>
                <c:pt idx="59">
                  <c:v>7.6426799007444117</c:v>
                </c:pt>
                <c:pt idx="60">
                  <c:v>8.5176003966286515</c:v>
                </c:pt>
                <c:pt idx="61">
                  <c:v>4.505021520803453</c:v>
                </c:pt>
                <c:pt idx="62">
                  <c:v>6.8391515266812348</c:v>
                </c:pt>
                <c:pt idx="63">
                  <c:v>4.6934071000461159</c:v>
                </c:pt>
                <c:pt idx="64">
                  <c:v>7.4104532163742647</c:v>
                </c:pt>
                <c:pt idx="65">
                  <c:v>10.378912685337724</c:v>
                </c:pt>
                <c:pt idx="66">
                  <c:v>8.0484330484330542</c:v>
                </c:pt>
                <c:pt idx="67">
                  <c:v>6.8874405495860316</c:v>
                </c:pt>
                <c:pt idx="68">
                  <c:v>0.78687935744913284</c:v>
                </c:pt>
                <c:pt idx="69">
                  <c:v>-1.5344155797903714</c:v>
                </c:pt>
                <c:pt idx="70">
                  <c:v>-6.0140606017974925</c:v>
                </c:pt>
                <c:pt idx="71">
                  <c:v>-9.9216550764053704</c:v>
                </c:pt>
              </c:numCache>
            </c:numRef>
          </c:val>
          <c:smooth val="0"/>
          <c:extLst>
            <c:ext xmlns:c16="http://schemas.microsoft.com/office/drawing/2014/chart" uri="{C3380CC4-5D6E-409C-BE32-E72D297353CC}">
              <c16:uniqueId val="{00000001-A9BE-4D90-BE41-D27BADF03BE5}"/>
            </c:ext>
          </c:extLst>
        </c:ser>
        <c:ser>
          <c:idx val="2"/>
          <c:order val="2"/>
          <c:spPr>
            <a:ln w="28575" cmpd="sng">
              <a:solidFill>
                <a:schemeClr val="accent3"/>
              </a:solidFill>
            </a:ln>
          </c:spPr>
          <c:marker>
            <c:symbol val="none"/>
          </c:marker>
          <c:cat>
            <c:numRef>
              <c:f>nekretnine!$D$3:$D$74</c:f>
              <c:numCache>
                <c:formatCode>m/d/yyyy</c:formatCode>
                <c:ptCount val="72"/>
                <c:pt idx="0">
                  <c:v>37711</c:v>
                </c:pt>
                <c:pt idx="1">
                  <c:v>37802</c:v>
                </c:pt>
                <c:pt idx="2">
                  <c:v>37894</c:v>
                </c:pt>
                <c:pt idx="3">
                  <c:v>37986</c:v>
                </c:pt>
                <c:pt idx="4">
                  <c:v>38077</c:v>
                </c:pt>
                <c:pt idx="5">
                  <c:v>38168</c:v>
                </c:pt>
                <c:pt idx="6">
                  <c:v>38260</c:v>
                </c:pt>
                <c:pt idx="7">
                  <c:v>38352</c:v>
                </c:pt>
                <c:pt idx="8">
                  <c:v>38442</c:v>
                </c:pt>
                <c:pt idx="9">
                  <c:v>38533</c:v>
                </c:pt>
                <c:pt idx="10">
                  <c:v>38625</c:v>
                </c:pt>
                <c:pt idx="11">
                  <c:v>38717</c:v>
                </c:pt>
                <c:pt idx="12">
                  <c:v>38807</c:v>
                </c:pt>
                <c:pt idx="13">
                  <c:v>38898</c:v>
                </c:pt>
                <c:pt idx="14">
                  <c:v>38990</c:v>
                </c:pt>
                <c:pt idx="15">
                  <c:v>39082</c:v>
                </c:pt>
                <c:pt idx="16">
                  <c:v>39172</c:v>
                </c:pt>
                <c:pt idx="17">
                  <c:v>39263</c:v>
                </c:pt>
                <c:pt idx="18">
                  <c:v>39355</c:v>
                </c:pt>
                <c:pt idx="19">
                  <c:v>39447</c:v>
                </c:pt>
                <c:pt idx="20">
                  <c:v>39538</c:v>
                </c:pt>
                <c:pt idx="21">
                  <c:v>39629</c:v>
                </c:pt>
                <c:pt idx="22">
                  <c:v>39721</c:v>
                </c:pt>
                <c:pt idx="23">
                  <c:v>39813</c:v>
                </c:pt>
                <c:pt idx="24">
                  <c:v>39903</c:v>
                </c:pt>
                <c:pt idx="25">
                  <c:v>39994</c:v>
                </c:pt>
                <c:pt idx="26">
                  <c:v>40086</c:v>
                </c:pt>
                <c:pt idx="27">
                  <c:v>40178</c:v>
                </c:pt>
                <c:pt idx="28">
                  <c:v>40268</c:v>
                </c:pt>
                <c:pt idx="29">
                  <c:v>40359</c:v>
                </c:pt>
                <c:pt idx="30">
                  <c:v>40451</c:v>
                </c:pt>
                <c:pt idx="31">
                  <c:v>40543</c:v>
                </c:pt>
                <c:pt idx="32">
                  <c:v>40633</c:v>
                </c:pt>
                <c:pt idx="33">
                  <c:v>40724</c:v>
                </c:pt>
                <c:pt idx="34">
                  <c:v>40816</c:v>
                </c:pt>
                <c:pt idx="35">
                  <c:v>40908</c:v>
                </c:pt>
                <c:pt idx="36">
                  <c:v>40999</c:v>
                </c:pt>
                <c:pt idx="37">
                  <c:v>41090</c:v>
                </c:pt>
                <c:pt idx="38">
                  <c:v>41182</c:v>
                </c:pt>
                <c:pt idx="39">
                  <c:v>41274</c:v>
                </c:pt>
                <c:pt idx="40">
                  <c:v>41364</c:v>
                </c:pt>
                <c:pt idx="41">
                  <c:v>41455</c:v>
                </c:pt>
                <c:pt idx="42">
                  <c:v>41547</c:v>
                </c:pt>
                <c:pt idx="43">
                  <c:v>41639</c:v>
                </c:pt>
                <c:pt idx="44">
                  <c:v>41729</c:v>
                </c:pt>
                <c:pt idx="45">
                  <c:v>41820</c:v>
                </c:pt>
                <c:pt idx="46">
                  <c:v>41912</c:v>
                </c:pt>
                <c:pt idx="47">
                  <c:v>42004</c:v>
                </c:pt>
                <c:pt idx="48">
                  <c:v>42094</c:v>
                </c:pt>
                <c:pt idx="49">
                  <c:v>42185</c:v>
                </c:pt>
                <c:pt idx="50">
                  <c:v>42277</c:v>
                </c:pt>
                <c:pt idx="51">
                  <c:v>42369</c:v>
                </c:pt>
                <c:pt idx="52">
                  <c:v>42460</c:v>
                </c:pt>
                <c:pt idx="53">
                  <c:v>42551</c:v>
                </c:pt>
                <c:pt idx="54">
                  <c:v>42643</c:v>
                </c:pt>
                <c:pt idx="55">
                  <c:v>42735</c:v>
                </c:pt>
                <c:pt idx="56">
                  <c:v>42825</c:v>
                </c:pt>
                <c:pt idx="57">
                  <c:v>42916</c:v>
                </c:pt>
                <c:pt idx="58">
                  <c:v>43008</c:v>
                </c:pt>
                <c:pt idx="59">
                  <c:v>43100</c:v>
                </c:pt>
                <c:pt idx="60">
                  <c:v>43190</c:v>
                </c:pt>
                <c:pt idx="61">
                  <c:v>43281</c:v>
                </c:pt>
                <c:pt idx="62">
                  <c:v>43373</c:v>
                </c:pt>
                <c:pt idx="63">
                  <c:v>43465</c:v>
                </c:pt>
                <c:pt idx="64">
                  <c:v>43555</c:v>
                </c:pt>
                <c:pt idx="65">
                  <c:v>43646</c:v>
                </c:pt>
                <c:pt idx="66">
                  <c:v>43738</c:v>
                </c:pt>
                <c:pt idx="67">
                  <c:v>43830</c:v>
                </c:pt>
                <c:pt idx="68">
                  <c:v>43921</c:v>
                </c:pt>
                <c:pt idx="69">
                  <c:v>44012</c:v>
                </c:pt>
                <c:pt idx="70">
                  <c:v>44104</c:v>
                </c:pt>
                <c:pt idx="71">
                  <c:v>44196</c:v>
                </c:pt>
              </c:numCache>
            </c:numRef>
          </c:cat>
          <c:val>
            <c:numRef>
              <c:f>nekretnine!$S$3:$S$74</c:f>
              <c:numCache>
                <c:formatCode>#,##0.0</c:formatCode>
                <c:ptCount val="72"/>
                <c:pt idx="0">
                  <c:v>14.384349827387808</c:v>
                </c:pt>
                <c:pt idx="1">
                  <c:v>19.078509647371945</c:v>
                </c:pt>
                <c:pt idx="2">
                  <c:v>13.867464190146393</c:v>
                </c:pt>
                <c:pt idx="3">
                  <c:v>20.901126408010001</c:v>
                </c:pt>
                <c:pt idx="4">
                  <c:v>13.222190284564533</c:v>
                </c:pt>
                <c:pt idx="5">
                  <c:v>13.703031149601898</c:v>
                </c:pt>
                <c:pt idx="6">
                  <c:v>16.505391208183568</c:v>
                </c:pt>
                <c:pt idx="7">
                  <c:v>15.799689440993788</c:v>
                </c:pt>
                <c:pt idx="8">
                  <c:v>13.632901751713632</c:v>
                </c:pt>
                <c:pt idx="9">
                  <c:v>14.594594594594582</c:v>
                </c:pt>
                <c:pt idx="10">
                  <c:v>12.529663028001892</c:v>
                </c:pt>
                <c:pt idx="11">
                  <c:v>11.353223823890943</c:v>
                </c:pt>
                <c:pt idx="12">
                  <c:v>15.77301161751565</c:v>
                </c:pt>
                <c:pt idx="13">
                  <c:v>12.650085763293319</c:v>
                </c:pt>
                <c:pt idx="14">
                  <c:v>13.443694643610286</c:v>
                </c:pt>
                <c:pt idx="15">
                  <c:v>15.253386853988957</c:v>
                </c:pt>
                <c:pt idx="16">
                  <c:v>14.164415283674245</c:v>
                </c:pt>
                <c:pt idx="17">
                  <c:v>17.072706509326224</c:v>
                </c:pt>
                <c:pt idx="18">
                  <c:v>16.256157635467972</c:v>
                </c:pt>
                <c:pt idx="19">
                  <c:v>8.3761427949499421</c:v>
                </c:pt>
                <c:pt idx="20">
                  <c:v>4.1159567275185935</c:v>
                </c:pt>
                <c:pt idx="21">
                  <c:v>0.80474719557797414</c:v>
                </c:pt>
                <c:pt idx="22">
                  <c:v>1.0073552926127292</c:v>
                </c:pt>
                <c:pt idx="23">
                  <c:v>-1.1649393428135255</c:v>
                </c:pt>
                <c:pt idx="24">
                  <c:v>-0.49517006250506768</c:v>
                </c:pt>
                <c:pt idx="25">
                  <c:v>-4.4593177969518507</c:v>
                </c:pt>
                <c:pt idx="26">
                  <c:v>-7.8914041475383812</c:v>
                </c:pt>
                <c:pt idx="27">
                  <c:v>-7.1045358478296237</c:v>
                </c:pt>
                <c:pt idx="28">
                  <c:v>-8.5739924946973503</c:v>
                </c:pt>
                <c:pt idx="29">
                  <c:v>-6.743754220121545</c:v>
                </c:pt>
                <c:pt idx="30">
                  <c:v>-5.8863968376729474</c:v>
                </c:pt>
                <c:pt idx="31">
                  <c:v>-3.9201960098004918</c:v>
                </c:pt>
                <c:pt idx="32">
                  <c:v>-2.9088962255733009</c:v>
                </c:pt>
                <c:pt idx="33">
                  <c:v>3.6202371255328103E-2</c:v>
                </c:pt>
                <c:pt idx="34">
                  <c:v>1.6344046749452161</c:v>
                </c:pt>
                <c:pt idx="35">
                  <c:v>1.9945355191256766</c:v>
                </c:pt>
                <c:pt idx="36">
                  <c:v>2.343534601599103</c:v>
                </c:pt>
                <c:pt idx="37">
                  <c:v>-0.60617027051479511</c:v>
                </c:pt>
                <c:pt idx="38">
                  <c:v>-1.9944299703530675</c:v>
                </c:pt>
                <c:pt idx="39">
                  <c:v>-5.8844539691043707</c:v>
                </c:pt>
                <c:pt idx="40">
                  <c:v>-5.4597701149425291</c:v>
                </c:pt>
                <c:pt idx="41">
                  <c:v>-4.7606044056071397</c:v>
                </c:pt>
                <c:pt idx="42">
                  <c:v>-3.7766981391511649</c:v>
                </c:pt>
                <c:pt idx="43">
                  <c:v>-1.6793168880455482</c:v>
                </c:pt>
                <c:pt idx="44">
                  <c:v>-2.2226443768996944</c:v>
                </c:pt>
                <c:pt idx="45">
                  <c:v>-0.77415655165822272</c:v>
                </c:pt>
                <c:pt idx="46">
                  <c:v>-1.8767266838144252</c:v>
                </c:pt>
                <c:pt idx="47">
                  <c:v>-1.4378075846762499</c:v>
                </c:pt>
                <c:pt idx="48">
                  <c:v>-1.836020983096958</c:v>
                </c:pt>
                <c:pt idx="49">
                  <c:v>-4.5174340204199552</c:v>
                </c:pt>
                <c:pt idx="50">
                  <c:v>-3.0485436893203968</c:v>
                </c:pt>
                <c:pt idx="51">
                  <c:v>-2.13432543567653</c:v>
                </c:pt>
                <c:pt idx="52">
                  <c:v>0.15833745670460075</c:v>
                </c:pt>
                <c:pt idx="53">
                  <c:v>1.16009280742459</c:v>
                </c:pt>
                <c:pt idx="54">
                  <c:v>1.452032845984391</c:v>
                </c:pt>
                <c:pt idx="55">
                  <c:v>0.79031612645059113</c:v>
                </c:pt>
                <c:pt idx="56">
                  <c:v>-0.35569607746269583</c:v>
                </c:pt>
                <c:pt idx="57">
                  <c:v>4.258077383326679</c:v>
                </c:pt>
                <c:pt idx="58">
                  <c:v>3.7706050735366574</c:v>
                </c:pt>
                <c:pt idx="59">
                  <c:v>7.6426799007444117</c:v>
                </c:pt>
                <c:pt idx="60">
                  <c:v>8.5176003966286515</c:v>
                </c:pt>
                <c:pt idx="61">
                  <c:v>4.505021520803453</c:v>
                </c:pt>
                <c:pt idx="62">
                  <c:v>6.8391515266812348</c:v>
                </c:pt>
                <c:pt idx="63">
                  <c:v>4.6934071000461159</c:v>
                </c:pt>
                <c:pt idx="64">
                  <c:v>7.4104532163742647</c:v>
                </c:pt>
                <c:pt idx="65">
                  <c:v>10.378912685337724</c:v>
                </c:pt>
                <c:pt idx="66">
                  <c:v>8.0484330484330542</c:v>
                </c:pt>
                <c:pt idx="67">
                  <c:v>6.8874405495860316</c:v>
                </c:pt>
                <c:pt idx="68">
                  <c:v>0.80802871901415596</c:v>
                </c:pt>
                <c:pt idx="69">
                  <c:v>-0.70654879337912724</c:v>
                </c:pt>
                <c:pt idx="70">
                  <c:v>-3.7393743782913091</c:v>
                </c:pt>
                <c:pt idx="71">
                  <c:v>-7.4938095432073073</c:v>
                </c:pt>
              </c:numCache>
            </c:numRef>
          </c:val>
          <c:smooth val="0"/>
          <c:extLst>
            <c:ext xmlns:c16="http://schemas.microsoft.com/office/drawing/2014/chart" uri="{C3380CC4-5D6E-409C-BE32-E72D297353CC}">
              <c16:uniqueId val="{00000002-A9BE-4D90-BE41-D27BADF03BE5}"/>
            </c:ext>
          </c:extLst>
        </c:ser>
        <c:dLbls>
          <c:showLegendKey val="0"/>
          <c:showVal val="0"/>
          <c:showCatName val="0"/>
          <c:showSerName val="0"/>
          <c:showPercent val="0"/>
          <c:showBubbleSize val="0"/>
        </c:dLbls>
        <c:smooth val="0"/>
        <c:axId val="1453338986"/>
        <c:axId val="1868256840"/>
      </c:lineChart>
      <c:dateAx>
        <c:axId val="1453338986"/>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868256840"/>
        <c:crosses val="autoZero"/>
        <c:auto val="1"/>
        <c:lblOffset val="100"/>
        <c:baseTimeUnit val="months"/>
      </c:dateAx>
      <c:valAx>
        <c:axId val="18682568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1453338986"/>
        <c:crosses val="autoZero"/>
        <c:crossBetween val="between"/>
      </c:valAx>
    </c:plotArea>
    <c:legend>
      <c:legendPos val="b"/>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0.11780766846341099"/>
          <c:y val="0.11715257169030246"/>
          <c:w val="0.80374411922400957"/>
          <c:h val="0.76551104580456586"/>
        </c:manualLayout>
      </c:layout>
      <c:lineChart>
        <c:grouping val="standard"/>
        <c:varyColors val="1"/>
        <c:ser>
          <c:idx val="0"/>
          <c:order val="0"/>
          <c:tx>
            <c:strRef>
              <c:f>javne_financije!$AH$5</c:f>
              <c:strCache>
                <c:ptCount val="1"/>
                <c:pt idx="0">
                  <c:v>S1</c:v>
                </c:pt>
              </c:strCache>
            </c:strRef>
          </c:tx>
          <c:spPr>
            <a:ln w="28575" cmpd="sng">
              <a:solidFill>
                <a:schemeClr val="accent1"/>
              </a:solidFill>
            </a:ln>
          </c:spPr>
          <c:marker>
            <c:symbol val="none"/>
          </c:marker>
          <c:cat>
            <c:numRef>
              <c:f>javne_financije!$AG$6:$AG$24</c:f>
              <c:numCache>
                <c:formatCode>m/d/yyyy</c:formatCode>
                <c:ptCount val="19"/>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pt idx="18">
                  <c:v>44196</c:v>
                </c:pt>
              </c:numCache>
            </c:numRef>
          </c:cat>
          <c:val>
            <c:numRef>
              <c:f>javne_financije!$AH$6:$AH$24</c:f>
              <c:numCache>
                <c:formatCode>0.0%</c:formatCode>
                <c:ptCount val="19"/>
                <c:pt idx="0">
                  <c:v>-3.2897096359012952E-2</c:v>
                </c:pt>
                <c:pt idx="1">
                  <c:v>-4.5207287035546509E-2</c:v>
                </c:pt>
                <c:pt idx="2">
                  <c:v>-4.9665070740932155E-2</c:v>
                </c:pt>
                <c:pt idx="3">
                  <c:v>-3.6654660509326496E-2</c:v>
                </c:pt>
                <c:pt idx="4">
                  <c:v>-3.13233528765521E-2</c:v>
                </c:pt>
                <c:pt idx="5">
                  <c:v>-2.2294595711018328E-2</c:v>
                </c:pt>
                <c:pt idx="6">
                  <c:v>-2.8237694661230842E-2</c:v>
                </c:pt>
                <c:pt idx="7">
                  <c:v>-6.0481819118848534E-2</c:v>
                </c:pt>
                <c:pt idx="8">
                  <c:v>-6.4654585855040192E-2</c:v>
                </c:pt>
                <c:pt idx="9">
                  <c:v>-7.9134872039829385E-2</c:v>
                </c:pt>
                <c:pt idx="10">
                  <c:v>-5.3535246159657067E-2</c:v>
                </c:pt>
                <c:pt idx="11">
                  <c:v>-5.3372048352301513E-2</c:v>
                </c:pt>
                <c:pt idx="12">
                  <c:v>-5.3494453375993636E-2</c:v>
                </c:pt>
                <c:pt idx="13">
                  <c:v>-3.3149890789207923E-2</c:v>
                </c:pt>
                <c:pt idx="14">
                  <c:v>-1.1061064160978181E-2</c:v>
                </c:pt>
                <c:pt idx="15">
                  <c:v>7.9519421094693399E-3</c:v>
                </c:pt>
                <c:pt idx="16">
                  <c:v>2.5897925323540715E-3</c:v>
                </c:pt>
                <c:pt idx="17">
                  <c:v>3.4056264030558211E-3</c:v>
                </c:pt>
                <c:pt idx="18">
                  <c:v>-9.9574086806898721E-2</c:v>
                </c:pt>
              </c:numCache>
            </c:numRef>
          </c:val>
          <c:smooth val="0"/>
          <c:extLst>
            <c:ext xmlns:c16="http://schemas.microsoft.com/office/drawing/2014/chart" uri="{C3380CC4-5D6E-409C-BE32-E72D297353CC}">
              <c16:uniqueId val="{00000000-4DD2-476C-A1E2-7A131ED9A5A7}"/>
            </c:ext>
          </c:extLst>
        </c:ser>
        <c:ser>
          <c:idx val="1"/>
          <c:order val="1"/>
          <c:tx>
            <c:strRef>
              <c:f>javne_financije!$AI$5</c:f>
              <c:strCache>
                <c:ptCount val="1"/>
                <c:pt idx="0">
                  <c:v>S2</c:v>
                </c:pt>
              </c:strCache>
            </c:strRef>
          </c:tx>
          <c:spPr>
            <a:ln w="28575" cmpd="sng">
              <a:solidFill>
                <a:schemeClr val="accent2"/>
              </a:solidFill>
            </a:ln>
          </c:spPr>
          <c:marker>
            <c:symbol val="none"/>
          </c:marker>
          <c:cat>
            <c:numRef>
              <c:f>javne_financije!$AG$6:$AG$24</c:f>
              <c:numCache>
                <c:formatCode>m/d/yyyy</c:formatCode>
                <c:ptCount val="19"/>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pt idx="18">
                  <c:v>44196</c:v>
                </c:pt>
              </c:numCache>
            </c:numRef>
          </c:cat>
          <c:val>
            <c:numRef>
              <c:f>javne_financije!$AI$6:$AI$24</c:f>
              <c:numCache>
                <c:formatCode>0.0%</c:formatCode>
                <c:ptCount val="19"/>
                <c:pt idx="0">
                  <c:v>-3.2897096359012952E-2</c:v>
                </c:pt>
                <c:pt idx="1">
                  <c:v>-4.5207287035546509E-2</c:v>
                </c:pt>
                <c:pt idx="2">
                  <c:v>-4.9665070740932155E-2</c:v>
                </c:pt>
                <c:pt idx="3">
                  <c:v>-3.6654660509326496E-2</c:v>
                </c:pt>
                <c:pt idx="4">
                  <c:v>-3.13233528765521E-2</c:v>
                </c:pt>
                <c:pt idx="5">
                  <c:v>-2.2294595711018328E-2</c:v>
                </c:pt>
                <c:pt idx="6">
                  <c:v>-2.8237694661230842E-2</c:v>
                </c:pt>
                <c:pt idx="7">
                  <c:v>-6.0481819118848534E-2</c:v>
                </c:pt>
                <c:pt idx="8">
                  <c:v>-6.4654585855040192E-2</c:v>
                </c:pt>
                <c:pt idx="9">
                  <c:v>-7.9134872039829385E-2</c:v>
                </c:pt>
                <c:pt idx="10">
                  <c:v>-5.3535246159657067E-2</c:v>
                </c:pt>
                <c:pt idx="11">
                  <c:v>-5.3372048352301513E-2</c:v>
                </c:pt>
                <c:pt idx="12">
                  <c:v>-5.3494453375993636E-2</c:v>
                </c:pt>
                <c:pt idx="13">
                  <c:v>-3.3149890789207923E-2</c:v>
                </c:pt>
                <c:pt idx="14">
                  <c:v>-1.1061064160978181E-2</c:v>
                </c:pt>
                <c:pt idx="15">
                  <c:v>7.9519421094693399E-3</c:v>
                </c:pt>
                <c:pt idx="16">
                  <c:v>2.5897925323540715E-3</c:v>
                </c:pt>
                <c:pt idx="17">
                  <c:v>3.4056264030558211E-3</c:v>
                </c:pt>
                <c:pt idx="18">
                  <c:v>-9.2481923844476024E-2</c:v>
                </c:pt>
              </c:numCache>
            </c:numRef>
          </c:val>
          <c:smooth val="0"/>
          <c:extLst>
            <c:ext xmlns:c16="http://schemas.microsoft.com/office/drawing/2014/chart" uri="{C3380CC4-5D6E-409C-BE32-E72D297353CC}">
              <c16:uniqueId val="{00000001-4DD2-476C-A1E2-7A131ED9A5A7}"/>
            </c:ext>
          </c:extLst>
        </c:ser>
        <c:ser>
          <c:idx val="2"/>
          <c:order val="2"/>
          <c:tx>
            <c:strRef>
              <c:f>javne_financije!$AJ$5</c:f>
              <c:strCache>
                <c:ptCount val="1"/>
                <c:pt idx="0">
                  <c:v>S3</c:v>
                </c:pt>
              </c:strCache>
            </c:strRef>
          </c:tx>
          <c:spPr>
            <a:ln w="28575" cmpd="sng">
              <a:solidFill>
                <a:schemeClr val="accent3"/>
              </a:solidFill>
            </a:ln>
          </c:spPr>
          <c:marker>
            <c:symbol val="none"/>
          </c:marker>
          <c:cat>
            <c:numRef>
              <c:f>javne_financije!$AG$6:$AG$24</c:f>
              <c:numCache>
                <c:formatCode>m/d/yyyy</c:formatCode>
                <c:ptCount val="19"/>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pt idx="18">
                  <c:v>44196</c:v>
                </c:pt>
              </c:numCache>
            </c:numRef>
          </c:cat>
          <c:val>
            <c:numRef>
              <c:f>javne_financije!$AJ$6:$AJ$24</c:f>
              <c:numCache>
                <c:formatCode>0.0%</c:formatCode>
                <c:ptCount val="19"/>
                <c:pt idx="0">
                  <c:v>-3.2897096359012952E-2</c:v>
                </c:pt>
                <c:pt idx="1">
                  <c:v>-4.5207287035546509E-2</c:v>
                </c:pt>
                <c:pt idx="2">
                  <c:v>-4.9665070740932155E-2</c:v>
                </c:pt>
                <c:pt idx="3">
                  <c:v>-3.6654660509326496E-2</c:v>
                </c:pt>
                <c:pt idx="4">
                  <c:v>-3.13233528765521E-2</c:v>
                </c:pt>
                <c:pt idx="5">
                  <c:v>-2.2294595711018328E-2</c:v>
                </c:pt>
                <c:pt idx="6">
                  <c:v>-2.8237694661230842E-2</c:v>
                </c:pt>
                <c:pt idx="7">
                  <c:v>-6.0481819118848534E-2</c:v>
                </c:pt>
                <c:pt idx="8">
                  <c:v>-6.4654585855040192E-2</c:v>
                </c:pt>
                <c:pt idx="9">
                  <c:v>-7.9134872039829385E-2</c:v>
                </c:pt>
                <c:pt idx="10">
                  <c:v>-5.3535246159657067E-2</c:v>
                </c:pt>
                <c:pt idx="11">
                  <c:v>-5.3372048352301513E-2</c:v>
                </c:pt>
                <c:pt idx="12">
                  <c:v>-5.3494453375993636E-2</c:v>
                </c:pt>
                <c:pt idx="13">
                  <c:v>-3.3149890789207923E-2</c:v>
                </c:pt>
                <c:pt idx="14">
                  <c:v>-1.1061064160978181E-2</c:v>
                </c:pt>
                <c:pt idx="15">
                  <c:v>7.9519421094693399E-3</c:v>
                </c:pt>
                <c:pt idx="16">
                  <c:v>2.5897925323540715E-3</c:v>
                </c:pt>
                <c:pt idx="17">
                  <c:v>3.4056264030558211E-3</c:v>
                </c:pt>
                <c:pt idx="18">
                  <c:v>-8.4823761018107818E-2</c:v>
                </c:pt>
              </c:numCache>
            </c:numRef>
          </c:val>
          <c:smooth val="0"/>
          <c:extLst>
            <c:ext xmlns:c16="http://schemas.microsoft.com/office/drawing/2014/chart" uri="{C3380CC4-5D6E-409C-BE32-E72D297353CC}">
              <c16:uniqueId val="{00000002-4DD2-476C-A1E2-7A131ED9A5A7}"/>
            </c:ext>
          </c:extLst>
        </c:ser>
        <c:dLbls>
          <c:showLegendKey val="0"/>
          <c:showVal val="0"/>
          <c:showCatName val="0"/>
          <c:showSerName val="0"/>
          <c:showPercent val="0"/>
          <c:showBubbleSize val="0"/>
        </c:dLbls>
        <c:smooth val="0"/>
        <c:axId val="175804679"/>
        <c:axId val="1582255700"/>
      </c:lineChart>
      <c:dateAx>
        <c:axId val="175804679"/>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582255700"/>
        <c:crosses val="autoZero"/>
        <c:auto val="1"/>
        <c:lblOffset val="100"/>
        <c:baseTimeUnit val="years"/>
      </c:dateAx>
      <c:valAx>
        <c:axId val="15822557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lang="hr-HR"/>
                  <a:t>u % BDP-a</a:t>
                </a:r>
              </a:p>
            </c:rich>
          </c:tx>
          <c:layout/>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175804679"/>
        <c:crosses val="autoZero"/>
        <c:crossBetween val="between"/>
      </c:valAx>
    </c:plotArea>
    <c:legend>
      <c:legendPos val="t"/>
      <c:layout/>
      <c:overlay val="0"/>
      <c:txPr>
        <a:bodyPr/>
        <a:lstStyle/>
        <a:p>
          <a:pPr lvl="0">
            <a:defRPr sz="10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hr-HR"/>
              <a:t>Dug opće države (u % BDP-a)</a:t>
            </a:r>
          </a:p>
        </c:rich>
      </c:tx>
      <c:layout/>
      <c:overlay val="0"/>
    </c:title>
    <c:autoTitleDeleted val="0"/>
    <c:plotArea>
      <c:layout>
        <c:manualLayout>
          <c:xMode val="edge"/>
          <c:yMode val="edge"/>
          <c:x val="8.9089989827917257E-2"/>
          <c:y val="0.20715086199861818"/>
          <c:w val="0.85230517050778154"/>
          <c:h val="0.67980600270921621"/>
        </c:manualLayout>
      </c:layout>
      <c:lineChart>
        <c:grouping val="standard"/>
        <c:varyColors val="1"/>
        <c:ser>
          <c:idx val="0"/>
          <c:order val="0"/>
          <c:tx>
            <c:strRef>
              <c:f>javne_financije!$AY$5</c:f>
              <c:strCache>
                <c:ptCount val="1"/>
                <c:pt idx="0">
                  <c:v>S1</c:v>
                </c:pt>
              </c:strCache>
            </c:strRef>
          </c:tx>
          <c:spPr>
            <a:ln w="28575" cmpd="sng">
              <a:solidFill>
                <a:schemeClr val="accent1"/>
              </a:solidFill>
            </a:ln>
          </c:spPr>
          <c:marker>
            <c:symbol val="none"/>
          </c:marker>
          <c:cat>
            <c:numRef>
              <c:f>javne_financije!$AS$6:$AS$31</c:f>
              <c:numCache>
                <c:formatCode>m/d/yyyy</c:formatCode>
                <c:ptCount val="26"/>
                <c:pt idx="0">
                  <c:v>35064</c:v>
                </c:pt>
                <c:pt idx="1">
                  <c:v>35430</c:v>
                </c:pt>
                <c:pt idx="2">
                  <c:v>35795</c:v>
                </c:pt>
                <c:pt idx="3">
                  <c:v>36160</c:v>
                </c:pt>
                <c:pt idx="4">
                  <c:v>36525</c:v>
                </c:pt>
                <c:pt idx="5">
                  <c:v>36891</c:v>
                </c:pt>
                <c:pt idx="6">
                  <c:v>37256</c:v>
                </c:pt>
                <c:pt idx="7">
                  <c:v>37621</c:v>
                </c:pt>
                <c:pt idx="8">
                  <c:v>37986</c:v>
                </c:pt>
                <c:pt idx="9">
                  <c:v>38352</c:v>
                </c:pt>
                <c:pt idx="10">
                  <c:v>38717</c:v>
                </c:pt>
                <c:pt idx="11">
                  <c:v>39082</c:v>
                </c:pt>
                <c:pt idx="12">
                  <c:v>39447</c:v>
                </c:pt>
                <c:pt idx="13">
                  <c:v>39813</c:v>
                </c:pt>
                <c:pt idx="14">
                  <c:v>40178</c:v>
                </c:pt>
                <c:pt idx="15">
                  <c:v>40543</c:v>
                </c:pt>
                <c:pt idx="16">
                  <c:v>40908</c:v>
                </c:pt>
                <c:pt idx="17">
                  <c:v>41274</c:v>
                </c:pt>
                <c:pt idx="18">
                  <c:v>41639</c:v>
                </c:pt>
                <c:pt idx="19">
                  <c:v>42004</c:v>
                </c:pt>
                <c:pt idx="20">
                  <c:v>42369</c:v>
                </c:pt>
                <c:pt idx="21">
                  <c:v>42735</c:v>
                </c:pt>
                <c:pt idx="22">
                  <c:v>43100</c:v>
                </c:pt>
                <c:pt idx="23">
                  <c:v>43465</c:v>
                </c:pt>
                <c:pt idx="24">
                  <c:v>43830</c:v>
                </c:pt>
                <c:pt idx="25">
                  <c:v>44196</c:v>
                </c:pt>
              </c:numCache>
            </c:numRef>
          </c:cat>
          <c:val>
            <c:numRef>
              <c:f>javne_financije!$AY$6:$AY$31</c:f>
              <c:numCache>
                <c:formatCode>0%</c:formatCode>
                <c:ptCount val="26"/>
                <c:pt idx="0">
                  <c:v>0.22550365846732862</c:v>
                </c:pt>
                <c:pt idx="1">
                  <c:v>0.25435742310636567</c:v>
                </c:pt>
                <c:pt idx="2">
                  <c:v>0.24839561082511047</c:v>
                </c:pt>
                <c:pt idx="3">
                  <c:v>0.22848540837310355</c:v>
                </c:pt>
                <c:pt idx="4">
                  <c:v>0.29128214825866355</c:v>
                </c:pt>
                <c:pt idx="5">
                  <c:v>0.356708347467316</c:v>
                </c:pt>
                <c:pt idx="6">
                  <c:v>0.36711815132956066</c:v>
                </c:pt>
                <c:pt idx="7">
                  <c:v>0.36798117134690034</c:v>
                </c:pt>
                <c:pt idx="8">
                  <c:v>0.38179168144341324</c:v>
                </c:pt>
                <c:pt idx="9">
                  <c:v>0.40309439382790474</c:v>
                </c:pt>
                <c:pt idx="10">
                  <c:v>0.41259305085363696</c:v>
                </c:pt>
                <c:pt idx="11">
                  <c:v>0.3874722065102536</c:v>
                </c:pt>
                <c:pt idx="12">
                  <c:v>0.37353404144202751</c:v>
                </c:pt>
                <c:pt idx="13">
                  <c:v>0.39280963603624736</c:v>
                </c:pt>
                <c:pt idx="14">
                  <c:v>0.48666257148407827</c:v>
                </c:pt>
                <c:pt idx="15">
                  <c:v>0.57791327735781084</c:v>
                </c:pt>
                <c:pt idx="16">
                  <c:v>0.64369286118885916</c:v>
                </c:pt>
                <c:pt idx="17">
                  <c:v>0.70122226222110329</c:v>
                </c:pt>
                <c:pt idx="18">
                  <c:v>0.81189614083040706</c:v>
                </c:pt>
                <c:pt idx="19">
                  <c:v>0.8468810924216772</c:v>
                </c:pt>
                <c:pt idx="20">
                  <c:v>0.84313720727367536</c:v>
                </c:pt>
                <c:pt idx="21">
                  <c:v>0.80802475984671418</c:v>
                </c:pt>
                <c:pt idx="22">
                  <c:v>0.77756427697330743</c:v>
                </c:pt>
                <c:pt idx="23">
                  <c:v>0.7478310245949783</c:v>
                </c:pt>
                <c:pt idx="24" formatCode="0.0%">
                  <c:v>0.73236187936383745</c:v>
                </c:pt>
                <c:pt idx="25">
                  <c:v>0.96266303283904553</c:v>
                </c:pt>
              </c:numCache>
            </c:numRef>
          </c:val>
          <c:smooth val="0"/>
          <c:extLst>
            <c:ext xmlns:c16="http://schemas.microsoft.com/office/drawing/2014/chart" uri="{C3380CC4-5D6E-409C-BE32-E72D297353CC}">
              <c16:uniqueId val="{00000000-A9B6-4638-92C4-E0AFC805A354}"/>
            </c:ext>
          </c:extLst>
        </c:ser>
        <c:ser>
          <c:idx val="1"/>
          <c:order val="1"/>
          <c:tx>
            <c:strRef>
              <c:f>javne_financije!$AZ$5</c:f>
              <c:strCache>
                <c:ptCount val="1"/>
                <c:pt idx="0">
                  <c:v>S2</c:v>
                </c:pt>
              </c:strCache>
            </c:strRef>
          </c:tx>
          <c:spPr>
            <a:ln w="28575" cmpd="sng">
              <a:solidFill>
                <a:schemeClr val="accent2"/>
              </a:solidFill>
            </a:ln>
          </c:spPr>
          <c:marker>
            <c:symbol val="none"/>
          </c:marker>
          <c:cat>
            <c:numRef>
              <c:f>javne_financije!$AS$6:$AS$31</c:f>
              <c:numCache>
                <c:formatCode>m/d/yyyy</c:formatCode>
                <c:ptCount val="26"/>
                <c:pt idx="0">
                  <c:v>35064</c:v>
                </c:pt>
                <c:pt idx="1">
                  <c:v>35430</c:v>
                </c:pt>
                <c:pt idx="2">
                  <c:v>35795</c:v>
                </c:pt>
                <c:pt idx="3">
                  <c:v>36160</c:v>
                </c:pt>
                <c:pt idx="4">
                  <c:v>36525</c:v>
                </c:pt>
                <c:pt idx="5">
                  <c:v>36891</c:v>
                </c:pt>
                <c:pt idx="6">
                  <c:v>37256</c:v>
                </c:pt>
                <c:pt idx="7">
                  <c:v>37621</c:v>
                </c:pt>
                <c:pt idx="8">
                  <c:v>37986</c:v>
                </c:pt>
                <c:pt idx="9">
                  <c:v>38352</c:v>
                </c:pt>
                <c:pt idx="10">
                  <c:v>38717</c:v>
                </c:pt>
                <c:pt idx="11">
                  <c:v>39082</c:v>
                </c:pt>
                <c:pt idx="12">
                  <c:v>39447</c:v>
                </c:pt>
                <c:pt idx="13">
                  <c:v>39813</c:v>
                </c:pt>
                <c:pt idx="14">
                  <c:v>40178</c:v>
                </c:pt>
                <c:pt idx="15">
                  <c:v>40543</c:v>
                </c:pt>
                <c:pt idx="16">
                  <c:v>40908</c:v>
                </c:pt>
                <c:pt idx="17">
                  <c:v>41274</c:v>
                </c:pt>
                <c:pt idx="18">
                  <c:v>41639</c:v>
                </c:pt>
                <c:pt idx="19">
                  <c:v>42004</c:v>
                </c:pt>
                <c:pt idx="20">
                  <c:v>42369</c:v>
                </c:pt>
                <c:pt idx="21">
                  <c:v>42735</c:v>
                </c:pt>
                <c:pt idx="22">
                  <c:v>43100</c:v>
                </c:pt>
                <c:pt idx="23">
                  <c:v>43465</c:v>
                </c:pt>
                <c:pt idx="24">
                  <c:v>43830</c:v>
                </c:pt>
                <c:pt idx="25">
                  <c:v>44196</c:v>
                </c:pt>
              </c:numCache>
            </c:numRef>
          </c:cat>
          <c:val>
            <c:numRef>
              <c:f>javne_financije!$AZ$6:$AZ$31</c:f>
              <c:numCache>
                <c:formatCode>0%</c:formatCode>
                <c:ptCount val="26"/>
                <c:pt idx="0">
                  <c:v>0.22550365846732862</c:v>
                </c:pt>
                <c:pt idx="1">
                  <c:v>0.25435742310636567</c:v>
                </c:pt>
                <c:pt idx="2">
                  <c:v>0.24839561082511047</c:v>
                </c:pt>
                <c:pt idx="3">
                  <c:v>0.22848540837310355</c:v>
                </c:pt>
                <c:pt idx="4">
                  <c:v>0.29128214825866355</c:v>
                </c:pt>
                <c:pt idx="5">
                  <c:v>0.356708347467316</c:v>
                </c:pt>
                <c:pt idx="6">
                  <c:v>0.36711815132956066</c:v>
                </c:pt>
                <c:pt idx="7">
                  <c:v>0.36798117134690034</c:v>
                </c:pt>
                <c:pt idx="8">
                  <c:v>0.38179168144341324</c:v>
                </c:pt>
                <c:pt idx="9">
                  <c:v>0.40309439382790474</c:v>
                </c:pt>
                <c:pt idx="10">
                  <c:v>0.41259305085363696</c:v>
                </c:pt>
                <c:pt idx="11">
                  <c:v>0.3874722065102536</c:v>
                </c:pt>
                <c:pt idx="12">
                  <c:v>0.37353404144202751</c:v>
                </c:pt>
                <c:pt idx="13">
                  <c:v>0.39280963603624736</c:v>
                </c:pt>
                <c:pt idx="14">
                  <c:v>0.48666257148407827</c:v>
                </c:pt>
                <c:pt idx="15">
                  <c:v>0.57791327735781084</c:v>
                </c:pt>
                <c:pt idx="16">
                  <c:v>0.64369286118885916</c:v>
                </c:pt>
                <c:pt idx="17">
                  <c:v>0.70122226222110329</c:v>
                </c:pt>
                <c:pt idx="18">
                  <c:v>0.81189614083040706</c:v>
                </c:pt>
                <c:pt idx="19">
                  <c:v>0.8468810924216772</c:v>
                </c:pt>
                <c:pt idx="20">
                  <c:v>0.84313720727367536</c:v>
                </c:pt>
                <c:pt idx="21">
                  <c:v>0.80802475984671418</c:v>
                </c:pt>
                <c:pt idx="22">
                  <c:v>0.77756427697330743</c:v>
                </c:pt>
                <c:pt idx="23">
                  <c:v>0.7478310245949783</c:v>
                </c:pt>
                <c:pt idx="24">
                  <c:v>0.73236187936383745</c:v>
                </c:pt>
                <c:pt idx="25">
                  <c:v>0.92810312273399842</c:v>
                </c:pt>
              </c:numCache>
            </c:numRef>
          </c:val>
          <c:smooth val="0"/>
          <c:extLst>
            <c:ext xmlns:c16="http://schemas.microsoft.com/office/drawing/2014/chart" uri="{C3380CC4-5D6E-409C-BE32-E72D297353CC}">
              <c16:uniqueId val="{00000001-A9B6-4638-92C4-E0AFC805A354}"/>
            </c:ext>
          </c:extLst>
        </c:ser>
        <c:ser>
          <c:idx val="2"/>
          <c:order val="2"/>
          <c:tx>
            <c:strRef>
              <c:f>javne_financije!$BA$5</c:f>
              <c:strCache>
                <c:ptCount val="1"/>
                <c:pt idx="0">
                  <c:v>S3</c:v>
                </c:pt>
              </c:strCache>
            </c:strRef>
          </c:tx>
          <c:spPr>
            <a:ln w="28575" cmpd="sng">
              <a:solidFill>
                <a:schemeClr val="accent3"/>
              </a:solidFill>
            </a:ln>
          </c:spPr>
          <c:marker>
            <c:symbol val="none"/>
          </c:marker>
          <c:cat>
            <c:numRef>
              <c:f>javne_financije!$AS$6:$AS$31</c:f>
              <c:numCache>
                <c:formatCode>m/d/yyyy</c:formatCode>
                <c:ptCount val="26"/>
                <c:pt idx="0">
                  <c:v>35064</c:v>
                </c:pt>
                <c:pt idx="1">
                  <c:v>35430</c:v>
                </c:pt>
                <c:pt idx="2">
                  <c:v>35795</c:v>
                </c:pt>
                <c:pt idx="3">
                  <c:v>36160</c:v>
                </c:pt>
                <c:pt idx="4">
                  <c:v>36525</c:v>
                </c:pt>
                <c:pt idx="5">
                  <c:v>36891</c:v>
                </c:pt>
                <c:pt idx="6">
                  <c:v>37256</c:v>
                </c:pt>
                <c:pt idx="7">
                  <c:v>37621</c:v>
                </c:pt>
                <c:pt idx="8">
                  <c:v>37986</c:v>
                </c:pt>
                <c:pt idx="9">
                  <c:v>38352</c:v>
                </c:pt>
                <c:pt idx="10">
                  <c:v>38717</c:v>
                </c:pt>
                <c:pt idx="11">
                  <c:v>39082</c:v>
                </c:pt>
                <c:pt idx="12">
                  <c:v>39447</c:v>
                </c:pt>
                <c:pt idx="13">
                  <c:v>39813</c:v>
                </c:pt>
                <c:pt idx="14">
                  <c:v>40178</c:v>
                </c:pt>
                <c:pt idx="15">
                  <c:v>40543</c:v>
                </c:pt>
                <c:pt idx="16">
                  <c:v>40908</c:v>
                </c:pt>
                <c:pt idx="17">
                  <c:v>41274</c:v>
                </c:pt>
                <c:pt idx="18">
                  <c:v>41639</c:v>
                </c:pt>
                <c:pt idx="19">
                  <c:v>42004</c:v>
                </c:pt>
                <c:pt idx="20">
                  <c:v>42369</c:v>
                </c:pt>
                <c:pt idx="21">
                  <c:v>42735</c:v>
                </c:pt>
                <c:pt idx="22">
                  <c:v>43100</c:v>
                </c:pt>
                <c:pt idx="23">
                  <c:v>43465</c:v>
                </c:pt>
                <c:pt idx="24">
                  <c:v>43830</c:v>
                </c:pt>
                <c:pt idx="25">
                  <c:v>44196</c:v>
                </c:pt>
              </c:numCache>
            </c:numRef>
          </c:cat>
          <c:val>
            <c:numRef>
              <c:f>javne_financije!$BA$6:$BA$31</c:f>
              <c:numCache>
                <c:formatCode>0%</c:formatCode>
                <c:ptCount val="26"/>
                <c:pt idx="0">
                  <c:v>0.22550365846732862</c:v>
                </c:pt>
                <c:pt idx="1">
                  <c:v>0.25435742310636567</c:v>
                </c:pt>
                <c:pt idx="2">
                  <c:v>0.24839561082511047</c:v>
                </c:pt>
                <c:pt idx="3">
                  <c:v>0.22848540837310355</c:v>
                </c:pt>
                <c:pt idx="4">
                  <c:v>0.29128214825866355</c:v>
                </c:pt>
                <c:pt idx="5">
                  <c:v>0.356708347467316</c:v>
                </c:pt>
                <c:pt idx="6">
                  <c:v>0.36711815132956066</c:v>
                </c:pt>
                <c:pt idx="7">
                  <c:v>0.36798117134690034</c:v>
                </c:pt>
                <c:pt idx="8">
                  <c:v>0.38179168144341324</c:v>
                </c:pt>
                <c:pt idx="9">
                  <c:v>0.40309439382790474</c:v>
                </c:pt>
                <c:pt idx="10">
                  <c:v>0.41259305085363696</c:v>
                </c:pt>
                <c:pt idx="11">
                  <c:v>0.3874722065102536</c:v>
                </c:pt>
                <c:pt idx="12">
                  <c:v>0.37353404144202751</c:v>
                </c:pt>
                <c:pt idx="13">
                  <c:v>0.39280963603624736</c:v>
                </c:pt>
                <c:pt idx="14">
                  <c:v>0.48666257148407827</c:v>
                </c:pt>
                <c:pt idx="15">
                  <c:v>0.57791327735781084</c:v>
                </c:pt>
                <c:pt idx="16">
                  <c:v>0.64369286118885916</c:v>
                </c:pt>
                <c:pt idx="17">
                  <c:v>0.70122226222110329</c:v>
                </c:pt>
                <c:pt idx="18">
                  <c:v>0.81189614083040706</c:v>
                </c:pt>
                <c:pt idx="19">
                  <c:v>0.8468810924216772</c:v>
                </c:pt>
                <c:pt idx="20">
                  <c:v>0.84313720727367536</c:v>
                </c:pt>
                <c:pt idx="21">
                  <c:v>0.80802475984671418</c:v>
                </c:pt>
                <c:pt idx="22">
                  <c:v>0.77756427697330743</c:v>
                </c:pt>
                <c:pt idx="23">
                  <c:v>0.7478310245949783</c:v>
                </c:pt>
                <c:pt idx="24">
                  <c:v>0.73236187936383745</c:v>
                </c:pt>
                <c:pt idx="25">
                  <c:v>0.89266938539488516</c:v>
                </c:pt>
              </c:numCache>
            </c:numRef>
          </c:val>
          <c:smooth val="0"/>
          <c:extLst>
            <c:ext xmlns:c16="http://schemas.microsoft.com/office/drawing/2014/chart" uri="{C3380CC4-5D6E-409C-BE32-E72D297353CC}">
              <c16:uniqueId val="{00000002-A9B6-4638-92C4-E0AFC805A354}"/>
            </c:ext>
          </c:extLst>
        </c:ser>
        <c:dLbls>
          <c:showLegendKey val="0"/>
          <c:showVal val="0"/>
          <c:showCatName val="0"/>
          <c:showSerName val="0"/>
          <c:showPercent val="0"/>
          <c:showBubbleSize val="0"/>
        </c:dLbls>
        <c:smooth val="0"/>
        <c:axId val="43362821"/>
        <c:axId val="977367150"/>
      </c:lineChart>
      <c:dateAx>
        <c:axId val="43362821"/>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rot="-5400000"/>
          <a:lstStyle/>
          <a:p>
            <a:pPr lvl="0">
              <a:defRPr sz="900" b="0" i="0">
                <a:solidFill>
                  <a:srgbClr val="000000"/>
                </a:solidFill>
                <a:latin typeface="+mn-lt"/>
              </a:defRPr>
            </a:pPr>
            <a:endParaRPr lang="sr-Latn-RS"/>
          </a:p>
        </c:txPr>
        <c:crossAx val="977367150"/>
        <c:crosses val="autoZero"/>
        <c:auto val="1"/>
        <c:lblOffset val="100"/>
        <c:baseTimeUnit val="years"/>
      </c:dateAx>
      <c:valAx>
        <c:axId val="9773671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sr-Latn-RS"/>
          </a:p>
        </c:txPr>
        <c:crossAx val="43362821"/>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javne_financije!$AT$36</c:f>
              <c:strCache>
                <c:ptCount val="1"/>
                <c:pt idx="0">
                  <c:v>ddug</c:v>
                </c:pt>
              </c:strCache>
            </c:strRef>
          </c:tx>
          <c:spPr>
            <a:ln w="28575" cmpd="sng">
              <a:solidFill>
                <a:schemeClr val="accent1"/>
              </a:solidFill>
            </a:ln>
          </c:spPr>
          <c:marker>
            <c:symbol val="none"/>
          </c:marker>
          <c:cat>
            <c:numRef>
              <c:f>javne_financije!$AS$37:$AS$54</c:f>
              <c:numCache>
                <c:formatCode>m/d/yyyy</c:formatCode>
                <c:ptCount val="18"/>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numCache>
            </c:numRef>
          </c:cat>
          <c:val>
            <c:numRef>
              <c:f>javne_financije!$AT$37:$AT$54</c:f>
              <c:numCache>
                <c:formatCode>_-* #,##0\ _k_n_-;\-* #,##0\ _k_n_-;_-* "-"??\ _k_n_-;_-@</c:formatCode>
                <c:ptCount val="18"/>
                <c:pt idx="0">
                  <c:v>6691.5592977695342</c:v>
                </c:pt>
                <c:pt idx="1">
                  <c:v>11119.142676079136</c:v>
                </c:pt>
                <c:pt idx="2">
                  <c:v>12379.404531050503</c:v>
                </c:pt>
                <c:pt idx="3">
                  <c:v>10232.286965108826</c:v>
                </c:pt>
                <c:pt idx="4">
                  <c:v>2682.9048806465144</c:v>
                </c:pt>
                <c:pt idx="5">
                  <c:v>6484.4089126058971</c:v>
                </c:pt>
                <c:pt idx="6">
                  <c:v>15627.346650719599</c:v>
                </c:pt>
                <c:pt idx="7">
                  <c:v>24772.83297960044</c:v>
                </c:pt>
                <c:pt idx="8">
                  <c:v>29058.104883675289</c:v>
                </c:pt>
                <c:pt idx="9">
                  <c:v>24456.139782561426</c:v>
                </c:pt>
                <c:pt idx="10">
                  <c:v>17272.568529483222</c:v>
                </c:pt>
                <c:pt idx="11">
                  <c:v>37146.800375040213</c:v>
                </c:pt>
                <c:pt idx="12">
                  <c:v>11700.569470188522</c:v>
                </c:pt>
                <c:pt idx="13">
                  <c:v>5802.4702626041835</c:v>
                </c:pt>
                <c:pt idx="14">
                  <c:v>-2657.4266513478942</c:v>
                </c:pt>
                <c:pt idx="15">
                  <c:v>1166.8953191431356</c:v>
                </c:pt>
                <c:pt idx="16">
                  <c:v>1218.107869726955</c:v>
                </c:pt>
                <c:pt idx="17">
                  <c:v>6881.9216579805361</c:v>
                </c:pt>
              </c:numCache>
            </c:numRef>
          </c:val>
          <c:smooth val="0"/>
          <c:extLst>
            <c:ext xmlns:c16="http://schemas.microsoft.com/office/drawing/2014/chart" uri="{C3380CC4-5D6E-409C-BE32-E72D297353CC}">
              <c16:uniqueId val="{00000000-6627-4C7F-8557-C303AF080529}"/>
            </c:ext>
          </c:extLst>
        </c:ser>
        <c:ser>
          <c:idx val="1"/>
          <c:order val="1"/>
          <c:tx>
            <c:strRef>
              <c:f>javne_financije!$AU$36</c:f>
              <c:strCache>
                <c:ptCount val="1"/>
                <c:pt idx="0">
                  <c:v>deficit</c:v>
                </c:pt>
              </c:strCache>
            </c:strRef>
          </c:tx>
          <c:spPr>
            <a:ln w="28575" cmpd="sng">
              <a:solidFill>
                <a:schemeClr val="accent2"/>
              </a:solidFill>
            </a:ln>
          </c:spPr>
          <c:marker>
            <c:symbol val="none"/>
          </c:marker>
          <c:cat>
            <c:numRef>
              <c:f>javne_financije!$AS$37:$AS$54</c:f>
              <c:numCache>
                <c:formatCode>m/d/yyyy</c:formatCode>
                <c:ptCount val="18"/>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numCache>
            </c:numRef>
          </c:cat>
          <c:val>
            <c:numRef>
              <c:f>javne_financije!$AU$37:$AU$54</c:f>
              <c:numCache>
                <c:formatCode>_-* #,##0\ _k_n_-;\-* #,##0\ _k_n_-;_-* "-"??\ _k_n_-;_-@</c:formatCode>
                <c:ptCount val="18"/>
                <c:pt idx="0">
                  <c:v>6944.1000000000058</c:v>
                </c:pt>
                <c:pt idx="1">
                  <c:v>10513.999999999985</c:v>
                </c:pt>
                <c:pt idx="2">
                  <c:v>12465.600000000006</c:v>
                </c:pt>
                <c:pt idx="3">
                  <c:v>9897.3000000000029</c:v>
                </c:pt>
                <c:pt idx="4">
                  <c:v>9223.0000000000146</c:v>
                </c:pt>
                <c:pt idx="5">
                  <c:v>7196.5</c:v>
                </c:pt>
                <c:pt idx="6">
                  <c:v>9791</c:v>
                </c:pt>
                <c:pt idx="7">
                  <c:v>20005.600000000035</c:v>
                </c:pt>
                <c:pt idx="8">
                  <c:v>21260</c:v>
                </c:pt>
                <c:pt idx="9">
                  <c:v>26368.899999999994</c:v>
                </c:pt>
                <c:pt idx="10">
                  <c:v>17693.900000000023</c:v>
                </c:pt>
                <c:pt idx="11">
                  <c:v>17677.299999999988</c:v>
                </c:pt>
                <c:pt idx="12">
                  <c:v>17724.999999999971</c:v>
                </c:pt>
                <c:pt idx="13">
                  <c:v>11260.900000000052</c:v>
                </c:pt>
                <c:pt idx="14">
                  <c:v>3884.3000000000175</c:v>
                </c:pt>
                <c:pt idx="15">
                  <c:v>-2913.8000000000466</c:v>
                </c:pt>
                <c:pt idx="16">
                  <c:v>-991.80000000007567</c:v>
                </c:pt>
                <c:pt idx="17">
                  <c:v>-1362.6000000000058</c:v>
                </c:pt>
              </c:numCache>
            </c:numRef>
          </c:val>
          <c:smooth val="0"/>
          <c:extLst>
            <c:ext xmlns:c16="http://schemas.microsoft.com/office/drawing/2014/chart" uri="{C3380CC4-5D6E-409C-BE32-E72D297353CC}">
              <c16:uniqueId val="{00000001-6627-4C7F-8557-C303AF080529}"/>
            </c:ext>
          </c:extLst>
        </c:ser>
        <c:dLbls>
          <c:showLegendKey val="0"/>
          <c:showVal val="0"/>
          <c:showCatName val="0"/>
          <c:showSerName val="0"/>
          <c:showPercent val="0"/>
          <c:showBubbleSize val="0"/>
        </c:dLbls>
        <c:smooth val="0"/>
        <c:axId val="1560752069"/>
        <c:axId val="1464050618"/>
      </c:lineChart>
      <c:dateAx>
        <c:axId val="1560752069"/>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464050618"/>
        <c:crosses val="autoZero"/>
        <c:auto val="1"/>
        <c:lblOffset val="100"/>
        <c:baseTimeUnit val="years"/>
      </c:dateAx>
      <c:valAx>
        <c:axId val="14640506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_-* #,##0\ _k_n_-;\-* #,##0\ _k_n_-;_-* &quot;-&quot;??\ _k_n_-;_-@" sourceLinked="1"/>
        <c:majorTickMark val="none"/>
        <c:minorTickMark val="none"/>
        <c:tickLblPos val="nextTo"/>
        <c:spPr>
          <a:ln/>
        </c:spPr>
        <c:txPr>
          <a:bodyPr/>
          <a:lstStyle/>
          <a:p>
            <a:pPr lvl="0">
              <a:defRPr sz="900" b="0" i="0">
                <a:solidFill>
                  <a:srgbClr val="000000"/>
                </a:solidFill>
                <a:latin typeface="+mn-lt"/>
              </a:defRPr>
            </a:pPr>
            <a:endParaRPr lang="sr-Latn-RS"/>
          </a:p>
        </c:txPr>
        <c:crossAx val="1560752069"/>
        <c:crosses val="autoZero"/>
        <c:crossBetween val="between"/>
      </c:valAx>
    </c:plotArea>
    <c:legend>
      <c:legendPos val="b"/>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prinos!$B$2</c:f>
              <c:strCache>
                <c:ptCount val="1"/>
                <c:pt idx="0">
                  <c:v>yld</c:v>
                </c:pt>
              </c:strCache>
            </c:strRef>
          </c:tx>
          <c:spPr>
            <a:ln w="28575" cmpd="sng">
              <a:solidFill>
                <a:schemeClr val="accent1"/>
              </a:solidFill>
            </a:ln>
          </c:spPr>
          <c:marker>
            <c:symbol val="none"/>
          </c:marker>
          <c:cat>
            <c:numRef>
              <c:f>prinos!$A$3:$A$78</c:f>
              <c:numCache>
                <c:formatCode>m/d/yyyy</c:formatCode>
                <c:ptCount val="76"/>
                <c:pt idx="0">
                  <c:v>37346</c:v>
                </c:pt>
                <c:pt idx="1">
                  <c:v>37437</c:v>
                </c:pt>
                <c:pt idx="2">
                  <c:v>37529</c:v>
                </c:pt>
                <c:pt idx="3">
                  <c:v>37621</c:v>
                </c:pt>
                <c:pt idx="4">
                  <c:v>37711</c:v>
                </c:pt>
                <c:pt idx="5">
                  <c:v>37802</c:v>
                </c:pt>
                <c:pt idx="6">
                  <c:v>37894</c:v>
                </c:pt>
                <c:pt idx="7">
                  <c:v>37986</c:v>
                </c:pt>
                <c:pt idx="8">
                  <c:v>38077</c:v>
                </c:pt>
                <c:pt idx="9">
                  <c:v>38168</c:v>
                </c:pt>
                <c:pt idx="10">
                  <c:v>38260</c:v>
                </c:pt>
                <c:pt idx="11">
                  <c:v>38352</c:v>
                </c:pt>
                <c:pt idx="12">
                  <c:v>38442</c:v>
                </c:pt>
                <c:pt idx="13">
                  <c:v>38533</c:v>
                </c:pt>
                <c:pt idx="14">
                  <c:v>38625</c:v>
                </c:pt>
                <c:pt idx="15">
                  <c:v>38717</c:v>
                </c:pt>
                <c:pt idx="16">
                  <c:v>38807</c:v>
                </c:pt>
                <c:pt idx="17">
                  <c:v>38898</c:v>
                </c:pt>
                <c:pt idx="18">
                  <c:v>38990</c:v>
                </c:pt>
                <c:pt idx="19">
                  <c:v>39082</c:v>
                </c:pt>
                <c:pt idx="20">
                  <c:v>39172</c:v>
                </c:pt>
                <c:pt idx="21">
                  <c:v>39263</c:v>
                </c:pt>
                <c:pt idx="22">
                  <c:v>39355</c:v>
                </c:pt>
                <c:pt idx="23">
                  <c:v>39447</c:v>
                </c:pt>
                <c:pt idx="24">
                  <c:v>39538</c:v>
                </c:pt>
                <c:pt idx="25">
                  <c:v>39629</c:v>
                </c:pt>
                <c:pt idx="26">
                  <c:v>39721</c:v>
                </c:pt>
                <c:pt idx="27">
                  <c:v>39813</c:v>
                </c:pt>
                <c:pt idx="28">
                  <c:v>39903</c:v>
                </c:pt>
                <c:pt idx="29">
                  <c:v>39994</c:v>
                </c:pt>
                <c:pt idx="30">
                  <c:v>40086</c:v>
                </c:pt>
                <c:pt idx="31">
                  <c:v>40178</c:v>
                </c:pt>
                <c:pt idx="32">
                  <c:v>40268</c:v>
                </c:pt>
                <c:pt idx="33">
                  <c:v>40359</c:v>
                </c:pt>
                <c:pt idx="34">
                  <c:v>40451</c:v>
                </c:pt>
                <c:pt idx="35">
                  <c:v>40543</c:v>
                </c:pt>
                <c:pt idx="36">
                  <c:v>40633</c:v>
                </c:pt>
                <c:pt idx="37">
                  <c:v>40724</c:v>
                </c:pt>
                <c:pt idx="38">
                  <c:v>40816</c:v>
                </c:pt>
                <c:pt idx="39">
                  <c:v>40908</c:v>
                </c:pt>
                <c:pt idx="40">
                  <c:v>40999</c:v>
                </c:pt>
                <c:pt idx="41">
                  <c:v>41090</c:v>
                </c:pt>
                <c:pt idx="42">
                  <c:v>41182</c:v>
                </c:pt>
                <c:pt idx="43">
                  <c:v>41274</c:v>
                </c:pt>
                <c:pt idx="44">
                  <c:v>41364</c:v>
                </c:pt>
                <c:pt idx="45">
                  <c:v>41455</c:v>
                </c:pt>
                <c:pt idx="46">
                  <c:v>41547</c:v>
                </c:pt>
                <c:pt idx="47">
                  <c:v>41639</c:v>
                </c:pt>
                <c:pt idx="48">
                  <c:v>41729</c:v>
                </c:pt>
                <c:pt idx="49">
                  <c:v>41820</c:v>
                </c:pt>
                <c:pt idx="50">
                  <c:v>41912</c:v>
                </c:pt>
                <c:pt idx="51">
                  <c:v>42004</c:v>
                </c:pt>
                <c:pt idx="52">
                  <c:v>42094</c:v>
                </c:pt>
                <c:pt idx="53">
                  <c:v>42185</c:v>
                </c:pt>
                <c:pt idx="54">
                  <c:v>42277</c:v>
                </c:pt>
                <c:pt idx="55">
                  <c:v>42369</c:v>
                </c:pt>
                <c:pt idx="56">
                  <c:v>42460</c:v>
                </c:pt>
                <c:pt idx="57">
                  <c:v>42551</c:v>
                </c:pt>
                <c:pt idx="58">
                  <c:v>42643</c:v>
                </c:pt>
                <c:pt idx="59">
                  <c:v>42735</c:v>
                </c:pt>
                <c:pt idx="60">
                  <c:v>42825</c:v>
                </c:pt>
                <c:pt idx="61">
                  <c:v>42916</c:v>
                </c:pt>
                <c:pt idx="62">
                  <c:v>43008</c:v>
                </c:pt>
                <c:pt idx="63">
                  <c:v>43100</c:v>
                </c:pt>
                <c:pt idx="64">
                  <c:v>43190</c:v>
                </c:pt>
                <c:pt idx="65">
                  <c:v>43281</c:v>
                </c:pt>
                <c:pt idx="66">
                  <c:v>43373</c:v>
                </c:pt>
                <c:pt idx="67">
                  <c:v>43465</c:v>
                </c:pt>
                <c:pt idx="68">
                  <c:v>43555</c:v>
                </c:pt>
                <c:pt idx="69">
                  <c:v>43646</c:v>
                </c:pt>
                <c:pt idx="70">
                  <c:v>43738</c:v>
                </c:pt>
                <c:pt idx="71">
                  <c:v>43830</c:v>
                </c:pt>
                <c:pt idx="72">
                  <c:v>43921</c:v>
                </c:pt>
                <c:pt idx="73">
                  <c:v>44012</c:v>
                </c:pt>
                <c:pt idx="74">
                  <c:v>44104</c:v>
                </c:pt>
                <c:pt idx="75">
                  <c:v>44196</c:v>
                </c:pt>
              </c:numCache>
            </c:numRef>
          </c:cat>
          <c:val>
            <c:numRef>
              <c:f>prinos!$B$3:$B$78</c:f>
              <c:numCache>
                <c:formatCode>General</c:formatCode>
                <c:ptCount val="76"/>
                <c:pt idx="0">
                  <c:v>6.86</c:v>
                </c:pt>
                <c:pt idx="1">
                  <c:v>7.03</c:v>
                </c:pt>
                <c:pt idx="2">
                  <c:v>7.22</c:v>
                </c:pt>
                <c:pt idx="3">
                  <c:v>6.81</c:v>
                </c:pt>
                <c:pt idx="4">
                  <c:v>6.18</c:v>
                </c:pt>
                <c:pt idx="5">
                  <c:v>5.89</c:v>
                </c:pt>
                <c:pt idx="6">
                  <c:v>5.7</c:v>
                </c:pt>
                <c:pt idx="7">
                  <c:v>5.48</c:v>
                </c:pt>
                <c:pt idx="8">
                  <c:v>5.57</c:v>
                </c:pt>
                <c:pt idx="9">
                  <c:v>5.54</c:v>
                </c:pt>
                <c:pt idx="10">
                  <c:v>5.68</c:v>
                </c:pt>
                <c:pt idx="11">
                  <c:v>5.27</c:v>
                </c:pt>
                <c:pt idx="12">
                  <c:v>4.75</c:v>
                </c:pt>
                <c:pt idx="13">
                  <c:v>4.37</c:v>
                </c:pt>
                <c:pt idx="14">
                  <c:v>4.28</c:v>
                </c:pt>
                <c:pt idx="15">
                  <c:v>3.97</c:v>
                </c:pt>
                <c:pt idx="16">
                  <c:v>4.04</c:v>
                </c:pt>
                <c:pt idx="17">
                  <c:v>4.2</c:v>
                </c:pt>
                <c:pt idx="18">
                  <c:v>4.6399999999999997</c:v>
                </c:pt>
                <c:pt idx="19">
                  <c:v>4.75</c:v>
                </c:pt>
                <c:pt idx="20">
                  <c:v>4.75</c:v>
                </c:pt>
                <c:pt idx="21">
                  <c:v>4.47</c:v>
                </c:pt>
                <c:pt idx="22">
                  <c:v>5.04</c:v>
                </c:pt>
                <c:pt idx="23">
                  <c:v>5.22</c:v>
                </c:pt>
                <c:pt idx="24">
                  <c:v>5.55</c:v>
                </c:pt>
                <c:pt idx="25">
                  <c:v>5.79</c:v>
                </c:pt>
                <c:pt idx="26">
                  <c:v>5.81</c:v>
                </c:pt>
                <c:pt idx="27">
                  <c:v>6.26</c:v>
                </c:pt>
                <c:pt idx="28">
                  <c:v>6.83</c:v>
                </c:pt>
                <c:pt idx="29">
                  <c:v>8.4</c:v>
                </c:pt>
                <c:pt idx="30">
                  <c:v>8.5299999999999994</c:v>
                </c:pt>
                <c:pt idx="31">
                  <c:v>8.64</c:v>
                </c:pt>
                <c:pt idx="32">
                  <c:v>5.95</c:v>
                </c:pt>
                <c:pt idx="33">
                  <c:v>6.22</c:v>
                </c:pt>
                <c:pt idx="34">
                  <c:v>6.56</c:v>
                </c:pt>
                <c:pt idx="35">
                  <c:v>6.41</c:v>
                </c:pt>
                <c:pt idx="36">
                  <c:v>6.55</c:v>
                </c:pt>
                <c:pt idx="37">
                  <c:v>6.1</c:v>
                </c:pt>
                <c:pt idx="38">
                  <c:v>6.24</c:v>
                </c:pt>
                <c:pt idx="39">
                  <c:v>6.81</c:v>
                </c:pt>
                <c:pt idx="40">
                  <c:v>7.54</c:v>
                </c:pt>
                <c:pt idx="41">
                  <c:v>6.59</c:v>
                </c:pt>
                <c:pt idx="42">
                  <c:v>6.43</c:v>
                </c:pt>
                <c:pt idx="43">
                  <c:v>4.78</c:v>
                </c:pt>
                <c:pt idx="44">
                  <c:v>4.29</c:v>
                </c:pt>
                <c:pt idx="45">
                  <c:v>4.34</c:v>
                </c:pt>
                <c:pt idx="46">
                  <c:v>4.91</c:v>
                </c:pt>
                <c:pt idx="47">
                  <c:v>4.99</c:v>
                </c:pt>
                <c:pt idx="48">
                  <c:v>5.1100000000000003</c:v>
                </c:pt>
                <c:pt idx="49">
                  <c:v>4.41</c:v>
                </c:pt>
                <c:pt idx="50">
                  <c:v>3.72</c:v>
                </c:pt>
                <c:pt idx="51">
                  <c:v>3.54</c:v>
                </c:pt>
                <c:pt idx="52">
                  <c:v>3.32</c:v>
                </c:pt>
                <c:pt idx="53">
                  <c:v>3.17</c:v>
                </c:pt>
                <c:pt idx="54">
                  <c:v>4.2300000000000004</c:v>
                </c:pt>
                <c:pt idx="55">
                  <c:v>3.93</c:v>
                </c:pt>
                <c:pt idx="56">
                  <c:v>3.84</c:v>
                </c:pt>
                <c:pt idx="57">
                  <c:v>3.62</c:v>
                </c:pt>
                <c:pt idx="58">
                  <c:v>3.75</c:v>
                </c:pt>
                <c:pt idx="59">
                  <c:v>3.07</c:v>
                </c:pt>
                <c:pt idx="60">
                  <c:v>2.8</c:v>
                </c:pt>
                <c:pt idx="61">
                  <c:v>2.98</c:v>
                </c:pt>
                <c:pt idx="62">
                  <c:v>2.78</c:v>
                </c:pt>
                <c:pt idx="63">
                  <c:v>2.66</c:v>
                </c:pt>
                <c:pt idx="64">
                  <c:v>2.35</c:v>
                </c:pt>
                <c:pt idx="65">
                  <c:v>2.12</c:v>
                </c:pt>
                <c:pt idx="66">
                  <c:v>2.2599999999999998</c:v>
                </c:pt>
                <c:pt idx="67">
                  <c:v>2.09</c:v>
                </c:pt>
                <c:pt idx="68">
                  <c:v>2.23</c:v>
                </c:pt>
                <c:pt idx="69">
                  <c:v>1.82</c:v>
                </c:pt>
                <c:pt idx="70">
                  <c:v>1.06</c:v>
                </c:pt>
                <c:pt idx="71">
                  <c:v>0.47</c:v>
                </c:pt>
                <c:pt idx="72">
                  <c:v>1.24</c:v>
                </c:pt>
                <c:pt idx="73" formatCode="0.00">
                  <c:v>1.7375888846624559</c:v>
                </c:pt>
                <c:pt idx="74" formatCode="0.00">
                  <c:v>1.8599678480529125</c:v>
                </c:pt>
                <c:pt idx="75" formatCode="0.00">
                  <c:v>1.8351895676384207</c:v>
                </c:pt>
              </c:numCache>
            </c:numRef>
          </c:val>
          <c:smooth val="0"/>
          <c:extLst>
            <c:ext xmlns:c16="http://schemas.microsoft.com/office/drawing/2014/chart" uri="{C3380CC4-5D6E-409C-BE32-E72D297353CC}">
              <c16:uniqueId val="{00000000-DEC9-4518-8E7C-608BEF5C1CC9}"/>
            </c:ext>
          </c:extLst>
        </c:ser>
        <c:ser>
          <c:idx val="1"/>
          <c:order val="1"/>
          <c:tx>
            <c:strRef>
              <c:f>prinos!$N$2</c:f>
              <c:strCache>
                <c:ptCount val="1"/>
                <c:pt idx="0">
                  <c:v>yld</c:v>
                </c:pt>
              </c:strCache>
            </c:strRef>
          </c:tx>
          <c:spPr>
            <a:ln w="28575" cmpd="sng">
              <a:solidFill>
                <a:schemeClr val="accent2"/>
              </a:solidFill>
            </a:ln>
          </c:spPr>
          <c:marker>
            <c:symbol val="none"/>
          </c:marker>
          <c:cat>
            <c:numRef>
              <c:f>prinos!$A$3:$A$78</c:f>
              <c:numCache>
                <c:formatCode>m/d/yyyy</c:formatCode>
                <c:ptCount val="76"/>
                <c:pt idx="0">
                  <c:v>37346</c:v>
                </c:pt>
                <c:pt idx="1">
                  <c:v>37437</c:v>
                </c:pt>
                <c:pt idx="2">
                  <c:v>37529</c:v>
                </c:pt>
                <c:pt idx="3">
                  <c:v>37621</c:v>
                </c:pt>
                <c:pt idx="4">
                  <c:v>37711</c:v>
                </c:pt>
                <c:pt idx="5">
                  <c:v>37802</c:v>
                </c:pt>
                <c:pt idx="6">
                  <c:v>37894</c:v>
                </c:pt>
                <c:pt idx="7">
                  <c:v>37986</c:v>
                </c:pt>
                <c:pt idx="8">
                  <c:v>38077</c:v>
                </c:pt>
                <c:pt idx="9">
                  <c:v>38168</c:v>
                </c:pt>
                <c:pt idx="10">
                  <c:v>38260</c:v>
                </c:pt>
                <c:pt idx="11">
                  <c:v>38352</c:v>
                </c:pt>
                <c:pt idx="12">
                  <c:v>38442</c:v>
                </c:pt>
                <c:pt idx="13">
                  <c:v>38533</c:v>
                </c:pt>
                <c:pt idx="14">
                  <c:v>38625</c:v>
                </c:pt>
                <c:pt idx="15">
                  <c:v>38717</c:v>
                </c:pt>
                <c:pt idx="16">
                  <c:v>38807</c:v>
                </c:pt>
                <c:pt idx="17">
                  <c:v>38898</c:v>
                </c:pt>
                <c:pt idx="18">
                  <c:v>38990</c:v>
                </c:pt>
                <c:pt idx="19">
                  <c:v>39082</c:v>
                </c:pt>
                <c:pt idx="20">
                  <c:v>39172</c:v>
                </c:pt>
                <c:pt idx="21">
                  <c:v>39263</c:v>
                </c:pt>
                <c:pt idx="22">
                  <c:v>39355</c:v>
                </c:pt>
                <c:pt idx="23">
                  <c:v>39447</c:v>
                </c:pt>
                <c:pt idx="24">
                  <c:v>39538</c:v>
                </c:pt>
                <c:pt idx="25">
                  <c:v>39629</c:v>
                </c:pt>
                <c:pt idx="26">
                  <c:v>39721</c:v>
                </c:pt>
                <c:pt idx="27">
                  <c:v>39813</c:v>
                </c:pt>
                <c:pt idx="28">
                  <c:v>39903</c:v>
                </c:pt>
                <c:pt idx="29">
                  <c:v>39994</c:v>
                </c:pt>
                <c:pt idx="30">
                  <c:v>40086</c:v>
                </c:pt>
                <c:pt idx="31">
                  <c:v>40178</c:v>
                </c:pt>
                <c:pt idx="32">
                  <c:v>40268</c:v>
                </c:pt>
                <c:pt idx="33">
                  <c:v>40359</c:v>
                </c:pt>
                <c:pt idx="34">
                  <c:v>40451</c:v>
                </c:pt>
                <c:pt idx="35">
                  <c:v>40543</c:v>
                </c:pt>
                <c:pt idx="36">
                  <c:v>40633</c:v>
                </c:pt>
                <c:pt idx="37">
                  <c:v>40724</c:v>
                </c:pt>
                <c:pt idx="38">
                  <c:v>40816</c:v>
                </c:pt>
                <c:pt idx="39">
                  <c:v>40908</c:v>
                </c:pt>
                <c:pt idx="40">
                  <c:v>40999</c:v>
                </c:pt>
                <c:pt idx="41">
                  <c:v>41090</c:v>
                </c:pt>
                <c:pt idx="42">
                  <c:v>41182</c:v>
                </c:pt>
                <c:pt idx="43">
                  <c:v>41274</c:v>
                </c:pt>
                <c:pt idx="44">
                  <c:v>41364</c:v>
                </c:pt>
                <c:pt idx="45">
                  <c:v>41455</c:v>
                </c:pt>
                <c:pt idx="46">
                  <c:v>41547</c:v>
                </c:pt>
                <c:pt idx="47">
                  <c:v>41639</c:v>
                </c:pt>
                <c:pt idx="48">
                  <c:v>41729</c:v>
                </c:pt>
                <c:pt idx="49">
                  <c:v>41820</c:v>
                </c:pt>
                <c:pt idx="50">
                  <c:v>41912</c:v>
                </c:pt>
                <c:pt idx="51">
                  <c:v>42004</c:v>
                </c:pt>
                <c:pt idx="52">
                  <c:v>42094</c:v>
                </c:pt>
                <c:pt idx="53">
                  <c:v>42185</c:v>
                </c:pt>
                <c:pt idx="54">
                  <c:v>42277</c:v>
                </c:pt>
                <c:pt idx="55">
                  <c:v>42369</c:v>
                </c:pt>
                <c:pt idx="56">
                  <c:v>42460</c:v>
                </c:pt>
                <c:pt idx="57">
                  <c:v>42551</c:v>
                </c:pt>
                <c:pt idx="58">
                  <c:v>42643</c:v>
                </c:pt>
                <c:pt idx="59">
                  <c:v>42735</c:v>
                </c:pt>
                <c:pt idx="60">
                  <c:v>42825</c:v>
                </c:pt>
                <c:pt idx="61">
                  <c:v>42916</c:v>
                </c:pt>
                <c:pt idx="62">
                  <c:v>43008</c:v>
                </c:pt>
                <c:pt idx="63">
                  <c:v>43100</c:v>
                </c:pt>
                <c:pt idx="64">
                  <c:v>43190</c:v>
                </c:pt>
                <c:pt idx="65">
                  <c:v>43281</c:v>
                </c:pt>
                <c:pt idx="66">
                  <c:v>43373</c:v>
                </c:pt>
                <c:pt idx="67">
                  <c:v>43465</c:v>
                </c:pt>
                <c:pt idx="68">
                  <c:v>43555</c:v>
                </c:pt>
                <c:pt idx="69">
                  <c:v>43646</c:v>
                </c:pt>
                <c:pt idx="70">
                  <c:v>43738</c:v>
                </c:pt>
                <c:pt idx="71">
                  <c:v>43830</c:v>
                </c:pt>
                <c:pt idx="72">
                  <c:v>43921</c:v>
                </c:pt>
                <c:pt idx="73">
                  <c:v>44012</c:v>
                </c:pt>
                <c:pt idx="74">
                  <c:v>44104</c:v>
                </c:pt>
                <c:pt idx="75">
                  <c:v>44196</c:v>
                </c:pt>
              </c:numCache>
            </c:numRef>
          </c:cat>
          <c:val>
            <c:numRef>
              <c:f>prinos!$N$3:$N$78</c:f>
              <c:numCache>
                <c:formatCode>General</c:formatCode>
                <c:ptCount val="76"/>
                <c:pt idx="0">
                  <c:v>6.86</c:v>
                </c:pt>
                <c:pt idx="1">
                  <c:v>7.03</c:v>
                </c:pt>
                <c:pt idx="2">
                  <c:v>7.22</c:v>
                </c:pt>
                <c:pt idx="3">
                  <c:v>6.81</c:v>
                </c:pt>
                <c:pt idx="4">
                  <c:v>6.18</c:v>
                </c:pt>
                <c:pt idx="5">
                  <c:v>5.89</c:v>
                </c:pt>
                <c:pt idx="6">
                  <c:v>5.7</c:v>
                </c:pt>
                <c:pt idx="7">
                  <c:v>5.48</c:v>
                </c:pt>
                <c:pt idx="8">
                  <c:v>5.57</c:v>
                </c:pt>
                <c:pt idx="9">
                  <c:v>5.54</c:v>
                </c:pt>
                <c:pt idx="10">
                  <c:v>5.68</c:v>
                </c:pt>
                <c:pt idx="11">
                  <c:v>5.27</c:v>
                </c:pt>
                <c:pt idx="12">
                  <c:v>4.75</c:v>
                </c:pt>
                <c:pt idx="13">
                  <c:v>4.37</c:v>
                </c:pt>
                <c:pt idx="14">
                  <c:v>4.28</c:v>
                </c:pt>
                <c:pt idx="15">
                  <c:v>3.97</c:v>
                </c:pt>
                <c:pt idx="16">
                  <c:v>4.04</c:v>
                </c:pt>
                <c:pt idx="17">
                  <c:v>4.2</c:v>
                </c:pt>
                <c:pt idx="18">
                  <c:v>4.6399999999999997</c:v>
                </c:pt>
                <c:pt idx="19">
                  <c:v>4.75</c:v>
                </c:pt>
                <c:pt idx="20">
                  <c:v>4.75</c:v>
                </c:pt>
                <c:pt idx="21">
                  <c:v>4.47</c:v>
                </c:pt>
                <c:pt idx="22">
                  <c:v>5.04</c:v>
                </c:pt>
                <c:pt idx="23">
                  <c:v>5.22</c:v>
                </c:pt>
                <c:pt idx="24">
                  <c:v>5.55</c:v>
                </c:pt>
                <c:pt idx="25">
                  <c:v>5.79</c:v>
                </c:pt>
                <c:pt idx="26">
                  <c:v>5.81</c:v>
                </c:pt>
                <c:pt idx="27">
                  <c:v>6.26</c:v>
                </c:pt>
                <c:pt idx="28">
                  <c:v>6.83</c:v>
                </c:pt>
                <c:pt idx="29">
                  <c:v>8.4</c:v>
                </c:pt>
                <c:pt idx="30">
                  <c:v>8.5299999999999994</c:v>
                </c:pt>
                <c:pt idx="31">
                  <c:v>8.64</c:v>
                </c:pt>
                <c:pt idx="32">
                  <c:v>5.95</c:v>
                </c:pt>
                <c:pt idx="33">
                  <c:v>6.22</c:v>
                </c:pt>
                <c:pt idx="34">
                  <c:v>6.56</c:v>
                </c:pt>
                <c:pt idx="35">
                  <c:v>6.41</c:v>
                </c:pt>
                <c:pt idx="36">
                  <c:v>6.55</c:v>
                </c:pt>
                <c:pt idx="37">
                  <c:v>6.1</c:v>
                </c:pt>
                <c:pt idx="38">
                  <c:v>6.24</c:v>
                </c:pt>
                <c:pt idx="39">
                  <c:v>6.81</c:v>
                </c:pt>
                <c:pt idx="40">
                  <c:v>7.54</c:v>
                </c:pt>
                <c:pt idx="41">
                  <c:v>6.59</c:v>
                </c:pt>
                <c:pt idx="42">
                  <c:v>6.43</c:v>
                </c:pt>
                <c:pt idx="43">
                  <c:v>4.78</c:v>
                </c:pt>
                <c:pt idx="44">
                  <c:v>4.29</c:v>
                </c:pt>
                <c:pt idx="45">
                  <c:v>4.34</c:v>
                </c:pt>
                <c:pt idx="46">
                  <c:v>4.91</c:v>
                </c:pt>
                <c:pt idx="47">
                  <c:v>4.99</c:v>
                </c:pt>
                <c:pt idx="48">
                  <c:v>5.1100000000000003</c:v>
                </c:pt>
                <c:pt idx="49">
                  <c:v>4.41</c:v>
                </c:pt>
                <c:pt idx="50">
                  <c:v>3.72</c:v>
                </c:pt>
                <c:pt idx="51">
                  <c:v>3.54</c:v>
                </c:pt>
                <c:pt idx="52">
                  <c:v>3.32</c:v>
                </c:pt>
                <c:pt idx="53">
                  <c:v>3.17</c:v>
                </c:pt>
                <c:pt idx="54">
                  <c:v>4.2300000000000004</c:v>
                </c:pt>
                <c:pt idx="55">
                  <c:v>3.93</c:v>
                </c:pt>
                <c:pt idx="56">
                  <c:v>3.84</c:v>
                </c:pt>
                <c:pt idx="57">
                  <c:v>3.62</c:v>
                </c:pt>
                <c:pt idx="58">
                  <c:v>3.75</c:v>
                </c:pt>
                <c:pt idx="59">
                  <c:v>3.07</c:v>
                </c:pt>
                <c:pt idx="60">
                  <c:v>2.8</c:v>
                </c:pt>
                <c:pt idx="61">
                  <c:v>2.98</c:v>
                </c:pt>
                <c:pt idx="62">
                  <c:v>2.78</c:v>
                </c:pt>
                <c:pt idx="63">
                  <c:v>2.66</c:v>
                </c:pt>
                <c:pt idx="64">
                  <c:v>2.35</c:v>
                </c:pt>
                <c:pt idx="65">
                  <c:v>2.12</c:v>
                </c:pt>
                <c:pt idx="66">
                  <c:v>2.2599999999999998</c:v>
                </c:pt>
                <c:pt idx="67">
                  <c:v>2.09</c:v>
                </c:pt>
                <c:pt idx="68">
                  <c:v>2.23</c:v>
                </c:pt>
                <c:pt idx="69">
                  <c:v>1.82</c:v>
                </c:pt>
                <c:pt idx="70">
                  <c:v>1.06</c:v>
                </c:pt>
                <c:pt idx="71">
                  <c:v>0.47</c:v>
                </c:pt>
                <c:pt idx="72">
                  <c:v>1.24</c:v>
                </c:pt>
                <c:pt idx="73" formatCode="0.00">
                  <c:v>1.6774152811688936</c:v>
                </c:pt>
                <c:pt idx="74" formatCode="0.00">
                  <c:v>1.8003839027776225</c:v>
                </c:pt>
                <c:pt idx="75" formatCode="0.00">
                  <c:v>1.8009247498428274</c:v>
                </c:pt>
              </c:numCache>
            </c:numRef>
          </c:val>
          <c:smooth val="0"/>
          <c:extLst>
            <c:ext xmlns:c16="http://schemas.microsoft.com/office/drawing/2014/chart" uri="{C3380CC4-5D6E-409C-BE32-E72D297353CC}">
              <c16:uniqueId val="{00000001-DEC9-4518-8E7C-608BEF5C1CC9}"/>
            </c:ext>
          </c:extLst>
        </c:ser>
        <c:ser>
          <c:idx val="2"/>
          <c:order val="2"/>
          <c:tx>
            <c:strRef>
              <c:f>prinos!$Z$2</c:f>
              <c:strCache>
                <c:ptCount val="1"/>
                <c:pt idx="0">
                  <c:v>yld</c:v>
                </c:pt>
              </c:strCache>
            </c:strRef>
          </c:tx>
          <c:spPr>
            <a:ln w="28575" cmpd="sng">
              <a:solidFill>
                <a:schemeClr val="accent3"/>
              </a:solidFill>
            </a:ln>
          </c:spPr>
          <c:marker>
            <c:symbol val="none"/>
          </c:marker>
          <c:cat>
            <c:numRef>
              <c:f>prinos!$A$3:$A$78</c:f>
              <c:numCache>
                <c:formatCode>m/d/yyyy</c:formatCode>
                <c:ptCount val="76"/>
                <c:pt idx="0">
                  <c:v>37346</c:v>
                </c:pt>
                <c:pt idx="1">
                  <c:v>37437</c:v>
                </c:pt>
                <c:pt idx="2">
                  <c:v>37529</c:v>
                </c:pt>
                <c:pt idx="3">
                  <c:v>37621</c:v>
                </c:pt>
                <c:pt idx="4">
                  <c:v>37711</c:v>
                </c:pt>
                <c:pt idx="5">
                  <c:v>37802</c:v>
                </c:pt>
                <c:pt idx="6">
                  <c:v>37894</c:v>
                </c:pt>
                <c:pt idx="7">
                  <c:v>37986</c:v>
                </c:pt>
                <c:pt idx="8">
                  <c:v>38077</c:v>
                </c:pt>
                <c:pt idx="9">
                  <c:v>38168</c:v>
                </c:pt>
                <c:pt idx="10">
                  <c:v>38260</c:v>
                </c:pt>
                <c:pt idx="11">
                  <c:v>38352</c:v>
                </c:pt>
                <c:pt idx="12">
                  <c:v>38442</c:v>
                </c:pt>
                <c:pt idx="13">
                  <c:v>38533</c:v>
                </c:pt>
                <c:pt idx="14">
                  <c:v>38625</c:v>
                </c:pt>
                <c:pt idx="15">
                  <c:v>38717</c:v>
                </c:pt>
                <c:pt idx="16">
                  <c:v>38807</c:v>
                </c:pt>
                <c:pt idx="17">
                  <c:v>38898</c:v>
                </c:pt>
                <c:pt idx="18">
                  <c:v>38990</c:v>
                </c:pt>
                <c:pt idx="19">
                  <c:v>39082</c:v>
                </c:pt>
                <c:pt idx="20">
                  <c:v>39172</c:v>
                </c:pt>
                <c:pt idx="21">
                  <c:v>39263</c:v>
                </c:pt>
                <c:pt idx="22">
                  <c:v>39355</c:v>
                </c:pt>
                <c:pt idx="23">
                  <c:v>39447</c:v>
                </c:pt>
                <c:pt idx="24">
                  <c:v>39538</c:v>
                </c:pt>
                <c:pt idx="25">
                  <c:v>39629</c:v>
                </c:pt>
                <c:pt idx="26">
                  <c:v>39721</c:v>
                </c:pt>
                <c:pt idx="27">
                  <c:v>39813</c:v>
                </c:pt>
                <c:pt idx="28">
                  <c:v>39903</c:v>
                </c:pt>
                <c:pt idx="29">
                  <c:v>39994</c:v>
                </c:pt>
                <c:pt idx="30">
                  <c:v>40086</c:v>
                </c:pt>
                <c:pt idx="31">
                  <c:v>40178</c:v>
                </c:pt>
                <c:pt idx="32">
                  <c:v>40268</c:v>
                </c:pt>
                <c:pt idx="33">
                  <c:v>40359</c:v>
                </c:pt>
                <c:pt idx="34">
                  <c:v>40451</c:v>
                </c:pt>
                <c:pt idx="35">
                  <c:v>40543</c:v>
                </c:pt>
                <c:pt idx="36">
                  <c:v>40633</c:v>
                </c:pt>
                <c:pt idx="37">
                  <c:v>40724</c:v>
                </c:pt>
                <c:pt idx="38">
                  <c:v>40816</c:v>
                </c:pt>
                <c:pt idx="39">
                  <c:v>40908</c:v>
                </c:pt>
                <c:pt idx="40">
                  <c:v>40999</c:v>
                </c:pt>
                <c:pt idx="41">
                  <c:v>41090</c:v>
                </c:pt>
                <c:pt idx="42">
                  <c:v>41182</c:v>
                </c:pt>
                <c:pt idx="43">
                  <c:v>41274</c:v>
                </c:pt>
                <c:pt idx="44">
                  <c:v>41364</c:v>
                </c:pt>
                <c:pt idx="45">
                  <c:v>41455</c:v>
                </c:pt>
                <c:pt idx="46">
                  <c:v>41547</c:v>
                </c:pt>
                <c:pt idx="47">
                  <c:v>41639</c:v>
                </c:pt>
                <c:pt idx="48">
                  <c:v>41729</c:v>
                </c:pt>
                <c:pt idx="49">
                  <c:v>41820</c:v>
                </c:pt>
                <c:pt idx="50">
                  <c:v>41912</c:v>
                </c:pt>
                <c:pt idx="51">
                  <c:v>42004</c:v>
                </c:pt>
                <c:pt idx="52">
                  <c:v>42094</c:v>
                </c:pt>
                <c:pt idx="53">
                  <c:v>42185</c:v>
                </c:pt>
                <c:pt idx="54">
                  <c:v>42277</c:v>
                </c:pt>
                <c:pt idx="55">
                  <c:v>42369</c:v>
                </c:pt>
                <c:pt idx="56">
                  <c:v>42460</c:v>
                </c:pt>
                <c:pt idx="57">
                  <c:v>42551</c:v>
                </c:pt>
                <c:pt idx="58">
                  <c:v>42643</c:v>
                </c:pt>
                <c:pt idx="59">
                  <c:v>42735</c:v>
                </c:pt>
                <c:pt idx="60">
                  <c:v>42825</c:v>
                </c:pt>
                <c:pt idx="61">
                  <c:v>42916</c:v>
                </c:pt>
                <c:pt idx="62">
                  <c:v>43008</c:v>
                </c:pt>
                <c:pt idx="63">
                  <c:v>43100</c:v>
                </c:pt>
                <c:pt idx="64">
                  <c:v>43190</c:v>
                </c:pt>
                <c:pt idx="65">
                  <c:v>43281</c:v>
                </c:pt>
                <c:pt idx="66">
                  <c:v>43373</c:v>
                </c:pt>
                <c:pt idx="67">
                  <c:v>43465</c:v>
                </c:pt>
                <c:pt idx="68">
                  <c:v>43555</c:v>
                </c:pt>
                <c:pt idx="69">
                  <c:v>43646</c:v>
                </c:pt>
                <c:pt idx="70">
                  <c:v>43738</c:v>
                </c:pt>
                <c:pt idx="71">
                  <c:v>43830</c:v>
                </c:pt>
                <c:pt idx="72">
                  <c:v>43921</c:v>
                </c:pt>
                <c:pt idx="73">
                  <c:v>44012</c:v>
                </c:pt>
                <c:pt idx="74">
                  <c:v>44104</c:v>
                </c:pt>
                <c:pt idx="75">
                  <c:v>44196</c:v>
                </c:pt>
              </c:numCache>
            </c:numRef>
          </c:cat>
          <c:val>
            <c:numRef>
              <c:f>prinos!$Z$3:$Z$78</c:f>
              <c:numCache>
                <c:formatCode>General</c:formatCode>
                <c:ptCount val="76"/>
                <c:pt idx="0">
                  <c:v>6.86</c:v>
                </c:pt>
                <c:pt idx="1">
                  <c:v>7.03</c:v>
                </c:pt>
                <c:pt idx="2">
                  <c:v>7.22</c:v>
                </c:pt>
                <c:pt idx="3">
                  <c:v>6.81</c:v>
                </c:pt>
                <c:pt idx="4">
                  <c:v>6.18</c:v>
                </c:pt>
                <c:pt idx="5">
                  <c:v>5.89</c:v>
                </c:pt>
                <c:pt idx="6">
                  <c:v>5.7</c:v>
                </c:pt>
                <c:pt idx="7">
                  <c:v>5.48</c:v>
                </c:pt>
                <c:pt idx="8">
                  <c:v>5.57</c:v>
                </c:pt>
                <c:pt idx="9">
                  <c:v>5.54</c:v>
                </c:pt>
                <c:pt idx="10">
                  <c:v>5.68</c:v>
                </c:pt>
                <c:pt idx="11">
                  <c:v>5.27</c:v>
                </c:pt>
                <c:pt idx="12">
                  <c:v>4.75</c:v>
                </c:pt>
                <c:pt idx="13">
                  <c:v>4.37</c:v>
                </c:pt>
                <c:pt idx="14">
                  <c:v>4.28</c:v>
                </c:pt>
                <c:pt idx="15">
                  <c:v>3.97</c:v>
                </c:pt>
                <c:pt idx="16">
                  <c:v>4.04</c:v>
                </c:pt>
                <c:pt idx="17">
                  <c:v>4.2</c:v>
                </c:pt>
                <c:pt idx="18">
                  <c:v>4.6399999999999997</c:v>
                </c:pt>
                <c:pt idx="19">
                  <c:v>4.75</c:v>
                </c:pt>
                <c:pt idx="20">
                  <c:v>4.75</c:v>
                </c:pt>
                <c:pt idx="21">
                  <c:v>4.47</c:v>
                </c:pt>
                <c:pt idx="22">
                  <c:v>5.04</c:v>
                </c:pt>
                <c:pt idx="23">
                  <c:v>5.22</c:v>
                </c:pt>
                <c:pt idx="24">
                  <c:v>5.55</c:v>
                </c:pt>
                <c:pt idx="25">
                  <c:v>5.79</c:v>
                </c:pt>
                <c:pt idx="26">
                  <c:v>5.81</c:v>
                </c:pt>
                <c:pt idx="27">
                  <c:v>6.26</c:v>
                </c:pt>
                <c:pt idx="28">
                  <c:v>6.83</c:v>
                </c:pt>
                <c:pt idx="29">
                  <c:v>8.4</c:v>
                </c:pt>
                <c:pt idx="30">
                  <c:v>8.5299999999999994</c:v>
                </c:pt>
                <c:pt idx="31">
                  <c:v>8.64</c:v>
                </c:pt>
                <c:pt idx="32">
                  <c:v>5.95</c:v>
                </c:pt>
                <c:pt idx="33">
                  <c:v>6.22</c:v>
                </c:pt>
                <c:pt idx="34">
                  <c:v>6.56</c:v>
                </c:pt>
                <c:pt idx="35">
                  <c:v>6.41</c:v>
                </c:pt>
                <c:pt idx="36">
                  <c:v>6.55</c:v>
                </c:pt>
                <c:pt idx="37">
                  <c:v>6.1</c:v>
                </c:pt>
                <c:pt idx="38">
                  <c:v>6.24</c:v>
                </c:pt>
                <c:pt idx="39">
                  <c:v>6.81</c:v>
                </c:pt>
                <c:pt idx="40">
                  <c:v>7.54</c:v>
                </c:pt>
                <c:pt idx="41">
                  <c:v>6.59</c:v>
                </c:pt>
                <c:pt idx="42">
                  <c:v>6.43</c:v>
                </c:pt>
                <c:pt idx="43">
                  <c:v>4.78</c:v>
                </c:pt>
                <c:pt idx="44">
                  <c:v>4.29</c:v>
                </c:pt>
                <c:pt idx="45">
                  <c:v>4.34</c:v>
                </c:pt>
                <c:pt idx="46">
                  <c:v>4.91</c:v>
                </c:pt>
                <c:pt idx="47">
                  <c:v>4.99</c:v>
                </c:pt>
                <c:pt idx="48">
                  <c:v>5.1100000000000003</c:v>
                </c:pt>
                <c:pt idx="49">
                  <c:v>4.41</c:v>
                </c:pt>
                <c:pt idx="50">
                  <c:v>3.72</c:v>
                </c:pt>
                <c:pt idx="51">
                  <c:v>3.54</c:v>
                </c:pt>
                <c:pt idx="52">
                  <c:v>3.32</c:v>
                </c:pt>
                <c:pt idx="53">
                  <c:v>3.17</c:v>
                </c:pt>
                <c:pt idx="54">
                  <c:v>4.2300000000000004</c:v>
                </c:pt>
                <c:pt idx="55">
                  <c:v>3.93</c:v>
                </c:pt>
                <c:pt idx="56">
                  <c:v>3.84</c:v>
                </c:pt>
                <c:pt idx="57">
                  <c:v>3.62</c:v>
                </c:pt>
                <c:pt idx="58">
                  <c:v>3.75</c:v>
                </c:pt>
                <c:pt idx="59">
                  <c:v>3.07</c:v>
                </c:pt>
                <c:pt idx="60">
                  <c:v>2.8</c:v>
                </c:pt>
                <c:pt idx="61">
                  <c:v>2.98</c:v>
                </c:pt>
                <c:pt idx="62">
                  <c:v>2.78</c:v>
                </c:pt>
                <c:pt idx="63">
                  <c:v>2.66</c:v>
                </c:pt>
                <c:pt idx="64">
                  <c:v>2.35</c:v>
                </c:pt>
                <c:pt idx="65">
                  <c:v>2.12</c:v>
                </c:pt>
                <c:pt idx="66">
                  <c:v>2.2599999999999998</c:v>
                </c:pt>
                <c:pt idx="67">
                  <c:v>2.09</c:v>
                </c:pt>
                <c:pt idx="68">
                  <c:v>2.23</c:v>
                </c:pt>
                <c:pt idx="69">
                  <c:v>1.82</c:v>
                </c:pt>
                <c:pt idx="70">
                  <c:v>1.06</c:v>
                </c:pt>
                <c:pt idx="71">
                  <c:v>0.47</c:v>
                </c:pt>
                <c:pt idx="72">
                  <c:v>1.24</c:v>
                </c:pt>
                <c:pt idx="73" formatCode="0.00">
                  <c:v>1.6141900868675128</c:v>
                </c:pt>
                <c:pt idx="74" formatCode="0.00">
                  <c:v>1.7392074521645271</c:v>
                </c:pt>
                <c:pt idx="75" formatCode="0.00">
                  <c:v>1.766693970984194</c:v>
                </c:pt>
              </c:numCache>
            </c:numRef>
          </c:val>
          <c:smooth val="0"/>
          <c:extLst>
            <c:ext xmlns:c16="http://schemas.microsoft.com/office/drawing/2014/chart" uri="{C3380CC4-5D6E-409C-BE32-E72D297353CC}">
              <c16:uniqueId val="{00000002-DEC9-4518-8E7C-608BEF5C1CC9}"/>
            </c:ext>
          </c:extLst>
        </c:ser>
        <c:dLbls>
          <c:showLegendKey val="0"/>
          <c:showVal val="0"/>
          <c:showCatName val="0"/>
          <c:showSerName val="0"/>
          <c:showPercent val="0"/>
          <c:showBubbleSize val="0"/>
        </c:dLbls>
        <c:smooth val="0"/>
        <c:axId val="1197153379"/>
        <c:axId val="580456369"/>
      </c:lineChart>
      <c:dateAx>
        <c:axId val="1197153379"/>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580456369"/>
        <c:crosses val="autoZero"/>
        <c:auto val="1"/>
        <c:lblOffset val="100"/>
        <c:baseTimeUnit val="months"/>
      </c:dateAx>
      <c:valAx>
        <c:axId val="5804563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sr-Latn-RS"/>
          </a:p>
        </c:txPr>
        <c:crossAx val="1197153379"/>
        <c:crosses val="autoZero"/>
        <c:crossBetween val="between"/>
      </c:valAx>
    </c:plotArea>
    <c:legend>
      <c:legendPos val="b"/>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kstope!$B$2</c:f>
              <c:strCache>
                <c:ptCount val="1"/>
                <c:pt idx="0">
                  <c:v>kks</c:v>
                </c:pt>
              </c:strCache>
            </c:strRef>
          </c:tx>
          <c:spPr>
            <a:ln w="28575" cmpd="sng">
              <a:solidFill>
                <a:schemeClr val="accent1"/>
              </a:solidFill>
            </a:ln>
          </c:spPr>
          <c:marker>
            <c:symbol val="none"/>
          </c:marker>
          <c:cat>
            <c:strRef>
              <c:f>kstope!$A$3:$A$78</c:f>
              <c:strCache>
                <c:ptCount val="76"/>
                <c:pt idx="0">
                  <c:v>31.3.2002</c:v>
                </c:pt>
                <c:pt idx="1">
                  <c:v>30.6.2002</c:v>
                </c:pt>
                <c:pt idx="2">
                  <c:v>30.9.2002</c:v>
                </c:pt>
                <c:pt idx="3">
                  <c:v>31.12.2002</c:v>
                </c:pt>
                <c:pt idx="4">
                  <c:v>31.3.2003</c:v>
                </c:pt>
                <c:pt idx="5">
                  <c:v>30.6.2003</c:v>
                </c:pt>
                <c:pt idx="6">
                  <c:v>30.9.2003</c:v>
                </c:pt>
                <c:pt idx="7">
                  <c:v>31.12.2003</c:v>
                </c:pt>
                <c:pt idx="8">
                  <c:v>31.3.2004</c:v>
                </c:pt>
                <c:pt idx="9">
                  <c:v>30.6.2004</c:v>
                </c:pt>
                <c:pt idx="10">
                  <c:v>30.9.2004</c:v>
                </c:pt>
                <c:pt idx="11">
                  <c:v>31.12.2004</c:v>
                </c:pt>
                <c:pt idx="12">
                  <c:v>31.3.2005</c:v>
                </c:pt>
                <c:pt idx="13">
                  <c:v>30.6.2005</c:v>
                </c:pt>
                <c:pt idx="14">
                  <c:v>30.9.2005</c:v>
                </c:pt>
                <c:pt idx="15">
                  <c:v>31.12.2005</c:v>
                </c:pt>
                <c:pt idx="16">
                  <c:v>31.3.2006</c:v>
                </c:pt>
                <c:pt idx="17">
                  <c:v>30.6.2006</c:v>
                </c:pt>
                <c:pt idx="18">
                  <c:v>30.9.2006</c:v>
                </c:pt>
                <c:pt idx="19">
                  <c:v>31.12.2006</c:v>
                </c:pt>
                <c:pt idx="20">
                  <c:v>31.3.2007</c:v>
                </c:pt>
                <c:pt idx="21">
                  <c:v>30.6.2007</c:v>
                </c:pt>
                <c:pt idx="22">
                  <c:v>30.9.2007</c:v>
                </c:pt>
                <c:pt idx="23">
                  <c:v>31.12.2007</c:v>
                </c:pt>
                <c:pt idx="24">
                  <c:v>31.3.2008</c:v>
                </c:pt>
                <c:pt idx="25">
                  <c:v>30.6.2008</c:v>
                </c:pt>
                <c:pt idx="26">
                  <c:v>30.9.2008</c:v>
                </c:pt>
                <c:pt idx="27">
                  <c:v>31.12.2008</c:v>
                </c:pt>
                <c:pt idx="28">
                  <c:v>31.3.2009</c:v>
                </c:pt>
                <c:pt idx="29">
                  <c:v>30.6.2009</c:v>
                </c:pt>
                <c:pt idx="30">
                  <c:v>30.9.2009</c:v>
                </c:pt>
                <c:pt idx="31">
                  <c:v>31.12.2009</c:v>
                </c:pt>
                <c:pt idx="32">
                  <c:v>31.3.2010</c:v>
                </c:pt>
                <c:pt idx="33">
                  <c:v>30.6.2010</c:v>
                </c:pt>
                <c:pt idx="34">
                  <c:v>30.9.2010</c:v>
                </c:pt>
                <c:pt idx="35">
                  <c:v>31.12.2010</c:v>
                </c:pt>
                <c:pt idx="36">
                  <c:v>31.3.2011</c:v>
                </c:pt>
                <c:pt idx="37">
                  <c:v>30.6.2011</c:v>
                </c:pt>
                <c:pt idx="38">
                  <c:v>30.9.2011</c:v>
                </c:pt>
                <c:pt idx="39">
                  <c:v>31.12.2011</c:v>
                </c:pt>
                <c:pt idx="40">
                  <c:v>31.3.2012</c:v>
                </c:pt>
                <c:pt idx="41">
                  <c:v>30.6.2012</c:v>
                </c:pt>
                <c:pt idx="42">
                  <c:v>30.9.2012</c:v>
                </c:pt>
                <c:pt idx="43">
                  <c:v>31.12.2012</c:v>
                </c:pt>
                <c:pt idx="44">
                  <c:v>31.3.2013</c:v>
                </c:pt>
                <c:pt idx="45">
                  <c:v>30.6.2013</c:v>
                </c:pt>
                <c:pt idx="46">
                  <c:v>30.9.2013</c:v>
                </c:pt>
                <c:pt idx="47">
                  <c:v>31.12.2013</c:v>
                </c:pt>
                <c:pt idx="48">
                  <c:v>31.3.2014</c:v>
                </c:pt>
                <c:pt idx="49">
                  <c:v>30.6.2014</c:v>
                </c:pt>
                <c:pt idx="50">
                  <c:v>30.9.2014</c:v>
                </c:pt>
                <c:pt idx="51">
                  <c:v>31.12.2014</c:v>
                </c:pt>
                <c:pt idx="52">
                  <c:v>31.3.2015</c:v>
                </c:pt>
                <c:pt idx="53">
                  <c:v>30.6.2015</c:v>
                </c:pt>
                <c:pt idx="54">
                  <c:v>30.9.2015</c:v>
                </c:pt>
                <c:pt idx="55">
                  <c:v>31.12.2015</c:v>
                </c:pt>
                <c:pt idx="56">
                  <c:v>31.3.2016</c:v>
                </c:pt>
                <c:pt idx="57">
                  <c:v>30.6.2016</c:v>
                </c:pt>
                <c:pt idx="58">
                  <c:v>30.9.2016</c:v>
                </c:pt>
                <c:pt idx="59">
                  <c:v>31.12.2016</c:v>
                </c:pt>
                <c:pt idx="60">
                  <c:v>31.3.2017</c:v>
                </c:pt>
                <c:pt idx="61">
                  <c:v>30.6.2017</c:v>
                </c:pt>
                <c:pt idx="62">
                  <c:v>30.9.2017</c:v>
                </c:pt>
                <c:pt idx="63">
                  <c:v>31.12.2017</c:v>
                </c:pt>
                <c:pt idx="64">
                  <c:v>31.3.2018</c:v>
                </c:pt>
                <c:pt idx="65">
                  <c:v>30.6.2018</c:v>
                </c:pt>
                <c:pt idx="66">
                  <c:v>30.9.2018</c:v>
                </c:pt>
                <c:pt idx="67">
                  <c:v>31.12.2018</c:v>
                </c:pt>
                <c:pt idx="68">
                  <c:v>31.3.2019</c:v>
                </c:pt>
                <c:pt idx="69">
                  <c:v>30.6.2019</c:v>
                </c:pt>
                <c:pt idx="70">
                  <c:v>30.9.2019</c:v>
                </c:pt>
                <c:pt idx="71">
                  <c:v>31.12.2019</c:v>
                </c:pt>
                <c:pt idx="72">
                  <c:v>31.3.2020</c:v>
                </c:pt>
                <c:pt idx="73">
                  <c:v>30.6.2020</c:v>
                </c:pt>
                <c:pt idx="74">
                  <c:v>30.9.2020</c:v>
                </c:pt>
                <c:pt idx="75">
                  <c:v>31.12.2020</c:v>
                </c:pt>
              </c:strCache>
            </c:strRef>
          </c:cat>
          <c:val>
            <c:numRef>
              <c:f>kstope!$B$3:$B$78</c:f>
              <c:numCache>
                <c:formatCode>#,##0.00</c:formatCode>
                <c:ptCount val="76"/>
                <c:pt idx="0">
                  <c:v>10.203802021823027</c:v>
                </c:pt>
                <c:pt idx="1">
                  <c:v>10.971615479063095</c:v>
                </c:pt>
                <c:pt idx="2">
                  <c:v>11.196896711463111</c:v>
                </c:pt>
                <c:pt idx="3">
                  <c:v>10.376249236273903</c:v>
                </c:pt>
                <c:pt idx="4">
                  <c:v>9.7543611623486743</c:v>
                </c:pt>
                <c:pt idx="5">
                  <c:v>9.7662938063104683</c:v>
                </c:pt>
                <c:pt idx="6">
                  <c:v>10.317305232046301</c:v>
                </c:pt>
                <c:pt idx="7">
                  <c:v>9.6760175120490395</c:v>
                </c:pt>
                <c:pt idx="8">
                  <c:v>8.897918571524583</c:v>
                </c:pt>
                <c:pt idx="9">
                  <c:v>9.5021468879323923</c:v>
                </c:pt>
                <c:pt idx="10">
                  <c:v>10.077823022838334</c:v>
                </c:pt>
                <c:pt idx="11">
                  <c:v>9.6316071020483118</c:v>
                </c:pt>
                <c:pt idx="12">
                  <c:v>9.1284850891557383</c:v>
                </c:pt>
                <c:pt idx="13">
                  <c:v>9.1043223166424667</c:v>
                </c:pt>
                <c:pt idx="14">
                  <c:v>9.4685691361919577</c:v>
                </c:pt>
                <c:pt idx="15">
                  <c:v>8.5849364469215868</c:v>
                </c:pt>
                <c:pt idx="16">
                  <c:v>8.1891794632643098</c:v>
                </c:pt>
                <c:pt idx="17">
                  <c:v>8.9117407172703835</c:v>
                </c:pt>
                <c:pt idx="18">
                  <c:v>8.9353107794524576</c:v>
                </c:pt>
                <c:pt idx="19">
                  <c:v>8.7935166132953935</c:v>
                </c:pt>
                <c:pt idx="20">
                  <c:v>8.1968071315474091</c:v>
                </c:pt>
                <c:pt idx="21">
                  <c:v>8.813725503792103</c:v>
                </c:pt>
                <c:pt idx="22">
                  <c:v>9.3415510150639367</c:v>
                </c:pt>
                <c:pt idx="23">
                  <c:v>9.0134137687054157</c:v>
                </c:pt>
                <c:pt idx="24">
                  <c:v>8.5556199752349702</c:v>
                </c:pt>
                <c:pt idx="25">
                  <c:v>9.4080681277911484</c:v>
                </c:pt>
                <c:pt idx="26">
                  <c:v>10.032822848831886</c:v>
                </c:pt>
                <c:pt idx="27">
                  <c:v>10.13248673066844</c:v>
                </c:pt>
                <c:pt idx="28">
                  <c:v>10.174293590304348</c:v>
                </c:pt>
                <c:pt idx="29">
                  <c:v>10.702430781182846</c:v>
                </c:pt>
                <c:pt idx="30">
                  <c:v>11.524706108858707</c:v>
                </c:pt>
                <c:pt idx="31">
                  <c:v>10.622468297818509</c:v>
                </c:pt>
                <c:pt idx="32">
                  <c:v>9.4145415746893306</c:v>
                </c:pt>
                <c:pt idx="33">
                  <c:v>9.5645289843469286</c:v>
                </c:pt>
                <c:pt idx="34">
                  <c:v>9.9995320211083669</c:v>
                </c:pt>
                <c:pt idx="35">
                  <c:v>9.2989757834066147</c:v>
                </c:pt>
                <c:pt idx="36">
                  <c:v>9.0738595216319737</c:v>
                </c:pt>
                <c:pt idx="37">
                  <c:v>9.2057790361843104</c:v>
                </c:pt>
                <c:pt idx="38">
                  <c:v>9.3856557288438616</c:v>
                </c:pt>
                <c:pt idx="39">
                  <c:v>9.2620734426870364</c:v>
                </c:pt>
                <c:pt idx="40">
                  <c:v>9.0738595216319737</c:v>
                </c:pt>
                <c:pt idx="41">
                  <c:v>9.2057790361843104</c:v>
                </c:pt>
                <c:pt idx="42">
                  <c:v>9.3856557288438616</c:v>
                </c:pt>
                <c:pt idx="43">
                  <c:v>9.0516177399443372</c:v>
                </c:pt>
                <c:pt idx="44">
                  <c:v>9.0737698177362258</c:v>
                </c:pt>
                <c:pt idx="45">
                  <c:v>8.7744357872498675</c:v>
                </c:pt>
                <c:pt idx="46">
                  <c:v>8.5550672160763757</c:v>
                </c:pt>
                <c:pt idx="47">
                  <c:v>8.1627736169334426</c:v>
                </c:pt>
                <c:pt idx="48">
                  <c:v>8.1218224994627377</c:v>
                </c:pt>
                <c:pt idx="49">
                  <c:v>8.1907738973199216</c:v>
                </c:pt>
                <c:pt idx="50">
                  <c:v>8.0539317359124123</c:v>
                </c:pt>
                <c:pt idx="51">
                  <c:v>7.9207029171446734</c:v>
                </c:pt>
                <c:pt idx="52">
                  <c:v>7.7461153320346847</c:v>
                </c:pt>
                <c:pt idx="53">
                  <c:v>7.8806741511939791</c:v>
                </c:pt>
                <c:pt idx="54">
                  <c:v>7.4572010065440582</c:v>
                </c:pt>
                <c:pt idx="55">
                  <c:v>7.3669886765019656</c:v>
                </c:pt>
                <c:pt idx="56">
                  <c:v>6.7988516250244571</c:v>
                </c:pt>
                <c:pt idx="57">
                  <c:v>6.8388510807878609</c:v>
                </c:pt>
                <c:pt idx="58">
                  <c:v>6.6967794250920232</c:v>
                </c:pt>
                <c:pt idx="59">
                  <c:v>6.6976397205007254</c:v>
                </c:pt>
                <c:pt idx="60">
                  <c:v>6.7756154459704083</c:v>
                </c:pt>
                <c:pt idx="61">
                  <c:v>6.779869405942156</c:v>
                </c:pt>
                <c:pt idx="62">
                  <c:v>6.7475239428247615</c:v>
                </c:pt>
                <c:pt idx="63">
                  <c:v>6.0833202722275148</c:v>
                </c:pt>
                <c:pt idx="64">
                  <c:v>5.9295090792082945</c:v>
                </c:pt>
                <c:pt idx="65">
                  <c:v>6.1886260215069404</c:v>
                </c:pt>
                <c:pt idx="66">
                  <c:v>5.8871190102159723</c:v>
                </c:pt>
                <c:pt idx="67">
                  <c:v>5.7731940247603148</c:v>
                </c:pt>
                <c:pt idx="68">
                  <c:v>5.7477218100096588</c:v>
                </c:pt>
                <c:pt idx="69">
                  <c:v>5.7674461642034434</c:v>
                </c:pt>
                <c:pt idx="70">
                  <c:v>5.6000556649403119</c:v>
                </c:pt>
                <c:pt idx="71">
                  <c:v>5.3034085089182215</c:v>
                </c:pt>
                <c:pt idx="72">
                  <c:v>5.05</c:v>
                </c:pt>
                <c:pt idx="73">
                  <c:v>5.249091259125211</c:v>
                </c:pt>
                <c:pt idx="74">
                  <c:v>5.4095962864634926</c:v>
                </c:pt>
                <c:pt idx="75">
                  <c:v>5.510198989111017</c:v>
                </c:pt>
              </c:numCache>
            </c:numRef>
          </c:val>
          <c:smooth val="0"/>
          <c:extLst>
            <c:ext xmlns:c16="http://schemas.microsoft.com/office/drawing/2014/chart" uri="{C3380CC4-5D6E-409C-BE32-E72D297353CC}">
              <c16:uniqueId val="{00000000-5F7F-407E-9010-4AA4C4BBB853}"/>
            </c:ext>
          </c:extLst>
        </c:ser>
        <c:ser>
          <c:idx val="1"/>
          <c:order val="1"/>
          <c:tx>
            <c:strRef>
              <c:f>kstope!$C$2</c:f>
              <c:strCache>
                <c:ptCount val="1"/>
                <c:pt idx="0">
                  <c:v>dks</c:v>
                </c:pt>
              </c:strCache>
            </c:strRef>
          </c:tx>
          <c:spPr>
            <a:ln w="28575" cmpd="sng">
              <a:solidFill>
                <a:schemeClr val="accent2"/>
              </a:solidFill>
            </a:ln>
          </c:spPr>
          <c:marker>
            <c:symbol val="none"/>
          </c:marker>
          <c:cat>
            <c:strRef>
              <c:f>kstope!$A$3:$A$78</c:f>
              <c:strCache>
                <c:ptCount val="76"/>
                <c:pt idx="0">
                  <c:v>31.3.2002</c:v>
                </c:pt>
                <c:pt idx="1">
                  <c:v>30.6.2002</c:v>
                </c:pt>
                <c:pt idx="2">
                  <c:v>30.9.2002</c:v>
                </c:pt>
                <c:pt idx="3">
                  <c:v>31.12.2002</c:v>
                </c:pt>
                <c:pt idx="4">
                  <c:v>31.3.2003</c:v>
                </c:pt>
                <c:pt idx="5">
                  <c:v>30.6.2003</c:v>
                </c:pt>
                <c:pt idx="6">
                  <c:v>30.9.2003</c:v>
                </c:pt>
                <c:pt idx="7">
                  <c:v>31.12.2003</c:v>
                </c:pt>
                <c:pt idx="8">
                  <c:v>31.3.2004</c:v>
                </c:pt>
                <c:pt idx="9">
                  <c:v>30.6.2004</c:v>
                </c:pt>
                <c:pt idx="10">
                  <c:v>30.9.2004</c:v>
                </c:pt>
                <c:pt idx="11">
                  <c:v>31.12.2004</c:v>
                </c:pt>
                <c:pt idx="12">
                  <c:v>31.3.2005</c:v>
                </c:pt>
                <c:pt idx="13">
                  <c:v>30.6.2005</c:v>
                </c:pt>
                <c:pt idx="14">
                  <c:v>30.9.2005</c:v>
                </c:pt>
                <c:pt idx="15">
                  <c:v>31.12.2005</c:v>
                </c:pt>
                <c:pt idx="16">
                  <c:v>31.3.2006</c:v>
                </c:pt>
                <c:pt idx="17">
                  <c:v>30.6.2006</c:v>
                </c:pt>
                <c:pt idx="18">
                  <c:v>30.9.2006</c:v>
                </c:pt>
                <c:pt idx="19">
                  <c:v>31.12.2006</c:v>
                </c:pt>
                <c:pt idx="20">
                  <c:v>31.3.2007</c:v>
                </c:pt>
                <c:pt idx="21">
                  <c:v>30.6.2007</c:v>
                </c:pt>
                <c:pt idx="22">
                  <c:v>30.9.2007</c:v>
                </c:pt>
                <c:pt idx="23">
                  <c:v>31.12.2007</c:v>
                </c:pt>
                <c:pt idx="24">
                  <c:v>31.3.2008</c:v>
                </c:pt>
                <c:pt idx="25">
                  <c:v>30.6.2008</c:v>
                </c:pt>
                <c:pt idx="26">
                  <c:v>30.9.2008</c:v>
                </c:pt>
                <c:pt idx="27">
                  <c:v>31.12.2008</c:v>
                </c:pt>
                <c:pt idx="28">
                  <c:v>31.3.2009</c:v>
                </c:pt>
                <c:pt idx="29">
                  <c:v>30.6.2009</c:v>
                </c:pt>
                <c:pt idx="30">
                  <c:v>30.9.2009</c:v>
                </c:pt>
                <c:pt idx="31">
                  <c:v>31.12.2009</c:v>
                </c:pt>
                <c:pt idx="32">
                  <c:v>31.3.2010</c:v>
                </c:pt>
                <c:pt idx="33">
                  <c:v>30.6.2010</c:v>
                </c:pt>
                <c:pt idx="34">
                  <c:v>30.9.2010</c:v>
                </c:pt>
                <c:pt idx="35">
                  <c:v>31.12.2010</c:v>
                </c:pt>
                <c:pt idx="36">
                  <c:v>31.3.2011</c:v>
                </c:pt>
                <c:pt idx="37">
                  <c:v>30.6.2011</c:v>
                </c:pt>
                <c:pt idx="38">
                  <c:v>30.9.2011</c:v>
                </c:pt>
                <c:pt idx="39">
                  <c:v>31.12.2011</c:v>
                </c:pt>
                <c:pt idx="40">
                  <c:v>31.3.2012</c:v>
                </c:pt>
                <c:pt idx="41">
                  <c:v>30.6.2012</c:v>
                </c:pt>
                <c:pt idx="42">
                  <c:v>30.9.2012</c:v>
                </c:pt>
                <c:pt idx="43">
                  <c:v>31.12.2012</c:v>
                </c:pt>
                <c:pt idx="44">
                  <c:v>31.3.2013</c:v>
                </c:pt>
                <c:pt idx="45">
                  <c:v>30.6.2013</c:v>
                </c:pt>
                <c:pt idx="46">
                  <c:v>30.9.2013</c:v>
                </c:pt>
                <c:pt idx="47">
                  <c:v>31.12.2013</c:v>
                </c:pt>
                <c:pt idx="48">
                  <c:v>31.3.2014</c:v>
                </c:pt>
                <c:pt idx="49">
                  <c:v>30.6.2014</c:v>
                </c:pt>
                <c:pt idx="50">
                  <c:v>30.9.2014</c:v>
                </c:pt>
                <c:pt idx="51">
                  <c:v>31.12.2014</c:v>
                </c:pt>
                <c:pt idx="52">
                  <c:v>31.3.2015</c:v>
                </c:pt>
                <c:pt idx="53">
                  <c:v>30.6.2015</c:v>
                </c:pt>
                <c:pt idx="54">
                  <c:v>30.9.2015</c:v>
                </c:pt>
                <c:pt idx="55">
                  <c:v>31.12.2015</c:v>
                </c:pt>
                <c:pt idx="56">
                  <c:v>31.3.2016</c:v>
                </c:pt>
                <c:pt idx="57">
                  <c:v>30.6.2016</c:v>
                </c:pt>
                <c:pt idx="58">
                  <c:v>30.9.2016</c:v>
                </c:pt>
                <c:pt idx="59">
                  <c:v>31.12.2016</c:v>
                </c:pt>
                <c:pt idx="60">
                  <c:v>31.3.2017</c:v>
                </c:pt>
                <c:pt idx="61">
                  <c:v>30.6.2017</c:v>
                </c:pt>
                <c:pt idx="62">
                  <c:v>30.9.2017</c:v>
                </c:pt>
                <c:pt idx="63">
                  <c:v>31.12.2017</c:v>
                </c:pt>
                <c:pt idx="64">
                  <c:v>31.3.2018</c:v>
                </c:pt>
                <c:pt idx="65">
                  <c:v>30.6.2018</c:v>
                </c:pt>
                <c:pt idx="66">
                  <c:v>30.9.2018</c:v>
                </c:pt>
                <c:pt idx="67">
                  <c:v>31.12.2018</c:v>
                </c:pt>
                <c:pt idx="68">
                  <c:v>31.3.2019</c:v>
                </c:pt>
                <c:pt idx="69">
                  <c:v>30.6.2019</c:v>
                </c:pt>
                <c:pt idx="70">
                  <c:v>30.9.2019</c:v>
                </c:pt>
                <c:pt idx="71">
                  <c:v>31.12.2019</c:v>
                </c:pt>
                <c:pt idx="72">
                  <c:v>31.3.2020</c:v>
                </c:pt>
                <c:pt idx="73">
                  <c:v>30.6.2020</c:v>
                </c:pt>
                <c:pt idx="74">
                  <c:v>30.9.2020</c:v>
                </c:pt>
                <c:pt idx="75">
                  <c:v>31.12.2020</c:v>
                </c:pt>
              </c:strCache>
            </c:strRef>
          </c:cat>
          <c:val>
            <c:numRef>
              <c:f>kstope!$C$3:$C$78</c:f>
              <c:numCache>
                <c:formatCode>#,##0.00</c:formatCode>
                <c:ptCount val="76"/>
                <c:pt idx="15">
                  <c:v>6.3156164567222994</c:v>
                </c:pt>
                <c:pt idx="16">
                  <c:v>6.8025216141603089</c:v>
                </c:pt>
                <c:pt idx="17">
                  <c:v>6.7024130577264698</c:v>
                </c:pt>
                <c:pt idx="18">
                  <c:v>7.1506196753550544</c:v>
                </c:pt>
                <c:pt idx="19">
                  <c:v>6.6005280834442237</c:v>
                </c:pt>
                <c:pt idx="20">
                  <c:v>6.8954213452860724</c:v>
                </c:pt>
                <c:pt idx="21">
                  <c:v>7.036892576508615</c:v>
                </c:pt>
                <c:pt idx="22">
                  <c:v>7.4447894500980603</c:v>
                </c:pt>
                <c:pt idx="23">
                  <c:v>7.1304071031017289</c:v>
                </c:pt>
                <c:pt idx="24">
                  <c:v>7.7213317064118794</c:v>
                </c:pt>
                <c:pt idx="25">
                  <c:v>7.9579358285881669</c:v>
                </c:pt>
                <c:pt idx="26">
                  <c:v>7.8384623880750866</c:v>
                </c:pt>
                <c:pt idx="27">
                  <c:v>7.8633992841038092</c:v>
                </c:pt>
                <c:pt idx="28">
                  <c:v>8.213225520517458</c:v>
                </c:pt>
                <c:pt idx="29">
                  <c:v>8.4183951732151758</c:v>
                </c:pt>
                <c:pt idx="30">
                  <c:v>8.2614760028667451</c:v>
                </c:pt>
                <c:pt idx="31">
                  <c:v>8.1994379061833058</c:v>
                </c:pt>
                <c:pt idx="32">
                  <c:v>8.3382705110944642</c:v>
                </c:pt>
                <c:pt idx="33">
                  <c:v>7.2361488881867384</c:v>
                </c:pt>
                <c:pt idx="34">
                  <c:v>8.0551831003679677</c:v>
                </c:pt>
                <c:pt idx="35">
                  <c:v>7.4719224729320421</c:v>
                </c:pt>
                <c:pt idx="36">
                  <c:v>7.7931422632367022</c:v>
                </c:pt>
                <c:pt idx="37">
                  <c:v>7.12305051227451</c:v>
                </c:pt>
                <c:pt idx="38">
                  <c:v>6.9044840100039728</c:v>
                </c:pt>
                <c:pt idx="39">
                  <c:v>8.2973139186193876</c:v>
                </c:pt>
                <c:pt idx="40">
                  <c:v>8.6974258098922466</c:v>
                </c:pt>
                <c:pt idx="41">
                  <c:v>8.3936710548261075</c:v>
                </c:pt>
                <c:pt idx="42">
                  <c:v>8.4954346380338794</c:v>
                </c:pt>
                <c:pt idx="43">
                  <c:v>8.1681318649890269</c:v>
                </c:pt>
                <c:pt idx="44">
                  <c:v>8.2508639916089237</c:v>
                </c:pt>
                <c:pt idx="45">
                  <c:v>8.1752419659962765</c:v>
                </c:pt>
                <c:pt idx="46">
                  <c:v>8.4751057514151213</c:v>
                </c:pt>
                <c:pt idx="47">
                  <c:v>7.9815141439801991</c:v>
                </c:pt>
                <c:pt idx="48">
                  <c:v>8.0968661278290153</c:v>
                </c:pt>
                <c:pt idx="49">
                  <c:v>8.0377235523691901</c:v>
                </c:pt>
                <c:pt idx="50">
                  <c:v>8.0905536577693375</c:v>
                </c:pt>
                <c:pt idx="51">
                  <c:v>7.4199699024953247</c:v>
                </c:pt>
                <c:pt idx="52">
                  <c:v>7.7803689795146216</c:v>
                </c:pt>
                <c:pt idx="53">
                  <c:v>7.4207007304054793</c:v>
                </c:pt>
                <c:pt idx="54">
                  <c:v>7.463197074229762</c:v>
                </c:pt>
                <c:pt idx="55">
                  <c:v>6.1542007858131074</c:v>
                </c:pt>
                <c:pt idx="56">
                  <c:v>6.6286284616258646</c:v>
                </c:pt>
                <c:pt idx="57">
                  <c:v>6.4896024050653338</c:v>
                </c:pt>
                <c:pt idx="58">
                  <c:v>6.3431531473707778</c:v>
                </c:pt>
                <c:pt idx="59">
                  <c:v>5.5566104476887261</c:v>
                </c:pt>
                <c:pt idx="60">
                  <c:v>5.5575043771093888</c:v>
                </c:pt>
                <c:pt idx="61">
                  <c:v>5.7143864203134358</c:v>
                </c:pt>
                <c:pt idx="62">
                  <c:v>5.9364190836570652</c:v>
                </c:pt>
                <c:pt idx="63">
                  <c:v>4.6785761835220567</c:v>
                </c:pt>
                <c:pt idx="64">
                  <c:v>5.2541416779102459</c:v>
                </c:pt>
                <c:pt idx="65">
                  <c:v>5.046486473771731</c:v>
                </c:pt>
                <c:pt idx="66">
                  <c:v>4.7830686151030966</c:v>
                </c:pt>
                <c:pt idx="67">
                  <c:v>4.7195912536756222</c:v>
                </c:pt>
                <c:pt idx="68">
                  <c:v>4.8871524907366499</c:v>
                </c:pt>
                <c:pt idx="69">
                  <c:v>4.4718246634376211</c:v>
                </c:pt>
                <c:pt idx="70">
                  <c:v>4.5288650329364533</c:v>
                </c:pt>
                <c:pt idx="71">
                  <c:v>3.8212305193457872</c:v>
                </c:pt>
                <c:pt idx="72">
                  <c:v>4.3</c:v>
                </c:pt>
                <c:pt idx="73">
                  <c:v>4.1880054999999992</c:v>
                </c:pt>
                <c:pt idx="74">
                  <c:v>4.1595203008229209</c:v>
                </c:pt>
                <c:pt idx="75">
                  <c:v>4.1809956375511419</c:v>
                </c:pt>
              </c:numCache>
            </c:numRef>
          </c:val>
          <c:smooth val="0"/>
          <c:extLst>
            <c:ext xmlns:c16="http://schemas.microsoft.com/office/drawing/2014/chart" uri="{C3380CC4-5D6E-409C-BE32-E72D297353CC}">
              <c16:uniqueId val="{00000001-5F7F-407E-9010-4AA4C4BBB853}"/>
            </c:ext>
          </c:extLst>
        </c:ser>
        <c:dLbls>
          <c:showLegendKey val="0"/>
          <c:showVal val="0"/>
          <c:showCatName val="0"/>
          <c:showSerName val="0"/>
          <c:showPercent val="0"/>
          <c:showBubbleSize val="0"/>
        </c:dLbls>
        <c:smooth val="0"/>
        <c:axId val="184726508"/>
        <c:axId val="913058505"/>
      </c:lineChart>
      <c:catAx>
        <c:axId val="184726508"/>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General" sourceLinked="1"/>
        <c:majorTickMark val="none"/>
        <c:minorTickMark val="none"/>
        <c:tickLblPos val="nextTo"/>
        <c:txPr>
          <a:bodyPr/>
          <a:lstStyle/>
          <a:p>
            <a:pPr lvl="0">
              <a:defRPr sz="900" b="0" i="0">
                <a:solidFill>
                  <a:srgbClr val="000000"/>
                </a:solidFill>
                <a:latin typeface="+mn-lt"/>
              </a:defRPr>
            </a:pPr>
            <a:endParaRPr lang="sr-Latn-RS"/>
          </a:p>
        </c:txPr>
        <c:crossAx val="913058505"/>
        <c:crosses val="autoZero"/>
        <c:auto val="1"/>
        <c:lblAlgn val="ctr"/>
        <c:lblOffset val="100"/>
        <c:noMultiLvlLbl val="1"/>
      </c:catAx>
      <c:valAx>
        <c:axId val="9130585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sr-Latn-RS"/>
          </a:p>
        </c:txPr>
        <c:crossAx val="184726508"/>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tecaj!$B$2</c:f>
              <c:strCache>
                <c:ptCount val="1"/>
                <c:pt idx="0">
                  <c:v>reserv</c:v>
                </c:pt>
              </c:strCache>
            </c:strRef>
          </c:tx>
          <c:spPr>
            <a:ln w="28575" cmpd="sng">
              <a:solidFill>
                <a:schemeClr val="accent1"/>
              </a:solidFill>
            </a:ln>
          </c:spPr>
          <c:marker>
            <c:symbol val="none"/>
          </c:marker>
          <c:cat>
            <c:numRef>
              <c:f>tecaj!$A$3:$A$86</c:f>
              <c:numCache>
                <c:formatCode>m/d/yyyy</c:formatCode>
                <c:ptCount val="84"/>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pt idx="80">
                  <c:v>43921</c:v>
                </c:pt>
                <c:pt idx="81">
                  <c:v>44012</c:v>
                </c:pt>
                <c:pt idx="82">
                  <c:v>44104</c:v>
                </c:pt>
                <c:pt idx="83">
                  <c:v>44196</c:v>
                </c:pt>
              </c:numCache>
            </c:numRef>
          </c:cat>
          <c:val>
            <c:numRef>
              <c:f>tecaj!$B$3:$B$86</c:f>
              <c:numCache>
                <c:formatCode>General</c:formatCode>
                <c:ptCount val="84"/>
                <c:pt idx="3" formatCode="_-* #,##0.00\ _k_n_-;\-* #,##0.00\ _k_n_-;_-* &quot;-&quot;??\ _k_n_-;_-@">
                  <c:v>0.67727361538637554</c:v>
                </c:pt>
                <c:pt idx="4" formatCode="_-* #,##0.00\ _k_n_-;\-* #,##0.00\ _k_n_-;_-* &quot;-&quot;??\ _k_n_-;_-@">
                  <c:v>0.84449923674562588</c:v>
                </c:pt>
                <c:pt idx="5" formatCode="_-* #,##0.00\ _k_n_-;\-* #,##0.00\ _k_n_-;_-* &quot;-&quot;??\ _k_n_-;_-@">
                  <c:v>0.93708952847828242</c:v>
                </c:pt>
                <c:pt idx="6" formatCode="_-* #,##0.00\ _k_n_-;\-* #,##0.00\ _k_n_-;_-* &quot;-&quot;??\ _k_n_-;_-@">
                  <c:v>1.124809554567229</c:v>
                </c:pt>
                <c:pt idx="7" formatCode="_-* #,##0.00\ _k_n_-;\-* #,##0.00\ _k_n_-;_-* &quot;-&quot;??\ _k_n_-;_-@">
                  <c:v>1.5489828212502661</c:v>
                </c:pt>
                <c:pt idx="8" formatCode="_-* #,##0.00\ _k_n_-;\-* #,##0.00\ _k_n_-;_-* &quot;-&quot;??\ _k_n_-;_-@">
                  <c:v>1.6484544313248879</c:v>
                </c:pt>
                <c:pt idx="9" formatCode="_-* #,##0.00\ _k_n_-;\-* #,##0.00\ _k_n_-;_-* &quot;-&quot;??\ _k_n_-;_-@">
                  <c:v>1.4939809081800617</c:v>
                </c:pt>
                <c:pt idx="10" formatCode="_-* #,##0.00\ _k_n_-;\-* #,##0.00\ _k_n_-;_-* &quot;-&quot;??\ _k_n_-;_-@">
                  <c:v>1.1862530092042463</c:v>
                </c:pt>
                <c:pt idx="11" formatCode="_-* #,##0.00\ _k_n_-;\-* #,##0.00\ _k_n_-;_-* &quot;-&quot;??\ _k_n_-;_-@">
                  <c:v>0.74186618808288962</c:v>
                </c:pt>
                <c:pt idx="12" formatCode="_-* #,##0.00\ _k_n_-;\-* #,##0.00\ _k_n_-;_-* &quot;-&quot;??\ _k_n_-;_-@">
                  <c:v>0.67055415725125544</c:v>
                </c:pt>
                <c:pt idx="13" formatCode="_-* #,##0.00\ _k_n_-;\-* #,##0.00\ _k_n_-;_-* &quot;-&quot;??\ _k_n_-;_-@">
                  <c:v>0.62248348055174763</c:v>
                </c:pt>
                <c:pt idx="14" formatCode="_-* #,##0.00\ _k_n_-;\-* #,##0.00\ _k_n_-;_-* &quot;-&quot;??\ _k_n_-;_-@">
                  <c:v>0.7008915698789604</c:v>
                </c:pt>
                <c:pt idx="15" formatCode="_-* #,##0.00\ _k_n_-;\-* #,##0.00\ _k_n_-;_-* &quot;-&quot;??\ _k_n_-;_-@">
                  <c:v>1.2354710240709235</c:v>
                </c:pt>
                <c:pt idx="16" formatCode="_-* #,##0.00\ _k_n_-;\-* #,##0.00\ _k_n_-;_-* &quot;-&quot;??\ _k_n_-;_-@">
                  <c:v>0.63289258238990642</c:v>
                </c:pt>
                <c:pt idx="17" formatCode="_-* #,##0.00\ _k_n_-;\-* #,##0.00\ _k_n_-;_-* &quot;-&quot;??\ _k_n_-;_-@">
                  <c:v>0.5817448602155334</c:v>
                </c:pt>
                <c:pt idx="18" formatCode="_-* #,##0.00\ _k_n_-;\-* #,##0.00\ _k_n_-;_-* &quot;-&quot;??\ _k_n_-;_-@">
                  <c:v>0.42030870240975721</c:v>
                </c:pt>
                <c:pt idx="19" formatCode="_-* #,##0.00\ _k_n_-;\-* #,##0.00\ _k_n_-;_-* &quot;-&quot;??\ _k_n_-;_-@">
                  <c:v>4.3033827075195742E-2</c:v>
                </c:pt>
                <c:pt idx="20" formatCode="_-* #,##0.00\ _k_n_-;\-* #,##0.00\ _k_n_-;_-* &quot;-&quot;??\ _k_n_-;_-@">
                  <c:v>0.65276711277459487</c:v>
                </c:pt>
                <c:pt idx="21" formatCode="_-* #,##0.00\ _k_n_-;\-* #,##0.00\ _k_n_-;_-* &quot;-&quot;??\ _k_n_-;_-@">
                  <c:v>0.73245210931552807</c:v>
                </c:pt>
                <c:pt idx="22" formatCode="_-* #,##0.00\ _k_n_-;\-* #,##0.00\ _k_n_-;_-* &quot;-&quot;??\ _k_n_-;_-@">
                  <c:v>0.57626136574141062</c:v>
                </c:pt>
                <c:pt idx="23" formatCode="_-* #,##0.00\ _k_n_-;\-* #,##0.00\ _k_n_-;_-* &quot;-&quot;??\ _k_n_-;_-@">
                  <c:v>0.82181006774759069</c:v>
                </c:pt>
                <c:pt idx="24" formatCode="_-* #,##0.00\ _k_n_-;\-* #,##0.00\ _k_n_-;_-* &quot;-&quot;??\ _k_n_-;_-@">
                  <c:v>1.3062872386471627</c:v>
                </c:pt>
                <c:pt idx="25" formatCode="_-* #,##0.00\ _k_n_-;\-* #,##0.00\ _k_n_-;_-* &quot;-&quot;??\ _k_n_-;_-@">
                  <c:v>1.7210848997892827</c:v>
                </c:pt>
                <c:pt idx="26" formatCode="_-* #,##0.00\ _k_n_-;\-* #,##0.00\ _k_n_-;_-* &quot;-&quot;??\ _k_n_-;_-@">
                  <c:v>1.1922462351050542</c:v>
                </c:pt>
                <c:pt idx="27" formatCode="_-* #,##0.00\ _k_n_-;\-* #,##0.00\ _k_n_-;_-* &quot;-&quot;??\ _k_n_-;_-@">
                  <c:v>1.4122303304319748</c:v>
                </c:pt>
                <c:pt idx="28" formatCode="_-* #,##0.00\ _k_n_-;\-* #,##0.00\ _k_n_-;_-* &quot;-&quot;??\ _k_n_-;_-@">
                  <c:v>1.5478132552727135</c:v>
                </c:pt>
                <c:pt idx="29" formatCode="_-* #,##0.00\ _k_n_-;\-* #,##0.00\ _k_n_-;_-* &quot;-&quot;??\ _k_n_-;_-@">
                  <c:v>0.51476567897705328</c:v>
                </c:pt>
                <c:pt idx="30" formatCode="_-* #,##0.00\ _k_n_-;\-* #,##0.00\ _k_n_-;_-* &quot;-&quot;??\ _k_n_-;_-@">
                  <c:v>0.80071888759359422</c:v>
                </c:pt>
                <c:pt idx="31" formatCode="_-* #,##0.00\ _k_n_-;\-* #,##0.00\ _k_n_-;_-* &quot;-&quot;??\ _k_n_-;_-@">
                  <c:v>0.72161587208356071</c:v>
                </c:pt>
                <c:pt idx="32" formatCode="_-* #,##0.00\ _k_n_-;\-* #,##0.00\ _k_n_-;_-* &quot;-&quot;??\ _k_n_-;_-@">
                  <c:v>0.60940991598461947</c:v>
                </c:pt>
                <c:pt idx="33" formatCode="_-* #,##0.00\ _k_n_-;\-* #,##0.00\ _k_n_-;_-* &quot;-&quot;??\ _k_n_-;_-@">
                  <c:v>1.0410291218448331</c:v>
                </c:pt>
                <c:pt idx="34" formatCode="_-* #,##0.00\ _k_n_-;\-* #,##0.00\ _k_n_-;_-* &quot;-&quot;??\ _k_n_-;_-@">
                  <c:v>0.9684827549057633</c:v>
                </c:pt>
                <c:pt idx="35" formatCode="_-* #,##0.00\ _k_n_-;\-* #,##0.00\ _k_n_-;_-* &quot;-&quot;??\ _k_n_-;_-@">
                  <c:v>-0.33040216344660861</c:v>
                </c:pt>
                <c:pt idx="36" formatCode="_-* #,##0.00\ _k_n_-;\-* #,##0.00\ _k_n_-;_-* &quot;-&quot;??\ _k_n_-;_-@">
                  <c:v>-1.4370106404671743</c:v>
                </c:pt>
                <c:pt idx="37" formatCode="_-* #,##0.00\ _k_n_-;\-* #,##0.00\ _k_n_-;_-* &quot;-&quot;??\ _k_n_-;_-@">
                  <c:v>-1.201455264418857</c:v>
                </c:pt>
                <c:pt idx="38" formatCode="_-* #,##0.00\ _k_n_-;\-* #,##0.00\ _k_n_-;_-* &quot;-&quot;??\ _k_n_-;_-@">
                  <c:v>-0.51383931671223082</c:v>
                </c:pt>
                <c:pt idx="39" formatCode="_-* #,##0.00\ _k_n_-;\-* #,##0.00\ _k_n_-;_-* &quot;-&quot;??\ _k_n_-;_-@">
                  <c:v>1.2282211305437178</c:v>
                </c:pt>
                <c:pt idx="40" formatCode="_-* #,##0.00\ _k_n_-;\-* #,##0.00\ _k_n_-;_-* &quot;-&quot;??\ _k_n_-;_-@">
                  <c:v>1.1107590629306265</c:v>
                </c:pt>
                <c:pt idx="41" formatCode="_-* #,##0.00\ _k_n_-;\-* #,##0.00\ _k_n_-;_-* &quot;-&quot;??\ _k_n_-;_-@">
                  <c:v>0.85253652175502148</c:v>
                </c:pt>
                <c:pt idx="42" formatCode="_-* #,##0.00\ _k_n_-;\-* #,##0.00\ _k_n_-;_-* &quot;-&quot;??\ _k_n_-;_-@">
                  <c:v>1.684340436478899</c:v>
                </c:pt>
                <c:pt idx="43" formatCode="_-* #,##0.00\ _k_n_-;\-* #,##0.00\ _k_n_-;_-* &quot;-&quot;??\ _k_n_-;_-@">
                  <c:v>0.10678998076057099</c:v>
                </c:pt>
                <c:pt idx="44" formatCode="_-* #,##0.00\ _k_n_-;\-* #,##0.00\ _k_n_-;_-* &quot;-&quot;??\ _k_n_-;_-@">
                  <c:v>1.5489049778886488</c:v>
                </c:pt>
                <c:pt idx="45" formatCode="_-* #,##0.00\ _k_n_-;\-* #,##0.00\ _k_n_-;_-* &quot;-&quot;??\ _k_n_-;_-@">
                  <c:v>1.5241392843860273</c:v>
                </c:pt>
                <c:pt idx="46" formatCode="_-* #,##0.00\ _k_n_-;\-* #,##0.00\ _k_n_-;_-* &quot;-&quot;??\ _k_n_-;_-@">
                  <c:v>0.15357645675743559</c:v>
                </c:pt>
                <c:pt idx="47" formatCode="_-* #,##0.00\ _k_n_-;\-* #,##0.00\ _k_n_-;_-* &quot;-&quot;??\ _k_n_-;_-@">
                  <c:v>0.4624148303860407</c:v>
                </c:pt>
                <c:pt idx="48" formatCode="_-* #,##0.00\ _k_n_-;\-* #,##0.00\ _k_n_-;_-* &quot;-&quot;??\ _k_n_-;_-@">
                  <c:v>-0.22891224530877102</c:v>
                </c:pt>
                <c:pt idx="49" formatCode="_-* #,##0.00\ _k_n_-;\-* #,##0.00\ _k_n_-;_-* &quot;-&quot;??\ _k_n_-;_-@">
                  <c:v>-0.1684898283282722</c:v>
                </c:pt>
                <c:pt idx="50" formatCode="_-* #,##0.00\ _k_n_-;\-* #,##0.00\ _k_n_-;_-* &quot;-&quot;??\ _k_n_-;_-@">
                  <c:v>-0.11864989309790855</c:v>
                </c:pt>
                <c:pt idx="51" formatCode="_-* #,##0.00\ _k_n_-;\-* #,##0.00\ _k_n_-;_-* &quot;-&quot;??\ _k_n_-;_-@">
                  <c:v>4.5809949937272491E-2</c:v>
                </c:pt>
                <c:pt idx="52" formatCode="_-* #,##0.00\ _k_n_-;\-* #,##0.00\ _k_n_-;_-* &quot;-&quot;??\ _k_n_-;_-@">
                  <c:v>-0.21546156237945574</c:v>
                </c:pt>
                <c:pt idx="53" formatCode="_-* #,##0.00\ _k_n_-;\-* #,##0.00\ _k_n_-;_-* &quot;-&quot;??\ _k_n_-;_-@">
                  <c:v>0.4800136714224616</c:v>
                </c:pt>
                <c:pt idx="54" formatCode="_-* #,##0.00\ _k_n_-;\-* #,##0.00\ _k_n_-;_-* &quot;-&quot;??\ _k_n_-;_-@">
                  <c:v>0.47917864384892628</c:v>
                </c:pt>
                <c:pt idx="55" formatCode="_-* #,##0.00\ _k_n_-;\-* #,##0.00\ _k_n_-;_-* &quot;-&quot;??\ _k_n_-;_-@">
                  <c:v>1.8440875550001001</c:v>
                </c:pt>
                <c:pt idx="56" formatCode="_-* #,##0.00\ _k_n_-;\-* #,##0.00\ _k_n_-;_-* &quot;-&quot;??\ _k_n_-;_-@">
                  <c:v>1.0813852350001003</c:v>
                </c:pt>
                <c:pt idx="57" formatCode="_-* #,##0.00\ _k_n_-;\-* #,##0.00\ _k_n_-;_-* &quot;-&quot;??\ _k_n_-;_-@">
                  <c:v>0.485899621</c:v>
                </c:pt>
                <c:pt idx="58" formatCode="_-* #,##0.00\ _k_n_-;\-* #,##0.00\ _k_n_-;_-* &quot;-&quot;??\ _k_n_-;_-@">
                  <c:v>0.26338654199999995</c:v>
                </c:pt>
                <c:pt idx="59" formatCode="_-* #,##0.00\ _k_n_-;\-* #,##0.00\ _k_n_-;_-* &quot;-&quot;??\ _k_n_-;_-@">
                  <c:v>-0.52988015999999993</c:v>
                </c:pt>
                <c:pt idx="60" formatCode="_-* #,##0.00\ _k_n_-;\-* #,##0.00\ _k_n_-;_-* &quot;-&quot;??\ _k_n_-;_-@">
                  <c:v>1.386860516</c:v>
                </c:pt>
                <c:pt idx="61" formatCode="_-* #,##0.00\ _k_n_-;\-* #,##0.00\ _k_n_-;_-* &quot;-&quot;??\ _k_n_-;_-@">
                  <c:v>0.85518806699999994</c:v>
                </c:pt>
                <c:pt idx="62" formatCode="_-* #,##0.00\ _k_n_-;\-* #,##0.00\ _k_n_-;_-* &quot;-&quot;??\ _k_n_-;_-@">
                  <c:v>1.0208730180000001</c:v>
                </c:pt>
                <c:pt idx="63" formatCode="_-* #,##0.00\ _k_n_-;\-* #,##0.00\ _k_n_-;_-* &quot;-&quot;??\ _k_n_-;_-@">
                  <c:v>0.7453460860000003</c:v>
                </c:pt>
                <c:pt idx="64" formatCode="_-* #,##0.00\ _k_n_-;\-* #,##0.00\ _k_n_-;_-* &quot;-&quot;??\ _k_n_-;_-@">
                  <c:v>-0.81775744999999989</c:v>
                </c:pt>
                <c:pt idx="65" formatCode="_-* #,##0.00\ _k_n_-;\-* #,##0.00\ _k_n_-;_-* &quot;-&quot;??\ _k_n_-;_-@">
                  <c:v>-0.88375095599999975</c:v>
                </c:pt>
                <c:pt idx="66" formatCode="_-* #,##0.00\ _k_n_-;\-* #,##0.00\ _k_n_-;_-* &quot;-&quot;??\ _k_n_-;_-@">
                  <c:v>-0.49978639900009986</c:v>
                </c:pt>
                <c:pt idx="67" formatCode="_-* #,##0.00\ _k_n_-;\-* #,##0.00\ _k_n_-;_-* &quot;-&quot;??\ _k_n_-;_-@">
                  <c:v>-0.26468362500010018</c:v>
                </c:pt>
                <c:pt idx="68" formatCode="_-* #,##0.00\ _k_n_-;\-* #,##0.00\ _k_n_-;_-* &quot;-&quot;??\ _k_n_-;_-@">
                  <c:v>2.8367595549999005</c:v>
                </c:pt>
                <c:pt idx="69" formatCode="_-* #,##0.00\ _k_n_-;\-* #,##0.00\ _k_n_-;_-* &quot;-&quot;??\ _k_n_-;_-@">
                  <c:v>1.3424280809999005</c:v>
                </c:pt>
                <c:pt idx="70" formatCode="_-* #,##0.00\ _k_n_-;\-* #,##0.00\ _k_n_-;_-* &quot;-&quot;??\ _k_n_-;_-@">
                  <c:v>2.2103717390000002</c:v>
                </c:pt>
                <c:pt idx="71" formatCode="_-* #,##0.00\ _k_n_-;\-* #,##0.00\ _k_n_-;_-* &quot;-&quot;??\ _k_n_-;_-@">
                  <c:v>2.5931399290000003</c:v>
                </c:pt>
                <c:pt idx="72" formatCode="_-* #,##0.00\ _k_n_-;\-* #,##0.00\ _k_n_-;_-* &quot;-&quot;??\ _k_n_-;_-@">
                  <c:v>0.72514427404999993</c:v>
                </c:pt>
                <c:pt idx="73" formatCode="_-* #,##0.00\ _k_n_-;\-* #,##0.00\ _k_n_-;_-* &quot;-&quot;??\ _k_n_-;_-@">
                  <c:v>2.6334578289700001</c:v>
                </c:pt>
                <c:pt idx="74" formatCode="_-* #,##0.00\ _k_n_-;\-* #,##0.00\ _k_n_-;_-* &quot;-&quot;??\ _k_n_-;_-@">
                  <c:v>1.6363091218200001</c:v>
                </c:pt>
                <c:pt idx="75" formatCode="_-* #,##0.00\ _k_n_-;\-* #,##0.00\ _k_n_-;_-* &quot;-&quot;??\ _k_n_-;_-@">
                  <c:v>1.5450404381499998</c:v>
                </c:pt>
                <c:pt idx="76" formatCode="_-* #,##0.00\ _k_n_-;\-* #,##0.00\ _k_n_-;_-* &quot;-&quot;??\ _k_n_-;_-@">
                  <c:v>1.4848227883499998</c:v>
                </c:pt>
                <c:pt idx="77" formatCode="_-* #,##0.00\ _k_n_-;\-* #,##0.00\ _k_n_-;_-* &quot;-&quot;??\ _k_n_-;_-@">
                  <c:v>2.9914031417299998</c:v>
                </c:pt>
                <c:pt idx="78" formatCode="_-* #,##0.00\ _k_n_-;\-* #,##0.00\ _k_n_-;_-* &quot;-&quot;??\ _k_n_-;_-@">
                  <c:v>3.34441078464</c:v>
                </c:pt>
                <c:pt idx="79" formatCode="_-* #,##0.00\ _k_n_-;\-* #,##0.00\ _k_n_-;_-* &quot;-&quot;??\ _k_n_-;_-@">
                  <c:v>0.98964903605999988</c:v>
                </c:pt>
                <c:pt idx="80" formatCode="_-* #,##0.00\ _k_n_-;\-* #,##0.00\ _k_n_-;_-* &quot;-&quot;??\ _k_n_-;_-@">
                  <c:v>-2.1531203967779091</c:v>
                </c:pt>
                <c:pt idx="81" formatCode="_-* #,##0.00\ _k_n_-;\-* #,##0.00\ _k_n_-;_-* &quot;-&quot;??\ _k_n_-;_-@">
                  <c:v>-3.6847575280779092</c:v>
                </c:pt>
                <c:pt idx="82" formatCode="_-* #,##0.00\ _k_n_-;\-* #,##0.00\ _k_n_-;_-* &quot;-&quot;??\ _k_n_-;_-@">
                  <c:v>-4.050551818837909</c:v>
                </c:pt>
                <c:pt idx="83" formatCode="_-* #,##0.00\ _k_n_-;\-* #,##0.00\ _k_n_-;_-* &quot;-&quot;??\ _k_n_-;_-@">
                  <c:v>-2.4172278335879089</c:v>
                </c:pt>
              </c:numCache>
            </c:numRef>
          </c:val>
          <c:smooth val="0"/>
          <c:extLst>
            <c:ext xmlns:c16="http://schemas.microsoft.com/office/drawing/2014/chart" uri="{C3380CC4-5D6E-409C-BE32-E72D297353CC}">
              <c16:uniqueId val="{00000000-A8B3-4591-B2D5-C072239A3196}"/>
            </c:ext>
          </c:extLst>
        </c:ser>
        <c:ser>
          <c:idx val="1"/>
          <c:order val="1"/>
          <c:tx>
            <c:strRef>
              <c:f>tecaj!$C$2</c:f>
              <c:strCache>
                <c:ptCount val="1"/>
                <c:pt idx="0">
                  <c:v>curacc</c:v>
                </c:pt>
              </c:strCache>
            </c:strRef>
          </c:tx>
          <c:spPr>
            <a:ln w="28575" cmpd="sng">
              <a:solidFill>
                <a:schemeClr val="accent2"/>
              </a:solidFill>
            </a:ln>
          </c:spPr>
          <c:marker>
            <c:symbol val="none"/>
          </c:marker>
          <c:cat>
            <c:numRef>
              <c:f>tecaj!$A$3:$A$86</c:f>
              <c:numCache>
                <c:formatCode>m/d/yyyy</c:formatCode>
                <c:ptCount val="84"/>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pt idx="80">
                  <c:v>43921</c:v>
                </c:pt>
                <c:pt idx="81">
                  <c:v>44012</c:v>
                </c:pt>
                <c:pt idx="82">
                  <c:v>44104</c:v>
                </c:pt>
                <c:pt idx="83">
                  <c:v>44196</c:v>
                </c:pt>
              </c:numCache>
            </c:numRef>
          </c:cat>
          <c:val>
            <c:numRef>
              <c:f>tecaj!$C$3:$C$86</c:f>
              <c:numCache>
                <c:formatCode>General</c:formatCode>
                <c:ptCount val="84"/>
                <c:pt idx="3" formatCode="_-* #,##0.0\ _k_n_-;\-* #,##0.0\ _k_n_-;_-* &quot;-&quot;??\ _k_n_-;_-@">
                  <c:v>-0.3377432708046274</c:v>
                </c:pt>
                <c:pt idx="4" formatCode="_-* #,##0.0\ _k_n_-;\-* #,##0.0\ _k_n_-;_-* &quot;-&quot;??\ _k_n_-;_-@">
                  <c:v>-0.58259252907869952</c:v>
                </c:pt>
                <c:pt idx="5" formatCode="_-* #,##0.0\ _k_n_-;\-* #,##0.0\ _k_n_-;_-* &quot;-&quot;??\ _k_n_-;_-@">
                  <c:v>-1.1170641546131732</c:v>
                </c:pt>
                <c:pt idx="6" formatCode="_-* #,##0.0\ _k_n_-;\-* #,##0.0\ _k_n_-;_-* &quot;-&quot;??\ _k_n_-;_-@">
                  <c:v>-0.6657073693945067</c:v>
                </c:pt>
                <c:pt idx="7" formatCode="_-* #,##0.0\ _k_n_-;\-* #,##0.0\ _k_n_-;_-* &quot;-&quot;??\ _k_n_-;_-@">
                  <c:v>-0.56092868767653636</c:v>
                </c:pt>
                <c:pt idx="8" formatCode="_-* #,##0.0\ _k_n_-;\-* #,##0.0\ _k_n_-;_-* &quot;-&quot;??\ _k_n_-;_-@">
                  <c:v>-0.88412060843671225</c:v>
                </c:pt>
                <c:pt idx="9" formatCode="_-* #,##0.0\ _k_n_-;\-* #,##0.0\ _k_n_-;_-* &quot;-&quot;??\ _k_n_-;_-@">
                  <c:v>-0.90359918053366806</c:v>
                </c:pt>
                <c:pt idx="10" formatCode="_-* #,##0.0\ _k_n_-;\-* #,##0.0\ _k_n_-;_-* &quot;-&quot;??\ _k_n_-;_-@">
                  <c:v>-1.3332220880355194</c:v>
                </c:pt>
                <c:pt idx="11" formatCode="_-* #,##0.0\ _k_n_-;\-* #,##0.0\ _k_n_-;_-* &quot;-&quot;??\ _k_n_-;_-@">
                  <c:v>-1.8077562324782652</c:v>
                </c:pt>
                <c:pt idx="12" formatCode="_-* #,##0.0\ _k_n_-;\-* #,##0.0\ _k_n_-;_-* &quot;-&quot;??\ _k_n_-;_-@">
                  <c:v>-1.872499393353513</c:v>
                </c:pt>
                <c:pt idx="13" formatCode="_-* #,##0.0\ _k_n_-;\-* #,##0.0\ _k_n_-;_-* &quot;-&quot;??\ _k_n_-;_-@">
                  <c:v>-2.3385597874807127</c:v>
                </c:pt>
                <c:pt idx="14" formatCode="_-* #,##0.0\ _k_n_-;\-* #,##0.0\ _k_n_-;_-* &quot;-&quot;??\ _k_n_-;_-@">
                  <c:v>-2.4125318694700635</c:v>
                </c:pt>
                <c:pt idx="15" formatCode="_-* #,##0.0\ _k_n_-;\-* #,##0.0\ _k_n_-;_-* &quot;-&quot;??\ _k_n_-;_-@">
                  <c:v>-2.7857863126715063</c:v>
                </c:pt>
                <c:pt idx="16" formatCode="_-* #,##0.0\ _k_n_-;\-* #,##0.0\ _k_n_-;_-* &quot;-&quot;??\ _k_n_-;_-@">
                  <c:v>-3.0223214033437125</c:v>
                </c:pt>
                <c:pt idx="17" formatCode="_-* #,##0.0\ _k_n_-;\-* #,##0.0\ _k_n_-;_-* &quot;-&quot;??\ _k_n_-;_-@">
                  <c:v>-2.6006425313105019</c:v>
                </c:pt>
                <c:pt idx="18" formatCode="_-* #,##0.0\ _k_n_-;\-* #,##0.0\ _k_n_-;_-* &quot;-&quot;??\ _k_n_-;_-@">
                  <c:v>-2.2597435264446828</c:v>
                </c:pt>
                <c:pt idx="19" formatCode="_-* #,##0.0\ _k_n_-;\-* #,##0.0\ _k_n_-;_-* &quot;-&quot;??\ _k_n_-;_-@">
                  <c:v>-2.0052392405654542</c:v>
                </c:pt>
                <c:pt idx="20" formatCode="_-* #,##0.0\ _k_n_-;\-* #,##0.0\ _k_n_-;_-* &quot;-&quot;??\ _k_n_-;_-@">
                  <c:v>-2.1573231349883173</c:v>
                </c:pt>
                <c:pt idx="21" formatCode="_-* #,##0.0\ _k_n_-;\-* #,##0.0\ _k_n_-;_-* &quot;-&quot;??\ _k_n_-;_-@">
                  <c:v>-2.4767454624114431</c:v>
                </c:pt>
                <c:pt idx="22" formatCode="_-* #,##0.0\ _k_n_-;\-* #,##0.0\ _k_n_-;_-* &quot;-&quot;??\ _k_n_-;_-@">
                  <c:v>-2.3805422209392288</c:v>
                </c:pt>
                <c:pt idx="23" formatCode="_-* #,##0.0\ _k_n_-;\-* #,##0.0\ _k_n_-;_-* &quot;-&quot;??\ _k_n_-;_-@">
                  <c:v>-2.6422774076092574</c:v>
                </c:pt>
                <c:pt idx="24" formatCode="_-* #,##0.0\ _k_n_-;\-* #,##0.0\ _k_n_-;_-* &quot;-&quot;??\ _k_n_-;_-@">
                  <c:v>-3.1198621359245817</c:v>
                </c:pt>
                <c:pt idx="25" formatCode="_-* #,##0.0\ _k_n_-;\-* #,##0.0\ _k_n_-;_-* &quot;-&quot;??\ _k_n_-;_-@">
                  <c:v>-3.2687589911713504</c:v>
                </c:pt>
                <c:pt idx="26" formatCode="_-* #,##0.0\ _k_n_-;\-* #,##0.0\ _k_n_-;_-* &quot;-&quot;??\ _k_n_-;_-@">
                  <c:v>-3.146920535527487</c:v>
                </c:pt>
                <c:pt idx="27" formatCode="_-* #,##0.0\ _k_n_-;\-* #,##0.0\ _k_n_-;_-* &quot;-&quot;??\ _k_n_-;_-@">
                  <c:v>-3.1316488574129355</c:v>
                </c:pt>
                <c:pt idx="28" formatCode="_-* #,##0.0\ _k_n_-;\-* #,##0.0\ _k_n_-;_-* &quot;-&quot;??\ _k_n_-;_-@">
                  <c:v>-3.2242631909668473</c:v>
                </c:pt>
                <c:pt idx="29" formatCode="_-* #,##0.0\ _k_n_-;\-* #,##0.0\ _k_n_-;_-* &quot;-&quot;??\ _k_n_-;_-@">
                  <c:v>-3.2749520068921947</c:v>
                </c:pt>
                <c:pt idx="30" formatCode="_-* #,##0.0\ _k_n_-;\-* #,##0.0\ _k_n_-;_-* &quot;-&quot;??\ _k_n_-;_-@">
                  <c:v>-3.0414669217701378</c:v>
                </c:pt>
                <c:pt idx="31" formatCode="_-* #,##0.0\ _k_n_-;\-* #,##0.0\ _k_n_-;_-* &quot;-&quot;??\ _k_n_-;_-@">
                  <c:v>-3.4358957236502428</c:v>
                </c:pt>
                <c:pt idx="32" formatCode="_-* #,##0.0\ _k_n_-;\-* #,##0.0\ _k_n_-;_-* &quot;-&quot;??\ _k_n_-;_-@">
                  <c:v>-3.9334096161409464</c:v>
                </c:pt>
                <c:pt idx="33" formatCode="_-* #,##0.0\ _k_n_-;\-* #,##0.0\ _k_n_-;_-* &quot;-&quot;??\ _k_n_-;_-@">
                  <c:v>-4.623398074649125</c:v>
                </c:pt>
                <c:pt idx="34" formatCode="_-* #,##0.0\ _k_n_-;\-* #,##0.0\ _k_n_-;_-* &quot;-&quot;??\ _k_n_-;_-@">
                  <c:v>-5.0238718512875407</c:v>
                </c:pt>
                <c:pt idx="35" formatCode="_-* #,##0.0\ _k_n_-;\-* #,##0.0\ _k_n_-;_-* &quot;-&quot;??\ _k_n_-;_-@">
                  <c:v>-5.047520526699854</c:v>
                </c:pt>
                <c:pt idx="36" formatCode="_-* #,##0.0\ _k_n_-;\-* #,##0.0\ _k_n_-;_-* &quot;-&quot;??\ _k_n_-;_-@">
                  <c:v>-4.4050955539078052</c:v>
                </c:pt>
                <c:pt idx="37" formatCode="_-* #,##0.0\ _k_n_-;\-* #,##0.0\ _k_n_-;_-* &quot;-&quot;??\ _k_n_-;_-@">
                  <c:v>-3.4141494328604822</c:v>
                </c:pt>
                <c:pt idx="38" formatCode="_-* #,##0.0\ _k_n_-;\-* #,##0.0\ _k_n_-;_-* &quot;-&quot;??\ _k_n_-;_-@">
                  <c:v>-3.2831322868029429</c:v>
                </c:pt>
                <c:pt idx="39" formatCode="_-* #,##0.0\ _k_n_-;\-* #,##0.0\ _k_n_-;_-* &quot;-&quot;??\ _k_n_-;_-@">
                  <c:v>-2.9588230560751678</c:v>
                </c:pt>
                <c:pt idx="40" formatCode="_-* #,##0.0\ _k_n_-;\-* #,##0.0\ _k_n_-;_-* &quot;-&quot;??\ _k_n_-;_-@">
                  <c:v>-2.5214538959323938</c:v>
                </c:pt>
                <c:pt idx="41" formatCode="_-* #,##0.0\ _k_n_-;\-* #,##0.0\ _k_n_-;_-* &quot;-&quot;??\ _k_n_-;_-@">
                  <c:v>-1.6728034977328006</c:v>
                </c:pt>
                <c:pt idx="42" formatCode="_-* #,##0.0\ _k_n_-;\-* #,##0.0\ _k_n_-;_-* &quot;-&quot;??\ _k_n_-;_-@">
                  <c:v>-1.432624522207544</c:v>
                </c:pt>
                <c:pt idx="43" formatCode="_-* #,##0.0\ _k_n_-;\-* #,##0.0\ _k_n_-;_-* &quot;-&quot;??\ _k_n_-;_-@">
                  <c:v>-0.97351535056872718</c:v>
                </c:pt>
                <c:pt idx="44" formatCode="_-* #,##0.0\ _k_n_-;\-* #,##0.0\ _k_n_-;_-* &quot;-&quot;??\ _k_n_-;_-@">
                  <c:v>-1.185355389734486</c:v>
                </c:pt>
                <c:pt idx="45" formatCode="_-* #,##0.0\ _k_n_-;\-* #,##0.0\ _k_n_-;_-* &quot;-&quot;??\ _k_n_-;_-@">
                  <c:v>-1.4258620778895961</c:v>
                </c:pt>
                <c:pt idx="46" formatCode="_-* #,##0.0\ _k_n_-;\-* #,##0.0\ _k_n_-;_-* &quot;-&quot;??\ _k_n_-;_-@">
                  <c:v>-0.93730078049493615</c:v>
                </c:pt>
                <c:pt idx="47" formatCode="_-* #,##0.0\ _k_n_-;\-* #,##0.0\ _k_n_-;_-* &quot;-&quot;??\ _k_n_-;_-@">
                  <c:v>-0.79946727392246297</c:v>
                </c:pt>
                <c:pt idx="48" formatCode="_-* #,##0.0\ _k_n_-;\-* #,##0.0\ _k_n_-;_-* &quot;-&quot;??\ _k_n_-;_-@">
                  <c:v>-0.87414834791025353</c:v>
                </c:pt>
                <c:pt idx="49" formatCode="_-* #,##0.0\ _k_n_-;\-* #,##0.0\ _k_n_-;_-* &quot;-&quot;??\ _k_n_-;_-@">
                  <c:v>-0.98522746399552941</c:v>
                </c:pt>
                <c:pt idx="50" formatCode="_-* #,##0.0\ _k_n_-;\-* #,##0.0\ _k_n_-;_-* &quot;-&quot;??\ _k_n_-;_-@">
                  <c:v>-0.97907349597071602</c:v>
                </c:pt>
                <c:pt idx="51" formatCode="_-* #,##0.0\ _k_n_-;\-* #,##0.0\ _k_n_-;_-* &quot;-&quot;??\ _k_n_-;_-@">
                  <c:v>-0.78890830419244407</c:v>
                </c:pt>
                <c:pt idx="52" formatCode="_-* #,##0.0\ _k_n_-;\-* #,##0.0\ _k_n_-;_-* &quot;-&quot;??\ _k_n_-;_-@">
                  <c:v>-0.50649217793039225</c:v>
                </c:pt>
                <c:pt idx="53" formatCode="_-* #,##0.0\ _k_n_-;\-* #,##0.0\ _k_n_-;_-* &quot;-&quot;??\ _k_n_-;_-@">
                  <c:v>-0.49487145528783638</c:v>
                </c:pt>
                <c:pt idx="54" formatCode="_-* #,##0.0\ _k_n_-;\-* #,##0.0\ _k_n_-;_-* &quot;-&quot;??\ _k_n_-;_-@">
                  <c:v>-0.36414631032399941</c:v>
                </c:pt>
                <c:pt idx="55" formatCode="_-* #,##0.0\ _k_n_-;\-* #,##0.0\ _k_n_-;_-* &quot;-&quot;??\ _k_n_-;_-@">
                  <c:v>-0.46099721355880774</c:v>
                </c:pt>
                <c:pt idx="56" formatCode="_-* #,##0.0\ _k_n_-;\-* #,##0.0\ _k_n_-;_-* &quot;-&quot;??\ _k_n_-;_-@">
                  <c:v>-0.52066931316339649</c:v>
                </c:pt>
                <c:pt idx="57" formatCode="_-* #,##0.0\ _k_n_-;\-* #,##0.0\ _k_n_-;_-* &quot;-&quot;??\ _k_n_-;_-@">
                  <c:v>-0.52332888114609799</c:v>
                </c:pt>
                <c:pt idx="58" formatCode="_-* #,##0.0\ _k_n_-;\-* #,##0.0\ _k_n_-;_-* &quot;-&quot;??\ _k_n_-;_-@">
                  <c:v>-0.50278835364497898</c:v>
                </c:pt>
                <c:pt idx="59" formatCode="_-* #,##0.0\ _k_n_-;\-* #,##0.0\ _k_n_-;_-* &quot;-&quot;??\ _k_n_-;_-@">
                  <c:v>0.11113160990711367</c:v>
                </c:pt>
                <c:pt idx="60" formatCode="_-* #,##0.0\ _k_n_-;\-* #,##0.0\ _k_n_-;_-* &quot;-&quot;??\ _k_n_-;_-@">
                  <c:v>0.25599223032435292</c:v>
                </c:pt>
                <c:pt idx="61" formatCode="_-* #,##0.0\ _k_n_-;\-* #,##0.0\ _k_n_-;_-* &quot;-&quot;??\ _k_n_-;_-@">
                  <c:v>0.49104863420817035</c:v>
                </c:pt>
                <c:pt idx="62" formatCode="_-* #,##0.0\ _k_n_-;\-* #,##0.0\ _k_n_-;_-* &quot;-&quot;??\ _k_n_-;_-@">
                  <c:v>1.7166060446929723</c:v>
                </c:pt>
                <c:pt idx="63" formatCode="_-* #,##0.0\ _k_n_-;\-* #,##0.0\ _k_n_-;_-* &quot;-&quot;??\ _k_n_-;_-@">
                  <c:v>1.4523680657510558</c:v>
                </c:pt>
                <c:pt idx="64" formatCode="_-* #,##0.0\ _k_n_-;\-* #,##0.0\ _k_n_-;_-* &quot;-&quot;??\ _k_n_-;_-@">
                  <c:v>1.1802582853284156</c:v>
                </c:pt>
                <c:pt idx="65" formatCode="_-* #,##0.0\ _k_n_-;\-* #,##0.0\ _k_n_-;_-* &quot;-&quot;??\ _k_n_-;_-@">
                  <c:v>1.459671235445845</c:v>
                </c:pt>
                <c:pt idx="66" formatCode="_-* #,##0.0\ _k_n_-;\-* #,##0.0\ _k_n_-;_-* &quot;-&quot;??\ _k_n_-;_-@">
                  <c:v>1.0942800343095487</c:v>
                </c:pt>
                <c:pt idx="67" formatCode="_-* #,##0.0\ _k_n_-;\-* #,##0.0\ _k_n_-;_-* &quot;-&quot;??\ _k_n_-;_-@">
                  <c:v>0.99371802914583807</c:v>
                </c:pt>
                <c:pt idx="68" formatCode="_-* #,##0.0\ _k_n_-;\-* #,##0.0\ _k_n_-;_-* &quot;-&quot;??\ _k_n_-;_-@">
                  <c:v>1.2549325745703901</c:v>
                </c:pt>
                <c:pt idx="69" formatCode="_-* #,##0.0\ _k_n_-;\-* #,##0.0\ _k_n_-;_-* &quot;-&quot;??\ _k_n_-;_-@">
                  <c:v>1.2082506786850418</c:v>
                </c:pt>
                <c:pt idx="70" formatCode="_-* #,##0.0\ _k_n_-;\-* #,##0.0\ _k_n_-;_-* &quot;-&quot;??\ _k_n_-;_-@">
                  <c:v>1.7250583622162576</c:v>
                </c:pt>
                <c:pt idx="71" formatCode="_-* #,##0.0\ _k_n_-;\-* #,##0.0\ _k_n_-;_-* &quot;-&quot;??\ _k_n_-;_-@">
                  <c:v>1.6785848514133641</c:v>
                </c:pt>
                <c:pt idx="72" formatCode="_-* #,##0.0\ _k_n_-;\-* #,##0.0\ _k_n_-;_-* &quot;-&quot;??\ _k_n_-;_-@">
                  <c:v>1.1106052901765715</c:v>
                </c:pt>
                <c:pt idx="73" formatCode="_-* #,##0.0\ _k_n_-;\-* #,##0.0\ _k_n_-;_-* &quot;-&quot;??\ _k_n_-;_-@">
                  <c:v>1.1811841133847447</c:v>
                </c:pt>
                <c:pt idx="74" formatCode="_-* #,##0.0\ _k_n_-;\-* #,##0.0\ _k_n_-;_-* &quot;-&quot;??\ _k_n_-;_-@">
                  <c:v>1.2828916792780665</c:v>
                </c:pt>
                <c:pt idx="75" formatCode="_-* #,##0.0\ _k_n_-;\-* #,##0.0\ _k_n_-;_-* &quot;-&quot;??\ _k_n_-;_-@">
                  <c:v>0.98208842840806487</c:v>
                </c:pt>
                <c:pt idx="76" formatCode="_-* #,##0.0\ _k_n_-;\-* #,##0.0\ _k_n_-;_-* &quot;-&quot;??\ _k_n_-;_-@">
                  <c:v>0.73711150286874183</c:v>
                </c:pt>
                <c:pt idx="77" formatCode="_-* #,##0.0\ _k_n_-;\-* #,##0.0\ _k_n_-;_-* &quot;-&quot;??\ _k_n_-;_-@">
                  <c:v>0.51604079265039038</c:v>
                </c:pt>
                <c:pt idx="78" formatCode="_-* #,##0.0\ _k_n_-;\-* #,##0.0\ _k_n_-;_-* &quot;-&quot;??\ _k_n_-;_-@">
                  <c:v>1.2891282122551866</c:v>
                </c:pt>
                <c:pt idx="79" formatCode="_-* #,##0.0\ _k_n_-;\-* #,##0.0\ _k_n_-;_-* &quot;-&quot;??\ _k_n_-;_-@">
                  <c:v>1.5707723111990946</c:v>
                </c:pt>
                <c:pt idx="80" formatCode="_-* #,##0.0\ _k_n_-;\-* #,##0.0\ _k_n_-;_-* &quot;-&quot;??\ _k_n_-;_-@">
                  <c:v>1.6101832441287134</c:v>
                </c:pt>
                <c:pt idx="81" formatCode="_-* #,##0.0\ _k_n_-;\-* #,##0.0\ _k_n_-;_-* &quot;-&quot;??\ _k_n_-;_-@">
                  <c:v>0.59348578319274015</c:v>
                </c:pt>
                <c:pt idx="82" formatCode="_-* #,##0.0\ _k_n_-;\-* #,##0.0\ _k_n_-;_-* &quot;-&quot;??\ _k_n_-;_-@">
                  <c:v>-1.9137494213244699</c:v>
                </c:pt>
                <c:pt idx="83" formatCode="_-* #,##0.0\ _k_n_-;\-* #,##0.0\ _k_n_-;_-* &quot;-&quot;??\ _k_n_-;_-@">
                  <c:v>-2.0255205853102844</c:v>
                </c:pt>
              </c:numCache>
            </c:numRef>
          </c:val>
          <c:smooth val="0"/>
          <c:extLst>
            <c:ext xmlns:c16="http://schemas.microsoft.com/office/drawing/2014/chart" uri="{C3380CC4-5D6E-409C-BE32-E72D297353CC}">
              <c16:uniqueId val="{00000001-A8B3-4591-B2D5-C072239A3196}"/>
            </c:ext>
          </c:extLst>
        </c:ser>
        <c:ser>
          <c:idx val="2"/>
          <c:order val="2"/>
          <c:tx>
            <c:strRef>
              <c:f>tecaj!$D$2</c:f>
              <c:strCache>
                <c:ptCount val="1"/>
                <c:pt idx="0">
                  <c:v>bop</c:v>
                </c:pt>
              </c:strCache>
            </c:strRef>
          </c:tx>
          <c:spPr>
            <a:ln w="28575" cmpd="sng">
              <a:solidFill>
                <a:schemeClr val="accent3"/>
              </a:solidFill>
            </a:ln>
          </c:spPr>
          <c:marker>
            <c:symbol val="none"/>
          </c:marker>
          <c:cat>
            <c:numRef>
              <c:f>tecaj!$A$3:$A$86</c:f>
              <c:numCache>
                <c:formatCode>m/d/yyyy</c:formatCode>
                <c:ptCount val="84"/>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pt idx="80">
                  <c:v>43921</c:v>
                </c:pt>
                <c:pt idx="81">
                  <c:v>44012</c:v>
                </c:pt>
                <c:pt idx="82">
                  <c:v>44104</c:v>
                </c:pt>
                <c:pt idx="83">
                  <c:v>44196</c:v>
                </c:pt>
              </c:numCache>
            </c:numRef>
          </c:cat>
          <c:val>
            <c:numRef>
              <c:f>tecaj!$D$3:$D$86</c:f>
              <c:numCache>
                <c:formatCode>General</c:formatCode>
                <c:ptCount val="84"/>
                <c:pt idx="3" formatCode="_-* #,##0.0\ _k_n_-;\-* #,##0.0\ _k_n_-;_-* &quot;-&quot;??\ _k_n_-;_-@">
                  <c:v>-3.3053003761833648</c:v>
                </c:pt>
                <c:pt idx="4" formatCode="_-* #,##0.0\ _k_n_-;\-* #,##0.0\ _k_n_-;_-* &quot;-&quot;??\ _k_n_-;_-@">
                  <c:v>-3.7218953201676195</c:v>
                </c:pt>
                <c:pt idx="5" formatCode="_-* #,##0.0\ _k_n_-;\-* #,##0.0\ _k_n_-;_-* &quot;-&quot;??\ _k_n_-;_-@">
                  <c:v>-4.0408269290270376</c:v>
                </c:pt>
                <c:pt idx="6" formatCode="_-* #,##0.0\ _k_n_-;\-* #,##0.0\ _k_n_-;_-* &quot;-&quot;??\ _k_n_-;_-@">
                  <c:v>-2.9531449996992141</c:v>
                </c:pt>
                <c:pt idx="7" formatCode="_-* #,##0.0\ _k_n_-;\-* #,##0.0\ _k_n_-;_-* &quot;-&quot;??\ _k_n_-;_-@">
                  <c:v>-3.5560296329897514</c:v>
                </c:pt>
                <c:pt idx="8" formatCode="_-* #,##0.0\ _k_n_-;\-* #,##0.0\ _k_n_-;_-* &quot;-&quot;??\ _k_n_-;_-@">
                  <c:v>-4.4400511923356554</c:v>
                </c:pt>
                <c:pt idx="9" formatCode="_-* #,##0.0\ _k_n_-;\-* #,##0.0\ _k_n_-;_-* &quot;-&quot;??\ _k_n_-;_-@">
                  <c:v>-3.5231033864105461</c:v>
                </c:pt>
                <c:pt idx="10" formatCode="_-* #,##0.0\ _k_n_-;\-* #,##0.0\ _k_n_-;_-* &quot;-&quot;??\ _k_n_-;_-@">
                  <c:v>-4.8764064840915875</c:v>
                </c:pt>
                <c:pt idx="11" formatCode="_-* #,##0.0\ _k_n_-;\-* #,##0.0\ _k_n_-;_-* &quot;-&quot;??\ _k_n_-;_-@">
                  <c:v>-4.6242185553659523</c:v>
                </c:pt>
                <c:pt idx="12" formatCode="_-* #,##0.0\ _k_n_-;\-* #,##0.0\ _k_n_-;_-* &quot;-&quot;??\ _k_n_-;_-@">
                  <c:v>-4.8507389499403324</c:v>
                </c:pt>
                <c:pt idx="13" formatCode="_-* #,##0.0\ _k_n_-;\-* #,##0.0\ _k_n_-;_-* &quot;-&quot;??\ _k_n_-;_-@">
                  <c:v>-7.2510832474930451</c:v>
                </c:pt>
                <c:pt idx="14" formatCode="_-* #,##0.0\ _k_n_-;\-* #,##0.0\ _k_n_-;_-* &quot;-&quot;??\ _k_n_-;_-@">
                  <c:v>-7.1094844060182192</c:v>
                </c:pt>
                <c:pt idx="15" formatCode="_-* #,##0.0\ _k_n_-;\-* #,##0.0\ _k_n_-;_-* &quot;-&quot;??\ _k_n_-;_-@">
                  <c:v>-7.2455485069999455</c:v>
                </c:pt>
                <c:pt idx="16" formatCode="_-* #,##0.0\ _k_n_-;\-* #,##0.0\ _k_n_-;_-* &quot;-&quot;??\ _k_n_-;_-@">
                  <c:v>-6.6130075790736971</c:v>
                </c:pt>
                <c:pt idx="17" formatCode="_-* #,##0.0\ _k_n_-;\-* #,##0.0\ _k_n_-;_-* &quot;-&quot;??\ _k_n_-;_-@">
                  <c:v>-5.8368146287345404</c:v>
                </c:pt>
                <c:pt idx="18" formatCode="_-* #,##0.0\ _k_n_-;\-* #,##0.0\ _k_n_-;_-* &quot;-&quot;??\ _k_n_-;_-@">
                  <c:v>-5.5856139112655674</c:v>
                </c:pt>
                <c:pt idx="19" formatCode="_-* #,##0.0\ _k_n_-;\-* #,##0.0\ _k_n_-;_-* &quot;-&quot;??\ _k_n_-;_-@">
                  <c:v>-5.2741496585915852</c:v>
                </c:pt>
                <c:pt idx="20" formatCode="_-* #,##0.0\ _k_n_-;\-* #,##0.0\ _k_n_-;_-* &quot;-&quot;??\ _k_n_-;_-@">
                  <c:v>-6.1174015855270278</c:v>
                </c:pt>
                <c:pt idx="21" formatCode="_-* #,##0.0\ _k_n_-;\-* #,##0.0\ _k_n_-;_-* &quot;-&quot;??\ _k_n_-;_-@">
                  <c:v>-6.5300944696119325</c:v>
                </c:pt>
                <c:pt idx="22" formatCode="_-* #,##0.0\ _k_n_-;\-* #,##0.0\ _k_n_-;_-* &quot;-&quot;??\ _k_n_-;_-@">
                  <c:v>-6.0655275885177407</c:v>
                </c:pt>
                <c:pt idx="23" formatCode="_-* #,##0.0\ _k_n_-;\-* #,##0.0\ _k_n_-;_-* &quot;-&quot;??\ _k_n_-;_-@">
                  <c:v>-7.2217151410857463</c:v>
                </c:pt>
                <c:pt idx="24" formatCode="_-* #,##0.0\ _k_n_-;\-* #,##0.0\ _k_n_-;_-* &quot;-&quot;??\ _k_n_-;_-@">
                  <c:v>-8.5884224286230815</c:v>
                </c:pt>
                <c:pt idx="25" formatCode="_-* #,##0.0\ _k_n_-;\-* #,##0.0\ _k_n_-;_-* &quot;-&quot;??\ _k_n_-;_-@">
                  <c:v>-9.7361478694634709</c:v>
                </c:pt>
                <c:pt idx="26" formatCode="_-* #,##0.0\ _k_n_-;\-* #,##0.0\ _k_n_-;_-* &quot;-&quot;??\ _k_n_-;_-@">
                  <c:v>-9.6183015706824797</c:v>
                </c:pt>
                <c:pt idx="27" formatCode="_-* #,##0.0\ _k_n_-;\-* #,##0.0\ _k_n_-;_-* &quot;-&quot;??\ _k_n_-;_-@">
                  <c:v>-9.3283970899816442</c:v>
                </c:pt>
                <c:pt idx="28" formatCode="_-* #,##0.0\ _k_n_-;\-* #,##0.0\ _k_n_-;_-* &quot;-&quot;??\ _k_n_-;_-@">
                  <c:v>-9.9485527153220126</c:v>
                </c:pt>
                <c:pt idx="29" formatCode="_-* #,##0.0\ _k_n_-;\-* #,##0.0\ _k_n_-;_-* &quot;-&quot;??\ _k_n_-;_-@">
                  <c:v>-8.7689298840950407</c:v>
                </c:pt>
                <c:pt idx="30" formatCode="_-* #,##0.0\ _k_n_-;\-* #,##0.0\ _k_n_-;_-* &quot;-&quot;??\ _k_n_-;_-@">
                  <c:v>-8.7913392842786706</c:v>
                </c:pt>
                <c:pt idx="31" formatCode="_-* #,##0.0\ _k_n_-;\-* #,##0.0\ _k_n_-;_-* &quot;-&quot;??\ _k_n_-;_-@">
                  <c:v>-9.5060434475985431</c:v>
                </c:pt>
                <c:pt idx="32" formatCode="_-* #,##0.0\ _k_n_-;\-* #,##0.0\ _k_n_-;_-* &quot;-&quot;??\ _k_n_-;_-@">
                  <c:v>-10.72447488476443</c:v>
                </c:pt>
                <c:pt idx="33" formatCode="_-* #,##0.0\ _k_n_-;\-* #,##0.0\ _k_n_-;_-* &quot;-&quot;??\ _k_n_-;_-@">
                  <c:v>-11.469186543171855</c:v>
                </c:pt>
                <c:pt idx="34" formatCode="_-* #,##0.0\ _k_n_-;\-* #,##0.0\ _k_n_-;_-* &quot;-&quot;??\ _k_n_-;_-@">
                  <c:v>-11.811372953585725</c:v>
                </c:pt>
                <c:pt idx="35" formatCode="_-* #,##0.0\ _k_n_-;\-* #,##0.0\ _k_n_-;_-* &quot;-&quot;??\ _k_n_-;_-@">
                  <c:v>-11.886624525215336</c:v>
                </c:pt>
                <c:pt idx="36" formatCode="_-* #,##0.0\ _k_n_-;\-* #,##0.0\ _k_n_-;_-* &quot;-&quot;??\ _k_n_-;_-@">
                  <c:v>-9.3776578899886331</c:v>
                </c:pt>
                <c:pt idx="37" formatCode="_-* #,##0.0\ _k_n_-;\-* #,##0.0\ _k_n_-;_-* &quot;-&quot;??\ _k_n_-;_-@">
                  <c:v>-7.7791534823573656</c:v>
                </c:pt>
                <c:pt idx="38" formatCode="_-* #,##0.0\ _k_n_-;\-* #,##0.0\ _k_n_-;_-* &quot;-&quot;??\ _k_n_-;_-@">
                  <c:v>-7.5177285351271239</c:v>
                </c:pt>
                <c:pt idx="39" formatCode="_-* #,##0.0\ _k_n_-;\-* #,##0.0\ _k_n_-;_-* &quot;-&quot;??\ _k_n_-;_-@">
                  <c:v>-7.2450940119177076</c:v>
                </c:pt>
                <c:pt idx="40" formatCode="_-* #,##0.0\ _k_n_-;\-* #,##0.0\ _k_n_-;_-* &quot;-&quot;??\ _k_n_-;_-@">
                  <c:v>-4.8277036270945697</c:v>
                </c:pt>
                <c:pt idx="41" formatCode="_-* #,##0.0\ _k_n_-;\-* #,##0.0\ _k_n_-;_-* &quot;-&quot;??\ _k_n_-;_-@">
                  <c:v>-2.7913597356819495</c:v>
                </c:pt>
                <c:pt idx="42" formatCode="_-* #,##0.0\ _k_n_-;\-* #,##0.0\ _k_n_-;_-* &quot;-&quot;??\ _k_n_-;_-@">
                  <c:v>-2.8765322065621222</c:v>
                </c:pt>
                <c:pt idx="43" formatCode="_-* #,##0.0\ _k_n_-;\-* #,##0.0\ _k_n_-;_-* &quot;-&quot;??\ _k_n_-;_-@">
                  <c:v>-1.7560316685615425</c:v>
                </c:pt>
                <c:pt idx="44" formatCode="_-* #,##0.0\ _k_n_-;\-* #,##0.0\ _k_n_-;_-* &quot;-&quot;??\ _k_n_-;_-@">
                  <c:v>-4.5359291588020749</c:v>
                </c:pt>
                <c:pt idx="45" formatCode="_-* #,##0.0\ _k_n_-;\-* #,##0.0\ _k_n_-;_-* &quot;-&quot;??\ _k_n_-;_-@">
                  <c:v>-5.1162510892559938</c:v>
                </c:pt>
                <c:pt idx="46" formatCode="_-* #,##0.0\ _k_n_-;\-* #,##0.0\ _k_n_-;_-* &quot;-&quot;??\ _k_n_-;_-@">
                  <c:v>-2.9732020540232948</c:v>
                </c:pt>
                <c:pt idx="47" formatCode="_-* #,##0.0\ _k_n_-;\-* #,##0.0\ _k_n_-;_-* &quot;-&quot;??\ _k_n_-;_-@">
                  <c:v>-2.7514948538824675</c:v>
                </c:pt>
                <c:pt idx="48" formatCode="_-* #,##0.0\ _k_n_-;\-* #,##0.0\ _k_n_-;_-* &quot;-&quot;??\ _k_n_-;_-@">
                  <c:v>-1.9957322050635782</c:v>
                </c:pt>
                <c:pt idx="49" formatCode="_-* #,##0.0\ _k_n_-;\-* #,##0.0\ _k_n_-;_-* &quot;-&quot;??\ _k_n_-;_-@">
                  <c:v>-1.6424445664661109</c:v>
                </c:pt>
                <c:pt idx="50" formatCode="_-* #,##0.0\ _k_n_-;\-* #,##0.0\ _k_n_-;_-* &quot;-&quot;??\ _k_n_-;_-@">
                  <c:v>-0.84017443258003843</c:v>
                </c:pt>
                <c:pt idx="51" formatCode="_-* #,##0.0\ _k_n_-;\-* #,##0.0\ _k_n_-;_-* &quot;-&quot;??\ _k_n_-;_-@">
                  <c:v>-0.35957053670663397</c:v>
                </c:pt>
                <c:pt idx="52" formatCode="_-* #,##0.0\ _k_n_-;\-* #,##0.0\ _k_n_-;_-* &quot;-&quot;??\ _k_n_-;_-@">
                  <c:v>0.27970311766179523</c:v>
                </c:pt>
                <c:pt idx="53" formatCode="_-* #,##0.0\ _k_n_-;\-* #,##0.0\ _k_n_-;_-* &quot;-&quot;??\ _k_n_-;_-@">
                  <c:v>-1.2706505087951099</c:v>
                </c:pt>
                <c:pt idx="54" formatCode="_-* #,##0.0\ _k_n_-;\-* #,##0.0\ _k_n_-;_-* &quot;-&quot;??\ _k_n_-;_-@">
                  <c:v>-1.9022313488310219</c:v>
                </c:pt>
                <c:pt idx="55" formatCode="_-* #,##0.0\ _k_n_-;\-* #,##0.0\ _k_n_-;_-* &quot;-&quot;??\ _k_n_-;_-@">
                  <c:v>-2.9194811594616632</c:v>
                </c:pt>
                <c:pt idx="56" formatCode="_-* #,##0.0\ _k_n_-;\-* #,##0.0\ _k_n_-;_-* &quot;-&quot;??\ _k_n_-;_-@">
                  <c:v>-1.5661209724473337</c:v>
                </c:pt>
                <c:pt idx="57" formatCode="_-* #,##0.0\ _k_n_-;\-* #,##0.0\ _k_n_-;_-* &quot;-&quot;??\ _k_n_-;_-@">
                  <c:v>-2.3430844220083602E-3</c:v>
                </c:pt>
                <c:pt idx="58" formatCode="_-* #,##0.0\ _k_n_-;\-* #,##0.0\ _k_n_-;_-* &quot;-&quot;??\ _k_n_-;_-@">
                  <c:v>0.57823122870195376</c:v>
                </c:pt>
                <c:pt idx="59" formatCode="_-* #,##0.0\ _k_n_-;\-* #,##0.0\ _k_n_-;_-* &quot;-&quot;??\ _k_n_-;_-@">
                  <c:v>2.0661782276145706</c:v>
                </c:pt>
                <c:pt idx="60" formatCode="_-* #,##0.0\ _k_n_-;\-* #,##0.0\ _k_n_-;_-* &quot;-&quot;??\ _k_n_-;_-@">
                  <c:v>0.65667091410251277</c:v>
                </c:pt>
                <c:pt idx="61" formatCode="_-* #,##0.0\ _k_n_-;\-* #,##0.0\ _k_n_-;_-* &quot;-&quot;??\ _k_n_-;_-@">
                  <c:v>1.017164429699883</c:v>
                </c:pt>
                <c:pt idx="62" formatCode="_-* #,##0.0\ _k_n_-;\-* #,##0.0\ _k_n_-;_-* &quot;-&quot;??\ _k_n_-;_-@">
                  <c:v>2.8213712426741897</c:v>
                </c:pt>
                <c:pt idx="63" formatCode="_-* #,##0.0\ _k_n_-;\-* #,##0.0\ _k_n_-;_-* &quot;-&quot;??\ _k_n_-;_-@">
                  <c:v>2.8510084971764429</c:v>
                </c:pt>
                <c:pt idx="64" formatCode="_-* #,##0.0\ _k_n_-;\-* #,##0.0\ _k_n_-;_-* &quot;-&quot;??\ _k_n_-;_-@">
                  <c:v>3.8398119536884368</c:v>
                </c:pt>
                <c:pt idx="65" formatCode="_-* #,##0.0\ _k_n_-;\-* #,##0.0\ _k_n_-;_-* &quot;-&quot;??\ _k_n_-;_-@">
                  <c:v>4.7948707158781509</c:v>
                </c:pt>
                <c:pt idx="66" formatCode="_-* #,##0.0\ _k_n_-;\-* #,##0.0\ _k_n_-;_-* &quot;-&quot;??\ _k_n_-;_-@">
                  <c:v>3.6919861668509513</c:v>
                </c:pt>
                <c:pt idx="67" formatCode="_-* #,##0.0\ _k_n_-;\-* #,##0.0\ _k_n_-;_-* &quot;-&quot;??\ _k_n_-;_-@">
                  <c:v>3.2357745095680754</c:v>
                </c:pt>
                <c:pt idx="68" formatCode="_-* #,##0.0\ _k_n_-;\-* #,##0.0\ _k_n_-;_-* &quot;-&quot;??\ _k_n_-;_-@">
                  <c:v>1.1836348651279605</c:v>
                </c:pt>
                <c:pt idx="69" formatCode="_-* #,##0.0\ _k_n_-;\-* #,##0.0\ _k_n_-;_-* &quot;-&quot;??\ _k_n_-;_-@">
                  <c:v>2.1959363885400323</c:v>
                </c:pt>
                <c:pt idx="70" formatCode="_-* #,##0.0\ _k_n_-;\-* #,##0.0\ _k_n_-;_-* &quot;-&quot;??\ _k_n_-;_-@">
                  <c:v>2.8425803234100413</c:v>
                </c:pt>
                <c:pt idx="71" formatCode="_-* #,##0.0\ _k_n_-;\-* #,##0.0\ _k_n_-;_-* &quot;-&quot;??\ _k_n_-;_-@">
                  <c:v>2.1705706817363848</c:v>
                </c:pt>
                <c:pt idx="72" formatCode="_-* #,##0.0\ _k_n_-;\-* #,##0.0\ _k_n_-;_-* &quot;-&quot;??\ _k_n_-;_-@">
                  <c:v>2.8991963043371296</c:v>
                </c:pt>
                <c:pt idx="73" formatCode="_-* #,##0.0\ _k_n_-;\-* #,##0.0\ _k_n_-;_-* &quot;-&quot;??\ _k_n_-;_-@">
                  <c:v>1.3747164016159987</c:v>
                </c:pt>
                <c:pt idx="74" formatCode="_-* #,##0.0\ _k_n_-;\-* #,##0.0\ _k_n_-;_-* &quot;-&quot;??\ _k_n_-;_-@">
                  <c:v>2.0460941215047201</c:v>
                </c:pt>
                <c:pt idx="75" formatCode="_-* #,##0.0\ _k_n_-;\-* #,##0.0\ _k_n_-;_-* &quot;-&quot;??\ _k_n_-;_-@">
                  <c:v>2.0286866012917733</c:v>
                </c:pt>
                <c:pt idx="76" formatCode="_-* #,##0.0\ _k_n_-;\-* #,##0.0\ _k_n_-;_-* &quot;-&quot;??\ _k_n_-;_-@">
                  <c:v>1.0606029709267173</c:v>
                </c:pt>
                <c:pt idx="77" formatCode="_-* #,##0.0\ _k_n_-;\-* #,##0.0\ _k_n_-;_-* &quot;-&quot;??\ _k_n_-;_-@">
                  <c:v>-0.20193768361866432</c:v>
                </c:pt>
                <c:pt idx="78" formatCode="_-* #,##0.0\ _k_n_-;\-* #,##0.0\ _k_n_-;_-* &quot;-&quot;??\ _k_n_-;_-@">
                  <c:v>1.2586259015445671</c:v>
                </c:pt>
                <c:pt idx="79" formatCode="_-* #,##0.0\ _k_n_-;\-* #,##0.0\ _k_n_-;_-* &quot;-&quot;??\ _k_n_-;_-@">
                  <c:v>3.8443598131227237</c:v>
                </c:pt>
                <c:pt idx="80" formatCode="_-* #,##0.0\ _k_n_-;\-* #,##0.0\ _k_n_-;_-* &quot;-&quot;??\ _k_n_-;_-@">
                  <c:v>3.8837707460523414</c:v>
                </c:pt>
                <c:pt idx="81" formatCode="_-* #,##0.0\ _k_n_-;\-* #,##0.0\ _k_n_-;_-* &quot;-&quot;??\ _k_n_-;_-@">
                  <c:v>2.8670732851163665</c:v>
                </c:pt>
                <c:pt idx="82" formatCode="_-* #,##0.0\ _k_n_-;\-* #,##0.0\ _k_n_-;_-* &quot;-&quot;??\ _k_n_-;_-@">
                  <c:v>0.35983808059915556</c:v>
                </c:pt>
                <c:pt idx="83" formatCode="_-* #,##0.0\ _k_n_-;\-* #,##0.0\ _k_n_-;_-* &quot;-&quot;??\ _k_n_-;_-@">
                  <c:v>0.24806691661334115</c:v>
                </c:pt>
              </c:numCache>
            </c:numRef>
          </c:val>
          <c:smooth val="0"/>
          <c:extLst>
            <c:ext xmlns:c16="http://schemas.microsoft.com/office/drawing/2014/chart" uri="{C3380CC4-5D6E-409C-BE32-E72D297353CC}">
              <c16:uniqueId val="{00000002-A8B3-4591-B2D5-C072239A3196}"/>
            </c:ext>
          </c:extLst>
        </c:ser>
        <c:dLbls>
          <c:showLegendKey val="0"/>
          <c:showVal val="0"/>
          <c:showCatName val="0"/>
          <c:showSerName val="0"/>
          <c:showPercent val="0"/>
          <c:showBubbleSize val="0"/>
        </c:dLbls>
        <c:marker val="1"/>
        <c:smooth val="0"/>
        <c:axId val="795468977"/>
        <c:axId val="1250890202"/>
      </c:lineChart>
      <c:lineChart>
        <c:grouping val="standard"/>
        <c:varyColors val="1"/>
        <c:ser>
          <c:idx val="3"/>
          <c:order val="3"/>
          <c:tx>
            <c:strRef>
              <c:f>tecaj!$E$2</c:f>
              <c:strCache>
                <c:ptCount val="1"/>
                <c:pt idx="0">
                  <c:v>tecaj</c:v>
                </c:pt>
              </c:strCache>
            </c:strRef>
          </c:tx>
          <c:spPr>
            <a:ln w="28575" cmpd="sng">
              <a:solidFill>
                <a:schemeClr val="accent4"/>
              </a:solidFill>
            </a:ln>
          </c:spPr>
          <c:marker>
            <c:symbol val="none"/>
          </c:marker>
          <c:cat>
            <c:numRef>
              <c:f>tecaj!$A$3:$A$86</c:f>
              <c:numCache>
                <c:formatCode>m/d/yyyy</c:formatCode>
                <c:ptCount val="84"/>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pt idx="80">
                  <c:v>43921</c:v>
                </c:pt>
                <c:pt idx="81">
                  <c:v>44012</c:v>
                </c:pt>
                <c:pt idx="82">
                  <c:v>44104</c:v>
                </c:pt>
                <c:pt idx="83">
                  <c:v>44196</c:v>
                </c:pt>
              </c:numCache>
            </c:numRef>
          </c:cat>
          <c:val>
            <c:numRef>
              <c:f>tecaj!$E$3:$E$86</c:f>
              <c:numCache>
                <c:formatCode>_-* #,##0.00\ _k_n_-;\-* #,##0.00\ _k_n_-;_-* "-"??\ _k_n_-;_-@</c:formatCode>
                <c:ptCount val="84"/>
                <c:pt idx="0">
                  <c:v>7.69210483870968</c:v>
                </c:pt>
                <c:pt idx="1">
                  <c:v>7.69210483870968</c:v>
                </c:pt>
                <c:pt idx="2">
                  <c:v>7.5752415384615404</c:v>
                </c:pt>
                <c:pt idx="3">
                  <c:v>7.5630158730158703</c:v>
                </c:pt>
                <c:pt idx="4">
                  <c:v>7.6850937500000001</c:v>
                </c:pt>
                <c:pt idx="5">
                  <c:v>7.4129322580645196</c:v>
                </c:pt>
                <c:pt idx="6">
                  <c:v>7.40759230769231</c:v>
                </c:pt>
                <c:pt idx="7">
                  <c:v>7.4203238095238104</c:v>
                </c:pt>
                <c:pt idx="8">
                  <c:v>7.4699677419354904</c:v>
                </c:pt>
                <c:pt idx="9">
                  <c:v>7.3732634920634901</c:v>
                </c:pt>
                <c:pt idx="10">
                  <c:v>7.3652499999999996</c:v>
                </c:pt>
                <c:pt idx="11">
                  <c:v>7.4461437500000001</c:v>
                </c:pt>
                <c:pt idx="12">
                  <c:v>7.6000079365079403</c:v>
                </c:pt>
                <c:pt idx="13">
                  <c:v>7.5381693548387103</c:v>
                </c:pt>
                <c:pt idx="14">
                  <c:v>7.5080696969696996</c:v>
                </c:pt>
                <c:pt idx="15">
                  <c:v>7.6302796874999999</c:v>
                </c:pt>
                <c:pt idx="16">
                  <c:v>7.6052749999999998</c:v>
                </c:pt>
                <c:pt idx="17">
                  <c:v>7.4340317460317502</c:v>
                </c:pt>
                <c:pt idx="18">
                  <c:v>7.3949560606060603</c:v>
                </c:pt>
                <c:pt idx="19">
                  <c:v>7.55282424242424</c:v>
                </c:pt>
                <c:pt idx="20">
                  <c:v>7.5080822580645101</c:v>
                </c:pt>
                <c:pt idx="21">
                  <c:v>7.3442646153846098</c:v>
                </c:pt>
                <c:pt idx="22">
                  <c:v>7.37284393939394</c:v>
                </c:pt>
                <c:pt idx="23">
                  <c:v>7.3831015625000003</c:v>
                </c:pt>
                <c:pt idx="24">
                  <c:v>7.3426307692307704</c:v>
                </c:pt>
                <c:pt idx="25">
                  <c:v>7.2786096774193503</c:v>
                </c:pt>
                <c:pt idx="26">
                  <c:v>7.3108815384615404</c:v>
                </c:pt>
                <c:pt idx="27">
                  <c:v>7.3657238095238098</c:v>
                </c:pt>
                <c:pt idx="28">
                  <c:v>7.3656078125000004</c:v>
                </c:pt>
                <c:pt idx="29">
                  <c:v>7.3493854838709698</c:v>
                </c:pt>
                <c:pt idx="30">
                  <c:v>7.3080123076923096</c:v>
                </c:pt>
                <c:pt idx="31">
                  <c:v>7.3280609375000001</c:v>
                </c:pt>
                <c:pt idx="32">
                  <c:v>7.28522580645161</c:v>
                </c:pt>
                <c:pt idx="33">
                  <c:v>7.2555593749999998</c:v>
                </c:pt>
                <c:pt idx="34">
                  <c:v>7.1827287878787898</c:v>
                </c:pt>
                <c:pt idx="35">
                  <c:v>7.1752453125000004</c:v>
                </c:pt>
                <c:pt idx="36">
                  <c:v>7.4115761904761897</c:v>
                </c:pt>
                <c:pt idx="37">
                  <c:v>7.3527758064516098</c:v>
                </c:pt>
                <c:pt idx="38">
                  <c:v>7.3232196969696997</c:v>
                </c:pt>
                <c:pt idx="39">
                  <c:v>7.2755984615384603</c:v>
                </c:pt>
                <c:pt idx="40">
                  <c:v>7.2849380952380898</c:v>
                </c:pt>
                <c:pt idx="41">
                  <c:v>7.2477174603174603</c:v>
                </c:pt>
                <c:pt idx="42">
                  <c:v>7.2532106060606001</c:v>
                </c:pt>
                <c:pt idx="43">
                  <c:v>7.3682878787878803</c:v>
                </c:pt>
                <c:pt idx="44">
                  <c:v>7.4018390624999997</c:v>
                </c:pt>
                <c:pt idx="45">
                  <c:v>7.3931682539682502</c:v>
                </c:pt>
                <c:pt idx="46">
                  <c:v>7.4628621212121198</c:v>
                </c:pt>
                <c:pt idx="47">
                  <c:v>7.49684375</c:v>
                </c:pt>
                <c:pt idx="48">
                  <c:v>7.5568384615384598</c:v>
                </c:pt>
                <c:pt idx="49">
                  <c:v>7.5280370967741899</c:v>
                </c:pt>
                <c:pt idx="50">
                  <c:v>7.4731861538461501</c:v>
                </c:pt>
                <c:pt idx="51">
                  <c:v>7.5290296874999996</c:v>
                </c:pt>
                <c:pt idx="52">
                  <c:v>7.5837870967742003</c:v>
                </c:pt>
                <c:pt idx="53">
                  <c:v>7.5566111111111098</c:v>
                </c:pt>
                <c:pt idx="54">
                  <c:v>7.5458803030302999</c:v>
                </c:pt>
                <c:pt idx="55">
                  <c:v>7.6290312499999997</c:v>
                </c:pt>
                <c:pt idx="56">
                  <c:v>7.6497682539682499</c:v>
                </c:pt>
                <c:pt idx="57">
                  <c:v>7.5991774193548398</c:v>
                </c:pt>
                <c:pt idx="58">
                  <c:v>7.6233272727272698</c:v>
                </c:pt>
                <c:pt idx="59">
                  <c:v>7.6648734374999998</c:v>
                </c:pt>
                <c:pt idx="60">
                  <c:v>7.6810904761904801</c:v>
                </c:pt>
                <c:pt idx="61">
                  <c:v>7.5735032258064496</c:v>
                </c:pt>
                <c:pt idx="62">
                  <c:v>7.5781196969696998</c:v>
                </c:pt>
                <c:pt idx="63">
                  <c:v>7.6228584615384598</c:v>
                </c:pt>
                <c:pt idx="64">
                  <c:v>7.6170177419354799</c:v>
                </c:pt>
                <c:pt idx="65">
                  <c:v>7.5044646153846104</c:v>
                </c:pt>
                <c:pt idx="66">
                  <c:v>7.4932606060606002</c:v>
                </c:pt>
                <c:pt idx="67">
                  <c:v>7.5227374999999999</c:v>
                </c:pt>
                <c:pt idx="68">
                  <c:v>7.4668230769230801</c:v>
                </c:pt>
                <c:pt idx="69">
                  <c:v>7.42950483870968</c:v>
                </c:pt>
                <c:pt idx="70">
                  <c:v>7.4263046153846197</c:v>
                </c:pt>
                <c:pt idx="71">
                  <c:v>7.5326984126984096</c:v>
                </c:pt>
                <c:pt idx="72">
                  <c:v>7.4379968253968203</c:v>
                </c:pt>
                <c:pt idx="73">
                  <c:v>7.3976333333333404</c:v>
                </c:pt>
                <c:pt idx="74">
                  <c:v>7.4173276923076896</c:v>
                </c:pt>
                <c:pt idx="75">
                  <c:v>7.4196703125000001</c:v>
                </c:pt>
                <c:pt idx="76">
                  <c:v>7.4216222222222203</c:v>
                </c:pt>
                <c:pt idx="77">
                  <c:v>7.4183274193548403</c:v>
                </c:pt>
                <c:pt idx="78">
                  <c:v>7.3935742424242399</c:v>
                </c:pt>
                <c:pt idx="79">
                  <c:v>7.4391656250000002</c:v>
                </c:pt>
                <c:pt idx="80">
                  <c:v>7.6092310000000003</c:v>
                </c:pt>
                <c:pt idx="81">
                  <c:v>7.6688281451040936</c:v>
                </c:pt>
                <c:pt idx="82">
                  <c:v>7.6405849123973288</c:v>
                </c:pt>
                <c:pt idx="83">
                  <c:v>7.5935518866204976</c:v>
                </c:pt>
              </c:numCache>
            </c:numRef>
          </c:val>
          <c:smooth val="0"/>
          <c:extLst>
            <c:ext xmlns:c16="http://schemas.microsoft.com/office/drawing/2014/chart" uri="{C3380CC4-5D6E-409C-BE32-E72D297353CC}">
              <c16:uniqueId val="{00000003-A8B3-4591-B2D5-C072239A3196}"/>
            </c:ext>
          </c:extLst>
        </c:ser>
        <c:dLbls>
          <c:showLegendKey val="0"/>
          <c:showVal val="0"/>
          <c:showCatName val="0"/>
          <c:showSerName val="0"/>
          <c:showPercent val="0"/>
          <c:showBubbleSize val="0"/>
        </c:dLbls>
        <c:marker val="1"/>
        <c:smooth val="0"/>
        <c:axId val="631945264"/>
        <c:axId val="631942768"/>
      </c:lineChart>
      <c:dateAx>
        <c:axId val="795468977"/>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250890202"/>
        <c:crosses val="autoZero"/>
        <c:auto val="1"/>
        <c:lblOffset val="100"/>
        <c:baseTimeUnit val="months"/>
      </c:dateAx>
      <c:valAx>
        <c:axId val="12508902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sr-Latn-RS"/>
          </a:p>
        </c:txPr>
        <c:crossAx val="795468977"/>
        <c:crosses val="autoZero"/>
        <c:crossBetween val="between"/>
      </c:valAx>
      <c:valAx>
        <c:axId val="631942768"/>
        <c:scaling>
          <c:orientation val="minMax"/>
        </c:scaling>
        <c:delete val="0"/>
        <c:axPos val="r"/>
        <c:numFmt formatCode="_-* #,##0.00\ _k_n_-;\-* #,##0.00\ _k_n_-;_-* &quot;-&quot;??\ _k_n_-;_-@" sourceLinked="1"/>
        <c:majorTickMark val="out"/>
        <c:minorTickMark val="none"/>
        <c:tickLblPos val="nextTo"/>
        <c:crossAx val="631945264"/>
        <c:crosses val="max"/>
        <c:crossBetween val="between"/>
      </c:valAx>
      <c:dateAx>
        <c:axId val="631945264"/>
        <c:scaling>
          <c:orientation val="minMax"/>
        </c:scaling>
        <c:delete val="1"/>
        <c:axPos val="b"/>
        <c:numFmt formatCode="m/d/yyyy" sourceLinked="1"/>
        <c:majorTickMark val="out"/>
        <c:minorTickMark val="none"/>
        <c:tickLblPos val="nextTo"/>
        <c:crossAx val="631942768"/>
        <c:crosses val="autoZero"/>
        <c:auto val="1"/>
        <c:lblOffset val="100"/>
        <c:baseTimeUnit val="months"/>
      </c:date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oneCellAnchor>
    <xdr:from>
      <xdr:col>24</xdr:col>
      <xdr:colOff>0</xdr:colOff>
      <xdr:row>2</xdr:row>
      <xdr:rowOff>0</xdr:rowOff>
    </xdr:from>
    <xdr:ext cx="10648950" cy="8143875"/>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51</xdr:col>
      <xdr:colOff>9525</xdr:colOff>
      <xdr:row>113</xdr:row>
      <xdr:rowOff>0</xdr:rowOff>
    </xdr:from>
    <xdr:ext cx="5524500" cy="3581400"/>
    <xdr:graphicFrame macro="">
      <xdr:nvGraphicFramePr>
        <xdr:cNvPr id="1424387871"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56</xdr:col>
      <xdr:colOff>0</xdr:colOff>
      <xdr:row>113</xdr:row>
      <xdr:rowOff>0</xdr:rowOff>
    </xdr:from>
    <xdr:ext cx="5486400" cy="3581400"/>
    <xdr:graphicFrame macro="">
      <xdr:nvGraphicFramePr>
        <xdr:cNvPr id="680177122"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11</xdr:col>
      <xdr:colOff>0</xdr:colOff>
      <xdr:row>76</xdr:row>
      <xdr:rowOff>171450</xdr:rowOff>
    </xdr:from>
    <xdr:ext cx="6867525" cy="3886200"/>
    <xdr:graphicFrame macro="">
      <xdr:nvGraphicFramePr>
        <xdr:cNvPr id="1819816277"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18</xdr:col>
      <xdr:colOff>581025</xdr:colOff>
      <xdr:row>77</xdr:row>
      <xdr:rowOff>0</xdr:rowOff>
    </xdr:from>
    <xdr:ext cx="7029450" cy="4048125"/>
    <xdr:graphicFrame macro="">
      <xdr:nvGraphicFramePr>
        <xdr:cNvPr id="36003742"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12</xdr:col>
      <xdr:colOff>0</xdr:colOff>
      <xdr:row>29</xdr:row>
      <xdr:rowOff>38100</xdr:rowOff>
    </xdr:from>
    <xdr:ext cx="4619625" cy="3057525"/>
    <xdr:graphicFrame macro="">
      <xdr:nvGraphicFramePr>
        <xdr:cNvPr id="1342637142"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22</xdr:col>
      <xdr:colOff>438150</xdr:colOff>
      <xdr:row>94</xdr:row>
      <xdr:rowOff>133350</xdr:rowOff>
    </xdr:from>
    <xdr:ext cx="4819650" cy="2714625"/>
    <xdr:graphicFrame macro="">
      <xdr:nvGraphicFramePr>
        <xdr:cNvPr id="872375326"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17</xdr:col>
      <xdr:colOff>28575</xdr:colOff>
      <xdr:row>96</xdr:row>
      <xdr:rowOff>76200</xdr:rowOff>
    </xdr:from>
    <xdr:ext cx="4438650" cy="2714625"/>
    <xdr:graphicFrame macro="">
      <xdr:nvGraphicFramePr>
        <xdr:cNvPr id="1336961224"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twoCellAnchor>
    <xdr:from>
      <xdr:col>29</xdr:col>
      <xdr:colOff>976924</xdr:colOff>
      <xdr:row>98</xdr:row>
      <xdr:rowOff>79131</xdr:rowOff>
    </xdr:from>
    <xdr:to>
      <xdr:col>32</xdr:col>
      <xdr:colOff>254000</xdr:colOff>
      <xdr:row>114</xdr:row>
      <xdr:rowOff>8792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73</xdr:col>
      <xdr:colOff>161925</xdr:colOff>
      <xdr:row>1</xdr:row>
      <xdr:rowOff>152400</xdr:rowOff>
    </xdr:from>
    <xdr:ext cx="4572000" cy="2705100"/>
    <xdr:graphicFrame macro="">
      <xdr:nvGraphicFramePr>
        <xdr:cNvPr id="114963417"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333375</xdr:colOff>
      <xdr:row>93</xdr:row>
      <xdr:rowOff>114300</xdr:rowOff>
    </xdr:from>
    <xdr:ext cx="4410075" cy="2714625"/>
    <xdr:graphicFrame macro="">
      <xdr:nvGraphicFramePr>
        <xdr:cNvPr id="650658752" name="Chart 9" title="Grafiko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247650</xdr:colOff>
      <xdr:row>111</xdr:row>
      <xdr:rowOff>0</xdr:rowOff>
    </xdr:from>
    <xdr:ext cx="7153275" cy="3914775"/>
    <xdr:graphicFrame macro="">
      <xdr:nvGraphicFramePr>
        <xdr:cNvPr id="1310546018"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13</xdr:col>
      <xdr:colOff>0</xdr:colOff>
      <xdr:row>18</xdr:row>
      <xdr:rowOff>0</xdr:rowOff>
    </xdr:from>
    <xdr:ext cx="4152900" cy="2714625"/>
    <xdr:graphicFrame macro="">
      <xdr:nvGraphicFramePr>
        <xdr:cNvPr id="758632066"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13</xdr:col>
      <xdr:colOff>114300</xdr:colOff>
      <xdr:row>1</xdr:row>
      <xdr:rowOff>85725</xdr:rowOff>
    </xdr:from>
    <xdr:ext cx="4362450" cy="2857500"/>
    <xdr:graphicFrame macro="">
      <xdr:nvGraphicFramePr>
        <xdr:cNvPr id="573072226"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771525</xdr:colOff>
      <xdr:row>75</xdr:row>
      <xdr:rowOff>171450</xdr:rowOff>
    </xdr:from>
    <xdr:ext cx="4600575" cy="3000375"/>
    <xdr:graphicFrame macro="">
      <xdr:nvGraphicFramePr>
        <xdr:cNvPr id="1168313757"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dr:oneCellAnchor>
    <xdr:from>
      <xdr:col>36</xdr:col>
      <xdr:colOff>400050</xdr:colOff>
      <xdr:row>5</xdr:row>
      <xdr:rowOff>0</xdr:rowOff>
    </xdr:from>
    <xdr:ext cx="5038725" cy="3638550"/>
    <xdr:graphicFrame macro="">
      <xdr:nvGraphicFramePr>
        <xdr:cNvPr id="748936260"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36</xdr:col>
      <xdr:colOff>390525</xdr:colOff>
      <xdr:row>26</xdr:row>
      <xdr:rowOff>57150</xdr:rowOff>
    </xdr:from>
    <xdr:ext cx="5010150" cy="3800475"/>
    <xdr:graphicFrame macro="">
      <xdr:nvGraphicFramePr>
        <xdr:cNvPr id="1422310892"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48</xdr:col>
      <xdr:colOff>57150</xdr:colOff>
      <xdr:row>35</xdr:row>
      <xdr:rowOff>114300</xdr:rowOff>
    </xdr:from>
    <xdr:ext cx="4772025" cy="3371850"/>
    <xdr:graphicFrame macro="">
      <xdr:nvGraphicFramePr>
        <xdr:cNvPr id="1906605082"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11</xdr:col>
      <xdr:colOff>361950</xdr:colOff>
      <xdr:row>49</xdr:row>
      <xdr:rowOff>9525</xdr:rowOff>
    </xdr:from>
    <xdr:ext cx="4552950" cy="2724150"/>
    <xdr:graphicFrame macro="">
      <xdr:nvGraphicFramePr>
        <xdr:cNvPr id="757896764"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dr:oneCellAnchor>
    <xdr:from>
      <xdr:col>21</xdr:col>
      <xdr:colOff>116205</xdr:colOff>
      <xdr:row>2</xdr:row>
      <xdr:rowOff>83820</xdr:rowOff>
    </xdr:from>
    <xdr:ext cx="4495800" cy="2686050"/>
    <xdr:graphicFrame macro="">
      <xdr:nvGraphicFramePr>
        <xdr:cNvPr id="1546927510"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16</xdr:col>
      <xdr:colOff>163830</xdr:colOff>
      <xdr:row>2</xdr:row>
      <xdr:rowOff>62865</xdr:rowOff>
    </xdr:from>
    <xdr:ext cx="4552950" cy="2714625"/>
    <xdr:graphicFrame macro="">
      <xdr:nvGraphicFramePr>
        <xdr:cNvPr id="263808144"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1"/>
  <sheetViews>
    <sheetView tabSelected="1" zoomScale="78" workbookViewId="0">
      <selection activeCell="X20" sqref="X20"/>
    </sheetView>
  </sheetViews>
  <sheetFormatPr defaultColWidth="12.59765625" defaultRowHeight="15" customHeight="1"/>
  <cols>
    <col min="1" max="1" width="29.59765625" style="359" customWidth="1"/>
    <col min="2" max="2" width="9.19921875" style="428" hidden="1" customWidth="1"/>
    <col min="3" max="8" width="9.19921875" style="359" hidden="1" customWidth="1"/>
    <col min="9" max="10" width="9.19921875" style="428" hidden="1" customWidth="1"/>
    <col min="11" max="12" width="9.19921875" hidden="1" customWidth="1"/>
    <col min="13" max="15" width="9.19921875" bestFit="1" customWidth="1"/>
    <col min="16" max="17" width="10.19921875" bestFit="1" customWidth="1"/>
    <col min="18" max="18" width="9.19921875" bestFit="1" customWidth="1"/>
    <col min="19" max="29" width="8.69921875" customWidth="1"/>
    <col min="30" max="49" width="8.59765625" customWidth="1"/>
  </cols>
  <sheetData>
    <row r="1" spans="1:49" s="359" customFormat="1" ht="15" customHeight="1">
      <c r="A1" s="457"/>
      <c r="B1" s="458"/>
      <c r="C1" s="458"/>
      <c r="D1" s="458"/>
      <c r="E1" s="458"/>
      <c r="F1" s="458"/>
      <c r="G1" s="458"/>
      <c r="H1" s="458"/>
      <c r="I1" s="458"/>
      <c r="J1" s="458"/>
      <c r="K1" s="458"/>
      <c r="L1" s="458"/>
      <c r="M1" s="458"/>
      <c r="N1" s="458"/>
      <c r="O1" s="458"/>
      <c r="P1" s="496" t="s">
        <v>1159</v>
      </c>
      <c r="Q1" s="496"/>
      <c r="R1" s="497"/>
    </row>
    <row r="2" spans="1:49" ht="13.5" customHeight="1">
      <c r="A2" s="477" t="s">
        <v>1290</v>
      </c>
      <c r="B2" s="459" t="s">
        <v>46</v>
      </c>
      <c r="C2" s="459" t="s">
        <v>47</v>
      </c>
      <c r="D2" s="459" t="s">
        <v>48</v>
      </c>
      <c r="E2" s="459" t="s">
        <v>49</v>
      </c>
      <c r="F2" s="459" t="s">
        <v>50</v>
      </c>
      <c r="G2" s="459" t="s">
        <v>51</v>
      </c>
      <c r="H2" s="459" t="s">
        <v>52</v>
      </c>
      <c r="I2" s="459" t="s">
        <v>53</v>
      </c>
      <c r="J2" s="459" t="s">
        <v>54</v>
      </c>
      <c r="K2" s="459" t="s">
        <v>55</v>
      </c>
      <c r="L2" s="459" t="s">
        <v>56</v>
      </c>
      <c r="M2" s="459" t="s">
        <v>57</v>
      </c>
      <c r="N2" s="459" t="s">
        <v>1161</v>
      </c>
      <c r="O2" s="459" t="s">
        <v>1160</v>
      </c>
      <c r="P2" s="460" t="s">
        <v>1162</v>
      </c>
      <c r="Q2" s="461" t="s">
        <v>1164</v>
      </c>
      <c r="R2" s="462" t="s">
        <v>1163</v>
      </c>
      <c r="S2" s="358"/>
      <c r="T2" s="358"/>
      <c r="U2" s="358"/>
      <c r="V2" s="358"/>
      <c r="W2" s="358"/>
      <c r="X2" s="358"/>
      <c r="Y2" s="1"/>
      <c r="Z2" s="1"/>
      <c r="AA2" s="1"/>
      <c r="AB2" s="1"/>
      <c r="AC2" s="1"/>
      <c r="AD2" s="1"/>
      <c r="AE2" s="1"/>
      <c r="AF2" s="1"/>
      <c r="AG2" s="1"/>
      <c r="AH2" s="1"/>
      <c r="AI2" s="1"/>
      <c r="AJ2" s="1"/>
      <c r="AK2" s="1"/>
      <c r="AL2" s="1"/>
      <c r="AM2" s="1"/>
      <c r="AN2" s="1"/>
      <c r="AO2" s="1"/>
      <c r="AP2" s="1"/>
      <c r="AQ2" s="1"/>
      <c r="AR2" s="1"/>
      <c r="AS2" s="1"/>
      <c r="AT2" s="1"/>
      <c r="AU2" s="1"/>
      <c r="AV2" s="1"/>
      <c r="AW2" s="1"/>
    </row>
    <row r="3" spans="1:49" ht="13.5" customHeight="1">
      <c r="A3" s="463" t="s">
        <v>1148</v>
      </c>
      <c r="B3" s="469">
        <f>bdp!BF56*100</f>
        <v>9.0476805449843276</v>
      </c>
      <c r="C3" s="470">
        <f>bdp!BF60*100</f>
        <v>9.6270588985010175</v>
      </c>
      <c r="D3" s="470">
        <f>bdp!BF64*100</f>
        <v>7.4177581655072045</v>
      </c>
      <c r="E3" s="470">
        <f>bdp!BF68*100</f>
        <v>-4.6042727210420242</v>
      </c>
      <c r="F3" s="470">
        <f>bdp!BF72*100</f>
        <v>-0.58837110503541235</v>
      </c>
      <c r="G3" s="470">
        <f>bdp!BF76*100</f>
        <v>1.3351658854457105</v>
      </c>
      <c r="H3" s="470">
        <f>bdp!BF80*100</f>
        <v>-0.81188069326159074</v>
      </c>
      <c r="I3" s="470">
        <f>bdp!BF84*100</f>
        <v>0.21166941221957281</v>
      </c>
      <c r="J3" s="470">
        <f>bdp!BF88*100</f>
        <v>4.0401991336347365E-2</v>
      </c>
      <c r="K3" s="470">
        <f>bdp!BF92*100</f>
        <v>2.5211596792207525</v>
      </c>
      <c r="L3" s="470">
        <f>bdp!BF96*100</f>
        <v>3.3772210575281347</v>
      </c>
      <c r="M3" s="470">
        <f>bdp!BF100*100</f>
        <v>4.3447675545366105</v>
      </c>
      <c r="N3" s="470">
        <f>bdp!BF104*100</f>
        <v>4.5135502005718919</v>
      </c>
      <c r="O3" s="474">
        <f>bdp!BF108*100</f>
        <v>4.4749689465191089</v>
      </c>
      <c r="P3" s="470">
        <f>bdp!BF112*100</f>
        <v>-15.146418833110664</v>
      </c>
      <c r="Q3" s="470">
        <f>bdp!BG112*100</f>
        <v>-12.635128164491405</v>
      </c>
      <c r="R3" s="472">
        <f>bdp!BH112*100</f>
        <v>-9.8952096455805609</v>
      </c>
      <c r="S3" s="358"/>
      <c r="T3" s="358"/>
      <c r="U3" s="358"/>
      <c r="V3" s="358"/>
      <c r="W3" s="358"/>
      <c r="X3" s="358"/>
      <c r="Y3" s="1"/>
      <c r="Z3" s="1"/>
      <c r="AA3" s="1"/>
      <c r="AB3" s="1"/>
      <c r="AC3" s="1"/>
      <c r="AD3" s="1"/>
      <c r="AE3" s="1"/>
      <c r="AF3" s="1"/>
      <c r="AG3" s="1"/>
      <c r="AH3" s="1"/>
      <c r="AI3" s="1"/>
      <c r="AJ3" s="1"/>
      <c r="AK3" s="1"/>
      <c r="AL3" s="1"/>
      <c r="AM3" s="1"/>
      <c r="AN3" s="1"/>
      <c r="AO3" s="1"/>
      <c r="AP3" s="1"/>
      <c r="AQ3" s="1"/>
      <c r="AR3" s="1"/>
      <c r="AS3" s="1"/>
      <c r="AT3" s="1"/>
      <c r="AU3" s="1"/>
      <c r="AV3" s="1"/>
      <c r="AW3" s="1"/>
    </row>
    <row r="4" spans="1:49" ht="13.5" customHeight="1">
      <c r="A4" s="463" t="s">
        <v>1149</v>
      </c>
      <c r="B4" s="471">
        <f>nezaposlenost!V31</f>
        <v>16.162297666474061</v>
      </c>
      <c r="C4" s="464">
        <f>nezaposlenost!V35</f>
        <v>13.923872138358433</v>
      </c>
      <c r="D4" s="464">
        <f>nezaposlenost!V39</f>
        <v>13.042909457336448</v>
      </c>
      <c r="E4" s="464">
        <f>nezaposlenost!V43</f>
        <v>16.247612098112754</v>
      </c>
      <c r="F4" s="464">
        <f>nezaposlenost!V47</f>
        <v>18.033735238627166</v>
      </c>
      <c r="G4" s="464">
        <f>nezaposlenost!V51</f>
        <v>17.814191796193963</v>
      </c>
      <c r="H4" s="464">
        <f>nezaposlenost!V55</f>
        <v>20.045407025599296</v>
      </c>
      <c r="I4" s="464">
        <f>nezaposlenost!V59</f>
        <v>20.575633792381264</v>
      </c>
      <c r="J4" s="464">
        <f>nezaposlenost!V63</f>
        <v>18.431590603837957</v>
      </c>
      <c r="K4" s="464">
        <f>nezaposlenost!V67</f>
        <v>16.247162421313476</v>
      </c>
      <c r="L4" s="464">
        <f>nezaposlenost!V71</f>
        <v>13.151949161815939</v>
      </c>
      <c r="M4" s="464">
        <f>nezaposlenost!V75</f>
        <v>10.334122696964837</v>
      </c>
      <c r="N4" s="464">
        <f>nezaposlenost!V79</f>
        <v>8.122957497622382</v>
      </c>
      <c r="O4" s="475">
        <f>nezaposlenost!V83</f>
        <v>7.1668411358915645</v>
      </c>
      <c r="P4" s="464">
        <f>nezaposlenost!V87</f>
        <v>14.614332901839912</v>
      </c>
      <c r="Q4" s="464">
        <f>nezaposlenost!W87</f>
        <v>13.560746147702542</v>
      </c>
      <c r="R4" s="465">
        <f>nezaposlenost!X87</f>
        <v>12.593221241003588</v>
      </c>
      <c r="S4" s="358"/>
      <c r="T4" s="358"/>
      <c r="U4" s="358"/>
      <c r="V4" s="358"/>
      <c r="W4" s="358"/>
      <c r="X4" s="358"/>
      <c r="Y4" s="1"/>
      <c r="Z4" s="1"/>
      <c r="AA4" s="1"/>
      <c r="AB4" s="1"/>
      <c r="AC4" s="1"/>
      <c r="AD4" s="1"/>
      <c r="AE4" s="1"/>
      <c r="AF4" s="1"/>
      <c r="AG4" s="1"/>
      <c r="AH4" s="1"/>
      <c r="AI4" s="1"/>
      <c r="AJ4" s="1"/>
      <c r="AK4" s="1"/>
      <c r="AL4" s="1"/>
      <c r="AM4" s="1"/>
      <c r="AN4" s="1"/>
      <c r="AO4" s="1"/>
      <c r="AP4" s="1"/>
      <c r="AQ4" s="1"/>
      <c r="AR4" s="1"/>
      <c r="AS4" s="1"/>
      <c r="AT4" s="1"/>
      <c r="AU4" s="1"/>
      <c r="AV4" s="1"/>
      <c r="AW4" s="1"/>
    </row>
    <row r="5" spans="1:49" ht="13.5" customHeight="1">
      <c r="A5" s="463" t="s">
        <v>1150</v>
      </c>
      <c r="B5" s="471">
        <f>place!B38*100</f>
        <v>7.9200915330848387</v>
      </c>
      <c r="C5" s="464">
        <f>place!B42*100</f>
        <v>6.1425114097440225</v>
      </c>
      <c r="D5" s="464">
        <f>place!B46*100</f>
        <v>5.6602970440929878</v>
      </c>
      <c r="E5" s="464">
        <f>place!B50*100</f>
        <v>-0.81159233077969795</v>
      </c>
      <c r="F5" s="464">
        <f>place!B54*100</f>
        <v>0.61342761120628531</v>
      </c>
      <c r="G5" s="464">
        <f>place!B58*100</f>
        <v>3.2690629555404138</v>
      </c>
      <c r="H5" s="464">
        <f>place!B62*100</f>
        <v>-0.48695747681695156</v>
      </c>
      <c r="I5" s="464">
        <f>place!B66*100</f>
        <v>-5.7103102885835977E-2</v>
      </c>
      <c r="J5" s="464">
        <f>place!B70*100</f>
        <v>1.0747345927294649</v>
      </c>
      <c r="K5" s="464">
        <f>place!B74*100</f>
        <v>-3.9898269610761261</v>
      </c>
      <c r="L5" s="464">
        <f>place!B78*100</f>
        <v>1.984059976565411</v>
      </c>
      <c r="M5" s="464">
        <f>place!B82*100</f>
        <v>5.4568120233337902</v>
      </c>
      <c r="N5" s="464">
        <f>place!B86*100</f>
        <v>1.0503535982684387</v>
      </c>
      <c r="O5" s="475">
        <f>place!B90*100</f>
        <v>5.611200615055556</v>
      </c>
      <c r="P5" s="464">
        <f>place!B94*100</f>
        <v>-6.74642964707198</v>
      </c>
      <c r="Q5" s="464">
        <f>place!L94*100</f>
        <v>-5.8419490237261673</v>
      </c>
      <c r="R5" s="465">
        <f>place!S94*100</f>
        <v>-3.963927511711185</v>
      </c>
      <c r="S5" s="358"/>
      <c r="T5" s="358"/>
      <c r="U5" s="358"/>
      <c r="V5" s="358"/>
      <c r="W5" s="358"/>
      <c r="X5" s="358"/>
      <c r="Y5" s="1"/>
      <c r="Z5" s="1"/>
      <c r="AA5" s="1"/>
      <c r="AB5" s="1"/>
      <c r="AC5" s="1"/>
      <c r="AD5" s="1"/>
      <c r="AE5" s="1"/>
      <c r="AF5" s="1"/>
      <c r="AG5" s="1"/>
      <c r="AH5" s="1"/>
      <c r="AI5" s="1"/>
      <c r="AJ5" s="1"/>
      <c r="AK5" s="1"/>
      <c r="AL5" s="1"/>
      <c r="AM5" s="1"/>
      <c r="AN5" s="1"/>
      <c r="AO5" s="1"/>
      <c r="AP5" s="1"/>
      <c r="AQ5" s="1"/>
      <c r="AR5" s="1"/>
      <c r="AS5" s="1"/>
      <c r="AT5" s="1"/>
      <c r="AU5" s="1"/>
      <c r="AV5" s="1"/>
      <c r="AW5" s="1"/>
    </row>
    <row r="6" spans="1:49" ht="13.5" customHeight="1">
      <c r="A6" s="463" t="s">
        <v>1151</v>
      </c>
      <c r="B6" s="471">
        <f>vanjski_sektor!V30*100</f>
        <v>-7.7381502582726149</v>
      </c>
      <c r="C6" s="464">
        <f>vanjski_sektor!V34*100</f>
        <v>-7.8439632659705678</v>
      </c>
      <c r="D6" s="464">
        <f>vanjski_sektor!V38*100</f>
        <v>-10.648170012396378</v>
      </c>
      <c r="E6" s="464">
        <f>vanjski_sektor!V42*100</f>
        <v>-6.6187597067516704</v>
      </c>
      <c r="F6" s="464">
        <f>vanjski_sektor!V46*100</f>
        <v>-2.1643847648199492</v>
      </c>
      <c r="G6" s="464">
        <f>vanjski_sektor!V50*100</f>
        <v>-1.7374743488491537</v>
      </c>
      <c r="H6" s="464">
        <f>vanjski_sektor!V54*100</f>
        <v>-1.8379570826245455</v>
      </c>
      <c r="I6" s="464">
        <f>vanjski_sektor!V58*100</f>
        <v>-1.0238118454250573</v>
      </c>
      <c r="J6" s="464">
        <f>vanjski_sektor!V62*100</f>
        <v>0.25152440868682691</v>
      </c>
      <c r="K6" s="464">
        <f>vanjski_sektor!V66*100</f>
        <v>3.2645472432707505</v>
      </c>
      <c r="L6" s="464">
        <f>vanjski_sektor!V70*100</f>
        <v>2.109915587839883</v>
      </c>
      <c r="M6" s="464">
        <f>vanjski_sektor!V74*100</f>
        <v>3.4566258283246478</v>
      </c>
      <c r="N6" s="464">
        <f>vanjski_sektor!V78*100</f>
        <v>1.9028952283291922</v>
      </c>
      <c r="O6" s="475">
        <f>vanjski_sektor!V82*100</f>
        <v>2.8890682965744143</v>
      </c>
      <c r="P6" s="464">
        <f>vanjski_sektor!V86*100</f>
        <v>-4.5413218681595868</v>
      </c>
      <c r="Q6" s="464">
        <f>vanjski_sektor!V91*100</f>
        <v>-2.4251719656509065</v>
      </c>
      <c r="R6" s="465">
        <f>vanjski_sektor!V96*100</f>
        <v>1.3590960924465429</v>
      </c>
      <c r="S6" s="358"/>
      <c r="T6" s="358"/>
      <c r="U6" s="358"/>
      <c r="V6" s="358"/>
      <c r="W6" s="358"/>
      <c r="X6" s="358"/>
      <c r="Y6" s="1"/>
      <c r="Z6" s="1"/>
      <c r="AA6" s="1"/>
      <c r="AB6" s="1"/>
      <c r="AC6" s="1"/>
      <c r="AD6" s="1"/>
      <c r="AE6" s="1"/>
      <c r="AF6" s="1"/>
      <c r="AG6" s="1"/>
      <c r="AH6" s="1"/>
      <c r="AI6" s="1"/>
      <c r="AJ6" s="1"/>
      <c r="AK6" s="1"/>
      <c r="AL6" s="1"/>
      <c r="AM6" s="1"/>
      <c r="AN6" s="1"/>
      <c r="AO6" s="1"/>
      <c r="AP6" s="1"/>
      <c r="AQ6" s="1"/>
      <c r="AR6" s="1"/>
      <c r="AS6" s="1"/>
      <c r="AT6" s="1"/>
      <c r="AU6" s="1"/>
      <c r="AV6" s="1"/>
      <c r="AW6" s="1"/>
    </row>
    <row r="7" spans="1:49" ht="13.5" customHeight="1">
      <c r="A7" s="463" t="s">
        <v>1152</v>
      </c>
      <c r="B7" s="471">
        <f>krediti!P56</f>
        <v>22</v>
      </c>
      <c r="C7" s="464">
        <f>krediti!P60</f>
        <v>11</v>
      </c>
      <c r="D7" s="464">
        <f>krediti!P64</f>
        <v>5</v>
      </c>
      <c r="E7" s="464">
        <f>krediti!P66</f>
        <v>-1</v>
      </c>
      <c r="F7" s="464">
        <f>krediti!P70</f>
        <v>4</v>
      </c>
      <c r="G7" s="464">
        <f>krediti!P74</f>
        <v>4</v>
      </c>
      <c r="H7" s="464">
        <f>krediti!P78</f>
        <v>-7</v>
      </c>
      <c r="I7" s="464">
        <f>krediti!P82</f>
        <v>-1</v>
      </c>
      <c r="J7" s="464">
        <f>krediti!P86</f>
        <v>-2</v>
      </c>
      <c r="K7" s="464">
        <f>krediti!P90</f>
        <v>-3</v>
      </c>
      <c r="L7" s="464">
        <f>krediti!P94</f>
        <v>-4</v>
      </c>
      <c r="M7" s="464">
        <f>krediti!P98</f>
        <v>0</v>
      </c>
      <c r="N7" s="464">
        <f>krediti!P102</f>
        <v>2</v>
      </c>
      <c r="O7" s="475">
        <f>krediti!P106</f>
        <v>4</v>
      </c>
      <c r="P7" s="464">
        <f>krediti!P110</f>
        <v>0</v>
      </c>
      <c r="Q7" s="464">
        <f>krediti!V110</f>
        <v>1</v>
      </c>
      <c r="R7" s="465">
        <f>krediti!AB110</f>
        <v>2</v>
      </c>
      <c r="S7" s="358"/>
      <c r="T7" s="358"/>
      <c r="U7" s="358"/>
      <c r="V7" s="358"/>
      <c r="W7" s="358"/>
      <c r="X7" s="358"/>
      <c r="Y7" s="1"/>
      <c r="Z7" s="1"/>
      <c r="AA7" s="1"/>
      <c r="AB7" s="1"/>
      <c r="AC7" s="1"/>
      <c r="AD7" s="1"/>
      <c r="AE7" s="1"/>
      <c r="AF7" s="1"/>
      <c r="AG7" s="1"/>
      <c r="AH7" s="1"/>
      <c r="AI7" s="1"/>
      <c r="AJ7" s="1"/>
      <c r="AK7" s="1"/>
      <c r="AL7" s="1"/>
      <c r="AM7" s="1"/>
      <c r="AN7" s="1"/>
      <c r="AO7" s="1"/>
      <c r="AP7" s="1"/>
      <c r="AQ7" s="1"/>
      <c r="AR7" s="1"/>
      <c r="AS7" s="1"/>
      <c r="AT7" s="1"/>
      <c r="AU7" s="1"/>
      <c r="AV7" s="1"/>
      <c r="AW7" s="1"/>
    </row>
    <row r="8" spans="1:49" ht="13.5" customHeight="1">
      <c r="A8" s="463" t="s">
        <v>1153</v>
      </c>
      <c r="B8" s="471">
        <f>inflacija!C26</f>
        <v>2.1005677911666099</v>
      </c>
      <c r="C8" s="464">
        <f>inflacija!C30</f>
        <v>10.941711973563701</v>
      </c>
      <c r="D8" s="464">
        <f>inflacija!C34</f>
        <v>2.5082764575689902</v>
      </c>
      <c r="E8" s="464">
        <f>inflacija!C38</f>
        <v>-2.23996858436798</v>
      </c>
      <c r="F8" s="464">
        <f>inflacija!C42</f>
        <v>0.40091975635174698</v>
      </c>
      <c r="G8" s="464">
        <f>inflacija!C46</f>
        <v>4.2568298203361099</v>
      </c>
      <c r="H8" s="464">
        <f>inflacija!C50</f>
        <v>4.5770605880136399</v>
      </c>
      <c r="I8" s="464">
        <f>inflacija!C54</f>
        <v>-1.7178259569796801</v>
      </c>
      <c r="J8" s="464">
        <f>inflacija!C58</f>
        <v>-0.242371499586191</v>
      </c>
      <c r="K8" s="464">
        <f>inflacija!C62</f>
        <v>-1.13428442209466</v>
      </c>
      <c r="L8" s="464">
        <f>inflacija!C66</f>
        <v>1.36388410127086</v>
      </c>
      <c r="M8" s="464">
        <f>inflacija!C70</f>
        <v>0.90134997433945996</v>
      </c>
      <c r="N8" s="464">
        <f>inflacija!C74</f>
        <v>3.2047321618851301</v>
      </c>
      <c r="O8" s="475">
        <f>inflacija!C78</f>
        <v>1.14433968952889</v>
      </c>
      <c r="P8" s="464">
        <f>inflacija!C82</f>
        <v>-0.47105108787512306</v>
      </c>
      <c r="Q8" s="464">
        <f>inflacija!G82</f>
        <v>-0.25839019616758008</v>
      </c>
      <c r="R8" s="465">
        <f>inflacija!J82</f>
        <v>-7.8406184763628373E-2</v>
      </c>
      <c r="S8" s="358"/>
      <c r="T8" s="358"/>
      <c r="U8" s="358"/>
      <c r="V8" s="358"/>
      <c r="W8" s="358"/>
      <c r="X8" s="358"/>
      <c r="Y8" s="1"/>
      <c r="Z8" s="1"/>
      <c r="AA8" s="1"/>
      <c r="AB8" s="1"/>
      <c r="AC8" s="1"/>
      <c r="AD8" s="1"/>
      <c r="AE8" s="1"/>
      <c r="AF8" s="1"/>
      <c r="AG8" s="1"/>
      <c r="AH8" s="1"/>
      <c r="AI8" s="1"/>
      <c r="AJ8" s="1"/>
      <c r="AK8" s="1"/>
      <c r="AL8" s="1"/>
      <c r="AM8" s="1"/>
      <c r="AN8" s="1"/>
      <c r="AO8" s="1"/>
      <c r="AP8" s="1"/>
      <c r="AQ8" s="1"/>
      <c r="AR8" s="1"/>
      <c r="AS8" s="1"/>
      <c r="AT8" s="1"/>
      <c r="AU8" s="1"/>
      <c r="AV8" s="1"/>
      <c r="AW8" s="1"/>
    </row>
    <row r="9" spans="1:49" ht="13.5" customHeight="1">
      <c r="A9" s="463" t="s">
        <v>1154</v>
      </c>
      <c r="B9" s="471">
        <f>nekretnine!E18</f>
        <v>15.253386853988957</v>
      </c>
      <c r="C9" s="464">
        <f>nekretnine!E22</f>
        <v>8.3761427949499421</v>
      </c>
      <c r="D9" s="464">
        <f>nekretnine!E26</f>
        <v>-1.1649393428135255</v>
      </c>
      <c r="E9" s="464">
        <f>nekretnine!E30</f>
        <v>-7.1045358478296237</v>
      </c>
      <c r="F9" s="464">
        <f>nekretnine!E34</f>
        <v>-3.9201960098004918</v>
      </c>
      <c r="G9" s="464">
        <f>nekretnine!E38</f>
        <v>1.9945355191256766</v>
      </c>
      <c r="H9" s="464">
        <f>nekretnine!E42</f>
        <v>-5.8844539691043707</v>
      </c>
      <c r="I9" s="464">
        <f>nekretnine!E46</f>
        <v>-1.6793168880455482</v>
      </c>
      <c r="J9" s="464">
        <f>nekretnine!E50</f>
        <v>-1.4378075846762499</v>
      </c>
      <c r="K9" s="464">
        <f>nekretnine!E54</f>
        <v>-2.13432543567653</v>
      </c>
      <c r="L9" s="464">
        <f>nekretnine!E58</f>
        <v>0.79031612645059113</v>
      </c>
      <c r="M9" s="464">
        <f>nekretnine!E62</f>
        <v>7.6426799007444117</v>
      </c>
      <c r="N9" s="464">
        <f>nekretnine!E66</f>
        <v>4.6934071000461159</v>
      </c>
      <c r="O9" s="475">
        <f>nekretnine!E70</f>
        <v>6.8874405495860316</v>
      </c>
      <c r="P9" s="464">
        <f>nekretnine!E74</f>
        <v>-12.238850275894697</v>
      </c>
      <c r="Q9" s="464">
        <f>nekretnine!L74</f>
        <v>-9.9216550764053704</v>
      </c>
      <c r="R9" s="465">
        <f>nekretnine!S74</f>
        <v>-7.4938095432073073</v>
      </c>
      <c r="S9" s="358"/>
      <c r="T9" s="358"/>
      <c r="U9" s="358"/>
      <c r="V9" s="358"/>
      <c r="W9" s="358"/>
      <c r="X9" s="358"/>
      <c r="Y9" s="1"/>
      <c r="Z9" s="1"/>
      <c r="AA9" s="1"/>
      <c r="AB9" s="1"/>
      <c r="AC9" s="1"/>
      <c r="AD9" s="1"/>
      <c r="AE9" s="1"/>
      <c r="AF9" s="1"/>
      <c r="AG9" s="1"/>
      <c r="AH9" s="1"/>
      <c r="AI9" s="1"/>
      <c r="AJ9" s="1"/>
      <c r="AK9" s="1"/>
      <c r="AL9" s="1"/>
      <c r="AM9" s="1"/>
      <c r="AN9" s="1"/>
      <c r="AO9" s="1"/>
      <c r="AP9" s="1"/>
      <c r="AQ9" s="1"/>
      <c r="AR9" s="1"/>
      <c r="AS9" s="1"/>
      <c r="AT9" s="1"/>
      <c r="AU9" s="1"/>
      <c r="AV9" s="1"/>
      <c r="AW9" s="1"/>
    </row>
    <row r="10" spans="1:49" ht="13.5" customHeight="1">
      <c r="A10" s="463" t="s">
        <v>1155</v>
      </c>
      <c r="B10" s="471">
        <f>javne_financije!AE10*100</f>
        <v>-3.1323352876552102</v>
      </c>
      <c r="C10" s="464">
        <f>javne_financije!AE11*100</f>
        <v>-2.2294595711018328</v>
      </c>
      <c r="D10" s="464">
        <f>javne_financije!AE12*100</f>
        <v>-2.8237694661230841</v>
      </c>
      <c r="E10" s="464">
        <f>javne_financije!AE13*100</f>
        <v>-6.0481819118848534</v>
      </c>
      <c r="F10" s="464">
        <f>javne_financije!AE14*100</f>
        <v>-6.4654585855040194</v>
      </c>
      <c r="G10" s="464">
        <f>javne_financije!AE15*100</f>
        <v>-7.9134872039829389</v>
      </c>
      <c r="H10" s="464">
        <f>javne_financije!AE16*100</f>
        <v>-5.3535246159657071</v>
      </c>
      <c r="I10" s="464">
        <f>javne_financije!AE17*100</f>
        <v>-5.3372048352301515</v>
      </c>
      <c r="J10" s="464">
        <f>javne_financije!AE18*100</f>
        <v>-5.3494453375993638</v>
      </c>
      <c r="K10" s="464">
        <f>javne_financije!AE19*100</f>
        <v>-3.3149890789207923</v>
      </c>
      <c r="L10" s="464">
        <f>javne_financije!AE20*100</f>
        <v>-1.106106416097818</v>
      </c>
      <c r="M10" s="464">
        <f>javne_financije!AE21*100</f>
        <v>0.79519421094693399</v>
      </c>
      <c r="N10" s="464">
        <f>javne_financije!AE22*100</f>
        <v>0.25897925323540716</v>
      </c>
      <c r="O10" s="475">
        <f>javne_financije!AE23*100</f>
        <v>0.34056264030558209</v>
      </c>
      <c r="P10" s="464">
        <f>javne_financije!AE24*100</f>
        <v>-9.9574086806898716</v>
      </c>
      <c r="Q10" s="464">
        <f>javne_financije!AE50*100</f>
        <v>-9.2481923844476022</v>
      </c>
      <c r="R10" s="465">
        <f>javne_financije!AE76*100</f>
        <v>-8.4823761018107824</v>
      </c>
      <c r="S10" s="358"/>
      <c r="T10" s="358"/>
      <c r="U10" s="358"/>
      <c r="V10" s="358"/>
      <c r="W10" s="358"/>
      <c r="X10" s="358"/>
      <c r="Y10" s="1"/>
      <c r="Z10" s="1"/>
      <c r="AA10" s="1"/>
      <c r="AB10" s="1"/>
      <c r="AC10" s="1"/>
      <c r="AD10" s="1"/>
      <c r="AE10" s="1"/>
      <c r="AF10" s="1"/>
      <c r="AG10" s="1"/>
      <c r="AH10" s="1"/>
      <c r="AI10" s="1"/>
      <c r="AJ10" s="1"/>
      <c r="AK10" s="1"/>
      <c r="AL10" s="1"/>
      <c r="AM10" s="1"/>
      <c r="AN10" s="1"/>
      <c r="AO10" s="1"/>
      <c r="AP10" s="1"/>
      <c r="AQ10" s="1"/>
      <c r="AR10" s="1"/>
      <c r="AS10" s="1"/>
      <c r="AT10" s="1"/>
      <c r="AU10" s="1"/>
      <c r="AV10" s="1"/>
      <c r="AW10" s="1"/>
    </row>
    <row r="11" spans="1:49" ht="13.5" customHeight="1">
      <c r="A11" s="463" t="s">
        <v>1156</v>
      </c>
      <c r="B11" s="471">
        <f>javne_financije!AY17*100</f>
        <v>38.747220651025359</v>
      </c>
      <c r="C11" s="464">
        <f>javne_financije!AY18*100</f>
        <v>37.353404144202749</v>
      </c>
      <c r="D11" s="464">
        <f>javne_financije!AY19*100</f>
        <v>39.280963603624734</v>
      </c>
      <c r="E11" s="464">
        <f>javne_financije!AY20*100</f>
        <v>48.66625714840783</v>
      </c>
      <c r="F11" s="464">
        <f>javne_financije!AY21*100</f>
        <v>57.791327735781081</v>
      </c>
      <c r="G11" s="464">
        <f>javne_financije!AY22*100</f>
        <v>64.36928611888591</v>
      </c>
      <c r="H11" s="464">
        <f>javne_financije!AY23*100</f>
        <v>70.122226222110328</v>
      </c>
      <c r="I11" s="464">
        <f>javne_financije!AY24*100</f>
        <v>81.189614083040709</v>
      </c>
      <c r="J11" s="464">
        <f>javne_financije!AY25*100</f>
        <v>84.688109242167712</v>
      </c>
      <c r="K11" s="464">
        <f>javne_financije!AY26*100</f>
        <v>84.313720727367539</v>
      </c>
      <c r="L11" s="464">
        <f>javne_financije!AY27*100</f>
        <v>80.802475984671418</v>
      </c>
      <c r="M11" s="464">
        <f>javne_financije!AY28*100</f>
        <v>77.75642769733075</v>
      </c>
      <c r="N11" s="464">
        <f>javne_financije!AY29*100</f>
        <v>74.783102459497826</v>
      </c>
      <c r="O11" s="475">
        <f>javne_financije!AY30*100</f>
        <v>73.236187936383743</v>
      </c>
      <c r="P11" s="464">
        <f>javne_financije!AY31*100</f>
        <v>96.266303283904548</v>
      </c>
      <c r="Q11" s="464">
        <f>javne_financije!AZ31*100</f>
        <v>92.810312273399845</v>
      </c>
      <c r="R11" s="465">
        <f>javne_financije!BA31*100</f>
        <v>89.266938539488521</v>
      </c>
      <c r="S11" s="358"/>
      <c r="T11" s="358"/>
      <c r="U11" s="358"/>
      <c r="V11" s="358"/>
      <c r="W11" s="358"/>
      <c r="X11" s="358"/>
      <c r="Y11" s="1"/>
      <c r="Z11" s="1"/>
      <c r="AA11" s="1"/>
      <c r="AB11" s="1"/>
      <c r="AC11" s="1"/>
      <c r="AD11" s="1"/>
      <c r="AE11" s="1"/>
      <c r="AF11" s="1"/>
      <c r="AG11" s="1"/>
      <c r="AH11" s="1"/>
      <c r="AI11" s="1"/>
      <c r="AJ11" s="1"/>
      <c r="AK11" s="1"/>
      <c r="AL11" s="1"/>
      <c r="AM11" s="1"/>
      <c r="AN11" s="1"/>
      <c r="AO11" s="1"/>
      <c r="AP11" s="1"/>
      <c r="AQ11" s="1"/>
      <c r="AR11" s="1"/>
      <c r="AS11" s="1"/>
      <c r="AT11" s="1"/>
      <c r="AU11" s="1"/>
      <c r="AV11" s="1"/>
      <c r="AW11" s="1"/>
    </row>
    <row r="12" spans="1:49" ht="13.5" customHeight="1">
      <c r="A12" s="463" t="s">
        <v>1157</v>
      </c>
      <c r="B12" s="471">
        <f>prinos!B22</f>
        <v>4.75</v>
      </c>
      <c r="C12" s="464">
        <f>prinos!B26</f>
        <v>5.22</v>
      </c>
      <c r="D12" s="464">
        <f>prinos!B30</f>
        <v>6.26</v>
      </c>
      <c r="E12" s="464">
        <f>prinos!B34</f>
        <v>8.64</v>
      </c>
      <c r="F12" s="464">
        <f>prinos!B38</f>
        <v>6.41</v>
      </c>
      <c r="G12" s="464">
        <f>prinos!B42</f>
        <v>6.81</v>
      </c>
      <c r="H12" s="464">
        <f>prinos!B46</f>
        <v>4.78</v>
      </c>
      <c r="I12" s="464">
        <f>prinos!B50</f>
        <v>4.99</v>
      </c>
      <c r="J12" s="464">
        <f>prinos!B54</f>
        <v>3.54</v>
      </c>
      <c r="K12" s="464">
        <f>prinos!B58</f>
        <v>3.93</v>
      </c>
      <c r="L12" s="464">
        <f>prinos!B62</f>
        <v>3.07</v>
      </c>
      <c r="M12" s="464">
        <f>prinos!B66</f>
        <v>2.66</v>
      </c>
      <c r="N12" s="464">
        <f>prinos!B70</f>
        <v>2.09</v>
      </c>
      <c r="O12" s="475">
        <f>prinos!B74</f>
        <v>0.47</v>
      </c>
      <c r="P12" s="464">
        <f>prinos!B78</f>
        <v>1.8351895676384207</v>
      </c>
      <c r="Q12" s="464">
        <f>prinos!N78</f>
        <v>1.8009247498428274</v>
      </c>
      <c r="R12" s="465">
        <f>prinos!Z78</f>
        <v>1.766693970984194</v>
      </c>
      <c r="S12" s="358"/>
      <c r="T12" s="358"/>
      <c r="U12" s="358"/>
      <c r="V12" s="358"/>
      <c r="W12" s="358"/>
      <c r="X12" s="358"/>
      <c r="Y12" s="1"/>
      <c r="Z12" s="1"/>
      <c r="AA12" s="1"/>
      <c r="AB12" s="1"/>
      <c r="AC12" s="1"/>
      <c r="AD12" s="1"/>
      <c r="AE12" s="1"/>
      <c r="AF12" s="1"/>
      <c r="AG12" s="1"/>
      <c r="AH12" s="1"/>
      <c r="AI12" s="1"/>
      <c r="AJ12" s="1"/>
      <c r="AK12" s="1"/>
      <c r="AL12" s="1"/>
      <c r="AM12" s="1"/>
      <c r="AN12" s="1"/>
      <c r="AO12" s="1"/>
      <c r="AP12" s="1"/>
      <c r="AQ12" s="1"/>
      <c r="AR12" s="1"/>
      <c r="AS12" s="1"/>
      <c r="AT12" s="1"/>
      <c r="AU12" s="1"/>
      <c r="AV12" s="1"/>
      <c r="AW12" s="1"/>
    </row>
    <row r="13" spans="1:49" ht="13.5" customHeight="1">
      <c r="A13" s="463" t="s">
        <v>1288</v>
      </c>
      <c r="B13" s="471">
        <f>kstope!B22</f>
        <v>8.7935166132953935</v>
      </c>
      <c r="C13" s="464">
        <f>kstope!B26</f>
        <v>9.0134137687054157</v>
      </c>
      <c r="D13" s="464">
        <f>kstope!B30</f>
        <v>10.13248673066844</v>
      </c>
      <c r="E13" s="464">
        <f>kstope!B34</f>
        <v>10.622468297818509</v>
      </c>
      <c r="F13" s="464">
        <f>kstope!B38</f>
        <v>9.2989757834066147</v>
      </c>
      <c r="G13" s="464">
        <f>kstope!B42</f>
        <v>9.2620734426870364</v>
      </c>
      <c r="H13" s="464">
        <f>kstope!B46</f>
        <v>9.0516177399443372</v>
      </c>
      <c r="I13" s="464">
        <f>kstope!B50</f>
        <v>8.1627736169334426</v>
      </c>
      <c r="J13" s="464">
        <f>kstope!B54</f>
        <v>7.9207029171446734</v>
      </c>
      <c r="K13" s="464">
        <f>kstope!B58</f>
        <v>7.3669886765019656</v>
      </c>
      <c r="L13" s="464">
        <f>kstope!B62</f>
        <v>6.6976397205007254</v>
      </c>
      <c r="M13" s="464">
        <f>kstope!B66</f>
        <v>6.0833202722275148</v>
      </c>
      <c r="N13" s="464">
        <f>kstope!B70</f>
        <v>5.7731940247603148</v>
      </c>
      <c r="O13" s="475">
        <f>kstope!B74</f>
        <v>5.3034085089182215</v>
      </c>
      <c r="P13" s="464">
        <f>kstope!B78</f>
        <v>5.510198989111017</v>
      </c>
      <c r="Q13" s="464">
        <f>kstope!F78</f>
        <v>5.4868273058213681</v>
      </c>
      <c r="R13" s="465">
        <f>kstope!I78</f>
        <v>5.4629046273239501</v>
      </c>
      <c r="S13" s="358"/>
      <c r="T13" s="358"/>
      <c r="U13" s="358"/>
      <c r="V13" s="358"/>
      <c r="W13" s="358"/>
      <c r="X13" s="358"/>
      <c r="Y13" s="1"/>
      <c r="Z13" s="1"/>
      <c r="AA13" s="1"/>
      <c r="AB13" s="1"/>
      <c r="AC13" s="1"/>
      <c r="AD13" s="1"/>
      <c r="AE13" s="1"/>
      <c r="AF13" s="1"/>
      <c r="AG13" s="1"/>
      <c r="AH13" s="1"/>
      <c r="AI13" s="1"/>
      <c r="AJ13" s="1"/>
      <c r="AK13" s="1"/>
      <c r="AL13" s="1"/>
      <c r="AM13" s="1"/>
      <c r="AN13" s="1"/>
      <c r="AO13" s="1"/>
      <c r="AP13" s="1"/>
      <c r="AQ13" s="1"/>
      <c r="AR13" s="1"/>
      <c r="AS13" s="1"/>
      <c r="AT13" s="1"/>
      <c r="AU13" s="1"/>
      <c r="AV13" s="1"/>
      <c r="AW13" s="1"/>
    </row>
    <row r="14" spans="1:49" ht="13.5" customHeight="1">
      <c r="A14" s="463" t="s">
        <v>1289</v>
      </c>
      <c r="B14" s="471">
        <f>kstope!C22</f>
        <v>6.6005280834442237</v>
      </c>
      <c r="C14" s="464">
        <f>kstope!C26</f>
        <v>7.1304071031017289</v>
      </c>
      <c r="D14" s="464">
        <f>kstope!C30</f>
        <v>7.8633992841038092</v>
      </c>
      <c r="E14" s="464">
        <f>kstope!C34</f>
        <v>8.1994379061833058</v>
      </c>
      <c r="F14" s="464">
        <f>kstope!C38</f>
        <v>7.4719224729320421</v>
      </c>
      <c r="G14" s="464">
        <f>kstope!C42</f>
        <v>8.2973139186193876</v>
      </c>
      <c r="H14" s="464">
        <f>kstope!C46</f>
        <v>8.1681318649890269</v>
      </c>
      <c r="I14" s="464">
        <f>kstope!C50</f>
        <v>7.9815141439801991</v>
      </c>
      <c r="J14" s="464">
        <f>kstope!C54</f>
        <v>7.4199699024953247</v>
      </c>
      <c r="K14" s="464">
        <f>kstope!C58</f>
        <v>6.1542007858131074</v>
      </c>
      <c r="L14" s="464">
        <f>kstope!C62</f>
        <v>5.5566104476887261</v>
      </c>
      <c r="M14" s="464">
        <f>kstope!C66</f>
        <v>4.6785761835220567</v>
      </c>
      <c r="N14" s="464">
        <f>kstope!C70</f>
        <v>4.7195912536756222</v>
      </c>
      <c r="O14" s="475">
        <f>kstope!C74</f>
        <v>3.8212305193457872</v>
      </c>
      <c r="P14" s="464">
        <f>kstope!C78</f>
        <v>4.1809956375511419</v>
      </c>
      <c r="Q14" s="464">
        <f>kstope!G78</f>
        <v>4.172291793986985</v>
      </c>
      <c r="R14" s="465">
        <f>kstope!J78</f>
        <v>4.1632337016641703</v>
      </c>
      <c r="S14" s="358"/>
      <c r="T14" s="358"/>
      <c r="U14" s="358"/>
      <c r="V14" s="358"/>
      <c r="W14" s="358"/>
      <c r="X14" s="358"/>
      <c r="Y14" s="1"/>
      <c r="Z14" s="1"/>
      <c r="AA14" s="1"/>
      <c r="AB14" s="1"/>
      <c r="AC14" s="1"/>
      <c r="AD14" s="1"/>
      <c r="AE14" s="1"/>
      <c r="AF14" s="1"/>
      <c r="AG14" s="1"/>
      <c r="AH14" s="1"/>
      <c r="AI14" s="1"/>
      <c r="AJ14" s="1"/>
      <c r="AK14" s="1"/>
      <c r="AL14" s="1"/>
      <c r="AM14" s="1"/>
      <c r="AN14" s="1"/>
      <c r="AO14" s="1"/>
      <c r="AP14" s="1"/>
      <c r="AQ14" s="1"/>
      <c r="AR14" s="1"/>
      <c r="AS14" s="1"/>
      <c r="AT14" s="1"/>
      <c r="AU14" s="1"/>
      <c r="AV14" s="1"/>
      <c r="AW14" s="1"/>
    </row>
    <row r="15" spans="1:49" ht="13.5" customHeight="1" thickBot="1">
      <c r="A15" s="466" t="s">
        <v>1158</v>
      </c>
      <c r="B15" s="473">
        <f>tecaj!E31</f>
        <v>7.3656078125000004</v>
      </c>
      <c r="C15" s="467">
        <f>tecaj!E35</f>
        <v>7.28522580645161</v>
      </c>
      <c r="D15" s="467">
        <f>tecaj!E39</f>
        <v>7.4115761904761897</v>
      </c>
      <c r="E15" s="467">
        <f>tecaj!E43</f>
        <v>7.2849380952380898</v>
      </c>
      <c r="F15" s="467">
        <f>tecaj!E47</f>
        <v>7.4018390624999997</v>
      </c>
      <c r="G15" s="467">
        <f>tecaj!E51</f>
        <v>7.5568384615384598</v>
      </c>
      <c r="H15" s="467">
        <f>tecaj!E55</f>
        <v>7.5837870967742003</v>
      </c>
      <c r="I15" s="467">
        <f>tecaj!E59</f>
        <v>7.6497682539682499</v>
      </c>
      <c r="J15" s="467">
        <f>tecaj!E63</f>
        <v>7.6810904761904801</v>
      </c>
      <c r="K15" s="467">
        <f>tecaj!E67</f>
        <v>7.6170177419354799</v>
      </c>
      <c r="L15" s="467">
        <f>tecaj!E71</f>
        <v>7.4668230769230801</v>
      </c>
      <c r="M15" s="467">
        <f>tecaj!E75</f>
        <v>7.4379968253968203</v>
      </c>
      <c r="N15" s="467">
        <f>tecaj!E79</f>
        <v>7.4216222222222203</v>
      </c>
      <c r="O15" s="476">
        <f>tecaj!E83</f>
        <v>7.6092310000000003</v>
      </c>
      <c r="P15" s="467">
        <f>tecaj!E86</f>
        <v>7.5935518866204976</v>
      </c>
      <c r="Q15" s="467">
        <f>tecaj!H86</f>
        <v>7.5905716381504922</v>
      </c>
      <c r="R15" s="468">
        <f>tecaj!K86</f>
        <v>7.6616564377390404</v>
      </c>
      <c r="S15" s="358"/>
      <c r="T15" s="358"/>
      <c r="U15" s="358"/>
      <c r="V15" s="358"/>
      <c r="W15" s="358"/>
      <c r="X15" s="358"/>
      <c r="Y15" s="1"/>
      <c r="Z15" s="1"/>
      <c r="AA15" s="1"/>
      <c r="AB15" s="1"/>
      <c r="AC15" s="1"/>
      <c r="AD15" s="1"/>
      <c r="AE15" s="1"/>
      <c r="AF15" s="1"/>
      <c r="AG15" s="1"/>
      <c r="AH15" s="1"/>
      <c r="AI15" s="1"/>
      <c r="AJ15" s="1"/>
      <c r="AK15" s="1"/>
      <c r="AL15" s="1"/>
      <c r="AM15" s="1"/>
      <c r="AN15" s="1"/>
      <c r="AO15" s="1"/>
      <c r="AP15" s="1"/>
      <c r="AQ15" s="1"/>
      <c r="AR15" s="1"/>
      <c r="AS15" s="1"/>
      <c r="AT15" s="1"/>
      <c r="AU15" s="1"/>
      <c r="AV15" s="1"/>
      <c r="AW15" s="1"/>
    </row>
    <row r="16" spans="1:49" ht="13.5" customHeight="1">
      <c r="A16" s="1"/>
      <c r="B16" s="358"/>
      <c r="C16" s="358"/>
      <c r="D16" s="358"/>
      <c r="E16" s="358"/>
      <c r="F16" s="358"/>
      <c r="G16" s="358"/>
      <c r="H16" s="358"/>
      <c r="I16" s="358"/>
      <c r="J16" s="358"/>
      <c r="K16" s="358"/>
      <c r="L16" s="358"/>
      <c r="M16" s="358"/>
      <c r="N16" s="358"/>
      <c r="O16" s="358"/>
      <c r="P16" s="358"/>
      <c r="Q16" s="358"/>
      <c r="R16" s="358"/>
      <c r="S16" s="358"/>
      <c r="T16" s="358"/>
      <c r="U16" s="358"/>
      <c r="V16" s="358"/>
      <c r="W16" s="358"/>
      <c r="X16" s="358"/>
      <c r="Y16" s="1"/>
      <c r="Z16" s="1"/>
      <c r="AA16" s="1"/>
      <c r="AB16" s="1"/>
      <c r="AC16" s="1"/>
      <c r="AD16" s="1"/>
      <c r="AE16" s="1"/>
      <c r="AF16" s="1"/>
      <c r="AG16" s="1"/>
      <c r="AH16" s="1"/>
      <c r="AI16" s="1"/>
      <c r="AJ16" s="1"/>
      <c r="AK16" s="1"/>
      <c r="AL16" s="1"/>
      <c r="AM16" s="1"/>
      <c r="AN16" s="1"/>
      <c r="AO16" s="1"/>
      <c r="AP16" s="1"/>
      <c r="AQ16" s="1"/>
      <c r="AR16" s="1"/>
      <c r="AS16" s="1"/>
      <c r="AT16" s="1"/>
      <c r="AU16" s="1"/>
      <c r="AV16" s="1"/>
      <c r="AW16" s="1"/>
    </row>
    <row r="17" spans="1:49" ht="13.5" customHeight="1">
      <c r="A17" s="1"/>
      <c r="B17" s="358"/>
      <c r="C17" s="358"/>
      <c r="D17" s="358"/>
      <c r="E17" s="358"/>
      <c r="F17" s="358"/>
      <c r="G17" s="358"/>
      <c r="H17" s="358"/>
      <c r="I17" s="358"/>
      <c r="J17" s="358"/>
      <c r="K17" s="358"/>
      <c r="L17" s="358"/>
      <c r="M17" s="358"/>
      <c r="N17" s="358"/>
      <c r="O17" s="358"/>
      <c r="P17" s="358"/>
      <c r="Q17" s="358"/>
      <c r="R17" s="358"/>
      <c r="S17" s="358"/>
      <c r="T17" s="358"/>
      <c r="U17" s="358"/>
      <c r="V17" s="358"/>
      <c r="W17" s="358"/>
      <c r="X17" s="358"/>
      <c r="Y17" s="1"/>
      <c r="Z17" s="1"/>
      <c r="AA17" s="1"/>
      <c r="AB17" s="1"/>
      <c r="AC17" s="1"/>
      <c r="AD17" s="1"/>
      <c r="AE17" s="1"/>
      <c r="AF17" s="1"/>
      <c r="AG17" s="1"/>
      <c r="AH17" s="1"/>
      <c r="AI17" s="1"/>
      <c r="AJ17" s="1"/>
      <c r="AK17" s="1"/>
      <c r="AL17" s="1"/>
      <c r="AM17" s="1"/>
      <c r="AN17" s="1"/>
      <c r="AO17" s="1"/>
      <c r="AP17" s="1"/>
      <c r="AQ17" s="1"/>
      <c r="AR17" s="1"/>
      <c r="AS17" s="1"/>
      <c r="AT17" s="1"/>
      <c r="AU17" s="1"/>
      <c r="AV17" s="1"/>
      <c r="AW17" s="1"/>
    </row>
    <row r="18" spans="1:49" ht="13.5" customHeight="1">
      <c r="A18" s="1"/>
      <c r="B18" s="358"/>
      <c r="C18" s="358"/>
      <c r="D18" s="358"/>
      <c r="E18" s="358"/>
      <c r="F18" s="358"/>
      <c r="G18" s="358"/>
      <c r="H18" s="358"/>
      <c r="I18" s="358"/>
      <c r="J18" s="358"/>
      <c r="K18" s="358"/>
      <c r="L18" s="358"/>
      <c r="M18" s="358"/>
      <c r="N18" s="358"/>
      <c r="O18" s="358"/>
      <c r="P18" s="358"/>
      <c r="Q18" s="358"/>
      <c r="R18" s="358"/>
      <c r="S18" s="358"/>
      <c r="T18" s="358"/>
      <c r="U18" s="358"/>
      <c r="V18" s="358"/>
      <c r="W18" s="358"/>
      <c r="X18" s="358"/>
      <c r="Y18" s="1"/>
      <c r="Z18" s="1"/>
      <c r="AA18" s="1"/>
      <c r="AB18" s="1"/>
      <c r="AC18" s="1"/>
      <c r="AD18" s="1"/>
      <c r="AE18" s="1"/>
      <c r="AF18" s="1"/>
      <c r="AG18" s="1"/>
      <c r="AH18" s="1"/>
      <c r="AI18" s="1"/>
      <c r="AJ18" s="1"/>
      <c r="AK18" s="1"/>
      <c r="AL18" s="1"/>
      <c r="AM18" s="1"/>
      <c r="AN18" s="1"/>
      <c r="AO18" s="1"/>
      <c r="AP18" s="1"/>
      <c r="AQ18" s="1"/>
      <c r="AR18" s="1"/>
      <c r="AS18" s="1"/>
      <c r="AT18" s="1"/>
      <c r="AU18" s="1"/>
      <c r="AV18" s="1"/>
      <c r="AW18" s="1"/>
    </row>
    <row r="19" spans="1:49" ht="13.5" customHeight="1">
      <c r="A19" s="1"/>
      <c r="B19" s="358"/>
      <c r="C19" s="358"/>
      <c r="D19" s="358"/>
      <c r="E19" s="358"/>
      <c r="F19" s="358"/>
      <c r="G19" s="358"/>
      <c r="H19" s="358"/>
      <c r="I19" s="358"/>
      <c r="J19" s="358"/>
      <c r="K19" s="358"/>
      <c r="L19" s="358"/>
      <c r="M19" s="358"/>
      <c r="N19" s="358"/>
      <c r="O19" s="358"/>
      <c r="P19" s="358"/>
      <c r="Q19" s="358"/>
      <c r="R19" s="358"/>
      <c r="S19" s="358"/>
      <c r="T19" s="358"/>
      <c r="U19" s="358"/>
      <c r="V19" s="358"/>
      <c r="W19" s="358"/>
      <c r="X19" s="358"/>
      <c r="Y19" s="1"/>
      <c r="Z19" s="1"/>
      <c r="AA19" s="1"/>
      <c r="AB19" s="1"/>
      <c r="AC19" s="1"/>
      <c r="AD19" s="1"/>
      <c r="AE19" s="1"/>
      <c r="AF19" s="1"/>
      <c r="AG19" s="1"/>
      <c r="AH19" s="1"/>
      <c r="AI19" s="1"/>
      <c r="AJ19" s="1"/>
      <c r="AK19" s="1"/>
      <c r="AL19" s="1"/>
      <c r="AM19" s="1"/>
      <c r="AN19" s="1"/>
      <c r="AO19" s="1"/>
      <c r="AP19" s="1"/>
      <c r="AQ19" s="1"/>
      <c r="AR19" s="1"/>
      <c r="AS19" s="1"/>
      <c r="AT19" s="1"/>
      <c r="AU19" s="1"/>
      <c r="AV19" s="1"/>
      <c r="AW19" s="1"/>
    </row>
    <row r="20" spans="1:49" ht="13.5" customHeight="1">
      <c r="A20" s="1"/>
      <c r="B20" s="358"/>
      <c r="C20" s="358"/>
      <c r="D20" s="358"/>
      <c r="E20" s="358"/>
      <c r="F20" s="358"/>
      <c r="G20" s="358"/>
      <c r="H20" s="358"/>
      <c r="I20" s="358"/>
      <c r="J20" s="358"/>
      <c r="K20" s="358"/>
      <c r="L20" s="358"/>
      <c r="M20" s="358"/>
      <c r="N20" s="358"/>
      <c r="O20" s="358"/>
      <c r="P20" s="358"/>
      <c r="Q20" s="358"/>
      <c r="R20" s="358"/>
      <c r="S20" s="358"/>
      <c r="T20" s="358"/>
      <c r="U20" s="358"/>
      <c r="V20" s="358"/>
      <c r="W20" s="358"/>
      <c r="X20" s="358"/>
      <c r="Y20" s="1"/>
      <c r="Z20" s="1"/>
      <c r="AA20" s="1"/>
      <c r="AB20" s="1"/>
      <c r="AC20" s="1"/>
      <c r="AD20" s="1"/>
      <c r="AE20" s="1"/>
      <c r="AF20" s="1"/>
      <c r="AG20" s="1"/>
      <c r="AH20" s="1"/>
      <c r="AI20" s="1"/>
      <c r="AJ20" s="1"/>
      <c r="AK20" s="1"/>
      <c r="AL20" s="1"/>
      <c r="AM20" s="1"/>
      <c r="AN20" s="1"/>
      <c r="AO20" s="1"/>
      <c r="AP20" s="1"/>
      <c r="AQ20" s="1"/>
      <c r="AR20" s="1"/>
      <c r="AS20" s="1"/>
      <c r="AT20" s="1"/>
      <c r="AU20" s="1"/>
      <c r="AV20" s="1"/>
      <c r="AW20" s="1"/>
    </row>
    <row r="21" spans="1:49" ht="13.5" customHeight="1">
      <c r="A21" s="1"/>
      <c r="B21" s="358"/>
      <c r="C21" s="358"/>
      <c r="D21" s="358"/>
      <c r="E21" s="358"/>
      <c r="F21" s="358"/>
      <c r="G21" s="358"/>
      <c r="H21" s="358"/>
      <c r="I21" s="358"/>
      <c r="J21" s="358"/>
      <c r="K21" s="358"/>
      <c r="L21" s="358"/>
      <c r="M21" s="358"/>
      <c r="N21" s="358"/>
      <c r="O21" s="358"/>
      <c r="P21" s="358"/>
      <c r="Q21" s="358"/>
      <c r="R21" s="358"/>
      <c r="S21" s="358"/>
      <c r="T21" s="358"/>
      <c r="U21" s="358"/>
      <c r="V21" s="358"/>
      <c r="W21" s="358"/>
      <c r="X21" s="358"/>
      <c r="Y21" s="1"/>
      <c r="Z21" s="1"/>
      <c r="AA21" s="1"/>
      <c r="AB21" s="1"/>
      <c r="AC21" s="1"/>
      <c r="AD21" s="1"/>
      <c r="AE21" s="1"/>
      <c r="AF21" s="1"/>
      <c r="AG21" s="1"/>
      <c r="AH21" s="1"/>
      <c r="AI21" s="1"/>
      <c r="AJ21" s="1"/>
      <c r="AK21" s="1"/>
      <c r="AL21" s="1"/>
      <c r="AM21" s="1"/>
      <c r="AN21" s="1"/>
      <c r="AO21" s="1"/>
      <c r="AP21" s="1"/>
      <c r="AQ21" s="1"/>
      <c r="AR21" s="1"/>
      <c r="AS21" s="1"/>
      <c r="AT21" s="1"/>
      <c r="AU21" s="1"/>
      <c r="AV21" s="1"/>
      <c r="AW21" s="1"/>
    </row>
    <row r="22" spans="1:49" ht="13.5" customHeight="1">
      <c r="A22" s="1"/>
      <c r="B22" s="358"/>
      <c r="C22" s="358"/>
      <c r="D22" s="358"/>
      <c r="E22" s="358"/>
      <c r="F22" s="358"/>
      <c r="G22" s="358"/>
      <c r="H22" s="358"/>
      <c r="I22" s="358"/>
      <c r="J22" s="358"/>
      <c r="K22" s="358"/>
      <c r="L22" s="358"/>
      <c r="M22" s="358"/>
      <c r="N22" s="358"/>
      <c r="O22" s="358"/>
      <c r="P22" s="358"/>
      <c r="Q22" s="358"/>
      <c r="R22" s="358"/>
      <c r="S22" s="358"/>
      <c r="T22" s="358"/>
      <c r="U22" s="358"/>
      <c r="V22" s="358"/>
      <c r="W22" s="358"/>
      <c r="X22" s="358"/>
      <c r="Y22" s="1"/>
      <c r="Z22" s="1"/>
      <c r="AA22" s="1"/>
      <c r="AB22" s="1"/>
      <c r="AC22" s="1"/>
      <c r="AD22" s="1"/>
      <c r="AE22" s="1"/>
      <c r="AF22" s="1"/>
      <c r="AG22" s="1"/>
      <c r="AH22" s="1"/>
      <c r="AI22" s="1"/>
      <c r="AJ22" s="1"/>
      <c r="AK22" s="1"/>
      <c r="AL22" s="1"/>
      <c r="AM22" s="1"/>
      <c r="AN22" s="1"/>
      <c r="AO22" s="1"/>
      <c r="AP22" s="1"/>
      <c r="AQ22" s="1"/>
      <c r="AR22" s="1"/>
      <c r="AS22" s="1"/>
      <c r="AT22" s="1"/>
      <c r="AU22" s="1"/>
      <c r="AV22" s="1"/>
      <c r="AW22" s="1"/>
    </row>
    <row r="23" spans="1:49" ht="13.5" customHeight="1">
      <c r="A23" s="1"/>
      <c r="B23" s="358"/>
      <c r="C23" s="358"/>
      <c r="D23" s="358"/>
      <c r="E23" s="358"/>
      <c r="F23" s="358"/>
      <c r="G23" s="358"/>
      <c r="H23" s="358"/>
      <c r="I23" s="358"/>
      <c r="J23" s="358"/>
      <c r="K23" s="358"/>
      <c r="L23" s="358"/>
      <c r="M23" s="358"/>
      <c r="N23" s="358"/>
      <c r="O23" s="358"/>
      <c r="P23" s="358"/>
      <c r="Q23" s="358"/>
      <c r="R23" s="358"/>
      <c r="S23" s="358"/>
      <c r="T23" s="358"/>
      <c r="U23" s="358"/>
      <c r="V23" s="358"/>
      <c r="W23" s="358"/>
      <c r="X23" s="358"/>
      <c r="Y23" s="1"/>
      <c r="Z23" s="1"/>
      <c r="AA23" s="1"/>
      <c r="AB23" s="1"/>
      <c r="AC23" s="1"/>
      <c r="AD23" s="1"/>
      <c r="AE23" s="1"/>
      <c r="AF23" s="1"/>
      <c r="AG23" s="1"/>
      <c r="AH23" s="1"/>
      <c r="AI23" s="1"/>
      <c r="AJ23" s="1"/>
      <c r="AK23" s="1"/>
      <c r="AL23" s="1"/>
      <c r="AM23" s="1"/>
      <c r="AN23" s="1"/>
      <c r="AO23" s="1"/>
      <c r="AP23" s="1"/>
      <c r="AQ23" s="1"/>
      <c r="AR23" s="1"/>
      <c r="AS23" s="1"/>
      <c r="AT23" s="1"/>
      <c r="AU23" s="1"/>
      <c r="AV23" s="1"/>
      <c r="AW23" s="1"/>
    </row>
    <row r="24" spans="1:49" ht="13.5" customHeight="1">
      <c r="A24" s="1"/>
      <c r="B24" s="358"/>
      <c r="C24" s="358"/>
      <c r="D24" s="358"/>
      <c r="E24" s="358"/>
      <c r="F24" s="358"/>
      <c r="G24" s="358"/>
      <c r="H24" s="358"/>
      <c r="I24" s="358"/>
      <c r="J24" s="358"/>
      <c r="K24" s="358"/>
      <c r="L24" s="358"/>
      <c r="M24" s="358"/>
      <c r="N24" s="358"/>
      <c r="O24" s="358"/>
      <c r="P24" s="358"/>
      <c r="Q24" s="358"/>
      <c r="R24" s="358"/>
      <c r="S24" s="358"/>
      <c r="T24" s="358"/>
      <c r="U24" s="358"/>
      <c r="V24" s="358"/>
      <c r="W24" s="358"/>
      <c r="X24" s="358"/>
      <c r="Y24" s="1"/>
      <c r="Z24" s="1"/>
      <c r="AA24" s="1"/>
      <c r="AB24" s="1"/>
      <c r="AC24" s="1"/>
      <c r="AD24" s="1"/>
      <c r="AE24" s="1"/>
      <c r="AF24" s="1"/>
      <c r="AG24" s="1"/>
      <c r="AH24" s="1"/>
      <c r="AI24" s="1"/>
      <c r="AJ24" s="1"/>
      <c r="AK24" s="1"/>
      <c r="AL24" s="1"/>
      <c r="AM24" s="1"/>
      <c r="AN24" s="1"/>
      <c r="AO24" s="1"/>
      <c r="AP24" s="1"/>
      <c r="AQ24" s="1"/>
      <c r="AR24" s="1"/>
      <c r="AS24" s="1"/>
      <c r="AT24" s="1"/>
      <c r="AU24" s="1"/>
      <c r="AV24" s="1"/>
      <c r="AW24" s="1"/>
    </row>
    <row r="25" spans="1:49" ht="13.5" customHeight="1">
      <c r="A25" s="1"/>
      <c r="B25" s="358"/>
      <c r="C25" s="358"/>
      <c r="D25" s="358"/>
      <c r="E25" s="358"/>
      <c r="F25" s="358"/>
      <c r="G25" s="358"/>
      <c r="H25" s="358"/>
      <c r="I25" s="358"/>
      <c r="J25" s="358"/>
      <c r="K25" s="358"/>
      <c r="L25" s="358"/>
      <c r="M25" s="358"/>
      <c r="N25" s="358"/>
      <c r="O25" s="358"/>
      <c r="P25" s="358"/>
      <c r="Q25" s="358"/>
      <c r="R25" s="358"/>
      <c r="S25" s="358"/>
      <c r="T25" s="358"/>
      <c r="U25" s="358"/>
      <c r="V25" s="358"/>
      <c r="W25" s="358"/>
      <c r="X25" s="358"/>
      <c r="Y25" s="1"/>
      <c r="Z25" s="1"/>
      <c r="AA25" s="1"/>
      <c r="AB25" s="1"/>
      <c r="AC25" s="1"/>
      <c r="AD25" s="1"/>
      <c r="AE25" s="1"/>
      <c r="AF25" s="1"/>
      <c r="AG25" s="1"/>
      <c r="AH25" s="1"/>
      <c r="AI25" s="1"/>
      <c r="AJ25" s="1"/>
      <c r="AK25" s="1"/>
      <c r="AL25" s="1"/>
      <c r="AM25" s="1"/>
      <c r="AN25" s="1"/>
      <c r="AO25" s="1"/>
      <c r="AP25" s="1"/>
      <c r="AQ25" s="1"/>
      <c r="AR25" s="1"/>
      <c r="AS25" s="1"/>
      <c r="AT25" s="1"/>
      <c r="AU25" s="1"/>
      <c r="AV25" s="1"/>
      <c r="AW25" s="1"/>
    </row>
    <row r="26" spans="1:49" ht="13.5" customHeight="1">
      <c r="A26" s="1"/>
      <c r="B26" s="358"/>
      <c r="C26" s="358"/>
      <c r="D26" s="358"/>
      <c r="E26" s="358"/>
      <c r="F26" s="358"/>
      <c r="G26" s="358"/>
      <c r="H26" s="358"/>
      <c r="I26" s="358"/>
      <c r="J26" s="358"/>
      <c r="K26" s="358"/>
      <c r="L26" s="358"/>
      <c r="M26" s="358"/>
      <c r="N26" s="358"/>
      <c r="O26" s="358"/>
      <c r="P26" s="358"/>
      <c r="Q26" s="358"/>
      <c r="R26" s="358"/>
      <c r="S26" s="358"/>
      <c r="T26" s="358"/>
      <c r="U26" s="358"/>
      <c r="V26" s="358"/>
      <c r="W26" s="358"/>
      <c r="X26" s="358"/>
      <c r="Y26" s="1"/>
      <c r="Z26" s="1"/>
      <c r="AA26" s="1"/>
      <c r="AB26" s="1"/>
      <c r="AC26" s="1"/>
      <c r="AD26" s="1"/>
      <c r="AE26" s="1"/>
      <c r="AF26" s="1"/>
      <c r="AG26" s="1"/>
      <c r="AH26" s="1"/>
      <c r="AI26" s="1"/>
      <c r="AJ26" s="1"/>
      <c r="AK26" s="1"/>
      <c r="AL26" s="1"/>
      <c r="AM26" s="1"/>
      <c r="AN26" s="1"/>
      <c r="AO26" s="1"/>
      <c r="AP26" s="1"/>
      <c r="AQ26" s="1"/>
      <c r="AR26" s="1"/>
      <c r="AS26" s="1"/>
      <c r="AT26" s="1"/>
      <c r="AU26" s="1"/>
      <c r="AV26" s="1"/>
      <c r="AW26" s="1"/>
    </row>
    <row r="27" spans="1:49" ht="13.5" customHeight="1">
      <c r="A27" s="1"/>
      <c r="B27" s="358"/>
      <c r="C27" s="358"/>
      <c r="D27" s="358"/>
      <c r="E27" s="358"/>
      <c r="F27" s="358"/>
      <c r="G27" s="358"/>
      <c r="H27" s="358"/>
      <c r="I27" s="358"/>
      <c r="J27" s="358"/>
      <c r="K27" s="358"/>
      <c r="L27" s="358"/>
      <c r="M27" s="358"/>
      <c r="N27" s="358"/>
      <c r="O27" s="358"/>
      <c r="P27" s="358"/>
      <c r="Q27" s="358"/>
      <c r="R27" s="358"/>
      <c r="S27" s="358"/>
      <c r="T27" s="358"/>
      <c r="U27" s="358"/>
      <c r="V27" s="358"/>
      <c r="W27" s="358"/>
      <c r="X27" s="358"/>
      <c r="Y27" s="1"/>
      <c r="Z27" s="1"/>
      <c r="AA27" s="1"/>
      <c r="AB27" s="1"/>
      <c r="AC27" s="1"/>
      <c r="AD27" s="1"/>
      <c r="AE27" s="1"/>
      <c r="AF27" s="1"/>
      <c r="AG27" s="1"/>
      <c r="AH27" s="1"/>
      <c r="AI27" s="1"/>
      <c r="AJ27" s="1"/>
      <c r="AK27" s="1"/>
      <c r="AL27" s="1"/>
      <c r="AM27" s="1"/>
      <c r="AN27" s="1"/>
      <c r="AO27" s="1"/>
      <c r="AP27" s="1"/>
      <c r="AQ27" s="1"/>
      <c r="AR27" s="1"/>
      <c r="AS27" s="1"/>
      <c r="AT27" s="1"/>
      <c r="AU27" s="1"/>
      <c r="AV27" s="1"/>
      <c r="AW27" s="1"/>
    </row>
    <row r="28" spans="1:49" ht="13.5" customHeight="1">
      <c r="A28" s="1"/>
      <c r="B28" s="358"/>
      <c r="C28" s="358"/>
      <c r="D28" s="358"/>
      <c r="E28" s="358"/>
      <c r="F28" s="358"/>
      <c r="G28" s="358"/>
      <c r="H28" s="358"/>
      <c r="I28" s="358"/>
      <c r="J28" s="358"/>
      <c r="K28" s="358"/>
      <c r="L28" s="358"/>
      <c r="M28" s="358"/>
      <c r="N28" s="358"/>
      <c r="O28" s="358"/>
      <c r="P28" s="358"/>
      <c r="Q28" s="358"/>
      <c r="R28" s="358"/>
      <c r="S28" s="358"/>
      <c r="T28" s="358"/>
      <c r="U28" s="358"/>
      <c r="V28" s="358"/>
      <c r="W28" s="358"/>
      <c r="X28" s="358"/>
      <c r="Y28" s="1"/>
      <c r="Z28" s="1"/>
      <c r="AA28" s="1"/>
      <c r="AB28" s="1"/>
      <c r="AC28" s="1"/>
      <c r="AD28" s="1"/>
      <c r="AE28" s="1"/>
      <c r="AF28" s="1"/>
      <c r="AG28" s="1"/>
      <c r="AH28" s="1"/>
      <c r="AI28" s="1"/>
      <c r="AJ28" s="1"/>
      <c r="AK28" s="1"/>
      <c r="AL28" s="1"/>
      <c r="AM28" s="1"/>
      <c r="AN28" s="1"/>
      <c r="AO28" s="1"/>
      <c r="AP28" s="1"/>
      <c r="AQ28" s="1"/>
      <c r="AR28" s="1"/>
      <c r="AS28" s="1"/>
      <c r="AT28" s="1"/>
      <c r="AU28" s="1"/>
      <c r="AV28" s="1"/>
      <c r="AW28" s="1"/>
    </row>
    <row r="29" spans="1:49" ht="13.5" customHeight="1">
      <c r="A29" s="1"/>
      <c r="B29" s="358"/>
      <c r="C29" s="456">
        <v>43921</v>
      </c>
      <c r="D29" s="456">
        <v>44012</v>
      </c>
      <c r="E29" s="456">
        <v>44104</v>
      </c>
      <c r="F29" s="456">
        <v>44196</v>
      </c>
      <c r="H29" s="358"/>
      <c r="I29" s="358"/>
      <c r="J29" s="358"/>
      <c r="K29" s="358"/>
      <c r="L29" s="358"/>
      <c r="M29" s="358"/>
      <c r="N29" s="358"/>
      <c r="O29" s="358"/>
      <c r="P29" s="358"/>
      <c r="Q29" s="358"/>
      <c r="R29" s="358"/>
      <c r="S29" s="358"/>
      <c r="T29" s="358"/>
      <c r="U29" s="358"/>
      <c r="V29" s="358"/>
      <c r="W29" s="358"/>
      <c r="X29" s="358"/>
      <c r="Y29" s="1"/>
      <c r="Z29" s="1"/>
      <c r="AA29" s="1"/>
      <c r="AB29" s="1"/>
      <c r="AC29" s="1"/>
      <c r="AD29" s="1"/>
      <c r="AE29" s="1"/>
      <c r="AF29" s="1"/>
      <c r="AG29" s="1"/>
      <c r="AH29" s="1"/>
      <c r="AI29" s="1"/>
      <c r="AJ29" s="1"/>
      <c r="AK29" s="1"/>
      <c r="AL29" s="1"/>
      <c r="AM29" s="1"/>
      <c r="AN29" s="1"/>
      <c r="AO29" s="1"/>
      <c r="AP29" s="1"/>
      <c r="AQ29" s="1"/>
      <c r="AR29" s="1"/>
      <c r="AS29" s="1"/>
      <c r="AT29" s="1"/>
      <c r="AU29" s="1"/>
      <c r="AV29" s="1"/>
      <c r="AW29" s="1"/>
    </row>
    <row r="30" spans="1:49" ht="13.5" customHeight="1">
      <c r="A30" s="1"/>
      <c r="B30" s="498" t="s">
        <v>1287</v>
      </c>
      <c r="C30" s="451">
        <v>0.1</v>
      </c>
      <c r="D30" s="452">
        <v>0.8</v>
      </c>
      <c r="E30" s="452">
        <v>0.5</v>
      </c>
      <c r="F30" s="452">
        <v>0.3</v>
      </c>
      <c r="G30" s="453" t="s">
        <v>5</v>
      </c>
      <c r="I30" s="358"/>
      <c r="J30" s="358"/>
      <c r="K30" s="358"/>
      <c r="L30" s="358"/>
      <c r="M30" s="358"/>
      <c r="N30" s="358"/>
      <c r="O30" s="358"/>
      <c r="P30" s="358"/>
      <c r="Q30" s="358"/>
      <c r="R30" s="358"/>
      <c r="S30" s="358"/>
      <c r="T30" s="358"/>
      <c r="U30" s="358"/>
      <c r="V30" s="358"/>
      <c r="W30" s="358"/>
      <c r="X30" s="358"/>
      <c r="Y30" s="1"/>
      <c r="Z30" s="1"/>
      <c r="AA30" s="1"/>
      <c r="AB30" s="1"/>
      <c r="AC30" s="1"/>
      <c r="AD30" s="1"/>
      <c r="AE30" s="1"/>
      <c r="AF30" s="1"/>
      <c r="AG30" s="1"/>
      <c r="AH30" s="1"/>
      <c r="AI30" s="1"/>
      <c r="AJ30" s="1"/>
      <c r="AK30" s="1"/>
      <c r="AL30" s="1"/>
      <c r="AM30" s="1"/>
      <c r="AN30" s="1"/>
      <c r="AO30" s="1"/>
      <c r="AP30" s="1"/>
      <c r="AQ30" s="1"/>
      <c r="AR30" s="1"/>
      <c r="AS30" s="1"/>
      <c r="AT30" s="1"/>
      <c r="AU30" s="1"/>
      <c r="AV30" s="1"/>
      <c r="AW30" s="1"/>
    </row>
    <row r="31" spans="1:49" ht="13.5" customHeight="1">
      <c r="A31" s="1"/>
      <c r="B31" s="498"/>
      <c r="C31" s="451">
        <v>0.1</v>
      </c>
      <c r="D31" s="452">
        <v>0.8</v>
      </c>
      <c r="E31" s="452">
        <v>0.33</v>
      </c>
      <c r="F31" s="452">
        <v>0.15</v>
      </c>
      <c r="G31" s="454" t="s">
        <v>6</v>
      </c>
      <c r="I31" s="358"/>
      <c r="J31" s="358"/>
      <c r="K31" s="358"/>
      <c r="L31" s="358"/>
      <c r="M31" s="358"/>
      <c r="N31" s="358"/>
      <c r="O31" s="358"/>
      <c r="P31" s="358"/>
      <c r="Q31" s="358"/>
      <c r="R31" s="358"/>
      <c r="S31" s="358"/>
      <c r="T31" s="358"/>
      <c r="U31" s="358"/>
      <c r="V31" s="358"/>
      <c r="W31" s="358"/>
      <c r="X31" s="358"/>
      <c r="Y31" s="1"/>
      <c r="Z31" s="1"/>
      <c r="AA31" s="1"/>
      <c r="AB31" s="1"/>
      <c r="AC31" s="1"/>
      <c r="AD31" s="1"/>
      <c r="AE31" s="1"/>
      <c r="AF31" s="1"/>
      <c r="AG31" s="1"/>
      <c r="AH31" s="1"/>
      <c r="AI31" s="1"/>
      <c r="AJ31" s="1"/>
      <c r="AK31" s="1"/>
      <c r="AL31" s="1"/>
      <c r="AM31" s="1"/>
      <c r="AN31" s="1"/>
      <c r="AO31" s="1"/>
      <c r="AP31" s="1"/>
      <c r="AQ31" s="1"/>
      <c r="AR31" s="1"/>
      <c r="AS31" s="1"/>
      <c r="AT31" s="1"/>
      <c r="AU31" s="1"/>
      <c r="AV31" s="1"/>
      <c r="AW31" s="1"/>
    </row>
    <row r="32" spans="1:49" ht="15.6">
      <c r="A32" s="377" t="str">
        <f t="shared" ref="A32:A52" si="0">CONCATENATE(I32," - ",J32)</f>
        <v>NKD 2007 - djelatnost</v>
      </c>
      <c r="B32" s="498"/>
      <c r="C32" s="451">
        <v>0.1</v>
      </c>
      <c r="D32" s="452">
        <v>0.8</v>
      </c>
      <c r="E32" s="452">
        <v>0</v>
      </c>
      <c r="F32" s="452">
        <v>0</v>
      </c>
      <c r="G32" s="455" t="s">
        <v>7</v>
      </c>
      <c r="I32" s="430" t="s">
        <v>71</v>
      </c>
      <c r="J32" s="431" t="s">
        <v>1253</v>
      </c>
      <c r="K32" s="358"/>
      <c r="L32" s="358"/>
      <c r="M32" s="358"/>
      <c r="N32" s="358"/>
      <c r="O32" s="358"/>
      <c r="P32" s="358"/>
      <c r="Q32" s="358"/>
      <c r="R32" s="358"/>
      <c r="S32" s="358"/>
      <c r="T32" s="358"/>
      <c r="U32" s="358"/>
      <c r="V32" s="358"/>
      <c r="W32" s="358"/>
      <c r="X32" s="358"/>
      <c r="Y32" s="1"/>
      <c r="Z32" s="1"/>
      <c r="AA32" s="1"/>
      <c r="AB32" s="1"/>
      <c r="AC32" s="1"/>
      <c r="AD32" s="1"/>
      <c r="AE32" s="1"/>
      <c r="AF32" s="1"/>
      <c r="AG32" s="1"/>
      <c r="AH32" s="1"/>
      <c r="AI32" s="1"/>
      <c r="AJ32" s="1"/>
      <c r="AK32" s="1"/>
      <c r="AL32" s="1"/>
      <c r="AM32" s="1"/>
      <c r="AN32" s="1"/>
      <c r="AO32" s="1"/>
      <c r="AP32" s="1"/>
      <c r="AQ32" s="1"/>
      <c r="AR32" s="1"/>
      <c r="AS32" s="1"/>
      <c r="AT32" s="1"/>
      <c r="AU32" s="1"/>
      <c r="AV32" s="1"/>
      <c r="AW32" s="1"/>
    </row>
    <row r="33" spans="1:49" ht="15.6">
      <c r="A33" s="447" t="str">
        <f t="shared" si="0"/>
        <v>A - Poljoprivreda, šumarstvo i ribarstvo</v>
      </c>
      <c r="B33" s="448">
        <v>0.03</v>
      </c>
      <c r="F33" s="358"/>
      <c r="G33" s="358"/>
      <c r="I33" s="57" t="s">
        <v>65</v>
      </c>
      <c r="J33" s="58" t="s">
        <v>60</v>
      </c>
      <c r="K33" s="358"/>
      <c r="L33" s="358"/>
      <c r="M33" s="358"/>
      <c r="N33" s="358"/>
      <c r="O33" s="358"/>
      <c r="P33" s="358"/>
      <c r="Q33" s="358"/>
      <c r="R33" s="358"/>
      <c r="S33" s="358"/>
      <c r="T33" s="358"/>
      <c r="U33" s="358"/>
      <c r="V33" s="358"/>
      <c r="W33" s="358"/>
      <c r="X33" s="358"/>
      <c r="Y33" s="1"/>
      <c r="Z33" s="1"/>
      <c r="AA33" s="1"/>
      <c r="AB33" s="1"/>
      <c r="AC33" s="1"/>
      <c r="AD33" s="1"/>
      <c r="AE33" s="1"/>
      <c r="AF33" s="1"/>
      <c r="AG33" s="1"/>
      <c r="AH33" s="1"/>
      <c r="AI33" s="1"/>
      <c r="AJ33" s="1"/>
      <c r="AK33" s="1"/>
      <c r="AL33" s="1"/>
      <c r="AM33" s="1"/>
      <c r="AN33" s="1"/>
      <c r="AO33" s="1"/>
      <c r="AP33" s="1"/>
      <c r="AQ33" s="1"/>
      <c r="AR33" s="1"/>
      <c r="AS33" s="1"/>
      <c r="AT33" s="1"/>
      <c r="AU33" s="1"/>
      <c r="AV33" s="1"/>
      <c r="AW33" s="1"/>
    </row>
    <row r="34" spans="1:49" ht="15.6">
      <c r="A34" s="447" t="str">
        <f t="shared" si="0"/>
        <v>B - Rudarstvo i vađenje</v>
      </c>
      <c r="B34" s="448">
        <v>-0.2</v>
      </c>
      <c r="C34" s="449"/>
      <c r="F34" s="358"/>
      <c r="G34" s="358"/>
      <c r="I34" s="66" t="s">
        <v>69</v>
      </c>
      <c r="J34" s="67" t="s">
        <v>70</v>
      </c>
      <c r="K34" s="358"/>
      <c r="L34" s="358"/>
      <c r="M34" s="358"/>
      <c r="N34" s="358"/>
      <c r="O34" s="358"/>
      <c r="P34" s="358"/>
      <c r="Q34" s="358"/>
      <c r="R34" s="358"/>
      <c r="S34" s="358"/>
      <c r="T34" s="358"/>
      <c r="U34" s="358"/>
      <c r="V34" s="358"/>
      <c r="W34" s="358"/>
      <c r="X34" s="358"/>
      <c r="Y34" s="1"/>
      <c r="Z34" s="1"/>
      <c r="AA34" s="1"/>
      <c r="AB34" s="1"/>
      <c r="AC34" s="1"/>
      <c r="AD34" s="1"/>
      <c r="AE34" s="1"/>
      <c r="AF34" s="1"/>
      <c r="AG34" s="1"/>
      <c r="AH34" s="1"/>
      <c r="AI34" s="1"/>
      <c r="AJ34" s="1"/>
      <c r="AK34" s="1"/>
      <c r="AL34" s="1"/>
      <c r="AM34" s="1"/>
      <c r="AN34" s="1"/>
      <c r="AO34" s="1"/>
      <c r="AP34" s="1"/>
      <c r="AQ34" s="1"/>
      <c r="AR34" s="1"/>
      <c r="AS34" s="1"/>
      <c r="AT34" s="1"/>
      <c r="AU34" s="1"/>
      <c r="AV34" s="1"/>
      <c r="AW34" s="1"/>
    </row>
    <row r="35" spans="1:49" ht="15.6">
      <c r="A35" s="447" t="str">
        <f t="shared" si="0"/>
        <v>C - Prerađivačka industrija</v>
      </c>
      <c r="B35" s="448">
        <v>-0.2478229848390735</v>
      </c>
      <c r="C35" s="449"/>
      <c r="F35" s="358"/>
      <c r="G35" s="358"/>
      <c r="I35" s="66" t="s">
        <v>73</v>
      </c>
      <c r="J35" s="67" t="s">
        <v>75</v>
      </c>
      <c r="K35" s="358"/>
      <c r="L35" s="358"/>
      <c r="M35" s="358"/>
      <c r="N35" s="358"/>
      <c r="O35" s="358"/>
      <c r="P35" s="358"/>
      <c r="Q35" s="358"/>
      <c r="R35" s="358"/>
      <c r="S35" s="358"/>
      <c r="T35" s="358"/>
      <c r="U35" s="358"/>
      <c r="V35" s="358"/>
      <c r="W35" s="358"/>
      <c r="X35" s="358"/>
      <c r="Y35" s="1"/>
      <c r="Z35" s="1"/>
      <c r="AA35" s="1"/>
      <c r="AB35" s="1"/>
      <c r="AC35" s="1"/>
      <c r="AD35" s="1"/>
      <c r="AE35" s="1"/>
      <c r="AF35" s="1"/>
      <c r="AG35" s="1"/>
      <c r="AH35" s="1"/>
      <c r="AI35" s="1"/>
      <c r="AJ35" s="1"/>
      <c r="AK35" s="1"/>
      <c r="AL35" s="1"/>
      <c r="AM35" s="1"/>
      <c r="AN35" s="1"/>
      <c r="AO35" s="1"/>
      <c r="AP35" s="1"/>
      <c r="AQ35" s="1"/>
      <c r="AR35" s="1"/>
      <c r="AS35" s="1"/>
      <c r="AT35" s="1"/>
      <c r="AU35" s="1"/>
      <c r="AV35" s="1"/>
      <c r="AW35" s="1"/>
    </row>
    <row r="36" spans="1:49" ht="28.2">
      <c r="A36" s="447" t="str">
        <f t="shared" si="0"/>
        <v>D - Opskrba električnom energijom, plinom, parom i klimatizacija</v>
      </c>
      <c r="B36" s="448">
        <v>0</v>
      </c>
      <c r="C36" s="449"/>
      <c r="F36" s="358"/>
      <c r="G36" s="358"/>
      <c r="I36" s="66" t="s">
        <v>78</v>
      </c>
      <c r="J36" s="67" t="s">
        <v>79</v>
      </c>
      <c r="K36" s="358"/>
      <c r="L36" s="358"/>
      <c r="M36" s="358"/>
      <c r="N36" s="358"/>
      <c r="O36" s="358"/>
      <c r="P36" s="358"/>
      <c r="Q36" s="358"/>
      <c r="R36" s="358"/>
      <c r="S36" s="358"/>
      <c r="T36" s="358"/>
      <c r="U36" s="358"/>
      <c r="V36" s="358"/>
      <c r="W36" s="358"/>
      <c r="X36" s="358"/>
      <c r="Y36" s="1"/>
      <c r="Z36" s="1"/>
      <c r="AA36" s="1"/>
      <c r="AB36" s="1"/>
      <c r="AC36" s="1"/>
      <c r="AD36" s="1"/>
      <c r="AE36" s="1"/>
      <c r="AF36" s="1"/>
      <c r="AG36" s="1"/>
      <c r="AH36" s="1"/>
      <c r="AI36" s="1"/>
      <c r="AJ36" s="1"/>
      <c r="AK36" s="1"/>
      <c r="AL36" s="1"/>
      <c r="AM36" s="1"/>
      <c r="AN36" s="1"/>
      <c r="AO36" s="1"/>
      <c r="AP36" s="1"/>
      <c r="AQ36" s="1"/>
      <c r="AR36" s="1"/>
      <c r="AS36" s="1"/>
      <c r="AT36" s="1"/>
      <c r="AU36" s="1"/>
      <c r="AV36" s="1"/>
      <c r="AW36" s="1"/>
    </row>
    <row r="37" spans="1:49" ht="28.2">
      <c r="A37" s="447" t="str">
        <f t="shared" si="0"/>
        <v>E - Opskrba vodom; uklanjanje otpadnih voda,  gospodarenje otpadom te djelatnosti sanacije i okoliša</v>
      </c>
      <c r="B37" s="448">
        <v>0</v>
      </c>
      <c r="F37" s="358"/>
      <c r="G37" s="358"/>
      <c r="I37" s="66" t="s">
        <v>83</v>
      </c>
      <c r="J37" s="67" t="s">
        <v>94</v>
      </c>
      <c r="K37" s="358"/>
      <c r="L37" s="358"/>
      <c r="M37" s="358"/>
      <c r="N37" s="358"/>
      <c r="O37" s="358"/>
      <c r="P37" s="358"/>
      <c r="Q37" s="358"/>
      <c r="R37" s="358"/>
      <c r="S37" s="358"/>
      <c r="T37" s="358"/>
      <c r="U37" s="358"/>
      <c r="V37" s="358"/>
      <c r="W37" s="358"/>
      <c r="X37" s="358"/>
      <c r="Y37" s="1"/>
      <c r="Z37" s="1"/>
      <c r="AA37" s="1"/>
      <c r="AB37" s="1"/>
      <c r="AC37" s="1"/>
      <c r="AD37" s="1"/>
      <c r="AE37" s="1"/>
      <c r="AF37" s="1"/>
      <c r="AG37" s="1"/>
      <c r="AH37" s="1"/>
      <c r="AI37" s="1"/>
      <c r="AJ37" s="1"/>
      <c r="AK37" s="1"/>
      <c r="AL37" s="1"/>
      <c r="AM37" s="1"/>
      <c r="AN37" s="1"/>
      <c r="AO37" s="1"/>
      <c r="AP37" s="1"/>
      <c r="AQ37" s="1"/>
      <c r="AR37" s="1"/>
      <c r="AS37" s="1"/>
      <c r="AT37" s="1"/>
      <c r="AU37" s="1"/>
      <c r="AV37" s="1"/>
      <c r="AW37" s="1"/>
    </row>
    <row r="38" spans="1:49" ht="15.6">
      <c r="A38" s="447" t="str">
        <f t="shared" si="0"/>
        <v>F - Građevinarstvo</v>
      </c>
      <c r="B38" s="448">
        <v>-0.3</v>
      </c>
      <c r="C38" s="450"/>
      <c r="F38" s="358"/>
      <c r="G38" s="358"/>
      <c r="I38" s="66" t="s">
        <v>88</v>
      </c>
      <c r="J38" s="67" t="s">
        <v>89</v>
      </c>
      <c r="K38" s="358"/>
      <c r="L38" s="358"/>
      <c r="M38" s="358"/>
      <c r="N38" s="358"/>
      <c r="O38" s="358"/>
      <c r="P38" s="358"/>
      <c r="Q38" s="358"/>
      <c r="R38" s="358"/>
      <c r="S38" s="358"/>
      <c r="T38" s="358"/>
      <c r="U38" s="358"/>
      <c r="V38" s="358"/>
      <c r="W38" s="358"/>
      <c r="X38" s="358"/>
      <c r="Y38" s="1"/>
      <c r="Z38" s="1"/>
      <c r="AA38" s="1"/>
      <c r="AB38" s="1"/>
      <c r="AC38" s="1"/>
      <c r="AD38" s="1"/>
      <c r="AE38" s="1"/>
      <c r="AF38" s="1"/>
      <c r="AG38" s="1"/>
      <c r="AH38" s="1"/>
      <c r="AI38" s="1"/>
      <c r="AJ38" s="1"/>
      <c r="AK38" s="1"/>
      <c r="AL38" s="1"/>
      <c r="AM38" s="1"/>
      <c r="AN38" s="1"/>
      <c r="AO38" s="1"/>
      <c r="AP38" s="1"/>
      <c r="AQ38" s="1"/>
      <c r="AR38" s="1"/>
      <c r="AS38" s="1"/>
      <c r="AT38" s="1"/>
      <c r="AU38" s="1"/>
      <c r="AV38" s="1"/>
      <c r="AW38" s="1"/>
    </row>
    <row r="39" spans="1:49" ht="28.2">
      <c r="A39" s="447" t="str">
        <f t="shared" si="0"/>
        <v>G - Trgovina na veliko i malo; popravak motornih vozila i motocikala</v>
      </c>
      <c r="B39" s="44">
        <v>-0.31311608042053396</v>
      </c>
      <c r="C39" s="450"/>
      <c r="F39" s="358"/>
      <c r="G39" s="358"/>
      <c r="I39" s="66" t="s">
        <v>92</v>
      </c>
      <c r="J39" s="67" t="s">
        <v>104</v>
      </c>
      <c r="K39" s="358"/>
      <c r="L39" s="358"/>
      <c r="M39" s="358"/>
      <c r="N39" s="358"/>
      <c r="O39" s="358"/>
      <c r="P39" s="358"/>
      <c r="Q39" s="358"/>
      <c r="R39" s="358"/>
      <c r="S39" s="358"/>
      <c r="T39" s="358"/>
      <c r="U39" s="358"/>
      <c r="V39" s="358"/>
      <c r="W39" s="358"/>
      <c r="X39" s="358"/>
      <c r="Y39" s="1"/>
      <c r="Z39" s="1"/>
      <c r="AA39" s="1"/>
      <c r="AB39" s="1"/>
      <c r="AC39" s="1"/>
      <c r="AD39" s="1"/>
      <c r="AE39" s="1"/>
      <c r="AF39" s="1"/>
      <c r="AG39" s="1"/>
      <c r="AH39" s="1"/>
      <c r="AI39" s="1"/>
      <c r="AJ39" s="1"/>
      <c r="AK39" s="1"/>
      <c r="AL39" s="1"/>
      <c r="AM39" s="1"/>
      <c r="AN39" s="1"/>
      <c r="AO39" s="1"/>
      <c r="AP39" s="1"/>
      <c r="AQ39" s="1"/>
      <c r="AR39" s="1"/>
      <c r="AS39" s="1"/>
      <c r="AT39" s="1"/>
      <c r="AU39" s="1"/>
      <c r="AV39" s="1"/>
      <c r="AW39" s="1"/>
    </row>
    <row r="40" spans="1:49" ht="15.6">
      <c r="A40" s="447" t="str">
        <f t="shared" si="0"/>
        <v>H - Prijevoz i skladištenje</v>
      </c>
      <c r="B40" s="44">
        <v>-0.54505006636843933</v>
      </c>
      <c r="C40" s="450"/>
      <c r="F40" s="358"/>
      <c r="G40" s="358"/>
      <c r="I40" s="66" t="s">
        <v>100</v>
      </c>
      <c r="J40" s="67" t="s">
        <v>101</v>
      </c>
      <c r="K40" s="358"/>
      <c r="L40" s="358"/>
      <c r="M40" s="358"/>
      <c r="N40" s="358"/>
      <c r="O40" s="358"/>
      <c r="P40" s="358"/>
      <c r="Q40" s="358"/>
      <c r="R40" s="358"/>
      <c r="S40" s="358"/>
      <c r="T40" s="358"/>
      <c r="U40" s="358"/>
      <c r="V40" s="358"/>
      <c r="W40" s="358"/>
      <c r="X40" s="358"/>
      <c r="Y40" s="1"/>
      <c r="Z40" s="1"/>
      <c r="AA40" s="1"/>
      <c r="AB40" s="1"/>
      <c r="AC40" s="1"/>
      <c r="AD40" s="1"/>
      <c r="AE40" s="1"/>
      <c r="AF40" s="1"/>
      <c r="AG40" s="1"/>
      <c r="AH40" s="1"/>
      <c r="AI40" s="1"/>
      <c r="AJ40" s="1"/>
      <c r="AK40" s="1"/>
      <c r="AL40" s="1"/>
      <c r="AM40" s="1"/>
      <c r="AN40" s="1"/>
      <c r="AO40" s="1"/>
      <c r="AP40" s="1"/>
      <c r="AQ40" s="1"/>
      <c r="AR40" s="1"/>
      <c r="AS40" s="1"/>
      <c r="AT40" s="1"/>
      <c r="AU40" s="1"/>
      <c r="AV40" s="1"/>
      <c r="AW40" s="1"/>
    </row>
    <row r="41" spans="1:49" ht="28.2">
      <c r="A41" s="447" t="str">
        <f t="shared" si="0"/>
        <v>I - Djelatnosti pružanja smještaja te pripreme i usluživanja hrane</v>
      </c>
      <c r="B41" s="44">
        <v>-0.82908055045047135</v>
      </c>
      <c r="F41" s="358"/>
      <c r="G41" s="358"/>
      <c r="I41" s="66" t="s">
        <v>105</v>
      </c>
      <c r="J41" s="67" t="s">
        <v>106</v>
      </c>
      <c r="K41" s="358"/>
      <c r="L41" s="358"/>
      <c r="M41" s="358"/>
      <c r="N41" s="358"/>
      <c r="O41" s="358"/>
      <c r="P41" s="358"/>
      <c r="Q41" s="358"/>
      <c r="R41" s="358"/>
      <c r="S41" s="358"/>
      <c r="T41" s="358"/>
      <c r="U41" s="358"/>
      <c r="V41" s="358"/>
      <c r="W41" s="358"/>
      <c r="X41" s="358"/>
      <c r="Y41" s="1"/>
      <c r="Z41" s="1"/>
      <c r="AA41" s="1"/>
      <c r="AB41" s="1"/>
      <c r="AC41" s="1"/>
      <c r="AD41" s="1"/>
      <c r="AE41" s="1"/>
      <c r="AF41" s="1"/>
      <c r="AG41" s="1"/>
      <c r="AH41" s="1"/>
      <c r="AI41" s="1"/>
      <c r="AJ41" s="1"/>
      <c r="AK41" s="1"/>
      <c r="AL41" s="1"/>
      <c r="AM41" s="1"/>
      <c r="AN41" s="1"/>
      <c r="AO41" s="1"/>
      <c r="AP41" s="1"/>
      <c r="AQ41" s="1"/>
      <c r="AR41" s="1"/>
      <c r="AS41" s="1"/>
      <c r="AT41" s="1"/>
      <c r="AU41" s="1"/>
      <c r="AV41" s="1"/>
      <c r="AW41" s="1"/>
    </row>
    <row r="42" spans="1:49" ht="15.6">
      <c r="A42" s="447" t="str">
        <f t="shared" si="0"/>
        <v>J - Informacije i komunikacije</v>
      </c>
      <c r="B42" s="44">
        <v>-4.1528142175114642E-2</v>
      </c>
      <c r="F42" s="358"/>
      <c r="G42" s="358"/>
      <c r="I42" s="66" t="s">
        <v>111</v>
      </c>
      <c r="J42" s="67" t="s">
        <v>112</v>
      </c>
      <c r="K42" s="358"/>
      <c r="L42" s="358"/>
      <c r="M42" s="358"/>
      <c r="N42" s="358"/>
      <c r="O42" s="358"/>
      <c r="P42" s="358"/>
      <c r="Q42" s="358"/>
      <c r="R42" s="358"/>
      <c r="S42" s="358"/>
      <c r="T42" s="358"/>
      <c r="U42" s="358"/>
      <c r="V42" s="358"/>
      <c r="W42" s="358"/>
      <c r="X42" s="358"/>
      <c r="Y42" s="1"/>
      <c r="Z42" s="1"/>
      <c r="AA42" s="1"/>
      <c r="AB42" s="1"/>
      <c r="AC42" s="1"/>
      <c r="AD42" s="1"/>
      <c r="AE42" s="1"/>
      <c r="AF42" s="1"/>
      <c r="AG42" s="1"/>
      <c r="AH42" s="1"/>
      <c r="AI42" s="1"/>
      <c r="AJ42" s="1"/>
      <c r="AK42" s="1"/>
      <c r="AL42" s="1"/>
      <c r="AM42" s="1"/>
      <c r="AN42" s="1"/>
      <c r="AO42" s="1"/>
      <c r="AP42" s="1"/>
      <c r="AQ42" s="1"/>
      <c r="AR42" s="1"/>
      <c r="AS42" s="1"/>
      <c r="AT42" s="1"/>
      <c r="AU42" s="1"/>
      <c r="AV42" s="1"/>
      <c r="AW42" s="1"/>
    </row>
    <row r="43" spans="1:49" ht="15.6">
      <c r="A43" s="447" t="str">
        <f t="shared" si="0"/>
        <v>K - Financijske djelatnosti i djelatnosti osiguranja</v>
      </c>
      <c r="B43" s="44">
        <v>-0.1</v>
      </c>
      <c r="F43" s="358"/>
      <c r="G43" s="358"/>
      <c r="I43" s="66" t="s">
        <v>116</v>
      </c>
      <c r="J43" s="67" t="s">
        <v>117</v>
      </c>
      <c r="K43" s="358"/>
      <c r="L43" s="358"/>
      <c r="M43" s="358"/>
      <c r="N43" s="358"/>
      <c r="O43" s="358"/>
      <c r="P43" s="358"/>
      <c r="Q43" s="358"/>
      <c r="R43" s="358"/>
      <c r="S43" s="358"/>
      <c r="T43" s="358"/>
      <c r="U43" s="358"/>
      <c r="V43" s="358"/>
      <c r="W43" s="358"/>
      <c r="X43" s="358"/>
      <c r="Y43" s="1"/>
      <c r="Z43" s="1"/>
      <c r="AA43" s="1"/>
      <c r="AB43" s="1"/>
      <c r="AC43" s="1"/>
      <c r="AD43" s="1"/>
      <c r="AE43" s="1"/>
      <c r="AF43" s="1"/>
      <c r="AG43" s="1"/>
      <c r="AH43" s="1"/>
      <c r="AI43" s="1"/>
      <c r="AJ43" s="1"/>
      <c r="AK43" s="1"/>
      <c r="AL43" s="1"/>
      <c r="AM43" s="1"/>
      <c r="AN43" s="1"/>
      <c r="AO43" s="1"/>
      <c r="AP43" s="1"/>
      <c r="AQ43" s="1"/>
      <c r="AR43" s="1"/>
      <c r="AS43" s="1"/>
      <c r="AT43" s="1"/>
      <c r="AU43" s="1"/>
      <c r="AV43" s="1"/>
      <c r="AW43" s="1"/>
    </row>
    <row r="44" spans="1:49" ht="15.6">
      <c r="A44" s="447" t="str">
        <f t="shared" si="0"/>
        <v>L - Poslovanje nekretninama</v>
      </c>
      <c r="B44" s="44">
        <v>-0.51667782010950702</v>
      </c>
      <c r="F44" s="358"/>
      <c r="G44" s="358"/>
      <c r="I44" s="66" t="s">
        <v>120</v>
      </c>
      <c r="J44" s="67" t="s">
        <v>121</v>
      </c>
      <c r="K44" s="358"/>
      <c r="L44" s="358"/>
      <c r="M44" s="358"/>
      <c r="N44" s="358"/>
      <c r="O44" s="358"/>
      <c r="P44" s="358"/>
      <c r="Q44" s="358"/>
      <c r="R44" s="358"/>
      <c r="S44" s="358"/>
      <c r="T44" s="358"/>
      <c r="U44" s="358"/>
      <c r="V44" s="358"/>
      <c r="W44" s="358"/>
      <c r="X44" s="358"/>
      <c r="Y44" s="1"/>
      <c r="Z44" s="1"/>
      <c r="AA44" s="1"/>
      <c r="AB44" s="1"/>
      <c r="AC44" s="1"/>
      <c r="AD44" s="1"/>
      <c r="AE44" s="1"/>
      <c r="AF44" s="1"/>
      <c r="AG44" s="1"/>
      <c r="AH44" s="1"/>
      <c r="AI44" s="1"/>
      <c r="AJ44" s="1"/>
      <c r="AK44" s="1"/>
      <c r="AL44" s="1"/>
      <c r="AM44" s="1"/>
      <c r="AN44" s="1"/>
      <c r="AO44" s="1"/>
      <c r="AP44" s="1"/>
      <c r="AQ44" s="1"/>
      <c r="AR44" s="1"/>
      <c r="AS44" s="1"/>
      <c r="AT44" s="1"/>
      <c r="AU44" s="1"/>
      <c r="AV44" s="1"/>
      <c r="AW44" s="1"/>
    </row>
    <row r="45" spans="1:49" ht="15.6">
      <c r="A45" s="447" t="str">
        <f t="shared" si="0"/>
        <v>M - Stručne, znanstvene i tehničke djelatnosti</v>
      </c>
      <c r="B45" s="44">
        <v>-0.31677438905694238</v>
      </c>
      <c r="F45" s="358"/>
      <c r="G45" s="358"/>
      <c r="I45" s="66" t="s">
        <v>126</v>
      </c>
      <c r="J45" s="67" t="s">
        <v>127</v>
      </c>
      <c r="K45" s="358"/>
      <c r="L45" s="358"/>
      <c r="M45" s="358"/>
      <c r="N45" s="358"/>
      <c r="O45" s="358"/>
      <c r="P45" s="358"/>
      <c r="Q45" s="358"/>
      <c r="R45" s="358"/>
      <c r="S45" s="358"/>
      <c r="T45" s="358"/>
      <c r="U45" s="358"/>
      <c r="V45" s="358"/>
      <c r="W45" s="358"/>
      <c r="X45" s="358"/>
      <c r="Y45" s="1"/>
      <c r="Z45" s="1"/>
      <c r="AA45" s="1"/>
      <c r="AB45" s="1"/>
      <c r="AC45" s="1"/>
      <c r="AD45" s="1"/>
      <c r="AE45" s="1"/>
      <c r="AF45" s="1"/>
      <c r="AG45" s="1"/>
      <c r="AH45" s="1"/>
      <c r="AI45" s="1"/>
      <c r="AJ45" s="1"/>
      <c r="AK45" s="1"/>
      <c r="AL45" s="1"/>
      <c r="AM45" s="1"/>
      <c r="AN45" s="1"/>
      <c r="AO45" s="1"/>
      <c r="AP45" s="1"/>
      <c r="AQ45" s="1"/>
      <c r="AR45" s="1"/>
      <c r="AS45" s="1"/>
      <c r="AT45" s="1"/>
      <c r="AU45" s="1"/>
      <c r="AV45" s="1"/>
      <c r="AW45" s="1"/>
    </row>
    <row r="46" spans="1:49" ht="15.6">
      <c r="A46" s="447" t="str">
        <f t="shared" si="0"/>
        <v>N - Administrativne i pomoćne uslužne djelatnosti</v>
      </c>
      <c r="B46" s="44">
        <v>-0.61837167656011627</v>
      </c>
      <c r="F46" s="358"/>
      <c r="G46" s="358"/>
      <c r="I46" s="66" t="s">
        <v>131</v>
      </c>
      <c r="J46" s="67" t="s">
        <v>132</v>
      </c>
      <c r="K46" s="358"/>
      <c r="L46" s="358"/>
      <c r="M46" s="358"/>
      <c r="N46" s="358"/>
      <c r="O46" s="358"/>
      <c r="P46" s="358"/>
      <c r="Q46" s="358"/>
      <c r="R46" s="358"/>
      <c r="S46" s="358"/>
      <c r="T46" s="358"/>
      <c r="U46" s="358"/>
      <c r="V46" s="358"/>
      <c r="W46" s="358"/>
      <c r="X46" s="358"/>
      <c r="Y46" s="1"/>
      <c r="Z46" s="1"/>
      <c r="AA46" s="1"/>
      <c r="AB46" s="1"/>
      <c r="AC46" s="1"/>
      <c r="AD46" s="1"/>
      <c r="AE46" s="1"/>
      <c r="AF46" s="1"/>
      <c r="AG46" s="1"/>
      <c r="AH46" s="1"/>
      <c r="AI46" s="1"/>
      <c r="AJ46" s="1"/>
      <c r="AK46" s="1"/>
      <c r="AL46" s="1"/>
      <c r="AM46" s="1"/>
      <c r="AN46" s="1"/>
      <c r="AO46" s="1"/>
      <c r="AP46" s="1"/>
      <c r="AQ46" s="1"/>
      <c r="AR46" s="1"/>
      <c r="AS46" s="1"/>
      <c r="AT46" s="1"/>
      <c r="AU46" s="1"/>
      <c r="AV46" s="1"/>
      <c r="AW46" s="1"/>
    </row>
    <row r="47" spans="1:49" ht="15.6">
      <c r="A47" s="447" t="str">
        <f t="shared" si="0"/>
        <v>O - Javna uprava i obrana; obvezno socijalno osiguranje</v>
      </c>
      <c r="B47" s="44">
        <v>-0.05</v>
      </c>
      <c r="F47" s="358"/>
      <c r="G47" s="358"/>
      <c r="I47" s="66" t="s">
        <v>136</v>
      </c>
      <c r="J47" s="67" t="s">
        <v>137</v>
      </c>
      <c r="K47" s="358"/>
      <c r="L47" s="358"/>
      <c r="M47" s="358"/>
      <c r="N47" s="358"/>
      <c r="O47" s="358"/>
      <c r="P47" s="358"/>
      <c r="Q47" s="358"/>
      <c r="R47" s="358"/>
      <c r="S47" s="358"/>
      <c r="T47" s="358"/>
      <c r="U47" s="358"/>
      <c r="V47" s="358"/>
      <c r="W47" s="358"/>
      <c r="X47" s="358"/>
      <c r="Y47" s="1"/>
      <c r="Z47" s="1"/>
      <c r="AA47" s="1"/>
      <c r="AB47" s="1"/>
      <c r="AC47" s="1"/>
      <c r="AD47" s="1"/>
      <c r="AE47" s="1"/>
      <c r="AF47" s="1"/>
      <c r="AG47" s="1"/>
      <c r="AH47" s="1"/>
      <c r="AI47" s="1"/>
      <c r="AJ47" s="1"/>
      <c r="AK47" s="1"/>
      <c r="AL47" s="1"/>
      <c r="AM47" s="1"/>
      <c r="AN47" s="1"/>
      <c r="AO47" s="1"/>
      <c r="AP47" s="1"/>
      <c r="AQ47" s="1"/>
      <c r="AR47" s="1"/>
      <c r="AS47" s="1"/>
      <c r="AT47" s="1"/>
      <c r="AU47" s="1"/>
      <c r="AV47" s="1"/>
      <c r="AW47" s="1"/>
    </row>
    <row r="48" spans="1:49" ht="15.6">
      <c r="A48" s="447" t="str">
        <f t="shared" si="0"/>
        <v>P - Obrazovanje</v>
      </c>
      <c r="B48" s="44">
        <v>-0.05</v>
      </c>
      <c r="F48" s="358"/>
      <c r="G48" s="358"/>
      <c r="I48" s="66" t="s">
        <v>140</v>
      </c>
      <c r="J48" s="67" t="s">
        <v>141</v>
      </c>
      <c r="K48" s="358"/>
      <c r="L48" s="358"/>
      <c r="M48" s="358"/>
      <c r="N48" s="358"/>
      <c r="O48" s="358"/>
      <c r="P48" s="358"/>
      <c r="Q48" s="358"/>
      <c r="R48" s="358"/>
      <c r="S48" s="358"/>
      <c r="T48" s="358"/>
      <c r="U48" s="358"/>
      <c r="V48" s="358"/>
      <c r="W48" s="358"/>
      <c r="X48" s="358"/>
      <c r="Y48" s="1"/>
      <c r="Z48" s="1"/>
      <c r="AA48" s="1"/>
      <c r="AB48" s="1"/>
      <c r="AC48" s="1"/>
      <c r="AD48" s="1"/>
      <c r="AE48" s="1"/>
      <c r="AF48" s="1"/>
      <c r="AG48" s="1"/>
      <c r="AH48" s="1"/>
      <c r="AI48" s="1"/>
      <c r="AJ48" s="1"/>
      <c r="AK48" s="1"/>
      <c r="AL48" s="1"/>
      <c r="AM48" s="1"/>
      <c r="AN48" s="1"/>
      <c r="AO48" s="1"/>
      <c r="AP48" s="1"/>
      <c r="AQ48" s="1"/>
      <c r="AR48" s="1"/>
      <c r="AS48" s="1"/>
      <c r="AT48" s="1"/>
      <c r="AU48" s="1"/>
      <c r="AV48" s="1"/>
      <c r="AW48" s="1"/>
    </row>
    <row r="49" spans="1:49" ht="15.6">
      <c r="A49" s="447" t="str">
        <f t="shared" si="0"/>
        <v>Q - Djelatnosti zdravstvene zaštite i socijalne skrbi</v>
      </c>
      <c r="B49" s="44">
        <v>0</v>
      </c>
      <c r="F49" s="358"/>
      <c r="G49" s="358"/>
      <c r="I49" s="66" t="s">
        <v>144</v>
      </c>
      <c r="J49" s="67" t="s">
        <v>145</v>
      </c>
      <c r="K49" s="358"/>
      <c r="L49" s="358"/>
      <c r="M49" s="358"/>
      <c r="N49" s="358"/>
      <c r="O49" s="358"/>
      <c r="P49" s="358"/>
      <c r="Q49" s="358"/>
      <c r="R49" s="358"/>
      <c r="S49" s="358"/>
      <c r="T49" s="358"/>
      <c r="U49" s="358"/>
      <c r="V49" s="358"/>
      <c r="W49" s="358"/>
      <c r="X49" s="358"/>
      <c r="Y49" s="1"/>
      <c r="Z49" s="1"/>
      <c r="AA49" s="1"/>
      <c r="AB49" s="1"/>
      <c r="AC49" s="1"/>
      <c r="AD49" s="1"/>
      <c r="AE49" s="1"/>
      <c r="AF49" s="1"/>
      <c r="AG49" s="1"/>
      <c r="AH49" s="1"/>
      <c r="AI49" s="1"/>
      <c r="AJ49" s="1"/>
      <c r="AK49" s="1"/>
      <c r="AL49" s="1"/>
      <c r="AM49" s="1"/>
      <c r="AN49" s="1"/>
      <c r="AO49" s="1"/>
      <c r="AP49" s="1"/>
      <c r="AQ49" s="1"/>
      <c r="AR49" s="1"/>
      <c r="AS49" s="1"/>
      <c r="AT49" s="1"/>
      <c r="AU49" s="1"/>
      <c r="AV49" s="1"/>
      <c r="AW49" s="1"/>
    </row>
    <row r="50" spans="1:49" ht="15.6">
      <c r="A50" s="447" t="str">
        <f t="shared" si="0"/>
        <v>R - Umjetnost, zabava i rekreacija</v>
      </c>
      <c r="B50" s="44">
        <v>-0.8</v>
      </c>
      <c r="F50" s="358"/>
      <c r="G50" s="358"/>
      <c r="I50" s="66" t="s">
        <v>148</v>
      </c>
      <c r="J50" s="67" t="s">
        <v>149</v>
      </c>
      <c r="K50" s="358"/>
      <c r="L50" s="358"/>
      <c r="M50" s="358"/>
      <c r="N50" s="358"/>
      <c r="O50" s="358"/>
      <c r="P50" s="358"/>
      <c r="Q50" s="358"/>
      <c r="R50" s="358"/>
      <c r="S50" s="358"/>
      <c r="T50" s="358"/>
      <c r="U50" s="358"/>
      <c r="V50" s="358"/>
      <c r="W50" s="358"/>
      <c r="X50" s="358"/>
      <c r="Y50" s="1"/>
      <c r="Z50" s="1"/>
      <c r="AA50" s="1"/>
      <c r="AB50" s="1"/>
      <c r="AC50" s="1"/>
      <c r="AD50" s="1"/>
      <c r="AE50" s="1"/>
      <c r="AF50" s="1"/>
      <c r="AG50" s="1"/>
      <c r="AH50" s="1"/>
      <c r="AI50" s="1"/>
      <c r="AJ50" s="1"/>
      <c r="AK50" s="1"/>
      <c r="AL50" s="1"/>
      <c r="AM50" s="1"/>
      <c r="AN50" s="1"/>
      <c r="AO50" s="1"/>
      <c r="AP50" s="1"/>
      <c r="AQ50" s="1"/>
      <c r="AR50" s="1"/>
      <c r="AS50" s="1"/>
      <c r="AT50" s="1"/>
      <c r="AU50" s="1"/>
      <c r="AV50" s="1"/>
      <c r="AW50" s="1"/>
    </row>
    <row r="51" spans="1:49" ht="15.6">
      <c r="A51" s="447" t="str">
        <f t="shared" si="0"/>
        <v>S - Ostale uslužne djelatnosti</v>
      </c>
      <c r="B51" s="44">
        <v>-0.5</v>
      </c>
      <c r="F51" s="358"/>
      <c r="G51" s="358"/>
      <c r="I51" s="66" t="s">
        <v>152</v>
      </c>
      <c r="J51" s="67" t="s">
        <v>153</v>
      </c>
      <c r="K51" s="358"/>
      <c r="L51" s="358"/>
      <c r="M51" s="358"/>
      <c r="N51" s="358"/>
      <c r="O51" s="358"/>
      <c r="P51" s="358"/>
      <c r="Q51" s="358"/>
      <c r="R51" s="358"/>
      <c r="S51" s="358"/>
      <c r="T51" s="358"/>
      <c r="U51" s="358"/>
      <c r="V51" s="358"/>
      <c r="W51" s="358"/>
      <c r="X51" s="358"/>
      <c r="Y51" s="1"/>
      <c r="Z51" s="1"/>
      <c r="AA51" s="1"/>
      <c r="AB51" s="1"/>
      <c r="AC51" s="1"/>
      <c r="AD51" s="1"/>
      <c r="AE51" s="1"/>
      <c r="AF51" s="1"/>
      <c r="AG51" s="1"/>
      <c r="AH51" s="1"/>
      <c r="AI51" s="1"/>
      <c r="AJ51" s="1"/>
      <c r="AK51" s="1"/>
      <c r="AL51" s="1"/>
      <c r="AM51" s="1"/>
      <c r="AN51" s="1"/>
      <c r="AO51" s="1"/>
      <c r="AP51" s="1"/>
      <c r="AQ51" s="1"/>
      <c r="AR51" s="1"/>
      <c r="AS51" s="1"/>
      <c r="AT51" s="1"/>
      <c r="AU51" s="1"/>
      <c r="AV51" s="1"/>
      <c r="AW51" s="1"/>
    </row>
    <row r="52" spans="1:49" ht="42">
      <c r="A52" s="447" t="str">
        <f t="shared" si="0"/>
        <v>T - Djelatnosti kućanstava kao poslodavaca; djelatnosti kućanstava koja proizvode različitu robu i obavljaju različite usluge za vlastite potrebe</v>
      </c>
      <c r="B52" s="44">
        <v>0</v>
      </c>
      <c r="F52" s="358"/>
      <c r="G52" s="358"/>
      <c r="I52" s="71" t="s">
        <v>157</v>
      </c>
      <c r="J52" s="72" t="s">
        <v>158</v>
      </c>
      <c r="K52" s="358"/>
      <c r="L52" s="358"/>
      <c r="M52" s="358"/>
      <c r="N52" s="358"/>
      <c r="O52" s="358"/>
      <c r="P52" s="358"/>
      <c r="Q52" s="358"/>
      <c r="R52" s="358"/>
      <c r="S52" s="358"/>
      <c r="T52" s="358"/>
      <c r="U52" s="358"/>
      <c r="V52" s="358"/>
      <c r="W52" s="358"/>
      <c r="X52" s="358"/>
      <c r="Y52" s="1"/>
      <c r="Z52" s="1"/>
      <c r="AA52" s="1"/>
      <c r="AB52" s="1"/>
      <c r="AC52" s="1"/>
      <c r="AD52" s="1"/>
      <c r="AE52" s="1"/>
      <c r="AF52" s="1"/>
      <c r="AG52" s="1"/>
      <c r="AH52" s="1"/>
      <c r="AI52" s="1"/>
      <c r="AJ52" s="1"/>
      <c r="AK52" s="1"/>
      <c r="AL52" s="1"/>
      <c r="AM52" s="1"/>
      <c r="AN52" s="1"/>
      <c r="AO52" s="1"/>
      <c r="AP52" s="1"/>
      <c r="AQ52" s="1"/>
      <c r="AR52" s="1"/>
      <c r="AS52" s="1"/>
      <c r="AT52" s="1"/>
      <c r="AU52" s="1"/>
      <c r="AV52" s="1"/>
      <c r="AW52" s="1"/>
    </row>
    <row r="53" spans="1:49" ht="13.5" customHeight="1">
      <c r="A53" s="1"/>
      <c r="B53" s="358"/>
      <c r="C53" s="358"/>
      <c r="D53" s="358"/>
      <c r="E53" s="358"/>
      <c r="F53" s="358"/>
      <c r="G53" s="358"/>
      <c r="H53" s="358"/>
      <c r="I53" s="358"/>
      <c r="J53" s="358"/>
      <c r="K53" s="358"/>
      <c r="L53" s="358"/>
      <c r="M53" s="358"/>
      <c r="N53" s="358"/>
      <c r="O53" s="358"/>
      <c r="P53" s="358"/>
      <c r="Q53" s="358"/>
      <c r="R53" s="358"/>
      <c r="S53" s="358"/>
      <c r="T53" s="358"/>
      <c r="U53" s="358"/>
      <c r="V53" s="358"/>
      <c r="W53" s="358"/>
      <c r="X53" s="358"/>
      <c r="Y53" s="1"/>
      <c r="Z53" s="1"/>
      <c r="AA53" s="1"/>
      <c r="AB53" s="1"/>
      <c r="AC53" s="1"/>
      <c r="AD53" s="1"/>
      <c r="AE53" s="1"/>
      <c r="AF53" s="1"/>
      <c r="AG53" s="1"/>
      <c r="AH53" s="1"/>
      <c r="AI53" s="1"/>
      <c r="AJ53" s="1"/>
      <c r="AK53" s="1"/>
      <c r="AL53" s="1"/>
      <c r="AM53" s="1"/>
      <c r="AN53" s="1"/>
      <c r="AO53" s="1"/>
      <c r="AP53" s="1"/>
      <c r="AQ53" s="1"/>
      <c r="AR53" s="1"/>
      <c r="AS53" s="1"/>
      <c r="AT53" s="1"/>
      <c r="AU53" s="1"/>
      <c r="AV53" s="1"/>
      <c r="AW53" s="1"/>
    </row>
    <row r="54" spans="1:49" ht="13.5" customHeight="1">
      <c r="A54" s="1"/>
      <c r="B54" s="358"/>
      <c r="C54" s="358"/>
      <c r="D54" s="358"/>
      <c r="E54" s="358"/>
      <c r="F54" s="358"/>
      <c r="G54" s="358"/>
      <c r="H54" s="358"/>
      <c r="I54" s="358"/>
      <c r="J54" s="358"/>
      <c r="K54" s="358"/>
      <c r="L54" s="358"/>
      <c r="M54" s="358"/>
      <c r="N54" s="358"/>
      <c r="O54" s="358"/>
      <c r="P54" s="358"/>
      <c r="Q54" s="358"/>
      <c r="R54" s="358"/>
      <c r="S54" s="358"/>
      <c r="T54" s="358"/>
      <c r="U54" s="358"/>
      <c r="V54" s="358"/>
      <c r="W54" s="358"/>
      <c r="X54" s="358"/>
      <c r="Y54" s="1"/>
      <c r="Z54" s="1"/>
      <c r="AA54" s="1"/>
      <c r="AB54" s="1"/>
      <c r="AC54" s="1"/>
      <c r="AD54" s="1"/>
      <c r="AE54" s="1"/>
      <c r="AF54" s="1"/>
      <c r="AG54" s="1"/>
      <c r="AH54" s="1"/>
      <c r="AI54" s="1"/>
      <c r="AJ54" s="1"/>
      <c r="AK54" s="1"/>
      <c r="AL54" s="1"/>
      <c r="AM54" s="1"/>
      <c r="AN54" s="1"/>
      <c r="AO54" s="1"/>
      <c r="AP54" s="1"/>
      <c r="AQ54" s="1"/>
      <c r="AR54" s="1"/>
      <c r="AS54" s="1"/>
      <c r="AT54" s="1"/>
      <c r="AU54" s="1"/>
      <c r="AV54" s="1"/>
      <c r="AW54" s="1"/>
    </row>
    <row r="55" spans="1:49" ht="13.5" customHeight="1">
      <c r="A55" s="1"/>
      <c r="B55" s="358"/>
      <c r="C55" s="358"/>
      <c r="D55" s="358"/>
      <c r="E55" s="358"/>
      <c r="F55" s="358"/>
      <c r="G55" s="358"/>
      <c r="H55" s="358"/>
      <c r="I55" s="358"/>
      <c r="J55" s="358"/>
      <c r="K55" s="358"/>
      <c r="L55" s="358"/>
      <c r="M55" s="358"/>
      <c r="N55" s="358"/>
      <c r="O55" s="358"/>
      <c r="P55" s="358"/>
      <c r="Q55" s="358"/>
      <c r="R55" s="358"/>
      <c r="S55" s="358"/>
      <c r="T55" s="358"/>
      <c r="U55" s="358"/>
      <c r="V55" s="358"/>
      <c r="W55" s="358"/>
      <c r="X55" s="358"/>
      <c r="Y55" s="1"/>
      <c r="Z55" s="1"/>
      <c r="AA55" s="1"/>
      <c r="AB55" s="1"/>
      <c r="AC55" s="1"/>
      <c r="AD55" s="1"/>
      <c r="AE55" s="1"/>
      <c r="AF55" s="1"/>
      <c r="AG55" s="1"/>
      <c r="AH55" s="1"/>
      <c r="AI55" s="1"/>
      <c r="AJ55" s="1"/>
      <c r="AK55" s="1"/>
      <c r="AL55" s="1"/>
      <c r="AM55" s="1"/>
      <c r="AN55" s="1"/>
      <c r="AO55" s="1"/>
      <c r="AP55" s="1"/>
      <c r="AQ55" s="1"/>
      <c r="AR55" s="1"/>
      <c r="AS55" s="1"/>
      <c r="AT55" s="1"/>
      <c r="AU55" s="1"/>
      <c r="AV55" s="1"/>
      <c r="AW55" s="1"/>
    </row>
    <row r="56" spans="1:49" ht="13.5" customHeight="1">
      <c r="A56" s="1"/>
      <c r="B56" s="358"/>
      <c r="C56" s="358"/>
      <c r="D56" s="358"/>
      <c r="E56" s="358"/>
      <c r="F56" s="358"/>
      <c r="G56" s="358"/>
      <c r="H56" s="358"/>
      <c r="I56" s="358"/>
      <c r="J56" s="358"/>
      <c r="K56" s="358"/>
      <c r="L56" s="358"/>
      <c r="M56" s="358"/>
      <c r="N56" s="358"/>
      <c r="O56" s="358"/>
      <c r="P56" s="358"/>
      <c r="Q56" s="358"/>
      <c r="R56" s="358"/>
      <c r="S56" s="358"/>
      <c r="T56" s="358"/>
      <c r="U56" s="358"/>
      <c r="V56" s="358"/>
      <c r="W56" s="358"/>
      <c r="X56" s="358"/>
      <c r="Y56" s="1"/>
      <c r="Z56" s="1"/>
      <c r="AA56" s="1"/>
      <c r="AB56" s="1"/>
      <c r="AC56" s="1"/>
      <c r="AD56" s="1"/>
      <c r="AE56" s="1"/>
      <c r="AF56" s="1"/>
      <c r="AG56" s="1"/>
      <c r="AH56" s="1"/>
      <c r="AI56" s="1"/>
      <c r="AJ56" s="1"/>
      <c r="AK56" s="1"/>
      <c r="AL56" s="1"/>
      <c r="AM56" s="1"/>
      <c r="AN56" s="1"/>
      <c r="AO56" s="1"/>
      <c r="AP56" s="1"/>
      <c r="AQ56" s="1"/>
      <c r="AR56" s="1"/>
      <c r="AS56" s="1"/>
      <c r="AT56" s="1"/>
      <c r="AU56" s="1"/>
      <c r="AV56" s="1"/>
      <c r="AW56" s="1"/>
    </row>
    <row r="57" spans="1:49" ht="13.5" customHeight="1">
      <c r="A57" s="1"/>
      <c r="B57" s="358"/>
      <c r="C57" s="358"/>
      <c r="D57" s="358"/>
      <c r="E57" s="358"/>
      <c r="F57" s="358"/>
      <c r="G57" s="358"/>
      <c r="H57" s="358"/>
      <c r="I57" s="358"/>
      <c r="J57" s="358"/>
      <c r="K57" s="358"/>
      <c r="L57" s="358"/>
      <c r="M57" s="358"/>
      <c r="N57" s="358"/>
      <c r="O57" s="358"/>
      <c r="P57" s="358"/>
      <c r="Q57" s="358"/>
      <c r="R57" s="358"/>
      <c r="S57" s="358"/>
      <c r="T57" s="358"/>
      <c r="U57" s="358"/>
      <c r="V57" s="358"/>
      <c r="W57" s="358"/>
      <c r="X57" s="358"/>
      <c r="Y57" s="1"/>
      <c r="Z57" s="1"/>
      <c r="AA57" s="1"/>
      <c r="AB57" s="1"/>
      <c r="AC57" s="1"/>
      <c r="AD57" s="1"/>
      <c r="AE57" s="1"/>
      <c r="AF57" s="1"/>
      <c r="AG57" s="1"/>
      <c r="AH57" s="1"/>
      <c r="AI57" s="1"/>
      <c r="AJ57" s="1"/>
      <c r="AK57" s="1"/>
      <c r="AL57" s="1"/>
      <c r="AM57" s="1"/>
      <c r="AN57" s="1"/>
      <c r="AO57" s="1"/>
      <c r="AP57" s="1"/>
      <c r="AQ57" s="1"/>
      <c r="AR57" s="1"/>
      <c r="AS57" s="1"/>
      <c r="AT57" s="1"/>
      <c r="AU57" s="1"/>
      <c r="AV57" s="1"/>
      <c r="AW57" s="1"/>
    </row>
    <row r="58" spans="1:49" ht="13.5" customHeight="1">
      <c r="A58" s="1"/>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1"/>
      <c r="Z58" s="1"/>
      <c r="AA58" s="1"/>
      <c r="AB58" s="1"/>
      <c r="AC58" s="1"/>
      <c r="AD58" s="1"/>
      <c r="AE58" s="1"/>
      <c r="AF58" s="1"/>
      <c r="AG58" s="1"/>
      <c r="AH58" s="1"/>
      <c r="AI58" s="1"/>
      <c r="AJ58" s="1"/>
      <c r="AK58" s="1"/>
      <c r="AL58" s="1"/>
      <c r="AM58" s="1"/>
      <c r="AN58" s="1"/>
      <c r="AO58" s="1"/>
      <c r="AP58" s="1"/>
      <c r="AQ58" s="1"/>
      <c r="AR58" s="1"/>
      <c r="AS58" s="1"/>
      <c r="AT58" s="1"/>
      <c r="AU58" s="1"/>
      <c r="AV58" s="1"/>
      <c r="AW58" s="1"/>
    </row>
    <row r="59" spans="1:49" ht="13.5" customHeight="1">
      <c r="A59" s="1"/>
      <c r="B59" s="358"/>
      <c r="C59" s="358"/>
      <c r="D59" s="358"/>
      <c r="E59" s="358"/>
      <c r="F59" s="358"/>
      <c r="G59" s="358"/>
      <c r="H59" s="358"/>
      <c r="I59" s="358"/>
      <c r="J59" s="358"/>
      <c r="K59" s="358"/>
      <c r="L59" s="358"/>
      <c r="M59" s="358"/>
      <c r="N59" s="358"/>
      <c r="O59" s="358"/>
      <c r="P59" s="358"/>
      <c r="Q59" s="358"/>
      <c r="R59" s="358"/>
      <c r="S59" s="358"/>
      <c r="T59" s="358"/>
      <c r="U59" s="358"/>
      <c r="V59" s="358"/>
      <c r="W59" s="358"/>
      <c r="X59" s="358"/>
      <c r="Y59" s="1"/>
      <c r="Z59" s="1"/>
      <c r="AA59" s="1"/>
      <c r="AB59" s="1"/>
      <c r="AC59" s="1"/>
      <c r="AD59" s="1"/>
      <c r="AE59" s="1"/>
      <c r="AF59" s="1"/>
      <c r="AG59" s="1"/>
      <c r="AH59" s="1"/>
      <c r="AI59" s="1"/>
      <c r="AJ59" s="1"/>
      <c r="AK59" s="1"/>
      <c r="AL59" s="1"/>
      <c r="AM59" s="1"/>
      <c r="AN59" s="1"/>
      <c r="AO59" s="1"/>
      <c r="AP59" s="1"/>
      <c r="AQ59" s="1"/>
      <c r="AR59" s="1"/>
      <c r="AS59" s="1"/>
      <c r="AT59" s="1"/>
      <c r="AU59" s="1"/>
      <c r="AV59" s="1"/>
      <c r="AW59" s="1"/>
    </row>
    <row r="60" spans="1:49" ht="13.5" customHeight="1">
      <c r="A60" s="1"/>
      <c r="B60" s="358"/>
      <c r="C60" s="358"/>
      <c r="D60" s="358"/>
      <c r="E60" s="358"/>
      <c r="F60" s="358"/>
      <c r="G60" s="358"/>
      <c r="H60" s="358"/>
      <c r="I60" s="358"/>
      <c r="J60" s="358"/>
      <c r="K60" s="358"/>
      <c r="L60" s="358"/>
      <c r="M60" s="358"/>
      <c r="N60" s="358"/>
      <c r="O60" s="358"/>
      <c r="P60" s="358"/>
      <c r="Q60" s="358"/>
      <c r="R60" s="358"/>
      <c r="S60" s="358"/>
      <c r="T60" s="358"/>
      <c r="U60" s="358"/>
      <c r="V60" s="358"/>
      <c r="W60" s="358"/>
      <c r="X60" s="358"/>
      <c r="Y60" s="1"/>
      <c r="Z60" s="1"/>
      <c r="AA60" s="1"/>
      <c r="AB60" s="1"/>
      <c r="AC60" s="1"/>
      <c r="AD60" s="1"/>
      <c r="AE60" s="1"/>
      <c r="AF60" s="1"/>
      <c r="AG60" s="1"/>
      <c r="AH60" s="1"/>
      <c r="AI60" s="1"/>
      <c r="AJ60" s="1"/>
      <c r="AK60" s="1"/>
      <c r="AL60" s="1"/>
      <c r="AM60" s="1"/>
      <c r="AN60" s="1"/>
      <c r="AO60" s="1"/>
      <c r="AP60" s="1"/>
      <c r="AQ60" s="1"/>
      <c r="AR60" s="1"/>
      <c r="AS60" s="1"/>
      <c r="AT60" s="1"/>
      <c r="AU60" s="1"/>
      <c r="AV60" s="1"/>
      <c r="AW60" s="1"/>
    </row>
    <row r="61" spans="1:49" ht="13.5" customHeight="1">
      <c r="A61" s="1"/>
      <c r="B61" s="358"/>
      <c r="C61" s="358"/>
      <c r="D61" s="358"/>
      <c r="E61" s="358"/>
      <c r="F61" s="358"/>
      <c r="G61" s="358"/>
      <c r="H61" s="358"/>
      <c r="I61" s="358"/>
      <c r="J61" s="358"/>
      <c r="K61" s="358"/>
      <c r="L61" s="358"/>
      <c r="M61" s="358"/>
      <c r="N61" s="358"/>
      <c r="O61" s="358"/>
      <c r="P61" s="358"/>
      <c r="Q61" s="358"/>
      <c r="R61" s="358"/>
      <c r="S61" s="358"/>
      <c r="T61" s="358"/>
      <c r="U61" s="358"/>
      <c r="V61" s="358"/>
      <c r="W61" s="358"/>
      <c r="X61" s="358"/>
      <c r="Y61" s="1"/>
      <c r="Z61" s="1"/>
      <c r="AA61" s="1"/>
      <c r="AB61" s="1"/>
      <c r="AC61" s="1"/>
      <c r="AD61" s="1"/>
      <c r="AE61" s="1"/>
      <c r="AF61" s="1"/>
      <c r="AG61" s="1"/>
      <c r="AH61" s="1"/>
      <c r="AI61" s="1"/>
      <c r="AJ61" s="1"/>
      <c r="AK61" s="1"/>
      <c r="AL61" s="1"/>
      <c r="AM61" s="1"/>
      <c r="AN61" s="1"/>
      <c r="AO61" s="1"/>
      <c r="AP61" s="1"/>
      <c r="AQ61" s="1"/>
      <c r="AR61" s="1"/>
      <c r="AS61" s="1"/>
      <c r="AT61" s="1"/>
      <c r="AU61" s="1"/>
      <c r="AV61" s="1"/>
      <c r="AW61" s="1"/>
    </row>
    <row r="62" spans="1:49" ht="13.5" customHeight="1">
      <c r="A62" s="1"/>
      <c r="B62" s="358"/>
      <c r="C62" s="358"/>
      <c r="D62" s="358"/>
      <c r="E62" s="358"/>
      <c r="F62" s="358"/>
      <c r="G62" s="358"/>
      <c r="H62" s="358"/>
      <c r="I62" s="358"/>
      <c r="J62" s="358"/>
      <c r="K62" s="358"/>
      <c r="L62" s="358"/>
      <c r="M62" s="358"/>
      <c r="N62" s="358"/>
      <c r="O62" s="358"/>
      <c r="P62" s="358"/>
      <c r="Q62" s="358"/>
      <c r="R62" s="358"/>
      <c r="S62" s="358"/>
      <c r="T62" s="358"/>
      <c r="U62" s="358"/>
      <c r="V62" s="358"/>
      <c r="W62" s="358"/>
      <c r="X62" s="358"/>
      <c r="Y62" s="1"/>
      <c r="Z62" s="1"/>
      <c r="AA62" s="1"/>
      <c r="AB62" s="1"/>
      <c r="AC62" s="1"/>
      <c r="AD62" s="1"/>
      <c r="AE62" s="1"/>
      <c r="AF62" s="1"/>
      <c r="AG62" s="1"/>
      <c r="AH62" s="1"/>
      <c r="AI62" s="1"/>
      <c r="AJ62" s="1"/>
      <c r="AK62" s="1"/>
      <c r="AL62" s="1"/>
      <c r="AM62" s="1"/>
      <c r="AN62" s="1"/>
      <c r="AO62" s="1"/>
      <c r="AP62" s="1"/>
      <c r="AQ62" s="1"/>
      <c r="AR62" s="1"/>
      <c r="AS62" s="1"/>
      <c r="AT62" s="1"/>
      <c r="AU62" s="1"/>
      <c r="AV62" s="1"/>
      <c r="AW62" s="1"/>
    </row>
    <row r="63" spans="1:49" ht="13.5" customHeight="1">
      <c r="A63" s="1"/>
      <c r="B63" s="358"/>
      <c r="C63" s="358"/>
      <c r="D63" s="358"/>
      <c r="E63" s="358"/>
      <c r="F63" s="358"/>
      <c r="G63" s="358"/>
      <c r="H63" s="358"/>
      <c r="I63" s="358"/>
      <c r="J63" s="358"/>
      <c r="K63" s="358"/>
      <c r="L63" s="358"/>
      <c r="M63" s="358"/>
      <c r="N63" s="358"/>
      <c r="O63" s="358"/>
      <c r="P63" s="358"/>
      <c r="Q63" s="358"/>
      <c r="R63" s="358"/>
      <c r="S63" s="358"/>
      <c r="T63" s="358"/>
      <c r="U63" s="358"/>
      <c r="V63" s="358"/>
      <c r="W63" s="358"/>
      <c r="X63" s="358"/>
      <c r="Y63" s="1"/>
      <c r="Z63" s="1"/>
      <c r="AA63" s="1"/>
      <c r="AB63" s="1"/>
      <c r="AC63" s="1"/>
      <c r="AD63" s="1"/>
      <c r="AE63" s="1"/>
      <c r="AF63" s="1"/>
      <c r="AG63" s="1"/>
      <c r="AH63" s="1"/>
      <c r="AI63" s="1"/>
      <c r="AJ63" s="1"/>
      <c r="AK63" s="1"/>
      <c r="AL63" s="1"/>
      <c r="AM63" s="1"/>
      <c r="AN63" s="1"/>
      <c r="AO63" s="1"/>
      <c r="AP63" s="1"/>
      <c r="AQ63" s="1"/>
      <c r="AR63" s="1"/>
      <c r="AS63" s="1"/>
      <c r="AT63" s="1"/>
      <c r="AU63" s="1"/>
      <c r="AV63" s="1"/>
      <c r="AW63" s="1"/>
    </row>
    <row r="64" spans="1:49" ht="13.5" customHeight="1">
      <c r="A64" s="1"/>
      <c r="B64" s="358"/>
      <c r="C64" s="358"/>
      <c r="D64" s="358"/>
      <c r="E64" s="358"/>
      <c r="F64" s="358"/>
      <c r="G64" s="358"/>
      <c r="H64" s="358"/>
      <c r="I64" s="358"/>
      <c r="J64" s="358"/>
      <c r="K64" s="358"/>
      <c r="L64" s="358"/>
      <c r="M64" s="358"/>
      <c r="N64" s="358"/>
      <c r="O64" s="358"/>
      <c r="P64" s="358"/>
      <c r="Q64" s="358"/>
      <c r="R64" s="358"/>
      <c r="S64" s="358"/>
      <c r="T64" s="358"/>
      <c r="U64" s="358"/>
      <c r="V64" s="358"/>
      <c r="W64" s="358"/>
      <c r="X64" s="358"/>
      <c r="Y64" s="1"/>
      <c r="Z64" s="1"/>
      <c r="AA64" s="1"/>
      <c r="AB64" s="1"/>
      <c r="AC64" s="1"/>
      <c r="AD64" s="1"/>
      <c r="AE64" s="1"/>
      <c r="AF64" s="1"/>
      <c r="AG64" s="1"/>
      <c r="AH64" s="1"/>
      <c r="AI64" s="1"/>
      <c r="AJ64" s="1"/>
      <c r="AK64" s="1"/>
      <c r="AL64" s="1"/>
      <c r="AM64" s="1"/>
      <c r="AN64" s="1"/>
      <c r="AO64" s="1"/>
      <c r="AP64" s="1"/>
      <c r="AQ64" s="1"/>
      <c r="AR64" s="1"/>
      <c r="AS64" s="1"/>
      <c r="AT64" s="1"/>
      <c r="AU64" s="1"/>
      <c r="AV64" s="1"/>
      <c r="AW64" s="1"/>
    </row>
    <row r="65" spans="1:49" ht="13.5" customHeight="1">
      <c r="A65" s="1"/>
      <c r="B65" s="358"/>
      <c r="C65" s="358"/>
      <c r="D65" s="358"/>
      <c r="E65" s="358"/>
      <c r="F65" s="358"/>
      <c r="G65" s="358"/>
      <c r="H65" s="358"/>
      <c r="I65" s="358"/>
      <c r="J65" s="358"/>
      <c r="K65" s="358"/>
      <c r="L65" s="358"/>
      <c r="M65" s="358"/>
      <c r="N65" s="358"/>
      <c r="O65" s="358"/>
      <c r="P65" s="358"/>
      <c r="Q65" s="358"/>
      <c r="R65" s="358"/>
      <c r="S65" s="358"/>
      <c r="T65" s="358"/>
      <c r="U65" s="358"/>
      <c r="V65" s="358"/>
      <c r="W65" s="358"/>
      <c r="X65" s="358"/>
      <c r="Y65" s="1"/>
      <c r="Z65" s="1"/>
      <c r="AA65" s="1"/>
      <c r="AB65" s="1"/>
      <c r="AC65" s="1"/>
      <c r="AD65" s="1"/>
      <c r="AE65" s="1"/>
      <c r="AF65" s="1"/>
      <c r="AG65" s="1"/>
      <c r="AH65" s="1"/>
      <c r="AI65" s="1"/>
      <c r="AJ65" s="1"/>
      <c r="AK65" s="1"/>
      <c r="AL65" s="1"/>
      <c r="AM65" s="1"/>
      <c r="AN65" s="1"/>
      <c r="AO65" s="1"/>
      <c r="AP65" s="1"/>
      <c r="AQ65" s="1"/>
      <c r="AR65" s="1"/>
      <c r="AS65" s="1"/>
      <c r="AT65" s="1"/>
      <c r="AU65" s="1"/>
      <c r="AV65" s="1"/>
      <c r="AW65" s="1"/>
    </row>
    <row r="66" spans="1:49" ht="13.5" customHeight="1">
      <c r="A66" s="1"/>
      <c r="B66" s="358"/>
      <c r="C66" s="358"/>
      <c r="D66" s="358"/>
      <c r="E66" s="358"/>
      <c r="F66" s="358"/>
      <c r="G66" s="358"/>
      <c r="H66" s="358"/>
      <c r="I66" s="358"/>
      <c r="J66" s="358"/>
      <c r="K66" s="358"/>
      <c r="L66" s="358"/>
      <c r="M66" s="358"/>
      <c r="N66" s="358"/>
      <c r="O66" s="358"/>
      <c r="P66" s="358"/>
      <c r="Q66" s="358"/>
      <c r="R66" s="358"/>
      <c r="S66" s="358"/>
      <c r="T66" s="358"/>
      <c r="U66" s="358"/>
      <c r="V66" s="358"/>
      <c r="W66" s="358"/>
      <c r="X66" s="358"/>
      <c r="Y66" s="1"/>
      <c r="Z66" s="1"/>
      <c r="AA66" s="1"/>
      <c r="AB66" s="1"/>
      <c r="AC66" s="1"/>
      <c r="AD66" s="1"/>
      <c r="AE66" s="1"/>
      <c r="AF66" s="1"/>
      <c r="AG66" s="1"/>
      <c r="AH66" s="1"/>
      <c r="AI66" s="1"/>
      <c r="AJ66" s="1"/>
      <c r="AK66" s="1"/>
      <c r="AL66" s="1"/>
      <c r="AM66" s="1"/>
      <c r="AN66" s="1"/>
      <c r="AO66" s="1"/>
      <c r="AP66" s="1"/>
      <c r="AQ66" s="1"/>
      <c r="AR66" s="1"/>
      <c r="AS66" s="1"/>
      <c r="AT66" s="1"/>
      <c r="AU66" s="1"/>
      <c r="AV66" s="1"/>
      <c r="AW66" s="1"/>
    </row>
    <row r="67" spans="1:49" ht="13.5" customHeight="1">
      <c r="A67" s="1"/>
      <c r="B67" s="358"/>
      <c r="C67" s="358"/>
      <c r="D67" s="358"/>
      <c r="E67" s="358"/>
      <c r="F67" s="358"/>
      <c r="G67" s="358"/>
      <c r="H67" s="358"/>
      <c r="I67" s="358"/>
      <c r="J67" s="358"/>
      <c r="K67" s="358"/>
      <c r="L67" s="358"/>
      <c r="M67" s="358"/>
      <c r="N67" s="358"/>
      <c r="O67" s="358"/>
      <c r="P67" s="358"/>
      <c r="Q67" s="358"/>
      <c r="R67" s="358"/>
      <c r="S67" s="358"/>
      <c r="T67" s="358"/>
      <c r="U67" s="358"/>
      <c r="V67" s="358"/>
      <c r="W67" s="358"/>
      <c r="X67" s="358"/>
      <c r="Y67" s="1"/>
      <c r="Z67" s="1"/>
      <c r="AA67" s="1"/>
      <c r="AB67" s="1"/>
      <c r="AC67" s="1"/>
      <c r="AD67" s="1"/>
      <c r="AE67" s="1"/>
      <c r="AF67" s="1"/>
      <c r="AG67" s="1"/>
      <c r="AH67" s="1"/>
      <c r="AI67" s="1"/>
      <c r="AJ67" s="1"/>
      <c r="AK67" s="1"/>
      <c r="AL67" s="1"/>
      <c r="AM67" s="1"/>
      <c r="AN67" s="1"/>
      <c r="AO67" s="1"/>
      <c r="AP67" s="1"/>
      <c r="AQ67" s="1"/>
      <c r="AR67" s="1"/>
      <c r="AS67" s="1"/>
      <c r="AT67" s="1"/>
      <c r="AU67" s="1"/>
      <c r="AV67" s="1"/>
      <c r="AW67" s="1"/>
    </row>
    <row r="68" spans="1:49" ht="13.5" customHeight="1">
      <c r="A68" s="1"/>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1"/>
      <c r="Z68" s="1"/>
      <c r="AA68" s="1"/>
      <c r="AB68" s="1"/>
      <c r="AC68" s="1"/>
      <c r="AD68" s="1"/>
      <c r="AE68" s="1"/>
      <c r="AF68" s="1"/>
      <c r="AG68" s="1"/>
      <c r="AH68" s="1"/>
      <c r="AI68" s="1"/>
      <c r="AJ68" s="1"/>
      <c r="AK68" s="1"/>
      <c r="AL68" s="1"/>
      <c r="AM68" s="1"/>
      <c r="AN68" s="1"/>
      <c r="AO68" s="1"/>
      <c r="AP68" s="1"/>
      <c r="AQ68" s="1"/>
      <c r="AR68" s="1"/>
      <c r="AS68" s="1"/>
      <c r="AT68" s="1"/>
      <c r="AU68" s="1"/>
      <c r="AV68" s="1"/>
      <c r="AW68" s="1"/>
    </row>
    <row r="69" spans="1:49" ht="13.5" customHeight="1">
      <c r="A69" s="1"/>
      <c r="B69" s="358"/>
      <c r="C69" s="358"/>
      <c r="D69" s="358"/>
      <c r="E69" s="358"/>
      <c r="F69" s="358"/>
      <c r="G69" s="358"/>
      <c r="H69" s="358"/>
      <c r="I69" s="358"/>
      <c r="J69" s="358"/>
      <c r="K69" s="358"/>
      <c r="L69" s="358"/>
      <c r="M69" s="358"/>
      <c r="N69" s="358"/>
      <c r="O69" s="358"/>
      <c r="P69" s="358"/>
      <c r="Q69" s="358"/>
      <c r="R69" s="358"/>
      <c r="S69" s="358"/>
      <c r="T69" s="358"/>
      <c r="U69" s="358"/>
      <c r="V69" s="358"/>
      <c r="W69" s="358"/>
      <c r="X69" s="358"/>
      <c r="Y69" s="1"/>
      <c r="Z69" s="1"/>
      <c r="AA69" s="1"/>
      <c r="AB69" s="1"/>
      <c r="AC69" s="1"/>
      <c r="AD69" s="1"/>
      <c r="AE69" s="1"/>
      <c r="AF69" s="1"/>
      <c r="AG69" s="1"/>
      <c r="AH69" s="1"/>
      <c r="AI69" s="1"/>
      <c r="AJ69" s="1"/>
      <c r="AK69" s="1"/>
      <c r="AL69" s="1"/>
      <c r="AM69" s="1"/>
      <c r="AN69" s="1"/>
      <c r="AO69" s="1"/>
      <c r="AP69" s="1"/>
      <c r="AQ69" s="1"/>
      <c r="AR69" s="1"/>
      <c r="AS69" s="1"/>
      <c r="AT69" s="1"/>
      <c r="AU69" s="1"/>
      <c r="AV69" s="1"/>
      <c r="AW69" s="1"/>
    </row>
    <row r="70" spans="1:49" ht="13.5" customHeight="1">
      <c r="A70" s="1"/>
      <c r="B70" s="358"/>
      <c r="C70" s="358"/>
      <c r="D70" s="358"/>
      <c r="E70" s="358"/>
      <c r="F70" s="358"/>
      <c r="G70" s="358"/>
      <c r="H70" s="358"/>
      <c r="I70" s="358"/>
      <c r="J70" s="358"/>
      <c r="K70" s="358"/>
      <c r="L70" s="358"/>
      <c r="M70" s="358"/>
      <c r="N70" s="358"/>
      <c r="O70" s="358"/>
      <c r="P70" s="358"/>
      <c r="Q70" s="358"/>
      <c r="R70" s="358"/>
      <c r="S70" s="358"/>
      <c r="T70" s="358"/>
      <c r="U70" s="358"/>
      <c r="V70" s="358"/>
      <c r="W70" s="358"/>
      <c r="X70" s="358"/>
      <c r="Y70" s="1"/>
      <c r="Z70" s="1"/>
      <c r="AA70" s="1"/>
      <c r="AB70" s="1"/>
      <c r="AC70" s="1"/>
      <c r="AD70" s="1"/>
      <c r="AE70" s="1"/>
      <c r="AF70" s="1"/>
      <c r="AG70" s="1"/>
      <c r="AH70" s="1"/>
      <c r="AI70" s="1"/>
      <c r="AJ70" s="1"/>
      <c r="AK70" s="1"/>
      <c r="AL70" s="1"/>
      <c r="AM70" s="1"/>
      <c r="AN70" s="1"/>
      <c r="AO70" s="1"/>
      <c r="AP70" s="1"/>
      <c r="AQ70" s="1"/>
      <c r="AR70" s="1"/>
      <c r="AS70" s="1"/>
      <c r="AT70" s="1"/>
      <c r="AU70" s="1"/>
      <c r="AV70" s="1"/>
      <c r="AW70" s="1"/>
    </row>
    <row r="71" spans="1:49" ht="13.5" customHeight="1">
      <c r="A71" s="1"/>
      <c r="B71" s="358"/>
      <c r="C71" s="358"/>
      <c r="D71" s="358"/>
      <c r="E71" s="358"/>
      <c r="F71" s="358"/>
      <c r="G71" s="358"/>
      <c r="H71" s="358"/>
      <c r="I71" s="358"/>
      <c r="J71" s="358"/>
      <c r="K71" s="358"/>
      <c r="L71" s="358"/>
      <c r="M71" s="358"/>
      <c r="N71" s="358"/>
      <c r="O71" s="358"/>
      <c r="P71" s="358"/>
      <c r="Q71" s="358"/>
      <c r="R71" s="358"/>
      <c r="S71" s="358"/>
      <c r="T71" s="358"/>
      <c r="U71" s="358"/>
      <c r="V71" s="358"/>
      <c r="W71" s="358"/>
      <c r="X71" s="358"/>
      <c r="Y71" s="1"/>
      <c r="Z71" s="1"/>
      <c r="AA71" s="1"/>
      <c r="AB71" s="1"/>
      <c r="AC71" s="1"/>
      <c r="AD71" s="1"/>
      <c r="AE71" s="1"/>
      <c r="AF71" s="1"/>
      <c r="AG71" s="1"/>
      <c r="AH71" s="1"/>
      <c r="AI71" s="1"/>
      <c r="AJ71" s="1"/>
      <c r="AK71" s="1"/>
      <c r="AL71" s="1"/>
      <c r="AM71" s="1"/>
      <c r="AN71" s="1"/>
      <c r="AO71" s="1"/>
      <c r="AP71" s="1"/>
      <c r="AQ71" s="1"/>
      <c r="AR71" s="1"/>
      <c r="AS71" s="1"/>
      <c r="AT71" s="1"/>
      <c r="AU71" s="1"/>
      <c r="AV71" s="1"/>
      <c r="AW71" s="1"/>
    </row>
    <row r="72" spans="1:49" ht="13.5" customHeight="1">
      <c r="A72" s="1"/>
      <c r="B72" s="358"/>
      <c r="C72" s="358"/>
      <c r="D72" s="358"/>
      <c r="E72" s="358"/>
      <c r="F72" s="358"/>
      <c r="G72" s="358"/>
      <c r="H72" s="358"/>
      <c r="I72" s="358"/>
      <c r="J72" s="358"/>
      <c r="K72" s="358"/>
      <c r="L72" s="358"/>
      <c r="M72" s="358"/>
      <c r="N72" s="358"/>
      <c r="O72" s="358"/>
      <c r="P72" s="358"/>
      <c r="Q72" s="358"/>
      <c r="R72" s="358"/>
      <c r="S72" s="358"/>
      <c r="T72" s="358"/>
      <c r="U72" s="358"/>
      <c r="V72" s="358"/>
      <c r="W72" s="358"/>
      <c r="X72" s="358"/>
      <c r="Y72" s="1"/>
      <c r="Z72" s="1"/>
      <c r="AA72" s="1"/>
      <c r="AB72" s="1"/>
      <c r="AC72" s="1"/>
      <c r="AD72" s="1"/>
      <c r="AE72" s="1"/>
      <c r="AF72" s="1"/>
      <c r="AG72" s="1"/>
      <c r="AH72" s="1"/>
      <c r="AI72" s="1"/>
      <c r="AJ72" s="1"/>
      <c r="AK72" s="1"/>
      <c r="AL72" s="1"/>
      <c r="AM72" s="1"/>
      <c r="AN72" s="1"/>
      <c r="AO72" s="1"/>
      <c r="AP72" s="1"/>
      <c r="AQ72" s="1"/>
      <c r="AR72" s="1"/>
      <c r="AS72" s="1"/>
      <c r="AT72" s="1"/>
      <c r="AU72" s="1"/>
      <c r="AV72" s="1"/>
      <c r="AW72" s="1"/>
    </row>
    <row r="73" spans="1:49" ht="13.5" customHeight="1">
      <c r="A73" s="1"/>
      <c r="B73" s="358"/>
      <c r="C73" s="358"/>
      <c r="D73" s="358"/>
      <c r="E73" s="358"/>
      <c r="F73" s="358"/>
      <c r="G73" s="358"/>
      <c r="H73" s="358"/>
      <c r="I73" s="358"/>
      <c r="J73" s="358"/>
      <c r="K73" s="358"/>
      <c r="L73" s="358"/>
      <c r="M73" s="358"/>
      <c r="N73" s="358"/>
      <c r="O73" s="358"/>
      <c r="P73" s="358"/>
      <c r="Q73" s="358"/>
      <c r="R73" s="358"/>
      <c r="S73" s="358"/>
      <c r="T73" s="358"/>
      <c r="U73" s="358"/>
      <c r="V73" s="358"/>
      <c r="W73" s="358"/>
      <c r="X73" s="358"/>
      <c r="Y73" s="1"/>
      <c r="Z73" s="1"/>
      <c r="AA73" s="1"/>
      <c r="AB73" s="1"/>
      <c r="AC73" s="1"/>
      <c r="AD73" s="1"/>
      <c r="AE73" s="1"/>
      <c r="AF73" s="1"/>
      <c r="AG73" s="1"/>
      <c r="AH73" s="1"/>
      <c r="AI73" s="1"/>
      <c r="AJ73" s="1"/>
      <c r="AK73" s="1"/>
      <c r="AL73" s="1"/>
      <c r="AM73" s="1"/>
      <c r="AN73" s="1"/>
      <c r="AO73" s="1"/>
      <c r="AP73" s="1"/>
      <c r="AQ73" s="1"/>
      <c r="AR73" s="1"/>
      <c r="AS73" s="1"/>
      <c r="AT73" s="1"/>
      <c r="AU73" s="1"/>
      <c r="AV73" s="1"/>
      <c r="AW73" s="1"/>
    </row>
    <row r="74" spans="1:49" ht="13.5" customHeight="1">
      <c r="A74" s="1"/>
      <c r="B74" s="358"/>
      <c r="C74" s="358"/>
      <c r="D74" s="358"/>
      <c r="E74" s="358"/>
      <c r="F74" s="358"/>
      <c r="G74" s="358"/>
      <c r="H74" s="358"/>
      <c r="I74" s="358"/>
      <c r="J74" s="358"/>
      <c r="K74" s="358"/>
      <c r="L74" s="358"/>
      <c r="M74" s="358"/>
      <c r="N74" s="358"/>
      <c r="O74" s="358"/>
      <c r="P74" s="358"/>
      <c r="Q74" s="358"/>
      <c r="R74" s="358"/>
      <c r="S74" s="358"/>
      <c r="T74" s="358"/>
      <c r="U74" s="358"/>
      <c r="V74" s="358"/>
      <c r="W74" s="358"/>
      <c r="X74" s="358"/>
      <c r="Y74" s="1"/>
      <c r="Z74" s="1"/>
      <c r="AA74" s="1"/>
      <c r="AB74" s="1"/>
      <c r="AC74" s="1"/>
      <c r="AD74" s="1"/>
      <c r="AE74" s="1"/>
      <c r="AF74" s="1"/>
      <c r="AG74" s="1"/>
      <c r="AH74" s="1"/>
      <c r="AI74" s="1"/>
      <c r="AJ74" s="1"/>
      <c r="AK74" s="1"/>
      <c r="AL74" s="1"/>
      <c r="AM74" s="1"/>
      <c r="AN74" s="1"/>
      <c r="AO74" s="1"/>
      <c r="AP74" s="1"/>
      <c r="AQ74" s="1"/>
      <c r="AR74" s="1"/>
      <c r="AS74" s="1"/>
      <c r="AT74" s="1"/>
      <c r="AU74" s="1"/>
      <c r="AV74" s="1"/>
      <c r="AW74" s="1"/>
    </row>
    <row r="75" spans="1:49" ht="13.5" customHeight="1">
      <c r="A75" s="1"/>
      <c r="B75" s="358"/>
      <c r="C75" s="358"/>
      <c r="D75" s="358"/>
      <c r="E75" s="358"/>
      <c r="F75" s="358"/>
      <c r="G75" s="358"/>
      <c r="H75" s="358"/>
      <c r="I75" s="358"/>
      <c r="J75" s="358"/>
      <c r="K75" s="358"/>
      <c r="L75" s="358"/>
      <c r="M75" s="358"/>
      <c r="N75" s="358"/>
      <c r="O75" s="358"/>
      <c r="P75" s="358"/>
      <c r="Q75" s="358"/>
      <c r="R75" s="358"/>
      <c r="S75" s="358"/>
      <c r="T75" s="358"/>
      <c r="U75" s="358"/>
      <c r="V75" s="358"/>
      <c r="W75" s="358"/>
      <c r="X75" s="358"/>
      <c r="Y75" s="1"/>
      <c r="Z75" s="1"/>
      <c r="AA75" s="1"/>
      <c r="AB75" s="1"/>
      <c r="AC75" s="1"/>
      <c r="AD75" s="1"/>
      <c r="AE75" s="1"/>
      <c r="AF75" s="1"/>
      <c r="AG75" s="1"/>
      <c r="AH75" s="1"/>
      <c r="AI75" s="1"/>
      <c r="AJ75" s="1"/>
      <c r="AK75" s="1"/>
      <c r="AL75" s="1"/>
      <c r="AM75" s="1"/>
      <c r="AN75" s="1"/>
      <c r="AO75" s="1"/>
      <c r="AP75" s="1"/>
      <c r="AQ75" s="1"/>
      <c r="AR75" s="1"/>
      <c r="AS75" s="1"/>
      <c r="AT75" s="1"/>
      <c r="AU75" s="1"/>
      <c r="AV75" s="1"/>
      <c r="AW75" s="1"/>
    </row>
    <row r="76" spans="1:49" ht="13.5" customHeight="1">
      <c r="A76" s="1"/>
      <c r="B76" s="358"/>
      <c r="C76" s="358"/>
      <c r="D76" s="358"/>
      <c r="E76" s="358"/>
      <c r="F76" s="358"/>
      <c r="G76" s="358"/>
      <c r="H76" s="358"/>
      <c r="I76" s="358"/>
      <c r="J76" s="358"/>
      <c r="K76" s="358"/>
      <c r="L76" s="358"/>
      <c r="M76" s="358"/>
      <c r="N76" s="358"/>
      <c r="O76" s="358"/>
      <c r="P76" s="358"/>
      <c r="Q76" s="358"/>
      <c r="R76" s="358"/>
      <c r="S76" s="358"/>
      <c r="T76" s="358"/>
      <c r="U76" s="358"/>
      <c r="V76" s="358"/>
      <c r="W76" s="358"/>
      <c r="X76" s="358"/>
      <c r="Y76" s="1"/>
      <c r="Z76" s="1"/>
      <c r="AA76" s="1"/>
      <c r="AB76" s="1"/>
      <c r="AC76" s="1"/>
      <c r="AD76" s="1"/>
      <c r="AE76" s="1"/>
      <c r="AF76" s="1"/>
      <c r="AG76" s="1"/>
      <c r="AH76" s="1"/>
      <c r="AI76" s="1"/>
      <c r="AJ76" s="1"/>
      <c r="AK76" s="1"/>
      <c r="AL76" s="1"/>
      <c r="AM76" s="1"/>
      <c r="AN76" s="1"/>
      <c r="AO76" s="1"/>
      <c r="AP76" s="1"/>
      <c r="AQ76" s="1"/>
      <c r="AR76" s="1"/>
      <c r="AS76" s="1"/>
      <c r="AT76" s="1"/>
      <c r="AU76" s="1"/>
      <c r="AV76" s="1"/>
      <c r="AW76" s="1"/>
    </row>
    <row r="77" spans="1:49" ht="13.5" customHeight="1">
      <c r="A77" s="1"/>
      <c r="B77" s="358"/>
      <c r="C77" s="358"/>
      <c r="D77" s="358"/>
      <c r="E77" s="358"/>
      <c r="F77" s="358"/>
      <c r="G77" s="358"/>
      <c r="H77" s="358"/>
      <c r="I77" s="358"/>
      <c r="J77" s="358"/>
      <c r="K77" s="358"/>
      <c r="L77" s="358"/>
      <c r="M77" s="358"/>
      <c r="N77" s="358"/>
      <c r="O77" s="358"/>
      <c r="P77" s="358"/>
      <c r="Q77" s="358"/>
      <c r="R77" s="358"/>
      <c r="S77" s="358"/>
      <c r="T77" s="358"/>
      <c r="U77" s="358"/>
      <c r="V77" s="358"/>
      <c r="W77" s="358"/>
      <c r="X77" s="358"/>
      <c r="Y77" s="1"/>
      <c r="Z77" s="1"/>
      <c r="AA77" s="1"/>
      <c r="AB77" s="1"/>
      <c r="AC77" s="1"/>
      <c r="AD77" s="1"/>
      <c r="AE77" s="1"/>
      <c r="AF77" s="1"/>
      <c r="AG77" s="1"/>
      <c r="AH77" s="1"/>
      <c r="AI77" s="1"/>
      <c r="AJ77" s="1"/>
      <c r="AK77" s="1"/>
      <c r="AL77" s="1"/>
      <c r="AM77" s="1"/>
      <c r="AN77" s="1"/>
      <c r="AO77" s="1"/>
      <c r="AP77" s="1"/>
      <c r="AQ77" s="1"/>
      <c r="AR77" s="1"/>
      <c r="AS77" s="1"/>
      <c r="AT77" s="1"/>
      <c r="AU77" s="1"/>
      <c r="AV77" s="1"/>
      <c r="AW77" s="1"/>
    </row>
    <row r="78" spans="1:49" ht="13.5" customHeight="1">
      <c r="A78" s="1"/>
      <c r="B78" s="358"/>
      <c r="C78" s="358"/>
      <c r="D78" s="358"/>
      <c r="E78" s="358"/>
      <c r="F78" s="358"/>
      <c r="G78" s="358"/>
      <c r="H78" s="358"/>
      <c r="I78" s="358"/>
      <c r="J78" s="358"/>
      <c r="K78" s="358"/>
      <c r="L78" s="358"/>
      <c r="M78" s="358"/>
      <c r="N78" s="358"/>
      <c r="O78" s="358"/>
      <c r="P78" s="358"/>
      <c r="Q78" s="358"/>
      <c r="R78" s="358"/>
      <c r="S78" s="358"/>
      <c r="T78" s="358"/>
      <c r="U78" s="358"/>
      <c r="V78" s="358"/>
      <c r="W78" s="358"/>
      <c r="X78" s="358"/>
      <c r="Y78" s="1"/>
      <c r="Z78" s="1"/>
      <c r="AA78" s="1"/>
      <c r="AB78" s="1"/>
      <c r="AC78" s="1"/>
      <c r="AD78" s="1"/>
      <c r="AE78" s="1"/>
      <c r="AF78" s="1"/>
      <c r="AG78" s="1"/>
      <c r="AH78" s="1"/>
      <c r="AI78" s="1"/>
      <c r="AJ78" s="1"/>
      <c r="AK78" s="1"/>
      <c r="AL78" s="1"/>
      <c r="AM78" s="1"/>
      <c r="AN78" s="1"/>
      <c r="AO78" s="1"/>
      <c r="AP78" s="1"/>
      <c r="AQ78" s="1"/>
      <c r="AR78" s="1"/>
      <c r="AS78" s="1"/>
      <c r="AT78" s="1"/>
      <c r="AU78" s="1"/>
      <c r="AV78" s="1"/>
      <c r="AW78" s="1"/>
    </row>
    <row r="79" spans="1:49" ht="13.5" customHeight="1">
      <c r="A79" s="1"/>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1"/>
      <c r="Z79" s="1"/>
      <c r="AA79" s="1"/>
      <c r="AB79" s="1"/>
      <c r="AC79" s="1"/>
      <c r="AD79" s="1"/>
      <c r="AE79" s="1"/>
      <c r="AF79" s="1"/>
      <c r="AG79" s="1"/>
      <c r="AH79" s="1"/>
      <c r="AI79" s="1"/>
      <c r="AJ79" s="1"/>
      <c r="AK79" s="1"/>
      <c r="AL79" s="1"/>
      <c r="AM79" s="1"/>
      <c r="AN79" s="1"/>
      <c r="AO79" s="1"/>
      <c r="AP79" s="1"/>
      <c r="AQ79" s="1"/>
      <c r="AR79" s="1"/>
      <c r="AS79" s="1"/>
      <c r="AT79" s="1"/>
      <c r="AU79" s="1"/>
      <c r="AV79" s="1"/>
      <c r="AW79" s="1"/>
    </row>
    <row r="80" spans="1:49" ht="13.5" customHeight="1">
      <c r="A80" s="1"/>
      <c r="B80" s="358"/>
      <c r="C80" s="358"/>
      <c r="D80" s="358"/>
      <c r="E80" s="358"/>
      <c r="F80" s="358"/>
      <c r="G80" s="358"/>
      <c r="H80" s="358"/>
      <c r="I80" s="358"/>
      <c r="J80" s="358"/>
      <c r="K80" s="358"/>
      <c r="L80" s="358"/>
      <c r="M80" s="358"/>
      <c r="N80" s="358"/>
      <c r="O80" s="358"/>
      <c r="P80" s="358"/>
      <c r="Q80" s="358"/>
      <c r="R80" s="358"/>
      <c r="S80" s="358"/>
      <c r="T80" s="358"/>
      <c r="U80" s="358"/>
      <c r="V80" s="358"/>
      <c r="W80" s="358"/>
      <c r="X80" s="358"/>
      <c r="Y80" s="1"/>
      <c r="Z80" s="1"/>
      <c r="AA80" s="1"/>
      <c r="AB80" s="1"/>
      <c r="AC80" s="1"/>
      <c r="AD80" s="1"/>
      <c r="AE80" s="1"/>
      <c r="AF80" s="1"/>
      <c r="AG80" s="1"/>
      <c r="AH80" s="1"/>
      <c r="AI80" s="1"/>
      <c r="AJ80" s="1"/>
      <c r="AK80" s="1"/>
      <c r="AL80" s="1"/>
      <c r="AM80" s="1"/>
      <c r="AN80" s="1"/>
      <c r="AO80" s="1"/>
      <c r="AP80" s="1"/>
      <c r="AQ80" s="1"/>
      <c r="AR80" s="1"/>
      <c r="AS80" s="1"/>
      <c r="AT80" s="1"/>
      <c r="AU80" s="1"/>
      <c r="AV80" s="1"/>
      <c r="AW80" s="1"/>
    </row>
    <row r="81" spans="1:49" ht="13.5" customHeight="1">
      <c r="A81" s="1"/>
      <c r="B81" s="358"/>
      <c r="C81" s="358"/>
      <c r="D81" s="358"/>
      <c r="E81" s="358"/>
      <c r="F81" s="358"/>
      <c r="G81" s="358"/>
      <c r="H81" s="358"/>
      <c r="I81" s="358"/>
      <c r="J81" s="358"/>
      <c r="K81" s="358"/>
      <c r="L81" s="358"/>
      <c r="M81" s="358"/>
      <c r="N81" s="358"/>
      <c r="O81" s="358"/>
      <c r="P81" s="358"/>
      <c r="Q81" s="358"/>
      <c r="R81" s="358"/>
      <c r="S81" s="358"/>
      <c r="T81" s="358"/>
      <c r="U81" s="358"/>
      <c r="V81" s="358"/>
      <c r="W81" s="358"/>
      <c r="X81" s="358"/>
      <c r="Y81" s="1"/>
      <c r="Z81" s="1"/>
      <c r="AA81" s="1"/>
      <c r="AB81" s="1"/>
      <c r="AC81" s="1"/>
      <c r="AD81" s="1"/>
      <c r="AE81" s="1"/>
      <c r="AF81" s="1"/>
      <c r="AG81" s="1"/>
      <c r="AH81" s="1"/>
      <c r="AI81" s="1"/>
      <c r="AJ81" s="1"/>
      <c r="AK81" s="1"/>
      <c r="AL81" s="1"/>
      <c r="AM81" s="1"/>
      <c r="AN81" s="1"/>
      <c r="AO81" s="1"/>
      <c r="AP81" s="1"/>
      <c r="AQ81" s="1"/>
      <c r="AR81" s="1"/>
      <c r="AS81" s="1"/>
      <c r="AT81" s="1"/>
      <c r="AU81" s="1"/>
      <c r="AV81" s="1"/>
      <c r="AW81" s="1"/>
    </row>
    <row r="82" spans="1:49" ht="13.5" customHeight="1">
      <c r="A82" s="1"/>
      <c r="B82" s="358"/>
      <c r="C82" s="358"/>
      <c r="D82" s="358"/>
      <c r="E82" s="358"/>
      <c r="F82" s="358"/>
      <c r="G82" s="358"/>
      <c r="H82" s="358"/>
      <c r="I82" s="358"/>
      <c r="J82" s="358"/>
      <c r="K82" s="358"/>
      <c r="L82" s="358"/>
      <c r="M82" s="358"/>
      <c r="N82" s="358"/>
      <c r="O82" s="358"/>
      <c r="P82" s="358"/>
      <c r="Q82" s="358"/>
      <c r="R82" s="358"/>
      <c r="S82" s="358"/>
      <c r="T82" s="358"/>
      <c r="U82" s="358"/>
      <c r="V82" s="358"/>
      <c r="W82" s="358"/>
      <c r="X82" s="358"/>
      <c r="Y82" s="1"/>
      <c r="Z82" s="1"/>
      <c r="AA82" s="1"/>
      <c r="AB82" s="1"/>
      <c r="AC82" s="1"/>
      <c r="AD82" s="1"/>
      <c r="AE82" s="1"/>
      <c r="AF82" s="1"/>
      <c r="AG82" s="1"/>
      <c r="AH82" s="1"/>
      <c r="AI82" s="1"/>
      <c r="AJ82" s="1"/>
      <c r="AK82" s="1"/>
      <c r="AL82" s="1"/>
      <c r="AM82" s="1"/>
      <c r="AN82" s="1"/>
      <c r="AO82" s="1"/>
      <c r="AP82" s="1"/>
      <c r="AQ82" s="1"/>
      <c r="AR82" s="1"/>
      <c r="AS82" s="1"/>
      <c r="AT82" s="1"/>
      <c r="AU82" s="1"/>
      <c r="AV82" s="1"/>
      <c r="AW82" s="1"/>
    </row>
    <row r="83" spans="1:49" ht="13.5" customHeight="1">
      <c r="A83" s="1"/>
      <c r="B83" s="358"/>
      <c r="C83" s="358"/>
      <c r="D83" s="358"/>
      <c r="E83" s="358"/>
      <c r="F83" s="358"/>
      <c r="G83" s="358"/>
      <c r="H83" s="358"/>
      <c r="I83" s="358"/>
      <c r="J83" s="358"/>
      <c r="K83" s="358"/>
      <c r="L83" s="358"/>
      <c r="M83" s="358"/>
      <c r="N83" s="358"/>
      <c r="O83" s="358"/>
      <c r="P83" s="358"/>
      <c r="Q83" s="358"/>
      <c r="R83" s="358"/>
      <c r="S83" s="358"/>
      <c r="T83" s="358"/>
      <c r="U83" s="358"/>
      <c r="V83" s="358"/>
      <c r="W83" s="358"/>
      <c r="X83" s="358"/>
      <c r="Y83" s="1"/>
      <c r="Z83" s="1"/>
      <c r="AA83" s="1"/>
      <c r="AB83" s="1"/>
      <c r="AC83" s="1"/>
      <c r="AD83" s="1"/>
      <c r="AE83" s="1"/>
      <c r="AF83" s="1"/>
      <c r="AG83" s="1"/>
      <c r="AH83" s="1"/>
      <c r="AI83" s="1"/>
      <c r="AJ83" s="1"/>
      <c r="AK83" s="1"/>
      <c r="AL83" s="1"/>
      <c r="AM83" s="1"/>
      <c r="AN83" s="1"/>
      <c r="AO83" s="1"/>
      <c r="AP83" s="1"/>
      <c r="AQ83" s="1"/>
      <c r="AR83" s="1"/>
      <c r="AS83" s="1"/>
      <c r="AT83" s="1"/>
      <c r="AU83" s="1"/>
      <c r="AV83" s="1"/>
      <c r="AW83" s="1"/>
    </row>
    <row r="84" spans="1:49" ht="13.5" customHeight="1">
      <c r="A84" s="1"/>
      <c r="B84" s="358"/>
      <c r="C84" s="358"/>
      <c r="D84" s="358"/>
      <c r="E84" s="358"/>
      <c r="F84" s="358"/>
      <c r="G84" s="358"/>
      <c r="H84" s="358"/>
      <c r="I84" s="358"/>
      <c r="J84" s="358"/>
      <c r="K84" s="358"/>
      <c r="L84" s="358"/>
      <c r="M84" s="358"/>
      <c r="N84" s="358"/>
      <c r="O84" s="358"/>
      <c r="P84" s="358"/>
      <c r="Q84" s="358"/>
      <c r="R84" s="358"/>
      <c r="S84" s="358"/>
      <c r="T84" s="358"/>
      <c r="U84" s="358"/>
      <c r="V84" s="358"/>
      <c r="W84" s="358"/>
      <c r="X84" s="358"/>
      <c r="Y84" s="1"/>
      <c r="Z84" s="1"/>
      <c r="AA84" s="1"/>
      <c r="AB84" s="1"/>
      <c r="AC84" s="1"/>
      <c r="AD84" s="1"/>
      <c r="AE84" s="1"/>
      <c r="AF84" s="1"/>
      <c r="AG84" s="1"/>
      <c r="AH84" s="1"/>
      <c r="AI84" s="1"/>
      <c r="AJ84" s="1"/>
      <c r="AK84" s="1"/>
      <c r="AL84" s="1"/>
      <c r="AM84" s="1"/>
      <c r="AN84" s="1"/>
      <c r="AO84" s="1"/>
      <c r="AP84" s="1"/>
      <c r="AQ84" s="1"/>
      <c r="AR84" s="1"/>
      <c r="AS84" s="1"/>
      <c r="AT84" s="1"/>
      <c r="AU84" s="1"/>
      <c r="AV84" s="1"/>
      <c r="AW84" s="1"/>
    </row>
    <row r="85" spans="1:49" ht="13.5" customHeight="1">
      <c r="A85" s="1"/>
      <c r="B85" s="358"/>
      <c r="C85" s="358"/>
      <c r="D85" s="358"/>
      <c r="E85" s="358"/>
      <c r="F85" s="358"/>
      <c r="G85" s="358"/>
      <c r="H85" s="358"/>
      <c r="I85" s="358"/>
      <c r="J85" s="358"/>
      <c r="K85" s="358"/>
      <c r="L85" s="358"/>
      <c r="M85" s="358"/>
      <c r="N85" s="358"/>
      <c r="O85" s="358"/>
      <c r="P85" s="358"/>
      <c r="Q85" s="358"/>
      <c r="R85" s="358"/>
      <c r="S85" s="358"/>
      <c r="T85" s="358"/>
      <c r="U85" s="358"/>
      <c r="V85" s="358"/>
      <c r="W85" s="358"/>
      <c r="X85" s="358"/>
      <c r="Y85" s="1"/>
      <c r="Z85" s="1"/>
      <c r="AA85" s="1"/>
      <c r="AB85" s="1"/>
      <c r="AC85" s="1"/>
      <c r="AD85" s="1"/>
      <c r="AE85" s="1"/>
      <c r="AF85" s="1"/>
      <c r="AG85" s="1"/>
      <c r="AH85" s="1"/>
      <c r="AI85" s="1"/>
      <c r="AJ85" s="1"/>
      <c r="AK85" s="1"/>
      <c r="AL85" s="1"/>
      <c r="AM85" s="1"/>
      <c r="AN85" s="1"/>
      <c r="AO85" s="1"/>
      <c r="AP85" s="1"/>
      <c r="AQ85" s="1"/>
      <c r="AR85" s="1"/>
      <c r="AS85" s="1"/>
      <c r="AT85" s="1"/>
      <c r="AU85" s="1"/>
      <c r="AV85" s="1"/>
      <c r="AW85" s="1"/>
    </row>
    <row r="86" spans="1:49" ht="13.5" customHeight="1">
      <c r="A86" s="1"/>
      <c r="B86" s="358"/>
      <c r="C86" s="358"/>
      <c r="D86" s="358"/>
      <c r="E86" s="358"/>
      <c r="F86" s="358"/>
      <c r="G86" s="358"/>
      <c r="H86" s="358"/>
      <c r="I86" s="358"/>
      <c r="J86" s="358"/>
      <c r="K86" s="358"/>
      <c r="L86" s="358"/>
      <c r="M86" s="358"/>
      <c r="N86" s="358"/>
      <c r="O86" s="358"/>
      <c r="P86" s="358"/>
      <c r="Q86" s="358"/>
      <c r="R86" s="358"/>
      <c r="S86" s="358"/>
      <c r="T86" s="358"/>
      <c r="U86" s="358"/>
      <c r="V86" s="358"/>
      <c r="W86" s="358"/>
      <c r="X86" s="358"/>
      <c r="Y86" s="1"/>
      <c r="Z86" s="1"/>
      <c r="AA86" s="1"/>
      <c r="AB86" s="1"/>
      <c r="AC86" s="1"/>
      <c r="AD86" s="1"/>
      <c r="AE86" s="1"/>
      <c r="AF86" s="1"/>
      <c r="AG86" s="1"/>
      <c r="AH86" s="1"/>
      <c r="AI86" s="1"/>
      <c r="AJ86" s="1"/>
      <c r="AK86" s="1"/>
      <c r="AL86" s="1"/>
      <c r="AM86" s="1"/>
      <c r="AN86" s="1"/>
      <c r="AO86" s="1"/>
      <c r="AP86" s="1"/>
      <c r="AQ86" s="1"/>
      <c r="AR86" s="1"/>
      <c r="AS86" s="1"/>
      <c r="AT86" s="1"/>
      <c r="AU86" s="1"/>
      <c r="AV86" s="1"/>
      <c r="AW86" s="1"/>
    </row>
    <row r="87" spans="1:49" ht="13.5" customHeight="1">
      <c r="A87" s="1"/>
      <c r="B87" s="358"/>
      <c r="C87" s="358"/>
      <c r="D87" s="358"/>
      <c r="E87" s="358"/>
      <c r="F87" s="358"/>
      <c r="G87" s="358"/>
      <c r="H87" s="358"/>
      <c r="I87" s="358"/>
      <c r="J87" s="358"/>
      <c r="K87" s="358"/>
      <c r="L87" s="358"/>
      <c r="M87" s="358"/>
      <c r="N87" s="358"/>
      <c r="O87" s="358"/>
      <c r="P87" s="358"/>
      <c r="Q87" s="358"/>
      <c r="R87" s="358"/>
      <c r="S87" s="358"/>
      <c r="T87" s="358"/>
      <c r="U87" s="358"/>
      <c r="V87" s="358"/>
      <c r="W87" s="358"/>
      <c r="X87" s="358"/>
      <c r="Y87" s="1"/>
      <c r="Z87" s="1"/>
      <c r="AA87" s="1"/>
      <c r="AB87" s="1"/>
      <c r="AC87" s="1"/>
      <c r="AD87" s="1"/>
      <c r="AE87" s="1"/>
      <c r="AF87" s="1"/>
      <c r="AG87" s="1"/>
      <c r="AH87" s="1"/>
      <c r="AI87" s="1"/>
      <c r="AJ87" s="1"/>
      <c r="AK87" s="1"/>
      <c r="AL87" s="1"/>
      <c r="AM87" s="1"/>
      <c r="AN87" s="1"/>
      <c r="AO87" s="1"/>
      <c r="AP87" s="1"/>
      <c r="AQ87" s="1"/>
      <c r="AR87" s="1"/>
      <c r="AS87" s="1"/>
      <c r="AT87" s="1"/>
      <c r="AU87" s="1"/>
      <c r="AV87" s="1"/>
      <c r="AW87" s="1"/>
    </row>
    <row r="88" spans="1:49" ht="13.5" customHeight="1">
      <c r="A88" s="1"/>
      <c r="B88" s="358"/>
      <c r="C88" s="358"/>
      <c r="D88" s="358"/>
      <c r="E88" s="358"/>
      <c r="F88" s="358"/>
      <c r="G88" s="358"/>
      <c r="H88" s="358"/>
      <c r="I88" s="358"/>
      <c r="J88" s="358"/>
      <c r="K88" s="358"/>
      <c r="L88" s="358"/>
      <c r="M88" s="358"/>
      <c r="N88" s="358"/>
      <c r="O88" s="358"/>
      <c r="P88" s="358"/>
      <c r="Q88" s="358"/>
      <c r="R88" s="358"/>
      <c r="S88" s="358"/>
      <c r="T88" s="358"/>
      <c r="U88" s="358"/>
      <c r="V88" s="358"/>
      <c r="W88" s="358"/>
      <c r="X88" s="358"/>
      <c r="Y88" s="1"/>
      <c r="Z88" s="1"/>
      <c r="AA88" s="1"/>
      <c r="AB88" s="1"/>
      <c r="AC88" s="1"/>
      <c r="AD88" s="1"/>
      <c r="AE88" s="1"/>
      <c r="AF88" s="1"/>
      <c r="AG88" s="1"/>
      <c r="AH88" s="1"/>
      <c r="AI88" s="1"/>
      <c r="AJ88" s="1"/>
      <c r="AK88" s="1"/>
      <c r="AL88" s="1"/>
      <c r="AM88" s="1"/>
      <c r="AN88" s="1"/>
      <c r="AO88" s="1"/>
      <c r="AP88" s="1"/>
      <c r="AQ88" s="1"/>
      <c r="AR88" s="1"/>
      <c r="AS88" s="1"/>
      <c r="AT88" s="1"/>
      <c r="AU88" s="1"/>
      <c r="AV88" s="1"/>
      <c r="AW88" s="1"/>
    </row>
    <row r="89" spans="1:49" ht="13.5" customHeight="1">
      <c r="A89" s="1"/>
      <c r="B89" s="358"/>
      <c r="C89" s="358"/>
      <c r="D89" s="358"/>
      <c r="E89" s="358"/>
      <c r="F89" s="358"/>
      <c r="G89" s="358"/>
      <c r="H89" s="358"/>
      <c r="I89" s="358"/>
      <c r="J89" s="358"/>
      <c r="K89" s="358"/>
      <c r="L89" s="358"/>
      <c r="M89" s="358"/>
      <c r="N89" s="358"/>
      <c r="O89" s="358"/>
      <c r="P89" s="358"/>
      <c r="Q89" s="358"/>
      <c r="R89" s="358"/>
      <c r="S89" s="358"/>
      <c r="T89" s="358"/>
      <c r="U89" s="358"/>
      <c r="V89" s="358"/>
      <c r="W89" s="358"/>
      <c r="X89" s="358"/>
      <c r="Y89" s="1"/>
      <c r="Z89" s="1"/>
      <c r="AA89" s="1"/>
      <c r="AB89" s="1"/>
      <c r="AC89" s="1"/>
      <c r="AD89" s="1"/>
      <c r="AE89" s="1"/>
      <c r="AF89" s="1"/>
      <c r="AG89" s="1"/>
      <c r="AH89" s="1"/>
      <c r="AI89" s="1"/>
      <c r="AJ89" s="1"/>
      <c r="AK89" s="1"/>
      <c r="AL89" s="1"/>
      <c r="AM89" s="1"/>
      <c r="AN89" s="1"/>
      <c r="AO89" s="1"/>
      <c r="AP89" s="1"/>
      <c r="AQ89" s="1"/>
      <c r="AR89" s="1"/>
      <c r="AS89" s="1"/>
      <c r="AT89" s="1"/>
      <c r="AU89" s="1"/>
      <c r="AV89" s="1"/>
      <c r="AW89" s="1"/>
    </row>
    <row r="90" spans="1:49" ht="13.5" customHeight="1">
      <c r="A90" s="1"/>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1"/>
      <c r="Z90" s="1"/>
      <c r="AA90" s="1"/>
      <c r="AB90" s="1"/>
      <c r="AC90" s="1"/>
      <c r="AD90" s="1"/>
      <c r="AE90" s="1"/>
      <c r="AF90" s="1"/>
      <c r="AG90" s="1"/>
      <c r="AH90" s="1"/>
      <c r="AI90" s="1"/>
      <c r="AJ90" s="1"/>
      <c r="AK90" s="1"/>
      <c r="AL90" s="1"/>
      <c r="AM90" s="1"/>
      <c r="AN90" s="1"/>
      <c r="AO90" s="1"/>
      <c r="AP90" s="1"/>
      <c r="AQ90" s="1"/>
      <c r="AR90" s="1"/>
      <c r="AS90" s="1"/>
      <c r="AT90" s="1"/>
      <c r="AU90" s="1"/>
      <c r="AV90" s="1"/>
      <c r="AW90" s="1"/>
    </row>
    <row r="91" spans="1:49" ht="13.5" customHeight="1">
      <c r="A91" s="1"/>
      <c r="B91" s="358"/>
      <c r="C91" s="358"/>
      <c r="D91" s="358"/>
      <c r="E91" s="358"/>
      <c r="F91" s="358"/>
      <c r="G91" s="358"/>
      <c r="H91" s="358"/>
      <c r="I91" s="358"/>
      <c r="J91" s="358"/>
      <c r="K91" s="358"/>
      <c r="L91" s="358"/>
      <c r="M91" s="358"/>
      <c r="N91" s="358"/>
      <c r="O91" s="358"/>
      <c r="P91" s="358"/>
      <c r="Q91" s="358"/>
      <c r="R91" s="358"/>
      <c r="S91" s="358"/>
      <c r="T91" s="358"/>
      <c r="U91" s="358"/>
      <c r="V91" s="358"/>
      <c r="W91" s="358"/>
      <c r="X91" s="358"/>
      <c r="Y91" s="1"/>
      <c r="Z91" s="1"/>
      <c r="AA91" s="1"/>
      <c r="AB91" s="1"/>
      <c r="AC91" s="1"/>
      <c r="AD91" s="1"/>
      <c r="AE91" s="1"/>
      <c r="AF91" s="1"/>
      <c r="AG91" s="1"/>
      <c r="AH91" s="1"/>
      <c r="AI91" s="1"/>
      <c r="AJ91" s="1"/>
      <c r="AK91" s="1"/>
      <c r="AL91" s="1"/>
      <c r="AM91" s="1"/>
      <c r="AN91" s="1"/>
      <c r="AO91" s="1"/>
      <c r="AP91" s="1"/>
      <c r="AQ91" s="1"/>
      <c r="AR91" s="1"/>
      <c r="AS91" s="1"/>
      <c r="AT91" s="1"/>
      <c r="AU91" s="1"/>
      <c r="AV91" s="1"/>
      <c r="AW91" s="1"/>
    </row>
    <row r="92" spans="1:49" ht="13.5" customHeight="1">
      <c r="A92" s="1"/>
      <c r="B92" s="358"/>
      <c r="C92" s="358"/>
      <c r="D92" s="358"/>
      <c r="E92" s="358"/>
      <c r="F92" s="358"/>
      <c r="G92" s="358"/>
      <c r="H92" s="358"/>
      <c r="I92" s="358"/>
      <c r="J92" s="358"/>
      <c r="K92" s="358"/>
      <c r="L92" s="358"/>
      <c r="M92" s="358"/>
      <c r="N92" s="358"/>
      <c r="O92" s="358"/>
      <c r="P92" s="358"/>
      <c r="Q92" s="358"/>
      <c r="R92" s="358"/>
      <c r="S92" s="358"/>
      <c r="T92" s="358"/>
      <c r="U92" s="358"/>
      <c r="V92" s="358"/>
      <c r="W92" s="358"/>
      <c r="X92" s="358"/>
      <c r="Y92" s="1"/>
      <c r="Z92" s="1"/>
      <c r="AA92" s="1"/>
      <c r="AB92" s="1"/>
      <c r="AC92" s="1"/>
      <c r="AD92" s="1"/>
      <c r="AE92" s="1"/>
      <c r="AF92" s="1"/>
      <c r="AG92" s="1"/>
      <c r="AH92" s="1"/>
      <c r="AI92" s="1"/>
      <c r="AJ92" s="1"/>
      <c r="AK92" s="1"/>
      <c r="AL92" s="1"/>
      <c r="AM92" s="1"/>
      <c r="AN92" s="1"/>
      <c r="AO92" s="1"/>
      <c r="AP92" s="1"/>
      <c r="AQ92" s="1"/>
      <c r="AR92" s="1"/>
      <c r="AS92" s="1"/>
      <c r="AT92" s="1"/>
      <c r="AU92" s="1"/>
      <c r="AV92" s="1"/>
      <c r="AW92" s="1"/>
    </row>
    <row r="93" spans="1:49" ht="13.5" customHeight="1">
      <c r="A93" s="1"/>
      <c r="B93" s="358"/>
      <c r="C93" s="358"/>
      <c r="D93" s="358"/>
      <c r="E93" s="358"/>
      <c r="F93" s="358"/>
      <c r="G93" s="358"/>
      <c r="H93" s="358"/>
      <c r="I93" s="358"/>
      <c r="J93" s="358"/>
      <c r="K93" s="358"/>
      <c r="L93" s="358"/>
      <c r="M93" s="358"/>
      <c r="N93" s="358"/>
      <c r="O93" s="358"/>
      <c r="P93" s="358"/>
      <c r="Q93" s="358"/>
      <c r="R93" s="358"/>
      <c r="S93" s="358"/>
      <c r="T93" s="358"/>
      <c r="U93" s="358"/>
      <c r="V93" s="358"/>
      <c r="W93" s="358"/>
      <c r="X93" s="358"/>
      <c r="Y93" s="1"/>
      <c r="Z93" s="1"/>
      <c r="AA93" s="1"/>
      <c r="AB93" s="1"/>
      <c r="AC93" s="1"/>
      <c r="AD93" s="1"/>
      <c r="AE93" s="1"/>
      <c r="AF93" s="1"/>
      <c r="AG93" s="1"/>
      <c r="AH93" s="1"/>
      <c r="AI93" s="1"/>
      <c r="AJ93" s="1"/>
      <c r="AK93" s="1"/>
      <c r="AL93" s="1"/>
      <c r="AM93" s="1"/>
      <c r="AN93" s="1"/>
      <c r="AO93" s="1"/>
      <c r="AP93" s="1"/>
      <c r="AQ93" s="1"/>
      <c r="AR93" s="1"/>
      <c r="AS93" s="1"/>
      <c r="AT93" s="1"/>
      <c r="AU93" s="1"/>
      <c r="AV93" s="1"/>
      <c r="AW93" s="1"/>
    </row>
    <row r="94" spans="1:49" ht="13.5" customHeight="1">
      <c r="A94" s="1"/>
      <c r="B94" s="358"/>
      <c r="C94" s="358"/>
      <c r="D94" s="358"/>
      <c r="E94" s="358"/>
      <c r="F94" s="358"/>
      <c r="G94" s="358"/>
      <c r="H94" s="358"/>
      <c r="I94" s="358"/>
      <c r="J94" s="358"/>
      <c r="K94" s="358"/>
      <c r="L94" s="358"/>
      <c r="M94" s="358"/>
      <c r="N94" s="358"/>
      <c r="O94" s="358"/>
      <c r="P94" s="358"/>
      <c r="Q94" s="358"/>
      <c r="R94" s="358"/>
      <c r="S94" s="358"/>
      <c r="T94" s="358"/>
      <c r="U94" s="358"/>
      <c r="V94" s="358"/>
      <c r="W94" s="358"/>
      <c r="X94" s="358"/>
      <c r="Y94" s="1"/>
      <c r="Z94" s="1"/>
      <c r="AA94" s="1"/>
      <c r="AB94" s="1"/>
      <c r="AC94" s="1"/>
      <c r="AD94" s="1"/>
      <c r="AE94" s="1"/>
      <c r="AF94" s="1"/>
      <c r="AG94" s="1"/>
      <c r="AH94" s="1"/>
      <c r="AI94" s="1"/>
      <c r="AJ94" s="1"/>
      <c r="AK94" s="1"/>
      <c r="AL94" s="1"/>
      <c r="AM94" s="1"/>
      <c r="AN94" s="1"/>
      <c r="AO94" s="1"/>
      <c r="AP94" s="1"/>
      <c r="AQ94" s="1"/>
      <c r="AR94" s="1"/>
      <c r="AS94" s="1"/>
      <c r="AT94" s="1"/>
      <c r="AU94" s="1"/>
      <c r="AV94" s="1"/>
      <c r="AW94" s="1"/>
    </row>
    <row r="95" spans="1:49" ht="13.5" customHeight="1">
      <c r="A95" s="1"/>
      <c r="B95" s="358"/>
      <c r="C95" s="358"/>
      <c r="D95" s="358"/>
      <c r="E95" s="358"/>
      <c r="F95" s="358"/>
      <c r="G95" s="358"/>
      <c r="H95" s="358"/>
      <c r="I95" s="358"/>
      <c r="J95" s="358"/>
      <c r="K95" s="358"/>
      <c r="L95" s="358"/>
      <c r="M95" s="358"/>
      <c r="N95" s="358"/>
      <c r="O95" s="358"/>
      <c r="P95" s="358"/>
      <c r="Q95" s="358"/>
      <c r="R95" s="358"/>
      <c r="S95" s="358"/>
      <c r="T95" s="358"/>
      <c r="U95" s="358"/>
      <c r="V95" s="358"/>
      <c r="W95" s="358"/>
      <c r="X95" s="358"/>
      <c r="Y95" s="1"/>
      <c r="Z95" s="1"/>
      <c r="AA95" s="1"/>
      <c r="AB95" s="1"/>
      <c r="AC95" s="1"/>
      <c r="AD95" s="1"/>
      <c r="AE95" s="1"/>
      <c r="AF95" s="1"/>
      <c r="AG95" s="1"/>
      <c r="AH95" s="1"/>
      <c r="AI95" s="1"/>
      <c r="AJ95" s="1"/>
      <c r="AK95" s="1"/>
      <c r="AL95" s="1"/>
      <c r="AM95" s="1"/>
      <c r="AN95" s="1"/>
      <c r="AO95" s="1"/>
      <c r="AP95" s="1"/>
      <c r="AQ95" s="1"/>
      <c r="AR95" s="1"/>
      <c r="AS95" s="1"/>
      <c r="AT95" s="1"/>
      <c r="AU95" s="1"/>
      <c r="AV95" s="1"/>
      <c r="AW95" s="1"/>
    </row>
    <row r="96" spans="1:49" ht="13.5" customHeight="1">
      <c r="A96" s="1"/>
      <c r="B96" s="358"/>
      <c r="C96" s="358"/>
      <c r="D96" s="358"/>
      <c r="E96" s="358"/>
      <c r="F96" s="358"/>
      <c r="G96" s="358"/>
      <c r="H96" s="358"/>
      <c r="I96" s="358"/>
      <c r="J96" s="358"/>
      <c r="K96" s="358"/>
      <c r="L96" s="358"/>
      <c r="M96" s="358"/>
      <c r="N96" s="358"/>
      <c r="O96" s="358"/>
      <c r="P96" s="358"/>
      <c r="Q96" s="358"/>
      <c r="R96" s="358"/>
      <c r="S96" s="358"/>
      <c r="T96" s="358"/>
      <c r="U96" s="358"/>
      <c r="V96" s="358"/>
      <c r="W96" s="358"/>
      <c r="X96" s="358"/>
      <c r="Y96" s="1"/>
      <c r="Z96" s="1"/>
      <c r="AA96" s="1"/>
      <c r="AB96" s="1"/>
      <c r="AC96" s="1"/>
      <c r="AD96" s="1"/>
      <c r="AE96" s="1"/>
      <c r="AF96" s="1"/>
      <c r="AG96" s="1"/>
      <c r="AH96" s="1"/>
      <c r="AI96" s="1"/>
      <c r="AJ96" s="1"/>
      <c r="AK96" s="1"/>
      <c r="AL96" s="1"/>
      <c r="AM96" s="1"/>
      <c r="AN96" s="1"/>
      <c r="AO96" s="1"/>
      <c r="AP96" s="1"/>
      <c r="AQ96" s="1"/>
      <c r="AR96" s="1"/>
      <c r="AS96" s="1"/>
      <c r="AT96" s="1"/>
      <c r="AU96" s="1"/>
      <c r="AV96" s="1"/>
      <c r="AW96" s="1"/>
    </row>
    <row r="97" spans="1:49" ht="13.5" customHeight="1">
      <c r="A97" s="1"/>
      <c r="B97" s="358"/>
      <c r="C97" s="358"/>
      <c r="D97" s="358"/>
      <c r="E97" s="358"/>
      <c r="F97" s="358"/>
      <c r="G97" s="358"/>
      <c r="H97" s="358"/>
      <c r="I97" s="358"/>
      <c r="J97" s="358"/>
      <c r="K97" s="358"/>
      <c r="L97" s="358"/>
      <c r="M97" s="358"/>
      <c r="N97" s="358"/>
      <c r="O97" s="358"/>
      <c r="P97" s="358"/>
      <c r="Q97" s="358"/>
      <c r="R97" s="358"/>
      <c r="S97" s="358"/>
      <c r="T97" s="358"/>
      <c r="U97" s="358"/>
      <c r="V97" s="358"/>
      <c r="W97" s="358"/>
      <c r="X97" s="358"/>
      <c r="Y97" s="1"/>
      <c r="Z97" s="1"/>
      <c r="AA97" s="1"/>
      <c r="AB97" s="1"/>
      <c r="AC97" s="1"/>
      <c r="AD97" s="1"/>
      <c r="AE97" s="1"/>
      <c r="AF97" s="1"/>
      <c r="AG97" s="1"/>
      <c r="AH97" s="1"/>
      <c r="AI97" s="1"/>
      <c r="AJ97" s="1"/>
      <c r="AK97" s="1"/>
      <c r="AL97" s="1"/>
      <c r="AM97" s="1"/>
      <c r="AN97" s="1"/>
      <c r="AO97" s="1"/>
      <c r="AP97" s="1"/>
      <c r="AQ97" s="1"/>
      <c r="AR97" s="1"/>
      <c r="AS97" s="1"/>
      <c r="AT97" s="1"/>
      <c r="AU97" s="1"/>
      <c r="AV97" s="1"/>
      <c r="AW97" s="1"/>
    </row>
    <row r="98" spans="1:49" ht="13.5" customHeight="1">
      <c r="A98" s="1"/>
      <c r="B98" s="358"/>
      <c r="C98" s="358"/>
      <c r="D98" s="358"/>
      <c r="E98" s="358"/>
      <c r="F98" s="358"/>
      <c r="G98" s="358"/>
      <c r="H98" s="358"/>
      <c r="I98" s="358"/>
      <c r="J98" s="358"/>
      <c r="K98" s="358"/>
      <c r="L98" s="358"/>
      <c r="M98" s="358"/>
      <c r="N98" s="358"/>
      <c r="O98" s="358"/>
      <c r="P98" s="358"/>
      <c r="Q98" s="358"/>
      <c r="R98" s="358"/>
      <c r="S98" s="358"/>
      <c r="T98" s="358"/>
      <c r="U98" s="358"/>
      <c r="V98" s="358"/>
      <c r="W98" s="358"/>
      <c r="X98" s="358"/>
      <c r="Y98" s="1"/>
      <c r="Z98" s="1"/>
      <c r="AA98" s="1"/>
      <c r="AB98" s="1"/>
      <c r="AC98" s="1"/>
      <c r="AD98" s="1"/>
      <c r="AE98" s="1"/>
      <c r="AF98" s="1"/>
      <c r="AG98" s="1"/>
      <c r="AH98" s="1"/>
      <c r="AI98" s="1"/>
      <c r="AJ98" s="1"/>
      <c r="AK98" s="1"/>
      <c r="AL98" s="1"/>
      <c r="AM98" s="1"/>
      <c r="AN98" s="1"/>
      <c r="AO98" s="1"/>
      <c r="AP98" s="1"/>
      <c r="AQ98" s="1"/>
      <c r="AR98" s="1"/>
      <c r="AS98" s="1"/>
      <c r="AT98" s="1"/>
      <c r="AU98" s="1"/>
      <c r="AV98" s="1"/>
      <c r="AW98" s="1"/>
    </row>
    <row r="99" spans="1:49" ht="13.5" customHeight="1">
      <c r="A99" s="1"/>
      <c r="B99" s="358"/>
      <c r="C99" s="358"/>
      <c r="D99" s="358"/>
      <c r="E99" s="358"/>
      <c r="F99" s="358"/>
      <c r="G99" s="358"/>
      <c r="H99" s="358"/>
      <c r="I99" s="358"/>
      <c r="J99" s="358"/>
      <c r="K99" s="358"/>
      <c r="L99" s="358"/>
      <c r="M99" s="358"/>
      <c r="N99" s="358"/>
      <c r="O99" s="358"/>
      <c r="P99" s="358"/>
      <c r="Q99" s="358"/>
      <c r="R99" s="358"/>
      <c r="S99" s="358"/>
      <c r="T99" s="358"/>
      <c r="U99" s="358"/>
      <c r="V99" s="358"/>
      <c r="W99" s="358"/>
      <c r="X99" s="358"/>
      <c r="Y99" s="1"/>
      <c r="Z99" s="1"/>
      <c r="AA99" s="1"/>
      <c r="AB99" s="1"/>
      <c r="AC99" s="1"/>
      <c r="AD99" s="1"/>
      <c r="AE99" s="1"/>
      <c r="AF99" s="1"/>
      <c r="AG99" s="1"/>
      <c r="AH99" s="1"/>
      <c r="AI99" s="1"/>
      <c r="AJ99" s="1"/>
      <c r="AK99" s="1"/>
      <c r="AL99" s="1"/>
      <c r="AM99" s="1"/>
      <c r="AN99" s="1"/>
      <c r="AO99" s="1"/>
      <c r="AP99" s="1"/>
      <c r="AQ99" s="1"/>
      <c r="AR99" s="1"/>
      <c r="AS99" s="1"/>
      <c r="AT99" s="1"/>
      <c r="AU99" s="1"/>
      <c r="AV99" s="1"/>
      <c r="AW99" s="1"/>
    </row>
    <row r="100" spans="1:49" ht="13.5" customHeight="1">
      <c r="A100" s="1"/>
      <c r="B100" s="358"/>
      <c r="C100" s="358"/>
      <c r="D100" s="358"/>
      <c r="E100" s="358"/>
      <c r="F100" s="358"/>
      <c r="G100" s="358"/>
      <c r="H100" s="358"/>
      <c r="I100" s="358"/>
      <c r="J100" s="358"/>
      <c r="K100" s="358"/>
      <c r="L100" s="358"/>
      <c r="M100" s="358"/>
      <c r="N100" s="358"/>
      <c r="O100" s="358"/>
      <c r="P100" s="358"/>
      <c r="Q100" s="358"/>
      <c r="R100" s="358"/>
      <c r="S100" s="358"/>
      <c r="T100" s="358"/>
      <c r="U100" s="358"/>
      <c r="V100" s="358"/>
      <c r="W100" s="358"/>
      <c r="X100" s="358"/>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row>
    <row r="101" spans="1:49" ht="13.5" customHeight="1">
      <c r="A101" s="1"/>
      <c r="B101" s="358"/>
      <c r="C101" s="358"/>
      <c r="D101" s="358"/>
      <c r="E101" s="358"/>
      <c r="F101" s="358"/>
      <c r="G101" s="358"/>
      <c r="H101" s="358"/>
      <c r="I101" s="358"/>
      <c r="J101" s="358"/>
      <c r="K101" s="358"/>
      <c r="L101" s="358"/>
      <c r="M101" s="358"/>
      <c r="N101" s="358"/>
      <c r="O101" s="358"/>
      <c r="P101" s="358"/>
      <c r="Q101" s="358"/>
      <c r="R101" s="358"/>
      <c r="S101" s="358"/>
      <c r="T101" s="358"/>
      <c r="U101" s="358"/>
      <c r="V101" s="358"/>
      <c r="W101" s="358"/>
      <c r="X101" s="358"/>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row>
    <row r="102" spans="1:49" ht="13.5" customHeight="1">
      <c r="A102" s="1"/>
      <c r="B102" s="358"/>
      <c r="C102" s="358"/>
      <c r="D102" s="358"/>
      <c r="E102" s="358"/>
      <c r="F102" s="358"/>
      <c r="G102" s="358"/>
      <c r="H102" s="358"/>
      <c r="I102" s="358"/>
      <c r="J102" s="358"/>
      <c r="K102" s="358"/>
      <c r="L102" s="358"/>
      <c r="M102" s="358"/>
      <c r="N102" s="358"/>
      <c r="O102" s="358"/>
      <c r="P102" s="358"/>
      <c r="Q102" s="358"/>
      <c r="R102" s="358"/>
      <c r="S102" s="358"/>
      <c r="T102" s="358"/>
      <c r="U102" s="358"/>
      <c r="V102" s="358"/>
      <c r="W102" s="358"/>
      <c r="X102" s="358"/>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row>
    <row r="103" spans="1:49" ht="13.5" customHeight="1">
      <c r="A103" s="1"/>
      <c r="B103" s="358"/>
      <c r="C103" s="358"/>
      <c r="D103" s="358"/>
      <c r="E103" s="358"/>
      <c r="F103" s="358"/>
      <c r="G103" s="358"/>
      <c r="H103" s="358"/>
      <c r="I103" s="358"/>
      <c r="J103" s="358"/>
      <c r="K103" s="358"/>
      <c r="L103" s="358"/>
      <c r="M103" s="358"/>
      <c r="N103" s="358"/>
      <c r="O103" s="358"/>
      <c r="P103" s="358"/>
      <c r="Q103" s="358"/>
      <c r="R103" s="358"/>
      <c r="S103" s="358"/>
      <c r="T103" s="358"/>
      <c r="U103" s="358"/>
      <c r="V103" s="358"/>
      <c r="W103" s="358"/>
      <c r="X103" s="358"/>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row>
    <row r="104" spans="1:49" ht="13.5" customHeight="1">
      <c r="A104" s="1"/>
      <c r="B104" s="358"/>
      <c r="C104" s="358"/>
      <c r="D104" s="358"/>
      <c r="E104" s="358"/>
      <c r="F104" s="358"/>
      <c r="G104" s="358"/>
      <c r="H104" s="358"/>
      <c r="I104" s="358"/>
      <c r="J104" s="358"/>
      <c r="K104" s="358"/>
      <c r="L104" s="358"/>
      <c r="M104" s="358"/>
      <c r="N104" s="358"/>
      <c r="O104" s="358"/>
      <c r="P104" s="358"/>
      <c r="Q104" s="358"/>
      <c r="R104" s="358"/>
      <c r="S104" s="358"/>
      <c r="T104" s="358"/>
      <c r="U104" s="358"/>
      <c r="V104" s="358"/>
      <c r="W104" s="358"/>
      <c r="X104" s="358"/>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row>
    <row r="105" spans="1:49" ht="13.5" customHeight="1">
      <c r="A105" s="1"/>
      <c r="B105" s="358"/>
      <c r="C105" s="358"/>
      <c r="D105" s="358"/>
      <c r="E105" s="358"/>
      <c r="F105" s="358"/>
      <c r="G105" s="358"/>
      <c r="H105" s="358"/>
      <c r="I105" s="358"/>
      <c r="J105" s="358"/>
      <c r="K105" s="358"/>
      <c r="L105" s="358"/>
      <c r="M105" s="358"/>
      <c r="N105" s="358"/>
      <c r="O105" s="358"/>
      <c r="P105" s="358"/>
      <c r="Q105" s="358"/>
      <c r="R105" s="358"/>
      <c r="S105" s="358"/>
      <c r="T105" s="358"/>
      <c r="U105" s="358"/>
      <c r="V105" s="358"/>
      <c r="W105" s="358"/>
      <c r="X105" s="358"/>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row>
    <row r="106" spans="1:49" ht="13.5" customHeight="1">
      <c r="A106" s="1"/>
      <c r="B106" s="358"/>
      <c r="C106" s="358"/>
      <c r="D106" s="358"/>
      <c r="E106" s="358"/>
      <c r="F106" s="358"/>
      <c r="G106" s="358"/>
      <c r="H106" s="358"/>
      <c r="I106" s="358"/>
      <c r="J106" s="358"/>
      <c r="K106" s="358"/>
      <c r="L106" s="358"/>
      <c r="M106" s="358"/>
      <c r="N106" s="358"/>
      <c r="O106" s="358"/>
      <c r="P106" s="358"/>
      <c r="Q106" s="358"/>
      <c r="R106" s="358"/>
      <c r="S106" s="358"/>
      <c r="T106" s="358"/>
      <c r="U106" s="358"/>
      <c r="V106" s="358"/>
      <c r="W106" s="358"/>
      <c r="X106" s="358"/>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row>
    <row r="107" spans="1:49" ht="13.5" customHeight="1">
      <c r="A107" s="1"/>
      <c r="B107" s="358"/>
      <c r="C107" s="358"/>
      <c r="D107" s="358"/>
      <c r="E107" s="358"/>
      <c r="F107" s="358"/>
      <c r="G107" s="358"/>
      <c r="H107" s="358"/>
      <c r="I107" s="358"/>
      <c r="J107" s="358"/>
      <c r="K107" s="358"/>
      <c r="L107" s="358"/>
      <c r="M107" s="358"/>
      <c r="N107" s="358"/>
      <c r="O107" s="358"/>
      <c r="P107" s="358"/>
      <c r="Q107" s="358"/>
      <c r="R107" s="358"/>
      <c r="S107" s="358"/>
      <c r="T107" s="358"/>
      <c r="U107" s="358"/>
      <c r="V107" s="358"/>
      <c r="W107" s="358"/>
      <c r="X107" s="358"/>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row>
    <row r="108" spans="1:49" ht="13.5" customHeight="1">
      <c r="A108" s="1"/>
      <c r="B108" s="358"/>
      <c r="C108" s="358"/>
      <c r="D108" s="358"/>
      <c r="E108" s="358"/>
      <c r="F108" s="358"/>
      <c r="G108" s="358"/>
      <c r="H108" s="358"/>
      <c r="I108" s="358"/>
      <c r="J108" s="358"/>
      <c r="K108" s="358"/>
      <c r="L108" s="358"/>
      <c r="M108" s="358"/>
      <c r="N108" s="358"/>
      <c r="O108" s="358"/>
      <c r="P108" s="358"/>
      <c r="Q108" s="358"/>
      <c r="R108" s="358"/>
      <c r="S108" s="358"/>
      <c r="T108" s="358"/>
      <c r="U108" s="358"/>
      <c r="V108" s="358"/>
      <c r="W108" s="358"/>
      <c r="X108" s="358"/>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row>
    <row r="109" spans="1:49" ht="13.5" customHeight="1">
      <c r="A109" s="1"/>
      <c r="B109" s="358"/>
      <c r="C109" s="358"/>
      <c r="D109" s="358"/>
      <c r="E109" s="358"/>
      <c r="F109" s="358"/>
      <c r="G109" s="358"/>
      <c r="H109" s="358"/>
      <c r="I109" s="358"/>
      <c r="J109" s="358"/>
      <c r="K109" s="358"/>
      <c r="L109" s="358"/>
      <c r="M109" s="358"/>
      <c r="N109" s="358"/>
      <c r="O109" s="358"/>
      <c r="P109" s="358"/>
      <c r="Q109" s="358"/>
      <c r="R109" s="358"/>
      <c r="S109" s="358"/>
      <c r="T109" s="358"/>
      <c r="U109" s="358"/>
      <c r="V109" s="358"/>
      <c r="W109" s="358"/>
      <c r="X109" s="358"/>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row>
    <row r="110" spans="1:49" ht="13.5" customHeight="1">
      <c r="A110" s="1"/>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row>
    <row r="111" spans="1:49" ht="13.5" customHeight="1">
      <c r="A111" s="1"/>
      <c r="B111" s="358"/>
      <c r="C111" s="358"/>
      <c r="D111" s="358"/>
      <c r="E111" s="358"/>
      <c r="F111" s="358"/>
      <c r="G111" s="358"/>
      <c r="H111" s="358"/>
      <c r="I111" s="358"/>
      <c r="J111" s="358"/>
      <c r="K111" s="358"/>
      <c r="L111" s="358"/>
      <c r="M111" s="358"/>
      <c r="N111" s="358"/>
      <c r="O111" s="358"/>
      <c r="P111" s="358"/>
      <c r="Q111" s="358"/>
      <c r="R111" s="358"/>
      <c r="S111" s="358"/>
      <c r="T111" s="358"/>
      <c r="U111" s="358"/>
      <c r="V111" s="358"/>
      <c r="W111" s="358"/>
      <c r="X111" s="358"/>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row>
    <row r="112" spans="1:49" ht="13.5" customHeight="1">
      <c r="A112" s="1"/>
      <c r="B112" s="358"/>
      <c r="C112" s="358"/>
      <c r="D112" s="358"/>
      <c r="E112" s="358"/>
      <c r="F112" s="358"/>
      <c r="G112" s="358"/>
      <c r="H112" s="358"/>
      <c r="I112" s="358"/>
      <c r="J112" s="358"/>
      <c r="K112" s="358"/>
      <c r="L112" s="358"/>
      <c r="M112" s="358"/>
      <c r="N112" s="358"/>
      <c r="O112" s="358"/>
      <c r="P112" s="358"/>
      <c r="Q112" s="358"/>
      <c r="R112" s="358"/>
      <c r="S112" s="358"/>
      <c r="T112" s="358"/>
      <c r="U112" s="358"/>
      <c r="V112" s="358"/>
      <c r="W112" s="358"/>
      <c r="X112" s="358"/>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row>
    <row r="113" spans="1:49" ht="13.5" customHeight="1">
      <c r="A113" s="1"/>
      <c r="B113" s="358"/>
      <c r="C113" s="358"/>
      <c r="D113" s="358"/>
      <c r="E113" s="358"/>
      <c r="F113" s="358"/>
      <c r="G113" s="358"/>
      <c r="H113" s="358"/>
      <c r="I113" s="358"/>
      <c r="J113" s="358"/>
      <c r="K113" s="358"/>
      <c r="L113" s="358"/>
      <c r="M113" s="358"/>
      <c r="N113" s="358"/>
      <c r="O113" s="358"/>
      <c r="P113" s="358"/>
      <c r="Q113" s="358"/>
      <c r="R113" s="358"/>
      <c r="S113" s="358"/>
      <c r="T113" s="358"/>
      <c r="U113" s="358"/>
      <c r="V113" s="358"/>
      <c r="W113" s="358"/>
      <c r="X113" s="358"/>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row>
    <row r="114" spans="1:49" ht="13.5" customHeight="1">
      <c r="A114" s="1"/>
      <c r="B114" s="358"/>
      <c r="C114" s="358"/>
      <c r="D114" s="358"/>
      <c r="E114" s="358"/>
      <c r="F114" s="358"/>
      <c r="G114" s="358"/>
      <c r="H114" s="358"/>
      <c r="I114" s="358"/>
      <c r="J114" s="358"/>
      <c r="K114" s="358"/>
      <c r="L114" s="358"/>
      <c r="M114" s="358"/>
      <c r="N114" s="358"/>
      <c r="O114" s="358"/>
      <c r="P114" s="358"/>
      <c r="Q114" s="358"/>
      <c r="R114" s="358"/>
      <c r="S114" s="358"/>
      <c r="T114" s="358"/>
      <c r="U114" s="358"/>
      <c r="V114" s="358"/>
      <c r="W114" s="358"/>
      <c r="X114" s="358"/>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row>
    <row r="115" spans="1:49" ht="13.5" customHeight="1">
      <c r="A115" s="1"/>
      <c r="B115" s="358"/>
      <c r="C115" s="358"/>
      <c r="D115" s="358"/>
      <c r="E115" s="358"/>
      <c r="F115" s="358"/>
      <c r="G115" s="358"/>
      <c r="H115" s="358"/>
      <c r="I115" s="358"/>
      <c r="J115" s="358"/>
      <c r="K115" s="358"/>
      <c r="L115" s="358"/>
      <c r="M115" s="358"/>
      <c r="N115" s="358"/>
      <c r="O115" s="358"/>
      <c r="P115" s="358"/>
      <c r="Q115" s="358"/>
      <c r="R115" s="358"/>
      <c r="S115" s="358"/>
      <c r="T115" s="358"/>
      <c r="U115" s="358"/>
      <c r="V115" s="358"/>
      <c r="W115" s="358"/>
      <c r="X115" s="358"/>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row>
    <row r="116" spans="1:49" ht="13.5" customHeight="1">
      <c r="A116" s="1"/>
      <c r="B116" s="358"/>
      <c r="C116" s="358"/>
      <c r="D116" s="358"/>
      <c r="E116" s="358"/>
      <c r="F116" s="358"/>
      <c r="G116" s="358"/>
      <c r="H116" s="358"/>
      <c r="I116" s="358"/>
      <c r="J116" s="358"/>
      <c r="K116" s="358"/>
      <c r="L116" s="358"/>
      <c r="M116" s="358"/>
      <c r="N116" s="358"/>
      <c r="O116" s="358"/>
      <c r="P116" s="358"/>
      <c r="Q116" s="358"/>
      <c r="R116" s="358"/>
      <c r="S116" s="358"/>
      <c r="T116" s="358"/>
      <c r="U116" s="358"/>
      <c r="V116" s="358"/>
      <c r="W116" s="358"/>
      <c r="X116" s="358"/>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row>
    <row r="117" spans="1:49" ht="13.5" customHeight="1">
      <c r="A117" s="1"/>
      <c r="B117" s="358"/>
      <c r="C117" s="358"/>
      <c r="D117" s="358"/>
      <c r="E117" s="358"/>
      <c r="F117" s="358"/>
      <c r="G117" s="358"/>
      <c r="H117" s="358"/>
      <c r="I117" s="358"/>
      <c r="J117" s="358"/>
      <c r="K117" s="358"/>
      <c r="L117" s="358"/>
      <c r="M117" s="358"/>
      <c r="N117" s="358"/>
      <c r="O117" s="358"/>
      <c r="P117" s="358"/>
      <c r="Q117" s="358"/>
      <c r="R117" s="358"/>
      <c r="S117" s="358"/>
      <c r="T117" s="358"/>
      <c r="U117" s="358"/>
      <c r="V117" s="358"/>
      <c r="W117" s="358"/>
      <c r="X117" s="358"/>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row>
    <row r="118" spans="1:49" ht="13.5" customHeight="1">
      <c r="A118" s="1"/>
      <c r="B118" s="358"/>
      <c r="C118" s="358"/>
      <c r="D118" s="358"/>
      <c r="E118" s="358"/>
      <c r="F118" s="358"/>
      <c r="G118" s="358"/>
      <c r="H118" s="358"/>
      <c r="I118" s="358"/>
      <c r="J118" s="358"/>
      <c r="K118" s="358"/>
      <c r="L118" s="358"/>
      <c r="M118" s="358"/>
      <c r="N118" s="358"/>
      <c r="O118" s="358"/>
      <c r="P118" s="358"/>
      <c r="Q118" s="358"/>
      <c r="R118" s="358"/>
      <c r="S118" s="358"/>
      <c r="T118" s="358"/>
      <c r="U118" s="358"/>
      <c r="V118" s="358"/>
      <c r="W118" s="358"/>
      <c r="X118" s="358"/>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row>
    <row r="119" spans="1:49" ht="13.5" customHeight="1">
      <c r="A119" s="1"/>
      <c r="B119" s="358"/>
      <c r="C119" s="358"/>
      <c r="D119" s="358"/>
      <c r="E119" s="358"/>
      <c r="F119" s="358"/>
      <c r="G119" s="358"/>
      <c r="H119" s="358"/>
      <c r="I119" s="358"/>
      <c r="J119" s="358"/>
      <c r="K119" s="358"/>
      <c r="L119" s="358"/>
      <c r="M119" s="358"/>
      <c r="N119" s="358"/>
      <c r="O119" s="358"/>
      <c r="P119" s="358"/>
      <c r="Q119" s="358"/>
      <c r="R119" s="358"/>
      <c r="S119" s="358"/>
      <c r="T119" s="358"/>
      <c r="U119" s="358"/>
      <c r="V119" s="358"/>
      <c r="W119" s="358"/>
      <c r="X119" s="358"/>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row>
    <row r="120" spans="1:49" ht="13.5" customHeight="1">
      <c r="A120" s="1"/>
      <c r="B120" s="358"/>
      <c r="C120" s="358"/>
      <c r="D120" s="358"/>
      <c r="E120" s="358"/>
      <c r="F120" s="358"/>
      <c r="G120" s="358"/>
      <c r="H120" s="358"/>
      <c r="I120" s="358"/>
      <c r="J120" s="358"/>
      <c r="K120" s="358"/>
      <c r="L120" s="358"/>
      <c r="M120" s="358"/>
      <c r="N120" s="358"/>
      <c r="O120" s="358"/>
      <c r="P120" s="358"/>
      <c r="Q120" s="358"/>
      <c r="R120" s="358"/>
      <c r="S120" s="358"/>
      <c r="T120" s="358"/>
      <c r="U120" s="358"/>
      <c r="V120" s="358"/>
      <c r="W120" s="358"/>
      <c r="X120" s="358"/>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row>
    <row r="121" spans="1:49" ht="13.5" customHeight="1">
      <c r="A121" s="1"/>
      <c r="B121" s="358"/>
      <c r="C121" s="358"/>
      <c r="D121" s="358"/>
      <c r="E121" s="358"/>
      <c r="F121" s="358"/>
      <c r="G121" s="358"/>
      <c r="H121" s="358"/>
      <c r="I121" s="358"/>
      <c r="J121" s="358"/>
      <c r="K121" s="358"/>
      <c r="L121" s="358"/>
      <c r="M121" s="358"/>
      <c r="N121" s="358"/>
      <c r="O121" s="358"/>
      <c r="P121" s="358"/>
      <c r="Q121" s="358"/>
      <c r="R121" s="358"/>
      <c r="S121" s="358"/>
      <c r="T121" s="358"/>
      <c r="U121" s="358"/>
      <c r="V121" s="358"/>
      <c r="W121" s="358"/>
      <c r="X121" s="358"/>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row>
    <row r="122" spans="1:49" ht="13.5" customHeight="1">
      <c r="A122" s="1"/>
      <c r="B122" s="358"/>
      <c r="C122" s="358"/>
      <c r="D122" s="358"/>
      <c r="E122" s="358"/>
      <c r="F122" s="358"/>
      <c r="G122" s="358"/>
      <c r="H122" s="358"/>
      <c r="I122" s="358"/>
      <c r="J122" s="358"/>
      <c r="K122" s="358"/>
      <c r="L122" s="358"/>
      <c r="M122" s="358"/>
      <c r="N122" s="358"/>
      <c r="O122" s="358"/>
      <c r="P122" s="358"/>
      <c r="Q122" s="358"/>
      <c r="R122" s="358"/>
      <c r="S122" s="358"/>
      <c r="T122" s="358"/>
      <c r="U122" s="358"/>
      <c r="V122" s="358"/>
      <c r="W122" s="358"/>
      <c r="X122" s="358"/>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row>
    <row r="123" spans="1:49" ht="13.5" customHeight="1">
      <c r="A123" s="1"/>
      <c r="B123" s="358"/>
      <c r="C123" s="358"/>
      <c r="D123" s="358"/>
      <c r="E123" s="358"/>
      <c r="F123" s="358"/>
      <c r="G123" s="358"/>
      <c r="H123" s="358"/>
      <c r="I123" s="358"/>
      <c r="J123" s="358"/>
      <c r="K123" s="358"/>
      <c r="L123" s="358"/>
      <c r="M123" s="358"/>
      <c r="N123" s="358"/>
      <c r="O123" s="358"/>
      <c r="P123" s="358"/>
      <c r="Q123" s="358"/>
      <c r="R123" s="358"/>
      <c r="S123" s="358"/>
      <c r="T123" s="358"/>
      <c r="U123" s="358"/>
      <c r="V123" s="358"/>
      <c r="W123" s="358"/>
      <c r="X123" s="358"/>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row>
    <row r="124" spans="1:49" ht="13.5" customHeight="1">
      <c r="A124" s="1"/>
      <c r="B124" s="358"/>
      <c r="C124" s="358"/>
      <c r="D124" s="358"/>
      <c r="E124" s="358"/>
      <c r="F124" s="358"/>
      <c r="G124" s="358"/>
      <c r="H124" s="358"/>
      <c r="I124" s="358"/>
      <c r="J124" s="358"/>
      <c r="K124" s="358"/>
      <c r="L124" s="358"/>
      <c r="M124" s="358"/>
      <c r="N124" s="358"/>
      <c r="O124" s="358"/>
      <c r="P124" s="358"/>
      <c r="Q124" s="358"/>
      <c r="R124" s="358"/>
      <c r="S124" s="358"/>
      <c r="T124" s="358"/>
      <c r="U124" s="358"/>
      <c r="V124" s="358"/>
      <c r="W124" s="358"/>
      <c r="X124" s="358"/>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row>
    <row r="125" spans="1:49" ht="13.5" customHeight="1">
      <c r="A125" s="1"/>
      <c r="B125" s="358"/>
      <c r="C125" s="358"/>
      <c r="D125" s="358"/>
      <c r="E125" s="358"/>
      <c r="F125" s="358"/>
      <c r="G125" s="358"/>
      <c r="H125" s="358"/>
      <c r="I125" s="358"/>
      <c r="J125" s="358"/>
      <c r="K125" s="358"/>
      <c r="L125" s="358"/>
      <c r="M125" s="358"/>
      <c r="N125" s="358"/>
      <c r="O125" s="358"/>
      <c r="P125" s="358"/>
      <c r="Q125" s="358"/>
      <c r="R125" s="358"/>
      <c r="S125" s="358"/>
      <c r="T125" s="358"/>
      <c r="U125" s="358"/>
      <c r="V125" s="358"/>
      <c r="W125" s="358"/>
      <c r="X125" s="358"/>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row>
    <row r="126" spans="1:49" ht="13.5" customHeight="1">
      <c r="A126" s="1"/>
      <c r="B126" s="358"/>
      <c r="C126" s="358"/>
      <c r="D126" s="358"/>
      <c r="E126" s="358"/>
      <c r="F126" s="358"/>
      <c r="G126" s="358"/>
      <c r="H126" s="358"/>
      <c r="I126" s="358"/>
      <c r="J126" s="358"/>
      <c r="K126" s="358"/>
      <c r="L126" s="358"/>
      <c r="M126" s="358"/>
      <c r="N126" s="358"/>
      <c r="O126" s="358"/>
      <c r="P126" s="358"/>
      <c r="Q126" s="358"/>
      <c r="R126" s="358"/>
      <c r="S126" s="358"/>
      <c r="T126" s="358"/>
      <c r="U126" s="358"/>
      <c r="V126" s="358"/>
      <c r="W126" s="358"/>
      <c r="X126" s="358"/>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row>
    <row r="127" spans="1:49" ht="13.5" customHeight="1">
      <c r="A127" s="1"/>
      <c r="B127" s="358"/>
      <c r="C127" s="358"/>
      <c r="D127" s="358"/>
      <c r="E127" s="358"/>
      <c r="F127" s="358"/>
      <c r="G127" s="358"/>
      <c r="H127" s="358"/>
      <c r="I127" s="358"/>
      <c r="J127" s="358"/>
      <c r="K127" s="358"/>
      <c r="L127" s="358"/>
      <c r="M127" s="358"/>
      <c r="N127" s="358"/>
      <c r="O127" s="358"/>
      <c r="P127" s="358"/>
      <c r="Q127" s="358"/>
      <c r="R127" s="358"/>
      <c r="S127" s="358"/>
      <c r="T127" s="358"/>
      <c r="U127" s="358"/>
      <c r="V127" s="358"/>
      <c r="W127" s="358"/>
      <c r="X127" s="358"/>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row>
    <row r="128" spans="1:49" ht="13.5" customHeight="1">
      <c r="A128" s="1"/>
      <c r="B128" s="358"/>
      <c r="C128" s="358"/>
      <c r="D128" s="358"/>
      <c r="E128" s="358"/>
      <c r="F128" s="358"/>
      <c r="G128" s="358"/>
      <c r="H128" s="358"/>
      <c r="I128" s="358"/>
      <c r="J128" s="358"/>
      <c r="K128" s="358"/>
      <c r="L128" s="358"/>
      <c r="M128" s="358"/>
      <c r="N128" s="358"/>
      <c r="O128" s="358"/>
      <c r="P128" s="358"/>
      <c r="Q128" s="358"/>
      <c r="R128" s="358"/>
      <c r="S128" s="358"/>
      <c r="T128" s="358"/>
      <c r="U128" s="358"/>
      <c r="V128" s="358"/>
      <c r="W128" s="358"/>
      <c r="X128" s="358"/>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row>
    <row r="129" spans="1:49" ht="13.5" customHeight="1">
      <c r="A129" s="1"/>
      <c r="B129" s="358"/>
      <c r="C129" s="358"/>
      <c r="D129" s="358"/>
      <c r="E129" s="358"/>
      <c r="F129" s="358"/>
      <c r="G129" s="358"/>
      <c r="H129" s="358"/>
      <c r="I129" s="358"/>
      <c r="J129" s="358"/>
      <c r="K129" s="358"/>
      <c r="L129" s="358"/>
      <c r="M129" s="358"/>
      <c r="N129" s="358"/>
      <c r="O129" s="358"/>
      <c r="P129" s="358"/>
      <c r="Q129" s="358"/>
      <c r="R129" s="358"/>
      <c r="S129" s="358"/>
      <c r="T129" s="358"/>
      <c r="U129" s="358"/>
      <c r="V129" s="358"/>
      <c r="W129" s="358"/>
      <c r="X129" s="358"/>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row>
    <row r="130" spans="1:49" ht="13.5" customHeight="1">
      <c r="A130" s="1"/>
      <c r="B130" s="358"/>
      <c r="C130" s="358"/>
      <c r="D130" s="358"/>
      <c r="E130" s="358"/>
      <c r="F130" s="358"/>
      <c r="G130" s="358"/>
      <c r="H130" s="358"/>
      <c r="I130" s="358"/>
      <c r="J130" s="358"/>
      <c r="K130" s="358"/>
      <c r="L130" s="358"/>
      <c r="M130" s="358"/>
      <c r="N130" s="358"/>
      <c r="O130" s="358"/>
      <c r="P130" s="358"/>
      <c r="Q130" s="358"/>
      <c r="R130" s="358"/>
      <c r="S130" s="358"/>
      <c r="T130" s="358"/>
      <c r="U130" s="358"/>
      <c r="V130" s="358"/>
      <c r="W130" s="358"/>
      <c r="X130" s="358"/>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row>
    <row r="131" spans="1:49" ht="13.5" customHeight="1">
      <c r="A131" s="1"/>
      <c r="B131" s="358"/>
      <c r="C131" s="358"/>
      <c r="D131" s="358"/>
      <c r="E131" s="358"/>
      <c r="F131" s="358"/>
      <c r="G131" s="358"/>
      <c r="H131" s="358"/>
      <c r="I131" s="358"/>
      <c r="J131" s="358"/>
      <c r="K131" s="358"/>
      <c r="L131" s="358"/>
      <c r="M131" s="358"/>
      <c r="N131" s="358"/>
      <c r="O131" s="358"/>
      <c r="P131" s="358"/>
      <c r="Q131" s="358"/>
      <c r="R131" s="358"/>
      <c r="S131" s="358"/>
      <c r="T131" s="358"/>
      <c r="U131" s="358"/>
      <c r="V131" s="358"/>
      <c r="W131" s="358"/>
      <c r="X131" s="358"/>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row>
    <row r="132" spans="1:49" ht="13.5" customHeight="1">
      <c r="A132" s="1"/>
      <c r="B132" s="358"/>
      <c r="C132" s="358"/>
      <c r="D132" s="358"/>
      <c r="E132" s="358"/>
      <c r="F132" s="358"/>
      <c r="G132" s="358"/>
      <c r="H132" s="358"/>
      <c r="I132" s="358"/>
      <c r="J132" s="358"/>
      <c r="K132" s="358"/>
      <c r="L132" s="358"/>
      <c r="M132" s="358"/>
      <c r="N132" s="358"/>
      <c r="O132" s="358"/>
      <c r="P132" s="358"/>
      <c r="Q132" s="358"/>
      <c r="R132" s="358"/>
      <c r="S132" s="358"/>
      <c r="T132" s="358"/>
      <c r="U132" s="358"/>
      <c r="V132" s="358"/>
      <c r="W132" s="358"/>
      <c r="X132" s="358"/>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row>
    <row r="133" spans="1:49" ht="13.5" customHeight="1">
      <c r="A133" s="1"/>
      <c r="B133" s="358"/>
      <c r="C133" s="358"/>
      <c r="D133" s="358"/>
      <c r="E133" s="358"/>
      <c r="F133" s="358"/>
      <c r="G133" s="358"/>
      <c r="H133" s="358"/>
      <c r="I133" s="358"/>
      <c r="J133" s="358"/>
      <c r="K133" s="358"/>
      <c r="L133" s="358"/>
      <c r="M133" s="358"/>
      <c r="N133" s="358"/>
      <c r="O133" s="358"/>
      <c r="P133" s="358"/>
      <c r="Q133" s="358"/>
      <c r="R133" s="358"/>
      <c r="S133" s="358"/>
      <c r="T133" s="358"/>
      <c r="U133" s="358"/>
      <c r="V133" s="358"/>
      <c r="W133" s="358"/>
      <c r="X133" s="358"/>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row>
    <row r="134" spans="1:49" ht="13.5" customHeight="1">
      <c r="A134" s="1"/>
      <c r="B134" s="358"/>
      <c r="C134" s="358"/>
      <c r="D134" s="358"/>
      <c r="E134" s="358"/>
      <c r="F134" s="358"/>
      <c r="G134" s="358"/>
      <c r="H134" s="358"/>
      <c r="I134" s="358"/>
      <c r="J134" s="358"/>
      <c r="K134" s="358"/>
      <c r="L134" s="358"/>
      <c r="M134" s="358"/>
      <c r="N134" s="358"/>
      <c r="O134" s="358"/>
      <c r="P134" s="358"/>
      <c r="Q134" s="358"/>
      <c r="R134" s="358"/>
      <c r="S134" s="358"/>
      <c r="T134" s="358"/>
      <c r="U134" s="358"/>
      <c r="V134" s="358"/>
      <c r="W134" s="358"/>
      <c r="X134" s="358"/>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row>
    <row r="135" spans="1:49" ht="13.5" customHeight="1">
      <c r="A135" s="1"/>
      <c r="B135" s="358"/>
      <c r="C135" s="358"/>
      <c r="D135" s="358"/>
      <c r="E135" s="358"/>
      <c r="F135" s="358"/>
      <c r="G135" s="358"/>
      <c r="H135" s="358"/>
      <c r="I135" s="358"/>
      <c r="J135" s="358"/>
      <c r="K135" s="358"/>
      <c r="L135" s="358"/>
      <c r="M135" s="358"/>
      <c r="N135" s="358"/>
      <c r="O135" s="358"/>
      <c r="P135" s="358"/>
      <c r="Q135" s="358"/>
      <c r="R135" s="358"/>
      <c r="S135" s="358"/>
      <c r="T135" s="358"/>
      <c r="U135" s="358"/>
      <c r="V135" s="358"/>
      <c r="W135" s="358"/>
      <c r="X135" s="358"/>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row>
    <row r="136" spans="1:49" ht="13.5" customHeight="1">
      <c r="A136" s="1"/>
      <c r="B136" s="358"/>
      <c r="C136" s="358"/>
      <c r="D136" s="358"/>
      <c r="E136" s="358"/>
      <c r="F136" s="358"/>
      <c r="G136" s="358"/>
      <c r="H136" s="358"/>
      <c r="I136" s="358"/>
      <c r="J136" s="358"/>
      <c r="K136" s="358"/>
      <c r="L136" s="358"/>
      <c r="M136" s="358"/>
      <c r="N136" s="358"/>
      <c r="O136" s="358"/>
      <c r="P136" s="358"/>
      <c r="Q136" s="358"/>
      <c r="R136" s="358"/>
      <c r="S136" s="358"/>
      <c r="T136" s="358"/>
      <c r="U136" s="358"/>
      <c r="V136" s="358"/>
      <c r="W136" s="358"/>
      <c r="X136" s="358"/>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row>
    <row r="137" spans="1:49" ht="13.5" customHeight="1">
      <c r="A137" s="1"/>
      <c r="B137" s="358"/>
      <c r="C137" s="358"/>
      <c r="D137" s="358"/>
      <c r="E137" s="358"/>
      <c r="F137" s="358"/>
      <c r="G137" s="358"/>
      <c r="H137" s="358"/>
      <c r="I137" s="358"/>
      <c r="J137" s="358"/>
      <c r="K137" s="358"/>
      <c r="L137" s="358"/>
      <c r="M137" s="358"/>
      <c r="N137" s="358"/>
      <c r="O137" s="358"/>
      <c r="P137" s="358"/>
      <c r="Q137" s="358"/>
      <c r="R137" s="358"/>
      <c r="S137" s="358"/>
      <c r="T137" s="358"/>
      <c r="U137" s="358"/>
      <c r="V137" s="358"/>
      <c r="W137" s="358"/>
      <c r="X137" s="358"/>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row>
    <row r="138" spans="1:49" ht="13.5" customHeight="1">
      <c r="A138" s="1"/>
      <c r="B138" s="358"/>
      <c r="C138" s="358"/>
      <c r="D138" s="358"/>
      <c r="E138" s="358"/>
      <c r="F138" s="358"/>
      <c r="G138" s="358"/>
      <c r="H138" s="358"/>
      <c r="I138" s="358"/>
      <c r="J138" s="358"/>
      <c r="K138" s="358"/>
      <c r="L138" s="358"/>
      <c r="M138" s="358"/>
      <c r="N138" s="358"/>
      <c r="O138" s="358"/>
      <c r="P138" s="358"/>
      <c r="Q138" s="358"/>
      <c r="R138" s="358"/>
      <c r="S138" s="358"/>
      <c r="T138" s="358"/>
      <c r="U138" s="358"/>
      <c r="V138" s="358"/>
      <c r="W138" s="358"/>
      <c r="X138" s="358"/>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row>
    <row r="139" spans="1:49" ht="13.5" customHeight="1">
      <c r="A139" s="1"/>
      <c r="B139" s="358"/>
      <c r="C139" s="358"/>
      <c r="D139" s="358"/>
      <c r="E139" s="358"/>
      <c r="F139" s="358"/>
      <c r="G139" s="358"/>
      <c r="H139" s="358"/>
      <c r="I139" s="358"/>
      <c r="J139" s="358"/>
      <c r="K139" s="358"/>
      <c r="L139" s="358"/>
      <c r="M139" s="358"/>
      <c r="N139" s="358"/>
      <c r="O139" s="358"/>
      <c r="P139" s="358"/>
      <c r="Q139" s="358"/>
      <c r="R139" s="358"/>
      <c r="S139" s="358"/>
      <c r="T139" s="358"/>
      <c r="U139" s="358"/>
      <c r="V139" s="358"/>
      <c r="W139" s="358"/>
      <c r="X139" s="358"/>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row>
    <row r="140" spans="1:49" ht="13.5" customHeight="1">
      <c r="A140" s="1"/>
      <c r="B140" s="358"/>
      <c r="C140" s="358"/>
      <c r="D140" s="358"/>
      <c r="E140" s="358"/>
      <c r="F140" s="358"/>
      <c r="G140" s="358"/>
      <c r="H140" s="358"/>
      <c r="I140" s="358"/>
      <c r="J140" s="358"/>
      <c r="K140" s="358"/>
      <c r="L140" s="358"/>
      <c r="M140" s="358"/>
      <c r="N140" s="358"/>
      <c r="O140" s="358"/>
      <c r="P140" s="358"/>
      <c r="Q140" s="358"/>
      <c r="R140" s="358"/>
      <c r="S140" s="358"/>
      <c r="T140" s="358"/>
      <c r="U140" s="358"/>
      <c r="V140" s="358"/>
      <c r="W140" s="358"/>
      <c r="X140" s="358"/>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row>
    <row r="141" spans="1:49" ht="13.5" customHeight="1">
      <c r="A141" s="1"/>
      <c r="B141" s="358"/>
      <c r="C141" s="358"/>
      <c r="D141" s="358"/>
      <c r="E141" s="358"/>
      <c r="F141" s="358"/>
      <c r="G141" s="358"/>
      <c r="H141" s="358"/>
      <c r="I141" s="358"/>
      <c r="J141" s="358"/>
      <c r="K141" s="358"/>
      <c r="L141" s="358"/>
      <c r="M141" s="358"/>
      <c r="N141" s="358"/>
      <c r="O141" s="358"/>
      <c r="P141" s="358"/>
      <c r="Q141" s="358"/>
      <c r="R141" s="358"/>
      <c r="S141" s="358"/>
      <c r="T141" s="358"/>
      <c r="U141" s="358"/>
      <c r="V141" s="358"/>
      <c r="W141" s="358"/>
      <c r="X141" s="358"/>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row>
    <row r="142" spans="1:49" ht="13.5" customHeight="1">
      <c r="A142" s="1"/>
      <c r="B142" s="358"/>
      <c r="C142" s="358"/>
      <c r="D142" s="358"/>
      <c r="E142" s="358"/>
      <c r="F142" s="358"/>
      <c r="G142" s="358"/>
      <c r="H142" s="358"/>
      <c r="I142" s="358"/>
      <c r="J142" s="358"/>
      <c r="K142" s="358"/>
      <c r="L142" s="358"/>
      <c r="M142" s="358"/>
      <c r="N142" s="358"/>
      <c r="O142" s="358"/>
      <c r="P142" s="358"/>
      <c r="Q142" s="358"/>
      <c r="R142" s="358"/>
      <c r="S142" s="358"/>
      <c r="T142" s="358"/>
      <c r="U142" s="358"/>
      <c r="V142" s="358"/>
      <c r="W142" s="358"/>
      <c r="X142" s="358"/>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row>
    <row r="143" spans="1:49" ht="13.5" customHeight="1">
      <c r="A143" s="1"/>
      <c r="B143" s="358"/>
      <c r="C143" s="358"/>
      <c r="D143" s="358"/>
      <c r="E143" s="358"/>
      <c r="F143" s="358"/>
      <c r="G143" s="358"/>
      <c r="H143" s="358"/>
      <c r="I143" s="358"/>
      <c r="J143" s="358"/>
      <c r="K143" s="358"/>
      <c r="L143" s="358"/>
      <c r="M143" s="358"/>
      <c r="N143" s="358"/>
      <c r="O143" s="358"/>
      <c r="P143" s="358"/>
      <c r="Q143" s="358"/>
      <c r="R143" s="358"/>
      <c r="S143" s="358"/>
      <c r="T143" s="358"/>
      <c r="U143" s="358"/>
      <c r="V143" s="358"/>
      <c r="W143" s="358"/>
      <c r="X143" s="358"/>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row>
    <row r="144" spans="1:49" ht="13.5" customHeight="1">
      <c r="A144" s="1"/>
      <c r="B144" s="358"/>
      <c r="C144" s="358"/>
      <c r="D144" s="358"/>
      <c r="E144" s="358"/>
      <c r="F144" s="358"/>
      <c r="G144" s="358"/>
      <c r="H144" s="358"/>
      <c r="I144" s="358"/>
      <c r="J144" s="358"/>
      <c r="K144" s="358"/>
      <c r="L144" s="358"/>
      <c r="M144" s="358"/>
      <c r="N144" s="358"/>
      <c r="O144" s="358"/>
      <c r="P144" s="358"/>
      <c r="Q144" s="358"/>
      <c r="R144" s="358"/>
      <c r="S144" s="358"/>
      <c r="T144" s="358"/>
      <c r="U144" s="358"/>
      <c r="V144" s="358"/>
      <c r="W144" s="358"/>
      <c r="X144" s="358"/>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row>
    <row r="145" spans="1:49" ht="13.5" customHeight="1">
      <c r="A145" s="1"/>
      <c r="B145" s="358"/>
      <c r="C145" s="358"/>
      <c r="D145" s="358"/>
      <c r="E145" s="358"/>
      <c r="F145" s="358"/>
      <c r="G145" s="358"/>
      <c r="H145" s="358"/>
      <c r="I145" s="358"/>
      <c r="J145" s="358"/>
      <c r="K145" s="358"/>
      <c r="L145" s="358"/>
      <c r="M145" s="358"/>
      <c r="N145" s="358"/>
      <c r="O145" s="358"/>
      <c r="P145" s="358"/>
      <c r="Q145" s="358"/>
      <c r="R145" s="358"/>
      <c r="S145" s="358"/>
      <c r="T145" s="358"/>
      <c r="U145" s="358"/>
      <c r="V145" s="358"/>
      <c r="W145" s="358"/>
      <c r="X145" s="358"/>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row>
    <row r="146" spans="1:49" ht="13.5" customHeight="1">
      <c r="A146" s="1"/>
      <c r="B146" s="358"/>
      <c r="C146" s="358"/>
      <c r="D146" s="358"/>
      <c r="E146" s="358"/>
      <c r="F146" s="358"/>
      <c r="G146" s="358"/>
      <c r="H146" s="358"/>
      <c r="I146" s="358"/>
      <c r="J146" s="358"/>
      <c r="K146" s="358"/>
      <c r="L146" s="358"/>
      <c r="M146" s="358"/>
      <c r="N146" s="358"/>
      <c r="O146" s="358"/>
      <c r="P146" s="358"/>
      <c r="Q146" s="358"/>
      <c r="R146" s="358"/>
      <c r="S146" s="358"/>
      <c r="T146" s="358"/>
      <c r="U146" s="358"/>
      <c r="V146" s="358"/>
      <c r="W146" s="358"/>
      <c r="X146" s="358"/>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row>
    <row r="147" spans="1:49" ht="13.5" customHeight="1">
      <c r="A147" s="1"/>
      <c r="B147" s="358"/>
      <c r="C147" s="358"/>
      <c r="D147" s="358"/>
      <c r="E147" s="358"/>
      <c r="F147" s="358"/>
      <c r="G147" s="358"/>
      <c r="H147" s="358"/>
      <c r="I147" s="358"/>
      <c r="J147" s="358"/>
      <c r="K147" s="358"/>
      <c r="L147" s="358"/>
      <c r="M147" s="358"/>
      <c r="N147" s="358"/>
      <c r="O147" s="358"/>
      <c r="P147" s="358"/>
      <c r="Q147" s="358"/>
      <c r="R147" s="358"/>
      <c r="S147" s="358"/>
      <c r="T147" s="358"/>
      <c r="U147" s="358"/>
      <c r="V147" s="358"/>
      <c r="W147" s="358"/>
      <c r="X147" s="358"/>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row>
    <row r="148" spans="1:49" ht="13.5" customHeight="1">
      <c r="A148" s="1"/>
      <c r="B148" s="358"/>
      <c r="C148" s="358"/>
      <c r="D148" s="358"/>
      <c r="E148" s="358"/>
      <c r="F148" s="358"/>
      <c r="G148" s="358"/>
      <c r="H148" s="358"/>
      <c r="I148" s="358"/>
      <c r="J148" s="358"/>
      <c r="K148" s="358"/>
      <c r="L148" s="358"/>
      <c r="M148" s="358"/>
      <c r="N148" s="358"/>
      <c r="O148" s="358"/>
      <c r="P148" s="358"/>
      <c r="Q148" s="358"/>
      <c r="R148" s="358"/>
      <c r="S148" s="358"/>
      <c r="T148" s="358"/>
      <c r="U148" s="358"/>
      <c r="V148" s="358"/>
      <c r="W148" s="358"/>
      <c r="X148" s="358"/>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row>
    <row r="149" spans="1:49" ht="13.5" customHeight="1">
      <c r="A149" s="1"/>
      <c r="B149" s="358"/>
      <c r="C149" s="358"/>
      <c r="D149" s="358"/>
      <c r="E149" s="358"/>
      <c r="F149" s="358"/>
      <c r="G149" s="358"/>
      <c r="H149" s="358"/>
      <c r="I149" s="358"/>
      <c r="J149" s="358"/>
      <c r="K149" s="358"/>
      <c r="L149" s="358"/>
      <c r="M149" s="358"/>
      <c r="N149" s="358"/>
      <c r="O149" s="358"/>
      <c r="P149" s="358"/>
      <c r="Q149" s="358"/>
      <c r="R149" s="358"/>
      <c r="S149" s="358"/>
      <c r="T149" s="358"/>
      <c r="U149" s="358"/>
      <c r="V149" s="358"/>
      <c r="W149" s="358"/>
      <c r="X149" s="358"/>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row>
    <row r="150" spans="1:49" ht="13.5" customHeight="1">
      <c r="A150" s="1"/>
      <c r="B150" s="358"/>
      <c r="C150" s="358"/>
      <c r="D150" s="358"/>
      <c r="E150" s="358"/>
      <c r="F150" s="358"/>
      <c r="G150" s="358"/>
      <c r="H150" s="358"/>
      <c r="I150" s="358"/>
      <c r="J150" s="358"/>
      <c r="K150" s="358"/>
      <c r="L150" s="358"/>
      <c r="M150" s="358"/>
      <c r="N150" s="358"/>
      <c r="O150" s="358"/>
      <c r="P150" s="358"/>
      <c r="Q150" s="358"/>
      <c r="R150" s="358"/>
      <c r="S150" s="358"/>
      <c r="T150" s="358"/>
      <c r="U150" s="358"/>
      <c r="V150" s="358"/>
      <c r="W150" s="358"/>
      <c r="X150" s="358"/>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row>
    <row r="151" spans="1:49" ht="13.5" customHeight="1">
      <c r="A151" s="1"/>
      <c r="B151" s="358"/>
      <c r="C151" s="358"/>
      <c r="D151" s="358"/>
      <c r="E151" s="358"/>
      <c r="F151" s="358"/>
      <c r="G151" s="358"/>
      <c r="H151" s="358"/>
      <c r="I151" s="358"/>
      <c r="J151" s="358"/>
      <c r="K151" s="358"/>
      <c r="L151" s="358"/>
      <c r="M151" s="358"/>
      <c r="N151" s="358"/>
      <c r="O151" s="358"/>
      <c r="P151" s="358"/>
      <c r="Q151" s="358"/>
      <c r="R151" s="358"/>
      <c r="S151" s="358"/>
      <c r="T151" s="358"/>
      <c r="U151" s="358"/>
      <c r="V151" s="358"/>
      <c r="W151" s="358"/>
      <c r="X151" s="358"/>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row>
    <row r="152" spans="1:49" ht="13.5" customHeight="1">
      <c r="A152" s="1"/>
      <c r="B152" s="358"/>
      <c r="C152" s="358"/>
      <c r="D152" s="358"/>
      <c r="E152" s="358"/>
      <c r="F152" s="358"/>
      <c r="G152" s="358"/>
      <c r="H152" s="358"/>
      <c r="I152" s="358"/>
      <c r="J152" s="358"/>
      <c r="K152" s="358"/>
      <c r="L152" s="358"/>
      <c r="M152" s="358"/>
      <c r="N152" s="358"/>
      <c r="O152" s="358"/>
      <c r="P152" s="358"/>
      <c r="Q152" s="358"/>
      <c r="R152" s="358"/>
      <c r="S152" s="358"/>
      <c r="T152" s="358"/>
      <c r="U152" s="358"/>
      <c r="V152" s="358"/>
      <c r="W152" s="358"/>
      <c r="X152" s="358"/>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row>
    <row r="153" spans="1:49" ht="13.5" customHeight="1">
      <c r="A153" s="1"/>
      <c r="B153" s="358"/>
      <c r="C153" s="358"/>
      <c r="D153" s="358"/>
      <c r="E153" s="358"/>
      <c r="F153" s="358"/>
      <c r="G153" s="358"/>
      <c r="H153" s="358"/>
      <c r="I153" s="358"/>
      <c r="J153" s="358"/>
      <c r="K153" s="358"/>
      <c r="L153" s="358"/>
      <c r="M153" s="358"/>
      <c r="N153" s="358"/>
      <c r="O153" s="358"/>
      <c r="P153" s="358"/>
      <c r="Q153" s="358"/>
      <c r="R153" s="358"/>
      <c r="S153" s="358"/>
      <c r="T153" s="358"/>
      <c r="U153" s="358"/>
      <c r="V153" s="358"/>
      <c r="W153" s="358"/>
      <c r="X153" s="358"/>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row>
    <row r="154" spans="1:49" ht="13.5" customHeight="1">
      <c r="A154" s="1"/>
      <c r="B154" s="358"/>
      <c r="C154" s="358"/>
      <c r="D154" s="358"/>
      <c r="E154" s="358"/>
      <c r="F154" s="358"/>
      <c r="G154" s="358"/>
      <c r="H154" s="358"/>
      <c r="I154" s="358"/>
      <c r="J154" s="358"/>
      <c r="K154" s="358"/>
      <c r="L154" s="358"/>
      <c r="M154" s="358"/>
      <c r="N154" s="358"/>
      <c r="O154" s="358"/>
      <c r="P154" s="358"/>
      <c r="Q154" s="358"/>
      <c r="R154" s="358"/>
      <c r="S154" s="358"/>
      <c r="T154" s="358"/>
      <c r="U154" s="358"/>
      <c r="V154" s="358"/>
      <c r="W154" s="358"/>
      <c r="X154" s="358"/>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row>
    <row r="155" spans="1:49" ht="13.5" customHeight="1">
      <c r="A155" s="1"/>
      <c r="B155" s="358"/>
      <c r="C155" s="358"/>
      <c r="D155" s="358"/>
      <c r="E155" s="358"/>
      <c r="F155" s="358"/>
      <c r="G155" s="358"/>
      <c r="H155" s="358"/>
      <c r="I155" s="358"/>
      <c r="J155" s="358"/>
      <c r="K155" s="358"/>
      <c r="L155" s="358"/>
      <c r="M155" s="358"/>
      <c r="N155" s="358"/>
      <c r="O155" s="358"/>
      <c r="P155" s="358"/>
      <c r="Q155" s="358"/>
      <c r="R155" s="358"/>
      <c r="S155" s="358"/>
      <c r="T155" s="358"/>
      <c r="U155" s="358"/>
      <c r="V155" s="358"/>
      <c r="W155" s="358"/>
      <c r="X155" s="358"/>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row>
    <row r="156" spans="1:49" ht="13.5" customHeight="1">
      <c r="A156" s="1"/>
      <c r="B156" s="358"/>
      <c r="C156" s="358"/>
      <c r="D156" s="358"/>
      <c r="E156" s="358"/>
      <c r="F156" s="358"/>
      <c r="G156" s="358"/>
      <c r="H156" s="358"/>
      <c r="I156" s="358"/>
      <c r="J156" s="358"/>
      <c r="K156" s="358"/>
      <c r="L156" s="358"/>
      <c r="M156" s="358"/>
      <c r="N156" s="358"/>
      <c r="O156" s="358"/>
      <c r="P156" s="358"/>
      <c r="Q156" s="358"/>
      <c r="R156" s="358"/>
      <c r="S156" s="358"/>
      <c r="T156" s="358"/>
      <c r="U156" s="358"/>
      <c r="V156" s="358"/>
      <c r="W156" s="358"/>
      <c r="X156" s="358"/>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row>
    <row r="157" spans="1:49" ht="13.5" customHeight="1">
      <c r="A157" s="1"/>
      <c r="B157" s="358"/>
      <c r="C157" s="358"/>
      <c r="D157" s="358"/>
      <c r="E157" s="358"/>
      <c r="F157" s="358"/>
      <c r="G157" s="358"/>
      <c r="H157" s="358"/>
      <c r="I157" s="358"/>
      <c r="J157" s="358"/>
      <c r="K157" s="358"/>
      <c r="L157" s="358"/>
      <c r="M157" s="358"/>
      <c r="N157" s="358"/>
      <c r="O157" s="358"/>
      <c r="P157" s="358"/>
      <c r="Q157" s="358"/>
      <c r="R157" s="358"/>
      <c r="S157" s="358"/>
      <c r="T157" s="358"/>
      <c r="U157" s="358"/>
      <c r="V157" s="358"/>
      <c r="W157" s="358"/>
      <c r="X157" s="358"/>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row>
    <row r="158" spans="1:49" ht="13.5" customHeight="1">
      <c r="A158" s="1"/>
      <c r="B158" s="358"/>
      <c r="C158" s="358"/>
      <c r="D158" s="358"/>
      <c r="E158" s="358"/>
      <c r="F158" s="358"/>
      <c r="G158" s="358"/>
      <c r="H158" s="358"/>
      <c r="I158" s="358"/>
      <c r="J158" s="358"/>
      <c r="K158" s="358"/>
      <c r="L158" s="358"/>
      <c r="M158" s="358"/>
      <c r="N158" s="358"/>
      <c r="O158" s="358"/>
      <c r="P158" s="358"/>
      <c r="Q158" s="358"/>
      <c r="R158" s="358"/>
      <c r="S158" s="358"/>
      <c r="T158" s="358"/>
      <c r="U158" s="358"/>
      <c r="V158" s="358"/>
      <c r="W158" s="358"/>
      <c r="X158" s="358"/>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row>
    <row r="159" spans="1:49" ht="13.5" customHeight="1">
      <c r="A159" s="1"/>
      <c r="B159" s="358"/>
      <c r="C159" s="358"/>
      <c r="D159" s="358"/>
      <c r="E159" s="358"/>
      <c r="F159" s="358"/>
      <c r="G159" s="358"/>
      <c r="H159" s="358"/>
      <c r="I159" s="358"/>
      <c r="J159" s="358"/>
      <c r="K159" s="358"/>
      <c r="L159" s="358"/>
      <c r="M159" s="358"/>
      <c r="N159" s="358"/>
      <c r="O159" s="358"/>
      <c r="P159" s="358"/>
      <c r="Q159" s="358"/>
      <c r="R159" s="358"/>
      <c r="S159" s="358"/>
      <c r="T159" s="358"/>
      <c r="U159" s="358"/>
      <c r="V159" s="358"/>
      <c r="W159" s="358"/>
      <c r="X159" s="358"/>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row>
    <row r="160" spans="1:49" ht="13.5" customHeight="1">
      <c r="A160" s="1"/>
      <c r="B160" s="358"/>
      <c r="C160" s="358"/>
      <c r="D160" s="358"/>
      <c r="E160" s="358"/>
      <c r="F160" s="358"/>
      <c r="G160" s="358"/>
      <c r="H160" s="358"/>
      <c r="I160" s="358"/>
      <c r="J160" s="358"/>
      <c r="K160" s="358"/>
      <c r="L160" s="358"/>
      <c r="M160" s="358"/>
      <c r="N160" s="358"/>
      <c r="O160" s="358"/>
      <c r="P160" s="358"/>
      <c r="Q160" s="358"/>
      <c r="R160" s="358"/>
      <c r="S160" s="358"/>
      <c r="T160" s="358"/>
      <c r="U160" s="358"/>
      <c r="V160" s="358"/>
      <c r="W160" s="358"/>
      <c r="X160" s="358"/>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row>
    <row r="161" spans="1:49" ht="13.5" customHeight="1">
      <c r="A161" s="1"/>
      <c r="B161" s="358"/>
      <c r="C161" s="358"/>
      <c r="D161" s="358"/>
      <c r="E161" s="358"/>
      <c r="F161" s="358"/>
      <c r="G161" s="358"/>
      <c r="H161" s="358"/>
      <c r="I161" s="358"/>
      <c r="J161" s="358"/>
      <c r="K161" s="358"/>
      <c r="L161" s="358"/>
      <c r="M161" s="358"/>
      <c r="N161" s="358"/>
      <c r="O161" s="358"/>
      <c r="P161" s="358"/>
      <c r="Q161" s="358"/>
      <c r="R161" s="358"/>
      <c r="S161" s="358"/>
      <c r="T161" s="358"/>
      <c r="U161" s="358"/>
      <c r="V161" s="358"/>
      <c r="W161" s="358"/>
      <c r="X161" s="358"/>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row>
    <row r="162" spans="1:49" ht="13.5" customHeight="1">
      <c r="A162" s="1"/>
      <c r="B162" s="358"/>
      <c r="C162" s="358"/>
      <c r="D162" s="358"/>
      <c r="E162" s="358"/>
      <c r="F162" s="358"/>
      <c r="G162" s="358"/>
      <c r="H162" s="358"/>
      <c r="I162" s="358"/>
      <c r="J162" s="358"/>
      <c r="K162" s="358"/>
      <c r="L162" s="358"/>
      <c r="M162" s="358"/>
      <c r="N162" s="358"/>
      <c r="O162" s="358"/>
      <c r="P162" s="358"/>
      <c r="Q162" s="358"/>
      <c r="R162" s="358"/>
      <c r="S162" s="358"/>
      <c r="T162" s="358"/>
      <c r="U162" s="358"/>
      <c r="V162" s="358"/>
      <c r="W162" s="358"/>
      <c r="X162" s="358"/>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row>
    <row r="163" spans="1:49" ht="13.5" customHeight="1">
      <c r="A163" s="1"/>
      <c r="B163" s="358"/>
      <c r="C163" s="358"/>
      <c r="D163" s="358"/>
      <c r="E163" s="358"/>
      <c r="F163" s="358"/>
      <c r="G163" s="358"/>
      <c r="H163" s="358"/>
      <c r="I163" s="358"/>
      <c r="J163" s="358"/>
      <c r="K163" s="358"/>
      <c r="L163" s="358"/>
      <c r="M163" s="358"/>
      <c r="N163" s="358"/>
      <c r="O163" s="358"/>
      <c r="P163" s="358"/>
      <c r="Q163" s="358"/>
      <c r="R163" s="358"/>
      <c r="S163" s="358"/>
      <c r="T163" s="358"/>
      <c r="U163" s="358"/>
      <c r="V163" s="358"/>
      <c r="W163" s="358"/>
      <c r="X163" s="358"/>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row>
    <row r="164" spans="1:49" ht="13.5" customHeight="1">
      <c r="A164" s="1"/>
      <c r="B164" s="358"/>
      <c r="C164" s="358"/>
      <c r="D164" s="358"/>
      <c r="E164" s="358"/>
      <c r="F164" s="358"/>
      <c r="G164" s="358"/>
      <c r="H164" s="358"/>
      <c r="I164" s="358"/>
      <c r="J164" s="358"/>
      <c r="K164" s="358"/>
      <c r="L164" s="358"/>
      <c r="M164" s="358"/>
      <c r="N164" s="358"/>
      <c r="O164" s="358"/>
      <c r="P164" s="358"/>
      <c r="Q164" s="358"/>
      <c r="R164" s="358"/>
      <c r="S164" s="358"/>
      <c r="T164" s="358"/>
      <c r="U164" s="358"/>
      <c r="V164" s="358"/>
      <c r="W164" s="358"/>
      <c r="X164" s="358"/>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row>
    <row r="165" spans="1:49" ht="13.5" customHeight="1">
      <c r="A165" s="1"/>
      <c r="B165" s="358"/>
      <c r="C165" s="358"/>
      <c r="D165" s="358"/>
      <c r="E165" s="358"/>
      <c r="F165" s="358"/>
      <c r="G165" s="358"/>
      <c r="H165" s="358"/>
      <c r="I165" s="358"/>
      <c r="J165" s="358"/>
      <c r="K165" s="358"/>
      <c r="L165" s="358"/>
      <c r="M165" s="358"/>
      <c r="N165" s="358"/>
      <c r="O165" s="358"/>
      <c r="P165" s="358"/>
      <c r="Q165" s="358"/>
      <c r="R165" s="358"/>
      <c r="S165" s="358"/>
      <c r="T165" s="358"/>
      <c r="U165" s="358"/>
      <c r="V165" s="358"/>
      <c r="W165" s="358"/>
      <c r="X165" s="358"/>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row>
    <row r="166" spans="1:49" ht="13.5" customHeight="1">
      <c r="A166" s="1"/>
      <c r="B166" s="358"/>
      <c r="C166" s="358"/>
      <c r="D166" s="358"/>
      <c r="E166" s="358"/>
      <c r="F166" s="358"/>
      <c r="G166" s="358"/>
      <c r="H166" s="358"/>
      <c r="I166" s="358"/>
      <c r="J166" s="358"/>
      <c r="K166" s="358"/>
      <c r="L166" s="358"/>
      <c r="M166" s="358"/>
      <c r="N166" s="358"/>
      <c r="O166" s="358"/>
      <c r="P166" s="358"/>
      <c r="Q166" s="358"/>
      <c r="R166" s="358"/>
      <c r="S166" s="358"/>
      <c r="T166" s="358"/>
      <c r="U166" s="358"/>
      <c r="V166" s="358"/>
      <c r="W166" s="358"/>
      <c r="X166" s="358"/>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row>
    <row r="167" spans="1:49" ht="13.5" customHeight="1">
      <c r="A167" s="1"/>
      <c r="B167" s="358"/>
      <c r="C167" s="358"/>
      <c r="D167" s="358"/>
      <c r="E167" s="358"/>
      <c r="F167" s="358"/>
      <c r="G167" s="358"/>
      <c r="H167" s="358"/>
      <c r="I167" s="358"/>
      <c r="J167" s="358"/>
      <c r="K167" s="358"/>
      <c r="L167" s="358"/>
      <c r="M167" s="358"/>
      <c r="N167" s="358"/>
      <c r="O167" s="358"/>
      <c r="P167" s="358"/>
      <c r="Q167" s="358"/>
      <c r="R167" s="358"/>
      <c r="S167" s="358"/>
      <c r="T167" s="358"/>
      <c r="U167" s="358"/>
      <c r="V167" s="358"/>
      <c r="W167" s="358"/>
      <c r="X167" s="358"/>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row>
    <row r="168" spans="1:49" ht="13.5" customHeight="1">
      <c r="A168" s="1"/>
      <c r="B168" s="358"/>
      <c r="C168" s="358"/>
      <c r="D168" s="358"/>
      <c r="E168" s="358"/>
      <c r="F168" s="358"/>
      <c r="G168" s="358"/>
      <c r="H168" s="358"/>
      <c r="I168" s="358"/>
      <c r="J168" s="358"/>
      <c r="K168" s="358"/>
      <c r="L168" s="358"/>
      <c r="M168" s="358"/>
      <c r="N168" s="358"/>
      <c r="O168" s="358"/>
      <c r="P168" s="358"/>
      <c r="Q168" s="358"/>
      <c r="R168" s="358"/>
      <c r="S168" s="358"/>
      <c r="T168" s="358"/>
      <c r="U168" s="358"/>
      <c r="V168" s="358"/>
      <c r="W168" s="358"/>
      <c r="X168" s="358"/>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row>
    <row r="169" spans="1:49" ht="13.5" customHeight="1">
      <c r="A169" s="1"/>
      <c r="B169" s="358"/>
      <c r="C169" s="358"/>
      <c r="D169" s="358"/>
      <c r="E169" s="358"/>
      <c r="F169" s="358"/>
      <c r="G169" s="358"/>
      <c r="H169" s="358"/>
      <c r="I169" s="358"/>
      <c r="J169" s="358"/>
      <c r="K169" s="358"/>
      <c r="L169" s="358"/>
      <c r="M169" s="358"/>
      <c r="N169" s="358"/>
      <c r="O169" s="358"/>
      <c r="P169" s="358"/>
      <c r="Q169" s="358"/>
      <c r="R169" s="358"/>
      <c r="S169" s="358"/>
      <c r="T169" s="358"/>
      <c r="U169" s="358"/>
      <c r="V169" s="358"/>
      <c r="W169" s="358"/>
      <c r="X169" s="358"/>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row>
    <row r="170" spans="1:49" ht="13.5" customHeight="1">
      <c r="A170" s="1"/>
      <c r="B170" s="358"/>
      <c r="C170" s="358"/>
      <c r="D170" s="358"/>
      <c r="E170" s="358"/>
      <c r="F170" s="358"/>
      <c r="G170" s="358"/>
      <c r="H170" s="358"/>
      <c r="I170" s="358"/>
      <c r="J170" s="358"/>
      <c r="K170" s="358"/>
      <c r="L170" s="358"/>
      <c r="M170" s="358"/>
      <c r="N170" s="358"/>
      <c r="O170" s="358"/>
      <c r="P170" s="358"/>
      <c r="Q170" s="358"/>
      <c r="R170" s="358"/>
      <c r="S170" s="358"/>
      <c r="T170" s="358"/>
      <c r="U170" s="358"/>
      <c r="V170" s="358"/>
      <c r="W170" s="358"/>
      <c r="X170" s="358"/>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row>
    <row r="171" spans="1:49" ht="13.5" customHeight="1">
      <c r="A171" s="1"/>
      <c r="B171" s="358"/>
      <c r="C171" s="358"/>
      <c r="D171" s="358"/>
      <c r="E171" s="358"/>
      <c r="F171" s="358"/>
      <c r="G171" s="358"/>
      <c r="H171" s="358"/>
      <c r="I171" s="358"/>
      <c r="J171" s="358"/>
      <c r="K171" s="358"/>
      <c r="L171" s="358"/>
      <c r="M171" s="358"/>
      <c r="N171" s="358"/>
      <c r="O171" s="358"/>
      <c r="P171" s="358"/>
      <c r="Q171" s="358"/>
      <c r="R171" s="358"/>
      <c r="S171" s="358"/>
      <c r="T171" s="358"/>
      <c r="U171" s="358"/>
      <c r="V171" s="358"/>
      <c r="W171" s="358"/>
      <c r="X171" s="358"/>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row>
    <row r="172" spans="1:49" ht="13.5" customHeight="1">
      <c r="A172" s="1"/>
      <c r="B172" s="358"/>
      <c r="C172" s="358"/>
      <c r="D172" s="358"/>
      <c r="E172" s="358"/>
      <c r="F172" s="358"/>
      <c r="G172" s="358"/>
      <c r="H172" s="358"/>
      <c r="I172" s="358"/>
      <c r="J172" s="358"/>
      <c r="K172" s="358"/>
      <c r="L172" s="358"/>
      <c r="M172" s="358"/>
      <c r="N172" s="358"/>
      <c r="O172" s="358"/>
      <c r="P172" s="358"/>
      <c r="Q172" s="358"/>
      <c r="R172" s="358"/>
      <c r="S172" s="358"/>
      <c r="T172" s="358"/>
      <c r="U172" s="358"/>
      <c r="V172" s="358"/>
      <c r="W172" s="358"/>
      <c r="X172" s="358"/>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row>
    <row r="173" spans="1:49" ht="13.5" customHeight="1">
      <c r="A173" s="1"/>
      <c r="B173" s="358"/>
      <c r="C173" s="358"/>
      <c r="D173" s="358"/>
      <c r="E173" s="358"/>
      <c r="F173" s="358"/>
      <c r="G173" s="358"/>
      <c r="H173" s="358"/>
      <c r="I173" s="358"/>
      <c r="J173" s="358"/>
      <c r="K173" s="358"/>
      <c r="L173" s="358"/>
      <c r="M173" s="358"/>
      <c r="N173" s="358"/>
      <c r="O173" s="358"/>
      <c r="P173" s="358"/>
      <c r="Q173" s="358"/>
      <c r="R173" s="358"/>
      <c r="S173" s="358"/>
      <c r="T173" s="358"/>
      <c r="U173" s="358"/>
      <c r="V173" s="358"/>
      <c r="W173" s="358"/>
      <c r="X173" s="358"/>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row>
    <row r="174" spans="1:49" ht="13.5" customHeight="1">
      <c r="A174" s="1"/>
      <c r="B174" s="358"/>
      <c r="C174" s="358"/>
      <c r="D174" s="358"/>
      <c r="E174" s="358"/>
      <c r="F174" s="358"/>
      <c r="G174" s="358"/>
      <c r="H174" s="358"/>
      <c r="I174" s="358"/>
      <c r="J174" s="358"/>
      <c r="K174" s="358"/>
      <c r="L174" s="358"/>
      <c r="M174" s="358"/>
      <c r="N174" s="358"/>
      <c r="O174" s="358"/>
      <c r="P174" s="358"/>
      <c r="Q174" s="358"/>
      <c r="R174" s="358"/>
      <c r="S174" s="358"/>
      <c r="T174" s="358"/>
      <c r="U174" s="358"/>
      <c r="V174" s="358"/>
      <c r="W174" s="358"/>
      <c r="X174" s="358"/>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row>
    <row r="175" spans="1:49" ht="13.5" customHeight="1">
      <c r="A175" s="1"/>
      <c r="B175" s="358"/>
      <c r="C175" s="358"/>
      <c r="D175" s="358"/>
      <c r="E175" s="358"/>
      <c r="F175" s="358"/>
      <c r="G175" s="358"/>
      <c r="H175" s="358"/>
      <c r="I175" s="358"/>
      <c r="J175" s="358"/>
      <c r="K175" s="358"/>
      <c r="L175" s="358"/>
      <c r="M175" s="358"/>
      <c r="N175" s="358"/>
      <c r="O175" s="358"/>
      <c r="P175" s="358"/>
      <c r="Q175" s="358"/>
      <c r="R175" s="358"/>
      <c r="S175" s="358"/>
      <c r="T175" s="358"/>
      <c r="U175" s="358"/>
      <c r="V175" s="358"/>
      <c r="W175" s="358"/>
      <c r="X175" s="358"/>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row>
    <row r="176" spans="1:49" ht="13.5" customHeight="1">
      <c r="A176" s="1"/>
      <c r="B176" s="358"/>
      <c r="C176" s="358"/>
      <c r="D176" s="358"/>
      <c r="E176" s="358"/>
      <c r="F176" s="358"/>
      <c r="G176" s="358"/>
      <c r="H176" s="358"/>
      <c r="I176" s="358"/>
      <c r="J176" s="358"/>
      <c r="K176" s="358"/>
      <c r="L176" s="358"/>
      <c r="M176" s="358"/>
      <c r="N176" s="358"/>
      <c r="O176" s="358"/>
      <c r="P176" s="358"/>
      <c r="Q176" s="358"/>
      <c r="R176" s="358"/>
      <c r="S176" s="358"/>
      <c r="T176" s="358"/>
      <c r="U176" s="358"/>
      <c r="V176" s="358"/>
      <c r="W176" s="358"/>
      <c r="X176" s="358"/>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row>
    <row r="177" spans="1:49" ht="13.5" customHeight="1">
      <c r="A177" s="1"/>
      <c r="B177" s="358"/>
      <c r="C177" s="358"/>
      <c r="D177" s="358"/>
      <c r="E177" s="358"/>
      <c r="F177" s="358"/>
      <c r="G177" s="358"/>
      <c r="H177" s="358"/>
      <c r="I177" s="358"/>
      <c r="J177" s="358"/>
      <c r="K177" s="358"/>
      <c r="L177" s="358"/>
      <c r="M177" s="358"/>
      <c r="N177" s="358"/>
      <c r="O177" s="358"/>
      <c r="P177" s="358"/>
      <c r="Q177" s="358"/>
      <c r="R177" s="358"/>
      <c r="S177" s="358"/>
      <c r="T177" s="358"/>
      <c r="U177" s="358"/>
      <c r="V177" s="358"/>
      <c r="W177" s="358"/>
      <c r="X177" s="358"/>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row>
    <row r="178" spans="1:49" ht="13.5" customHeight="1">
      <c r="A178" s="1"/>
      <c r="B178" s="358"/>
      <c r="C178" s="358"/>
      <c r="D178" s="358"/>
      <c r="E178" s="358"/>
      <c r="F178" s="358"/>
      <c r="G178" s="358"/>
      <c r="H178" s="358"/>
      <c r="I178" s="358"/>
      <c r="J178" s="358"/>
      <c r="K178" s="358"/>
      <c r="L178" s="358"/>
      <c r="M178" s="358"/>
      <c r="N178" s="358"/>
      <c r="O178" s="358"/>
      <c r="P178" s="358"/>
      <c r="Q178" s="358"/>
      <c r="R178" s="358"/>
      <c r="S178" s="358"/>
      <c r="T178" s="358"/>
      <c r="U178" s="358"/>
      <c r="V178" s="358"/>
      <c r="W178" s="358"/>
      <c r="X178" s="358"/>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row>
    <row r="179" spans="1:49" ht="13.5" customHeight="1">
      <c r="A179" s="1"/>
      <c r="B179" s="358"/>
      <c r="C179" s="358"/>
      <c r="D179" s="358"/>
      <c r="E179" s="358"/>
      <c r="F179" s="358"/>
      <c r="G179" s="358"/>
      <c r="H179" s="358"/>
      <c r="I179" s="358"/>
      <c r="J179" s="358"/>
      <c r="K179" s="358"/>
      <c r="L179" s="358"/>
      <c r="M179" s="358"/>
      <c r="N179" s="358"/>
      <c r="O179" s="358"/>
      <c r="P179" s="358"/>
      <c r="Q179" s="358"/>
      <c r="R179" s="358"/>
      <c r="S179" s="358"/>
      <c r="T179" s="358"/>
      <c r="U179" s="358"/>
      <c r="V179" s="358"/>
      <c r="W179" s="358"/>
      <c r="X179" s="358"/>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row>
    <row r="180" spans="1:49" ht="13.5" customHeight="1">
      <c r="A180" s="1"/>
      <c r="B180" s="358"/>
      <c r="C180" s="358"/>
      <c r="D180" s="358"/>
      <c r="E180" s="358"/>
      <c r="F180" s="358"/>
      <c r="G180" s="358"/>
      <c r="H180" s="358"/>
      <c r="I180" s="358"/>
      <c r="J180" s="358"/>
      <c r="K180" s="358"/>
      <c r="L180" s="358"/>
      <c r="M180" s="358"/>
      <c r="N180" s="358"/>
      <c r="O180" s="358"/>
      <c r="P180" s="358"/>
      <c r="Q180" s="358"/>
      <c r="R180" s="358"/>
      <c r="S180" s="358"/>
      <c r="T180" s="358"/>
      <c r="U180" s="358"/>
      <c r="V180" s="358"/>
      <c r="W180" s="358"/>
      <c r="X180" s="358"/>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row>
    <row r="181" spans="1:49" ht="13.5" customHeight="1">
      <c r="A181" s="1"/>
      <c r="B181" s="358"/>
      <c r="C181" s="358"/>
      <c r="D181" s="358"/>
      <c r="E181" s="358"/>
      <c r="F181" s="358"/>
      <c r="G181" s="358"/>
      <c r="H181" s="358"/>
      <c r="I181" s="358"/>
      <c r="J181" s="358"/>
      <c r="K181" s="358"/>
      <c r="L181" s="358"/>
      <c r="M181" s="358"/>
      <c r="N181" s="358"/>
      <c r="O181" s="358"/>
      <c r="P181" s="358"/>
      <c r="Q181" s="358"/>
      <c r="R181" s="358"/>
      <c r="S181" s="358"/>
      <c r="T181" s="358"/>
      <c r="U181" s="358"/>
      <c r="V181" s="358"/>
      <c r="W181" s="358"/>
      <c r="X181" s="358"/>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row>
    <row r="182" spans="1:49" ht="13.5" customHeight="1">
      <c r="A182" s="1"/>
      <c r="B182" s="358"/>
      <c r="C182" s="358"/>
      <c r="D182" s="358"/>
      <c r="E182" s="358"/>
      <c r="F182" s="358"/>
      <c r="G182" s="358"/>
      <c r="H182" s="358"/>
      <c r="I182" s="358"/>
      <c r="J182" s="358"/>
      <c r="K182" s="358"/>
      <c r="L182" s="358"/>
      <c r="M182" s="358"/>
      <c r="N182" s="358"/>
      <c r="O182" s="358"/>
      <c r="P182" s="358"/>
      <c r="Q182" s="358"/>
      <c r="R182" s="358"/>
      <c r="S182" s="358"/>
      <c r="T182" s="358"/>
      <c r="U182" s="358"/>
      <c r="V182" s="358"/>
      <c r="W182" s="358"/>
      <c r="X182" s="358"/>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row>
    <row r="183" spans="1:49" ht="13.5" customHeight="1">
      <c r="A183" s="1"/>
      <c r="B183" s="358"/>
      <c r="C183" s="358"/>
      <c r="D183" s="358"/>
      <c r="E183" s="358"/>
      <c r="F183" s="358"/>
      <c r="G183" s="358"/>
      <c r="H183" s="358"/>
      <c r="I183" s="358"/>
      <c r="J183" s="358"/>
      <c r="K183" s="358"/>
      <c r="L183" s="358"/>
      <c r="M183" s="358"/>
      <c r="N183" s="358"/>
      <c r="O183" s="358"/>
      <c r="P183" s="358"/>
      <c r="Q183" s="358"/>
      <c r="R183" s="358"/>
      <c r="S183" s="358"/>
      <c r="T183" s="358"/>
      <c r="U183" s="358"/>
      <c r="V183" s="358"/>
      <c r="W183" s="358"/>
      <c r="X183" s="358"/>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row>
    <row r="184" spans="1:49" ht="13.5" customHeight="1">
      <c r="A184" s="1"/>
      <c r="B184" s="358"/>
      <c r="C184" s="358"/>
      <c r="D184" s="358"/>
      <c r="E184" s="358"/>
      <c r="F184" s="358"/>
      <c r="G184" s="358"/>
      <c r="H184" s="358"/>
      <c r="I184" s="358"/>
      <c r="J184" s="358"/>
      <c r="K184" s="358"/>
      <c r="L184" s="358"/>
      <c r="M184" s="358"/>
      <c r="N184" s="358"/>
      <c r="O184" s="358"/>
      <c r="P184" s="358"/>
      <c r="Q184" s="358"/>
      <c r="R184" s="358"/>
      <c r="S184" s="358"/>
      <c r="T184" s="358"/>
      <c r="U184" s="358"/>
      <c r="V184" s="358"/>
      <c r="W184" s="358"/>
      <c r="X184" s="358"/>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row>
    <row r="185" spans="1:49" ht="13.5" customHeight="1">
      <c r="A185" s="1"/>
      <c r="B185" s="358"/>
      <c r="C185" s="358"/>
      <c r="D185" s="358"/>
      <c r="E185" s="358"/>
      <c r="F185" s="358"/>
      <c r="G185" s="358"/>
      <c r="H185" s="358"/>
      <c r="I185" s="358"/>
      <c r="J185" s="358"/>
      <c r="K185" s="358"/>
      <c r="L185" s="358"/>
      <c r="M185" s="358"/>
      <c r="N185" s="358"/>
      <c r="O185" s="358"/>
      <c r="P185" s="358"/>
      <c r="Q185" s="358"/>
      <c r="R185" s="358"/>
      <c r="S185" s="358"/>
      <c r="T185" s="358"/>
      <c r="U185" s="358"/>
      <c r="V185" s="358"/>
      <c r="W185" s="358"/>
      <c r="X185" s="358"/>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row>
    <row r="186" spans="1:49" ht="13.5" customHeight="1">
      <c r="A186" s="1"/>
      <c r="B186" s="358"/>
      <c r="C186" s="358"/>
      <c r="D186" s="358"/>
      <c r="E186" s="358"/>
      <c r="F186" s="358"/>
      <c r="G186" s="358"/>
      <c r="H186" s="358"/>
      <c r="I186" s="358"/>
      <c r="J186" s="358"/>
      <c r="K186" s="358"/>
      <c r="L186" s="358"/>
      <c r="M186" s="358"/>
      <c r="N186" s="358"/>
      <c r="O186" s="358"/>
      <c r="P186" s="358"/>
      <c r="Q186" s="358"/>
      <c r="R186" s="358"/>
      <c r="S186" s="358"/>
      <c r="T186" s="358"/>
      <c r="U186" s="358"/>
      <c r="V186" s="358"/>
      <c r="W186" s="358"/>
      <c r="X186" s="358"/>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row>
    <row r="187" spans="1:49" ht="13.5" customHeight="1">
      <c r="A187" s="1"/>
      <c r="B187" s="358"/>
      <c r="C187" s="358"/>
      <c r="D187" s="358"/>
      <c r="E187" s="358"/>
      <c r="F187" s="358"/>
      <c r="G187" s="358"/>
      <c r="H187" s="358"/>
      <c r="I187" s="358"/>
      <c r="J187" s="358"/>
      <c r="K187" s="358"/>
      <c r="L187" s="358"/>
      <c r="M187" s="358"/>
      <c r="N187" s="358"/>
      <c r="O187" s="358"/>
      <c r="P187" s="358"/>
      <c r="Q187" s="358"/>
      <c r="R187" s="358"/>
      <c r="S187" s="358"/>
      <c r="T187" s="358"/>
      <c r="U187" s="358"/>
      <c r="V187" s="358"/>
      <c r="W187" s="358"/>
      <c r="X187" s="358"/>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row>
    <row r="188" spans="1:49" ht="13.5" customHeight="1">
      <c r="A188" s="1"/>
      <c r="B188" s="358"/>
      <c r="C188" s="358"/>
      <c r="D188" s="358"/>
      <c r="E188" s="358"/>
      <c r="F188" s="358"/>
      <c r="G188" s="358"/>
      <c r="H188" s="358"/>
      <c r="I188" s="358"/>
      <c r="J188" s="358"/>
      <c r="K188" s="358"/>
      <c r="L188" s="358"/>
      <c r="M188" s="358"/>
      <c r="N188" s="358"/>
      <c r="O188" s="358"/>
      <c r="P188" s="358"/>
      <c r="Q188" s="358"/>
      <c r="R188" s="358"/>
      <c r="S188" s="358"/>
      <c r="T188" s="358"/>
      <c r="U188" s="358"/>
      <c r="V188" s="358"/>
      <c r="W188" s="358"/>
      <c r="X188" s="358"/>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row>
    <row r="189" spans="1:49" ht="13.5" customHeight="1">
      <c r="A189" s="1"/>
      <c r="B189" s="358"/>
      <c r="C189" s="358"/>
      <c r="D189" s="358"/>
      <c r="E189" s="358"/>
      <c r="F189" s="358"/>
      <c r="G189" s="358"/>
      <c r="H189" s="358"/>
      <c r="I189" s="358"/>
      <c r="J189" s="358"/>
      <c r="K189" s="358"/>
      <c r="L189" s="358"/>
      <c r="M189" s="358"/>
      <c r="N189" s="358"/>
      <c r="O189" s="358"/>
      <c r="P189" s="358"/>
      <c r="Q189" s="358"/>
      <c r="R189" s="358"/>
      <c r="S189" s="358"/>
      <c r="T189" s="358"/>
      <c r="U189" s="358"/>
      <c r="V189" s="358"/>
      <c r="W189" s="358"/>
      <c r="X189" s="358"/>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row>
    <row r="190" spans="1:49" ht="13.5" customHeight="1">
      <c r="A190" s="1"/>
      <c r="B190" s="358"/>
      <c r="C190" s="358"/>
      <c r="D190" s="358"/>
      <c r="E190" s="358"/>
      <c r="F190" s="358"/>
      <c r="G190" s="358"/>
      <c r="H190" s="358"/>
      <c r="I190" s="358"/>
      <c r="J190" s="358"/>
      <c r="K190" s="358"/>
      <c r="L190" s="358"/>
      <c r="M190" s="358"/>
      <c r="N190" s="358"/>
      <c r="O190" s="358"/>
      <c r="P190" s="358"/>
      <c r="Q190" s="358"/>
      <c r="R190" s="358"/>
      <c r="S190" s="358"/>
      <c r="T190" s="358"/>
      <c r="U190" s="358"/>
      <c r="V190" s="358"/>
      <c r="W190" s="358"/>
      <c r="X190" s="358"/>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row>
    <row r="191" spans="1:49" ht="13.5" customHeight="1">
      <c r="A191" s="1"/>
      <c r="B191" s="358"/>
      <c r="C191" s="358"/>
      <c r="D191" s="358"/>
      <c r="E191" s="358"/>
      <c r="F191" s="358"/>
      <c r="G191" s="358"/>
      <c r="H191" s="358"/>
      <c r="I191" s="358"/>
      <c r="J191" s="358"/>
      <c r="K191" s="358"/>
      <c r="L191" s="358"/>
      <c r="M191" s="358"/>
      <c r="N191" s="358"/>
      <c r="O191" s="358"/>
      <c r="P191" s="358"/>
      <c r="Q191" s="358"/>
      <c r="R191" s="358"/>
      <c r="S191" s="358"/>
      <c r="T191" s="358"/>
      <c r="U191" s="358"/>
      <c r="V191" s="358"/>
      <c r="W191" s="358"/>
      <c r="X191" s="358"/>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row>
    <row r="192" spans="1:49" ht="13.5" customHeight="1">
      <c r="A192" s="1"/>
      <c r="B192" s="358"/>
      <c r="C192" s="358"/>
      <c r="D192" s="358"/>
      <c r="E192" s="358"/>
      <c r="F192" s="358"/>
      <c r="G192" s="358"/>
      <c r="H192" s="358"/>
      <c r="I192" s="358"/>
      <c r="J192" s="358"/>
      <c r="K192" s="358"/>
      <c r="L192" s="358"/>
      <c r="M192" s="358"/>
      <c r="N192" s="358"/>
      <c r="O192" s="358"/>
      <c r="P192" s="358"/>
      <c r="Q192" s="358"/>
      <c r="R192" s="358"/>
      <c r="S192" s="358"/>
      <c r="T192" s="358"/>
      <c r="U192" s="358"/>
      <c r="V192" s="358"/>
      <c r="W192" s="358"/>
      <c r="X192" s="358"/>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row>
    <row r="193" spans="1:49" ht="13.5" customHeight="1">
      <c r="A193" s="1"/>
      <c r="B193" s="358"/>
      <c r="C193" s="358"/>
      <c r="D193" s="358"/>
      <c r="E193" s="358"/>
      <c r="F193" s="358"/>
      <c r="G193" s="358"/>
      <c r="H193" s="358"/>
      <c r="I193" s="358"/>
      <c r="J193" s="358"/>
      <c r="K193" s="358"/>
      <c r="L193" s="358"/>
      <c r="M193" s="358"/>
      <c r="N193" s="358"/>
      <c r="O193" s="358"/>
      <c r="P193" s="358"/>
      <c r="Q193" s="358"/>
      <c r="R193" s="358"/>
      <c r="S193" s="358"/>
      <c r="T193" s="358"/>
      <c r="U193" s="358"/>
      <c r="V193" s="358"/>
      <c r="W193" s="358"/>
      <c r="X193" s="358"/>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row>
    <row r="194" spans="1:49" ht="13.5" customHeight="1">
      <c r="A194" s="1"/>
      <c r="B194" s="358"/>
      <c r="C194" s="358"/>
      <c r="D194" s="358"/>
      <c r="E194" s="358"/>
      <c r="F194" s="358"/>
      <c r="G194" s="358"/>
      <c r="H194" s="358"/>
      <c r="I194" s="358"/>
      <c r="J194" s="358"/>
      <c r="K194" s="358"/>
      <c r="L194" s="358"/>
      <c r="M194" s="358"/>
      <c r="N194" s="358"/>
      <c r="O194" s="358"/>
      <c r="P194" s="358"/>
      <c r="Q194" s="358"/>
      <c r="R194" s="358"/>
      <c r="S194" s="358"/>
      <c r="T194" s="358"/>
      <c r="U194" s="358"/>
      <c r="V194" s="358"/>
      <c r="W194" s="358"/>
      <c r="X194" s="358"/>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row>
    <row r="195" spans="1:49" ht="13.5" customHeight="1">
      <c r="A195" s="1"/>
      <c r="B195" s="358"/>
      <c r="C195" s="358"/>
      <c r="D195" s="358"/>
      <c r="E195" s="358"/>
      <c r="F195" s="358"/>
      <c r="G195" s="358"/>
      <c r="H195" s="358"/>
      <c r="I195" s="358"/>
      <c r="J195" s="358"/>
      <c r="K195" s="358"/>
      <c r="L195" s="358"/>
      <c r="M195" s="358"/>
      <c r="N195" s="358"/>
      <c r="O195" s="358"/>
      <c r="P195" s="358"/>
      <c r="Q195" s="358"/>
      <c r="R195" s="358"/>
      <c r="S195" s="358"/>
      <c r="T195" s="358"/>
      <c r="U195" s="358"/>
      <c r="V195" s="358"/>
      <c r="W195" s="358"/>
      <c r="X195" s="358"/>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row>
    <row r="196" spans="1:49" ht="13.5" customHeight="1">
      <c r="A196" s="1"/>
      <c r="B196" s="358"/>
      <c r="C196" s="358"/>
      <c r="D196" s="358"/>
      <c r="E196" s="358"/>
      <c r="F196" s="358"/>
      <c r="G196" s="358"/>
      <c r="H196" s="358"/>
      <c r="I196" s="358"/>
      <c r="J196" s="358"/>
      <c r="K196" s="358"/>
      <c r="L196" s="358"/>
      <c r="M196" s="358"/>
      <c r="N196" s="358"/>
      <c r="O196" s="358"/>
      <c r="P196" s="358"/>
      <c r="Q196" s="358"/>
      <c r="R196" s="358"/>
      <c r="S196" s="358"/>
      <c r="T196" s="358"/>
      <c r="U196" s="358"/>
      <c r="V196" s="358"/>
      <c r="W196" s="358"/>
      <c r="X196" s="358"/>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row>
    <row r="197" spans="1:49" ht="13.5" customHeight="1">
      <c r="A197" s="1"/>
      <c r="B197" s="358"/>
      <c r="C197" s="358"/>
      <c r="D197" s="358"/>
      <c r="E197" s="358"/>
      <c r="F197" s="358"/>
      <c r="G197" s="358"/>
      <c r="H197" s="358"/>
      <c r="I197" s="358"/>
      <c r="J197" s="358"/>
      <c r="K197" s="358"/>
      <c r="L197" s="358"/>
      <c r="M197" s="358"/>
      <c r="N197" s="358"/>
      <c r="O197" s="358"/>
      <c r="P197" s="358"/>
      <c r="Q197" s="358"/>
      <c r="R197" s="358"/>
      <c r="S197" s="358"/>
      <c r="T197" s="358"/>
      <c r="U197" s="358"/>
      <c r="V197" s="358"/>
      <c r="W197" s="358"/>
      <c r="X197" s="358"/>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row>
    <row r="198" spans="1:49" ht="13.5" customHeight="1">
      <c r="A198" s="1"/>
      <c r="B198" s="358"/>
      <c r="C198" s="358"/>
      <c r="D198" s="358"/>
      <c r="E198" s="358"/>
      <c r="F198" s="358"/>
      <c r="G198" s="358"/>
      <c r="H198" s="358"/>
      <c r="I198" s="358"/>
      <c r="J198" s="358"/>
      <c r="K198" s="358"/>
      <c r="L198" s="358"/>
      <c r="M198" s="358"/>
      <c r="N198" s="358"/>
      <c r="O198" s="358"/>
      <c r="P198" s="358"/>
      <c r="Q198" s="358"/>
      <c r="R198" s="358"/>
      <c r="S198" s="358"/>
      <c r="T198" s="358"/>
      <c r="U198" s="358"/>
      <c r="V198" s="358"/>
      <c r="W198" s="358"/>
      <c r="X198" s="358"/>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row>
    <row r="199" spans="1:49" ht="13.5" customHeight="1">
      <c r="A199" s="1"/>
      <c r="B199" s="358"/>
      <c r="C199" s="358"/>
      <c r="D199" s="358"/>
      <c r="E199" s="358"/>
      <c r="F199" s="358"/>
      <c r="G199" s="358"/>
      <c r="H199" s="358"/>
      <c r="I199" s="358"/>
      <c r="J199" s="358"/>
      <c r="K199" s="358"/>
      <c r="L199" s="358"/>
      <c r="M199" s="358"/>
      <c r="N199" s="358"/>
      <c r="O199" s="358"/>
      <c r="P199" s="358"/>
      <c r="Q199" s="358"/>
      <c r="R199" s="358"/>
      <c r="S199" s="358"/>
      <c r="T199" s="358"/>
      <c r="U199" s="358"/>
      <c r="V199" s="358"/>
      <c r="W199" s="358"/>
      <c r="X199" s="358"/>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row>
    <row r="200" spans="1:49" ht="13.5" customHeight="1">
      <c r="A200" s="1"/>
      <c r="B200" s="358"/>
      <c r="C200" s="358"/>
      <c r="D200" s="358"/>
      <c r="E200" s="358"/>
      <c r="F200" s="358"/>
      <c r="G200" s="358"/>
      <c r="H200" s="358"/>
      <c r="I200" s="358"/>
      <c r="J200" s="358"/>
      <c r="K200" s="358"/>
      <c r="L200" s="358"/>
      <c r="M200" s="358"/>
      <c r="N200" s="358"/>
      <c r="O200" s="358"/>
      <c r="P200" s="358"/>
      <c r="Q200" s="358"/>
      <c r="R200" s="358"/>
      <c r="S200" s="358"/>
      <c r="T200" s="358"/>
      <c r="U200" s="358"/>
      <c r="V200" s="358"/>
      <c r="W200" s="358"/>
      <c r="X200" s="358"/>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row>
    <row r="201" spans="1:49" ht="13.5" customHeight="1">
      <c r="A201" s="1"/>
      <c r="B201" s="358"/>
      <c r="C201" s="358"/>
      <c r="D201" s="358"/>
      <c r="E201" s="358"/>
      <c r="F201" s="358"/>
      <c r="G201" s="358"/>
      <c r="H201" s="358"/>
      <c r="I201" s="358"/>
      <c r="J201" s="358"/>
      <c r="K201" s="358"/>
      <c r="L201" s="358"/>
      <c r="M201" s="358"/>
      <c r="N201" s="358"/>
      <c r="O201" s="358"/>
      <c r="P201" s="358"/>
      <c r="Q201" s="358"/>
      <c r="R201" s="358"/>
      <c r="S201" s="358"/>
      <c r="T201" s="358"/>
      <c r="U201" s="358"/>
      <c r="V201" s="358"/>
      <c r="W201" s="358"/>
      <c r="X201" s="358"/>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row>
    <row r="202" spans="1:49" ht="13.5" customHeight="1">
      <c r="A202" s="1"/>
      <c r="B202" s="358"/>
      <c r="C202" s="358"/>
      <c r="D202" s="358"/>
      <c r="E202" s="358"/>
      <c r="F202" s="358"/>
      <c r="G202" s="358"/>
      <c r="H202" s="358"/>
      <c r="I202" s="358"/>
      <c r="J202" s="358"/>
      <c r="K202" s="358"/>
      <c r="L202" s="358"/>
      <c r="M202" s="358"/>
      <c r="N202" s="358"/>
      <c r="O202" s="358"/>
      <c r="P202" s="358"/>
      <c r="Q202" s="358"/>
      <c r="R202" s="358"/>
      <c r="S202" s="358"/>
      <c r="T202" s="358"/>
      <c r="U202" s="358"/>
      <c r="V202" s="358"/>
      <c r="W202" s="358"/>
      <c r="X202" s="358"/>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row>
    <row r="203" spans="1:49" ht="13.5" customHeight="1">
      <c r="A203" s="1"/>
      <c r="B203" s="358"/>
      <c r="C203" s="358"/>
      <c r="D203" s="358"/>
      <c r="E203" s="358"/>
      <c r="F203" s="358"/>
      <c r="G203" s="358"/>
      <c r="H203" s="358"/>
      <c r="I203" s="358"/>
      <c r="J203" s="358"/>
      <c r="K203" s="358"/>
      <c r="L203" s="358"/>
      <c r="M203" s="358"/>
      <c r="N203" s="358"/>
      <c r="O203" s="358"/>
      <c r="P203" s="358"/>
      <c r="Q203" s="358"/>
      <c r="R203" s="358"/>
      <c r="S203" s="358"/>
      <c r="T203" s="358"/>
      <c r="U203" s="358"/>
      <c r="V203" s="358"/>
      <c r="W203" s="358"/>
      <c r="X203" s="358"/>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row>
    <row r="204" spans="1:49" ht="13.5" customHeight="1">
      <c r="A204" s="1"/>
      <c r="B204" s="358"/>
      <c r="C204" s="358"/>
      <c r="D204" s="358"/>
      <c r="E204" s="358"/>
      <c r="F204" s="358"/>
      <c r="G204" s="358"/>
      <c r="H204" s="358"/>
      <c r="I204" s="358"/>
      <c r="J204" s="358"/>
      <c r="K204" s="358"/>
      <c r="L204" s="358"/>
      <c r="M204" s="358"/>
      <c r="N204" s="358"/>
      <c r="O204" s="358"/>
      <c r="P204" s="358"/>
      <c r="Q204" s="358"/>
      <c r="R204" s="358"/>
      <c r="S204" s="358"/>
      <c r="T204" s="358"/>
      <c r="U204" s="358"/>
      <c r="V204" s="358"/>
      <c r="W204" s="358"/>
      <c r="X204" s="358"/>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row>
    <row r="205" spans="1:49" ht="13.5" customHeight="1">
      <c r="A205" s="1"/>
      <c r="B205" s="358"/>
      <c r="C205" s="358"/>
      <c r="D205" s="358"/>
      <c r="E205" s="358"/>
      <c r="F205" s="358"/>
      <c r="G205" s="358"/>
      <c r="H205" s="358"/>
      <c r="I205" s="358"/>
      <c r="J205" s="358"/>
      <c r="K205" s="358"/>
      <c r="L205" s="358"/>
      <c r="M205" s="358"/>
      <c r="N205" s="358"/>
      <c r="O205" s="358"/>
      <c r="P205" s="358"/>
      <c r="Q205" s="358"/>
      <c r="R205" s="358"/>
      <c r="S205" s="358"/>
      <c r="T205" s="358"/>
      <c r="U205" s="358"/>
      <c r="V205" s="358"/>
      <c r="W205" s="358"/>
      <c r="X205" s="358"/>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row>
    <row r="206" spans="1:49" ht="13.5" customHeight="1">
      <c r="A206" s="1"/>
      <c r="B206" s="358"/>
      <c r="C206" s="358"/>
      <c r="D206" s="358"/>
      <c r="E206" s="358"/>
      <c r="F206" s="358"/>
      <c r="G206" s="358"/>
      <c r="H206" s="358"/>
      <c r="I206" s="358"/>
      <c r="J206" s="358"/>
      <c r="K206" s="358"/>
      <c r="L206" s="358"/>
      <c r="M206" s="358"/>
      <c r="N206" s="358"/>
      <c r="O206" s="358"/>
      <c r="P206" s="358"/>
      <c r="Q206" s="358"/>
      <c r="R206" s="358"/>
      <c r="S206" s="358"/>
      <c r="T206" s="358"/>
      <c r="U206" s="358"/>
      <c r="V206" s="358"/>
      <c r="W206" s="358"/>
      <c r="X206" s="358"/>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row>
    <row r="207" spans="1:49" ht="13.5" customHeight="1">
      <c r="A207" s="1"/>
      <c r="B207" s="358"/>
      <c r="C207" s="358"/>
      <c r="D207" s="358"/>
      <c r="E207" s="358"/>
      <c r="F207" s="358"/>
      <c r="G207" s="358"/>
      <c r="H207" s="358"/>
      <c r="I207" s="358"/>
      <c r="J207" s="358"/>
      <c r="K207" s="358"/>
      <c r="L207" s="358"/>
      <c r="M207" s="358"/>
      <c r="N207" s="358"/>
      <c r="O207" s="358"/>
      <c r="P207" s="358"/>
      <c r="Q207" s="358"/>
      <c r="R207" s="358"/>
      <c r="S207" s="358"/>
      <c r="T207" s="358"/>
      <c r="U207" s="358"/>
      <c r="V207" s="358"/>
      <c r="W207" s="358"/>
      <c r="X207" s="358"/>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row>
    <row r="208" spans="1:49" ht="13.5" customHeight="1">
      <c r="A208" s="1"/>
      <c r="B208" s="358"/>
      <c r="C208" s="358"/>
      <c r="D208" s="358"/>
      <c r="E208" s="358"/>
      <c r="F208" s="358"/>
      <c r="G208" s="358"/>
      <c r="H208" s="358"/>
      <c r="I208" s="358"/>
      <c r="J208" s="358"/>
      <c r="K208" s="358"/>
      <c r="L208" s="358"/>
      <c r="M208" s="358"/>
      <c r="N208" s="358"/>
      <c r="O208" s="358"/>
      <c r="P208" s="358"/>
      <c r="Q208" s="358"/>
      <c r="R208" s="358"/>
      <c r="S208" s="358"/>
      <c r="T208" s="358"/>
      <c r="U208" s="358"/>
      <c r="V208" s="358"/>
      <c r="W208" s="358"/>
      <c r="X208" s="358"/>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row>
    <row r="209" spans="1:49" ht="13.5" customHeight="1">
      <c r="A209" s="1"/>
      <c r="B209" s="358"/>
      <c r="C209" s="358"/>
      <c r="D209" s="358"/>
      <c r="E209" s="358"/>
      <c r="F209" s="358"/>
      <c r="G209" s="358"/>
      <c r="H209" s="358"/>
      <c r="I209" s="358"/>
      <c r="J209" s="358"/>
      <c r="K209" s="358"/>
      <c r="L209" s="358"/>
      <c r="M209" s="358"/>
      <c r="N209" s="358"/>
      <c r="O209" s="358"/>
      <c r="P209" s="358"/>
      <c r="Q209" s="358"/>
      <c r="R209" s="358"/>
      <c r="S209" s="358"/>
      <c r="T209" s="358"/>
      <c r="U209" s="358"/>
      <c r="V209" s="358"/>
      <c r="W209" s="358"/>
      <c r="X209" s="358"/>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row>
    <row r="210" spans="1:49" ht="13.5" customHeight="1">
      <c r="A210" s="1"/>
      <c r="B210" s="358"/>
      <c r="C210" s="358"/>
      <c r="D210" s="358"/>
      <c r="E210" s="358"/>
      <c r="F210" s="358"/>
      <c r="G210" s="358"/>
      <c r="H210" s="358"/>
      <c r="I210" s="358"/>
      <c r="J210" s="358"/>
      <c r="K210" s="358"/>
      <c r="L210" s="358"/>
      <c r="M210" s="358"/>
      <c r="N210" s="358"/>
      <c r="O210" s="358"/>
      <c r="P210" s="358"/>
      <c r="Q210" s="358"/>
      <c r="R210" s="358"/>
      <c r="S210" s="358"/>
      <c r="T210" s="358"/>
      <c r="U210" s="358"/>
      <c r="V210" s="358"/>
      <c r="W210" s="358"/>
      <c r="X210" s="358"/>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row>
    <row r="211" spans="1:49" ht="13.5" customHeight="1">
      <c r="A211" s="1"/>
      <c r="B211" s="358"/>
      <c r="C211" s="358"/>
      <c r="D211" s="358"/>
      <c r="E211" s="358"/>
      <c r="F211" s="358"/>
      <c r="G211" s="358"/>
      <c r="H211" s="358"/>
      <c r="I211" s="358"/>
      <c r="J211" s="358"/>
      <c r="K211" s="358"/>
      <c r="L211" s="358"/>
      <c r="M211" s="358"/>
      <c r="N211" s="358"/>
      <c r="O211" s="358"/>
      <c r="P211" s="358"/>
      <c r="Q211" s="358"/>
      <c r="R211" s="358"/>
      <c r="S211" s="358"/>
      <c r="T211" s="358"/>
      <c r="U211" s="358"/>
      <c r="V211" s="358"/>
      <c r="W211" s="358"/>
      <c r="X211" s="358"/>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row>
    <row r="212" spans="1:49" ht="13.5" customHeight="1">
      <c r="A212" s="1"/>
      <c r="B212" s="358"/>
      <c r="C212" s="358"/>
      <c r="D212" s="358"/>
      <c r="E212" s="358"/>
      <c r="F212" s="358"/>
      <c r="G212" s="358"/>
      <c r="H212" s="358"/>
      <c r="I212" s="358"/>
      <c r="J212" s="358"/>
      <c r="K212" s="358"/>
      <c r="L212" s="358"/>
      <c r="M212" s="358"/>
      <c r="N212" s="358"/>
      <c r="O212" s="358"/>
      <c r="P212" s="358"/>
      <c r="Q212" s="358"/>
      <c r="R212" s="358"/>
      <c r="S212" s="358"/>
      <c r="T212" s="358"/>
      <c r="U212" s="358"/>
      <c r="V212" s="358"/>
      <c r="W212" s="358"/>
      <c r="X212" s="358"/>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row>
    <row r="213" spans="1:49" ht="13.5" customHeight="1">
      <c r="A213" s="1"/>
      <c r="B213" s="358"/>
      <c r="C213" s="358"/>
      <c r="D213" s="358"/>
      <c r="E213" s="358"/>
      <c r="F213" s="358"/>
      <c r="G213" s="358"/>
      <c r="H213" s="358"/>
      <c r="I213" s="358"/>
      <c r="J213" s="358"/>
      <c r="K213" s="358"/>
      <c r="L213" s="358"/>
      <c r="M213" s="358"/>
      <c r="N213" s="358"/>
      <c r="O213" s="358"/>
      <c r="P213" s="358"/>
      <c r="Q213" s="358"/>
      <c r="R213" s="358"/>
      <c r="S213" s="358"/>
      <c r="T213" s="358"/>
      <c r="U213" s="358"/>
      <c r="V213" s="358"/>
      <c r="W213" s="358"/>
      <c r="X213" s="358"/>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row>
    <row r="214" spans="1:49" ht="13.5" customHeight="1">
      <c r="A214" s="1"/>
      <c r="B214" s="358"/>
      <c r="C214" s="358"/>
      <c r="D214" s="358"/>
      <c r="E214" s="358"/>
      <c r="F214" s="358"/>
      <c r="G214" s="358"/>
      <c r="H214" s="358"/>
      <c r="I214" s="358"/>
      <c r="J214" s="358"/>
      <c r="K214" s="358"/>
      <c r="L214" s="358"/>
      <c r="M214" s="358"/>
      <c r="N214" s="358"/>
      <c r="O214" s="358"/>
      <c r="P214" s="358"/>
      <c r="Q214" s="358"/>
      <c r="R214" s="358"/>
      <c r="S214" s="358"/>
      <c r="T214" s="358"/>
      <c r="U214" s="358"/>
      <c r="V214" s="358"/>
      <c r="W214" s="358"/>
      <c r="X214" s="358"/>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row>
    <row r="215" spans="1:49" ht="13.5" customHeight="1">
      <c r="A215" s="1"/>
      <c r="B215" s="358"/>
      <c r="C215" s="358"/>
      <c r="D215" s="358"/>
      <c r="E215" s="358"/>
      <c r="F215" s="358"/>
      <c r="G215" s="358"/>
      <c r="H215" s="358"/>
      <c r="I215" s="358"/>
      <c r="J215" s="358"/>
      <c r="K215" s="358"/>
      <c r="L215" s="358"/>
      <c r="M215" s="358"/>
      <c r="N215" s="358"/>
      <c r="O215" s="358"/>
      <c r="P215" s="358"/>
      <c r="Q215" s="358"/>
      <c r="R215" s="358"/>
      <c r="S215" s="358"/>
      <c r="T215" s="358"/>
      <c r="U215" s="358"/>
      <c r="V215" s="358"/>
      <c r="W215" s="358"/>
      <c r="X215" s="358"/>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row>
    <row r="216" spans="1:49" ht="13.5" customHeight="1">
      <c r="A216" s="1"/>
      <c r="B216" s="358"/>
      <c r="C216" s="358"/>
      <c r="D216" s="358"/>
      <c r="E216" s="358"/>
      <c r="F216" s="358"/>
      <c r="G216" s="358"/>
      <c r="H216" s="358"/>
      <c r="I216" s="358"/>
      <c r="J216" s="358"/>
      <c r="K216" s="358"/>
      <c r="L216" s="358"/>
      <c r="M216" s="358"/>
      <c r="N216" s="358"/>
      <c r="O216" s="358"/>
      <c r="P216" s="358"/>
      <c r="Q216" s="358"/>
      <c r="R216" s="358"/>
      <c r="S216" s="358"/>
      <c r="T216" s="358"/>
      <c r="U216" s="358"/>
      <c r="V216" s="358"/>
      <c r="W216" s="358"/>
      <c r="X216" s="358"/>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row>
    <row r="217" spans="1:49" ht="13.5" customHeight="1">
      <c r="A217" s="1"/>
      <c r="B217" s="358"/>
      <c r="C217" s="358"/>
      <c r="D217" s="358"/>
      <c r="E217" s="358"/>
      <c r="F217" s="358"/>
      <c r="G217" s="358"/>
      <c r="H217" s="358"/>
      <c r="I217" s="358"/>
      <c r="J217" s="358"/>
      <c r="K217" s="358"/>
      <c r="L217" s="358"/>
      <c r="M217" s="358"/>
      <c r="N217" s="358"/>
      <c r="O217" s="358"/>
      <c r="P217" s="358"/>
      <c r="Q217" s="358"/>
      <c r="R217" s="358"/>
      <c r="S217" s="358"/>
      <c r="T217" s="358"/>
      <c r="U217" s="358"/>
      <c r="V217" s="358"/>
      <c r="W217" s="358"/>
      <c r="X217" s="358"/>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row>
    <row r="218" spans="1:49" ht="13.5" customHeight="1">
      <c r="A218" s="1"/>
      <c r="B218" s="358"/>
      <c r="C218" s="358"/>
      <c r="D218" s="358"/>
      <c r="E218" s="358"/>
      <c r="F218" s="358"/>
      <c r="G218" s="358"/>
      <c r="H218" s="358"/>
      <c r="I218" s="358"/>
      <c r="J218" s="358"/>
      <c r="K218" s="358"/>
      <c r="L218" s="358"/>
      <c r="M218" s="358"/>
      <c r="N218" s="358"/>
      <c r="O218" s="358"/>
      <c r="P218" s="358"/>
      <c r="Q218" s="358"/>
      <c r="R218" s="358"/>
      <c r="S218" s="358"/>
      <c r="T218" s="358"/>
      <c r="U218" s="358"/>
      <c r="V218" s="358"/>
      <c r="W218" s="358"/>
      <c r="X218" s="358"/>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row>
    <row r="219" spans="1:49" ht="13.5" customHeight="1">
      <c r="A219" s="1"/>
      <c r="B219" s="358"/>
      <c r="C219" s="358"/>
      <c r="D219" s="358"/>
      <c r="E219" s="358"/>
      <c r="F219" s="358"/>
      <c r="G219" s="358"/>
      <c r="H219" s="358"/>
      <c r="I219" s="358"/>
      <c r="J219" s="358"/>
      <c r="K219" s="358"/>
      <c r="L219" s="358"/>
      <c r="M219" s="358"/>
      <c r="N219" s="358"/>
      <c r="O219" s="358"/>
      <c r="P219" s="358"/>
      <c r="Q219" s="358"/>
      <c r="R219" s="358"/>
      <c r="S219" s="358"/>
      <c r="T219" s="358"/>
      <c r="U219" s="358"/>
      <c r="V219" s="358"/>
      <c r="W219" s="358"/>
      <c r="X219" s="358"/>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row>
    <row r="220" spans="1:49" ht="13.5" customHeight="1">
      <c r="A220" s="1"/>
      <c r="B220" s="358"/>
      <c r="C220" s="358"/>
      <c r="D220" s="358"/>
      <c r="E220" s="358"/>
      <c r="F220" s="358"/>
      <c r="G220" s="358"/>
      <c r="H220" s="358"/>
      <c r="I220" s="358"/>
      <c r="J220" s="358"/>
      <c r="K220" s="358"/>
      <c r="L220" s="358"/>
      <c r="M220" s="358"/>
      <c r="N220" s="358"/>
      <c r="O220" s="358"/>
      <c r="P220" s="358"/>
      <c r="Q220" s="358"/>
      <c r="R220" s="358"/>
      <c r="S220" s="358"/>
      <c r="T220" s="358"/>
      <c r="U220" s="358"/>
      <c r="V220" s="358"/>
      <c r="W220" s="358"/>
      <c r="X220" s="358"/>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row>
    <row r="221" spans="1:49" ht="13.5" customHeight="1">
      <c r="A221" s="1"/>
      <c r="B221" s="358"/>
      <c r="C221" s="358"/>
      <c r="D221" s="358"/>
      <c r="E221" s="358"/>
      <c r="F221" s="358"/>
      <c r="G221" s="358"/>
      <c r="H221" s="358"/>
      <c r="I221" s="358"/>
      <c r="J221" s="358"/>
      <c r="K221" s="358"/>
      <c r="L221" s="358"/>
      <c r="M221" s="358"/>
      <c r="N221" s="358"/>
      <c r="O221" s="358"/>
      <c r="P221" s="358"/>
      <c r="Q221" s="358"/>
      <c r="R221" s="358"/>
      <c r="S221" s="358"/>
      <c r="T221" s="358"/>
      <c r="U221" s="358"/>
      <c r="V221" s="358"/>
      <c r="W221" s="358"/>
      <c r="X221" s="358"/>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row>
    <row r="222" spans="1:49" ht="13.5" customHeight="1">
      <c r="A222" s="1"/>
      <c r="B222" s="358"/>
      <c r="C222" s="358"/>
      <c r="D222" s="358"/>
      <c r="E222" s="358"/>
      <c r="F222" s="358"/>
      <c r="G222" s="358"/>
      <c r="H222" s="358"/>
      <c r="I222" s="358"/>
      <c r="J222" s="358"/>
      <c r="K222" s="358"/>
      <c r="L222" s="358"/>
      <c r="M222" s="358"/>
      <c r="N222" s="358"/>
      <c r="O222" s="358"/>
      <c r="P222" s="358"/>
      <c r="Q222" s="358"/>
      <c r="R222" s="358"/>
      <c r="S222" s="358"/>
      <c r="T222" s="358"/>
      <c r="U222" s="358"/>
      <c r="V222" s="358"/>
      <c r="W222" s="358"/>
      <c r="X222" s="358"/>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row>
    <row r="223" spans="1:49" ht="13.5" customHeight="1">
      <c r="A223" s="1"/>
      <c r="B223" s="358"/>
      <c r="C223" s="358"/>
      <c r="D223" s="358"/>
      <c r="E223" s="358"/>
      <c r="F223" s="358"/>
      <c r="G223" s="358"/>
      <c r="H223" s="358"/>
      <c r="I223" s="358"/>
      <c r="J223" s="358"/>
      <c r="K223" s="358"/>
      <c r="L223" s="358"/>
      <c r="M223" s="358"/>
      <c r="N223" s="358"/>
      <c r="O223" s="358"/>
      <c r="P223" s="358"/>
      <c r="Q223" s="358"/>
      <c r="R223" s="358"/>
      <c r="S223" s="358"/>
      <c r="T223" s="358"/>
      <c r="U223" s="358"/>
      <c r="V223" s="358"/>
      <c r="W223" s="358"/>
      <c r="X223" s="358"/>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row>
    <row r="224" spans="1:49" ht="13.5" customHeight="1">
      <c r="A224" s="1"/>
      <c r="B224" s="358"/>
      <c r="C224" s="358"/>
      <c r="D224" s="358"/>
      <c r="E224" s="358"/>
      <c r="F224" s="358"/>
      <c r="G224" s="358"/>
      <c r="H224" s="358"/>
      <c r="I224" s="358"/>
      <c r="J224" s="358"/>
      <c r="K224" s="358"/>
      <c r="L224" s="358"/>
      <c r="M224" s="358"/>
      <c r="N224" s="358"/>
      <c r="O224" s="358"/>
      <c r="P224" s="358"/>
      <c r="Q224" s="358"/>
      <c r="R224" s="358"/>
      <c r="S224" s="358"/>
      <c r="T224" s="358"/>
      <c r="U224" s="358"/>
      <c r="V224" s="358"/>
      <c r="W224" s="358"/>
      <c r="X224" s="358"/>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row>
    <row r="225" spans="1:49" ht="13.5" customHeight="1">
      <c r="A225" s="1"/>
      <c r="B225" s="358"/>
      <c r="C225" s="358"/>
      <c r="D225" s="358"/>
      <c r="E225" s="358"/>
      <c r="F225" s="358"/>
      <c r="G225" s="358"/>
      <c r="H225" s="358"/>
      <c r="I225" s="358"/>
      <c r="J225" s="358"/>
      <c r="K225" s="358"/>
      <c r="L225" s="358"/>
      <c r="M225" s="358"/>
      <c r="N225" s="358"/>
      <c r="O225" s="358"/>
      <c r="P225" s="358"/>
      <c r="Q225" s="358"/>
      <c r="R225" s="358"/>
      <c r="S225" s="358"/>
      <c r="T225" s="358"/>
      <c r="U225" s="358"/>
      <c r="V225" s="358"/>
      <c r="W225" s="358"/>
      <c r="X225" s="358"/>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row>
    <row r="226" spans="1:49" ht="13.5" customHeight="1">
      <c r="A226" s="1"/>
      <c r="B226" s="358"/>
      <c r="C226" s="358"/>
      <c r="D226" s="358"/>
      <c r="E226" s="358"/>
      <c r="F226" s="358"/>
      <c r="G226" s="358"/>
      <c r="H226" s="358"/>
      <c r="I226" s="358"/>
      <c r="J226" s="358"/>
      <c r="K226" s="358"/>
      <c r="L226" s="358"/>
      <c r="M226" s="358"/>
      <c r="N226" s="358"/>
      <c r="O226" s="358"/>
      <c r="P226" s="358"/>
      <c r="Q226" s="358"/>
      <c r="R226" s="358"/>
      <c r="S226" s="358"/>
      <c r="T226" s="358"/>
      <c r="U226" s="358"/>
      <c r="V226" s="358"/>
      <c r="W226" s="358"/>
      <c r="X226" s="358"/>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row>
    <row r="227" spans="1:49" ht="13.5" customHeight="1">
      <c r="A227" s="1"/>
      <c r="B227" s="358"/>
      <c r="C227" s="358"/>
      <c r="D227" s="358"/>
      <c r="E227" s="358"/>
      <c r="F227" s="358"/>
      <c r="G227" s="358"/>
      <c r="H227" s="358"/>
      <c r="I227" s="358"/>
      <c r="J227" s="358"/>
      <c r="K227" s="358"/>
      <c r="L227" s="358"/>
      <c r="M227" s="358"/>
      <c r="N227" s="358"/>
      <c r="O227" s="358"/>
      <c r="P227" s="358"/>
      <c r="Q227" s="358"/>
      <c r="R227" s="358"/>
      <c r="S227" s="358"/>
      <c r="T227" s="358"/>
      <c r="U227" s="358"/>
      <c r="V227" s="358"/>
      <c r="W227" s="358"/>
      <c r="X227" s="358"/>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row>
    <row r="228" spans="1:49" ht="13.5" customHeight="1">
      <c r="A228" s="1"/>
      <c r="B228" s="358"/>
      <c r="C228" s="358"/>
      <c r="D228" s="358"/>
      <c r="E228" s="358"/>
      <c r="F228" s="358"/>
      <c r="G228" s="358"/>
      <c r="H228" s="358"/>
      <c r="I228" s="358"/>
      <c r="J228" s="358"/>
      <c r="K228" s="358"/>
      <c r="L228" s="358"/>
      <c r="M228" s="358"/>
      <c r="N228" s="358"/>
      <c r="O228" s="358"/>
      <c r="P228" s="358"/>
      <c r="Q228" s="358"/>
      <c r="R228" s="358"/>
      <c r="S228" s="358"/>
      <c r="T228" s="358"/>
      <c r="U228" s="358"/>
      <c r="V228" s="358"/>
      <c r="W228" s="358"/>
      <c r="X228" s="358"/>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row>
    <row r="229" spans="1:49" ht="13.5" customHeight="1">
      <c r="A229" s="1"/>
      <c r="B229" s="358"/>
      <c r="C229" s="358"/>
      <c r="D229" s="358"/>
      <c r="E229" s="358"/>
      <c r="F229" s="358"/>
      <c r="G229" s="358"/>
      <c r="H229" s="358"/>
      <c r="I229" s="358"/>
      <c r="J229" s="358"/>
      <c r="K229" s="358"/>
      <c r="L229" s="358"/>
      <c r="M229" s="358"/>
      <c r="N229" s="358"/>
      <c r="O229" s="358"/>
      <c r="P229" s="358"/>
      <c r="Q229" s="358"/>
      <c r="R229" s="358"/>
      <c r="S229" s="358"/>
      <c r="T229" s="358"/>
      <c r="U229" s="358"/>
      <c r="V229" s="358"/>
      <c r="W229" s="358"/>
      <c r="X229" s="358"/>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row>
    <row r="230" spans="1:49" ht="13.5" customHeight="1">
      <c r="A230" s="1"/>
      <c r="B230" s="358"/>
      <c r="C230" s="358"/>
      <c r="D230" s="358"/>
      <c r="E230" s="358"/>
      <c r="F230" s="358"/>
      <c r="G230" s="358"/>
      <c r="H230" s="358"/>
      <c r="I230" s="358"/>
      <c r="J230" s="358"/>
      <c r="K230" s="358"/>
      <c r="L230" s="358"/>
      <c r="M230" s="358"/>
      <c r="N230" s="358"/>
      <c r="O230" s="358"/>
      <c r="P230" s="358"/>
      <c r="Q230" s="358"/>
      <c r="R230" s="358"/>
      <c r="S230" s="358"/>
      <c r="T230" s="358"/>
      <c r="U230" s="358"/>
      <c r="V230" s="358"/>
      <c r="W230" s="358"/>
      <c r="X230" s="358"/>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row>
    <row r="231" spans="1:49" ht="13.5" customHeight="1">
      <c r="A231" s="1"/>
      <c r="B231" s="358"/>
      <c r="C231" s="358"/>
      <c r="D231" s="358"/>
      <c r="E231" s="358"/>
      <c r="F231" s="358"/>
      <c r="G231" s="358"/>
      <c r="H231" s="358"/>
      <c r="I231" s="358"/>
      <c r="J231" s="358"/>
      <c r="K231" s="358"/>
      <c r="L231" s="358"/>
      <c r="M231" s="358"/>
      <c r="N231" s="358"/>
      <c r="O231" s="358"/>
      <c r="P231" s="358"/>
      <c r="Q231" s="358"/>
      <c r="R231" s="358"/>
      <c r="S231" s="358"/>
      <c r="T231" s="358"/>
      <c r="U231" s="358"/>
      <c r="V231" s="358"/>
      <c r="W231" s="358"/>
      <c r="X231" s="358"/>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row>
    <row r="232" spans="1:49" ht="13.5" customHeight="1">
      <c r="A232" s="1"/>
      <c r="B232" s="358"/>
      <c r="C232" s="358"/>
      <c r="D232" s="358"/>
      <c r="E232" s="358"/>
      <c r="F232" s="358"/>
      <c r="G232" s="358"/>
      <c r="H232" s="358"/>
      <c r="I232" s="358"/>
      <c r="J232" s="358"/>
      <c r="K232" s="358"/>
      <c r="L232" s="358"/>
      <c r="M232" s="358"/>
      <c r="N232" s="358"/>
      <c r="O232" s="358"/>
      <c r="P232" s="358"/>
      <c r="Q232" s="358"/>
      <c r="R232" s="358"/>
      <c r="S232" s="358"/>
      <c r="T232" s="358"/>
      <c r="U232" s="358"/>
      <c r="V232" s="358"/>
      <c r="W232" s="358"/>
      <c r="X232" s="358"/>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row>
    <row r="233" spans="1:49" ht="13.5" customHeight="1">
      <c r="A233" s="1"/>
      <c r="B233" s="358"/>
      <c r="C233" s="358"/>
      <c r="D233" s="358"/>
      <c r="E233" s="358"/>
      <c r="F233" s="358"/>
      <c r="G233" s="358"/>
      <c r="H233" s="358"/>
      <c r="I233" s="358"/>
      <c r="J233" s="358"/>
      <c r="K233" s="358"/>
      <c r="L233" s="358"/>
      <c r="M233" s="358"/>
      <c r="N233" s="358"/>
      <c r="O233" s="358"/>
      <c r="P233" s="358"/>
      <c r="Q233" s="358"/>
      <c r="R233" s="358"/>
      <c r="S233" s="358"/>
      <c r="T233" s="358"/>
      <c r="U233" s="358"/>
      <c r="V233" s="358"/>
      <c r="W233" s="358"/>
      <c r="X233" s="358"/>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row>
    <row r="234" spans="1:49" ht="13.5" customHeight="1">
      <c r="A234" s="1"/>
      <c r="B234" s="358"/>
      <c r="C234" s="358"/>
      <c r="D234" s="358"/>
      <c r="E234" s="358"/>
      <c r="F234" s="358"/>
      <c r="G234" s="358"/>
      <c r="H234" s="358"/>
      <c r="I234" s="358"/>
      <c r="J234" s="358"/>
      <c r="K234" s="358"/>
      <c r="L234" s="358"/>
      <c r="M234" s="358"/>
      <c r="N234" s="358"/>
      <c r="O234" s="358"/>
      <c r="P234" s="358"/>
      <c r="Q234" s="358"/>
      <c r="R234" s="358"/>
      <c r="S234" s="358"/>
      <c r="T234" s="358"/>
      <c r="U234" s="358"/>
      <c r="V234" s="358"/>
      <c r="W234" s="358"/>
      <c r="X234" s="358"/>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1:49" ht="13.5" customHeight="1">
      <c r="A235" s="1"/>
      <c r="B235" s="358"/>
      <c r="C235" s="358"/>
      <c r="D235" s="358"/>
      <c r="E235" s="358"/>
      <c r="F235" s="358"/>
      <c r="G235" s="358"/>
      <c r="H235" s="358"/>
      <c r="I235" s="358"/>
      <c r="J235" s="358"/>
      <c r="K235" s="358"/>
      <c r="L235" s="358"/>
      <c r="M235" s="358"/>
      <c r="N235" s="358"/>
      <c r="O235" s="358"/>
      <c r="P235" s="358"/>
      <c r="Q235" s="358"/>
      <c r="R235" s="358"/>
      <c r="S235" s="358"/>
      <c r="T235" s="358"/>
      <c r="U235" s="358"/>
      <c r="V235" s="358"/>
      <c r="W235" s="358"/>
      <c r="X235" s="358"/>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1:49" ht="13.5" customHeight="1">
      <c r="A236" s="1"/>
      <c r="B236" s="358"/>
      <c r="C236" s="358"/>
      <c r="D236" s="358"/>
      <c r="E236" s="358"/>
      <c r="F236" s="358"/>
      <c r="G236" s="358"/>
      <c r="H236" s="358"/>
      <c r="I236" s="358"/>
      <c r="J236" s="358"/>
      <c r="K236" s="358"/>
      <c r="L236" s="358"/>
      <c r="M236" s="358"/>
      <c r="N236" s="358"/>
      <c r="O236" s="358"/>
      <c r="P236" s="358"/>
      <c r="Q236" s="358"/>
      <c r="R236" s="358"/>
      <c r="S236" s="358"/>
      <c r="T236" s="358"/>
      <c r="U236" s="358"/>
      <c r="V236" s="358"/>
      <c r="W236" s="358"/>
      <c r="X236" s="358"/>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1:49" ht="13.5" customHeight="1">
      <c r="A237" s="1"/>
      <c r="B237" s="358"/>
      <c r="C237" s="358"/>
      <c r="D237" s="358"/>
      <c r="E237" s="358"/>
      <c r="F237" s="358"/>
      <c r="G237" s="358"/>
      <c r="H237" s="358"/>
      <c r="I237" s="358"/>
      <c r="J237" s="358"/>
      <c r="K237" s="358"/>
      <c r="L237" s="358"/>
      <c r="M237" s="358"/>
      <c r="N237" s="358"/>
      <c r="O237" s="358"/>
      <c r="P237" s="358"/>
      <c r="Q237" s="358"/>
      <c r="R237" s="358"/>
      <c r="S237" s="358"/>
      <c r="T237" s="358"/>
      <c r="U237" s="358"/>
      <c r="V237" s="358"/>
      <c r="W237" s="358"/>
      <c r="X237" s="358"/>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1:49" ht="13.5" customHeight="1">
      <c r="A238" s="1"/>
      <c r="B238" s="358"/>
      <c r="C238" s="358"/>
      <c r="D238" s="358"/>
      <c r="E238" s="358"/>
      <c r="F238" s="358"/>
      <c r="G238" s="358"/>
      <c r="H238" s="358"/>
      <c r="I238" s="358"/>
      <c r="J238" s="358"/>
      <c r="K238" s="358"/>
      <c r="L238" s="358"/>
      <c r="M238" s="358"/>
      <c r="N238" s="358"/>
      <c r="O238" s="358"/>
      <c r="P238" s="358"/>
      <c r="Q238" s="358"/>
      <c r="R238" s="358"/>
      <c r="S238" s="358"/>
      <c r="T238" s="358"/>
      <c r="U238" s="358"/>
      <c r="V238" s="358"/>
      <c r="W238" s="358"/>
      <c r="X238" s="358"/>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1:49" ht="13.5" customHeight="1">
      <c r="A239" s="1"/>
      <c r="B239" s="358"/>
      <c r="C239" s="358"/>
      <c r="D239" s="358"/>
      <c r="E239" s="358"/>
      <c r="F239" s="358"/>
      <c r="G239" s="358"/>
      <c r="H239" s="358"/>
      <c r="I239" s="358"/>
      <c r="J239" s="358"/>
      <c r="K239" s="358"/>
      <c r="L239" s="358"/>
      <c r="M239" s="358"/>
      <c r="N239" s="358"/>
      <c r="O239" s="358"/>
      <c r="P239" s="358"/>
      <c r="Q239" s="358"/>
      <c r="R239" s="358"/>
      <c r="S239" s="358"/>
      <c r="T239" s="358"/>
      <c r="U239" s="358"/>
      <c r="V239" s="358"/>
      <c r="W239" s="358"/>
      <c r="X239" s="358"/>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1:49" ht="13.5" customHeight="1">
      <c r="A240" s="1"/>
      <c r="B240" s="358"/>
      <c r="C240" s="358"/>
      <c r="D240" s="358"/>
      <c r="E240" s="358"/>
      <c r="F240" s="358"/>
      <c r="G240" s="358"/>
      <c r="H240" s="358"/>
      <c r="I240" s="358"/>
      <c r="J240" s="358"/>
      <c r="K240" s="358"/>
      <c r="L240" s="358"/>
      <c r="M240" s="358"/>
      <c r="N240" s="358"/>
      <c r="O240" s="358"/>
      <c r="P240" s="358"/>
      <c r="Q240" s="358"/>
      <c r="R240" s="358"/>
      <c r="S240" s="358"/>
      <c r="T240" s="358"/>
      <c r="U240" s="358"/>
      <c r="V240" s="358"/>
      <c r="W240" s="358"/>
      <c r="X240" s="358"/>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1:49" ht="13.5" customHeight="1">
      <c r="A241" s="1"/>
      <c r="B241" s="358"/>
      <c r="C241" s="358"/>
      <c r="D241" s="358"/>
      <c r="E241" s="358"/>
      <c r="F241" s="358"/>
      <c r="G241" s="358"/>
      <c r="H241" s="358"/>
      <c r="I241" s="358"/>
      <c r="J241" s="358"/>
      <c r="K241" s="358"/>
      <c r="L241" s="358"/>
      <c r="M241" s="358"/>
      <c r="N241" s="358"/>
      <c r="O241" s="358"/>
      <c r="P241" s="358"/>
      <c r="Q241" s="358"/>
      <c r="R241" s="358"/>
      <c r="S241" s="358"/>
      <c r="T241" s="358"/>
      <c r="U241" s="358"/>
      <c r="V241" s="358"/>
      <c r="W241" s="358"/>
      <c r="X241" s="358"/>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1:49" ht="13.5" customHeight="1">
      <c r="A242" s="1"/>
      <c r="B242" s="358"/>
      <c r="C242" s="358"/>
      <c r="D242" s="358"/>
      <c r="E242" s="358"/>
      <c r="F242" s="358"/>
      <c r="G242" s="358"/>
      <c r="H242" s="358"/>
      <c r="I242" s="358"/>
      <c r="J242" s="358"/>
      <c r="K242" s="358"/>
      <c r="L242" s="358"/>
      <c r="M242" s="358"/>
      <c r="N242" s="358"/>
      <c r="O242" s="358"/>
      <c r="P242" s="358"/>
      <c r="Q242" s="358"/>
      <c r="R242" s="358"/>
      <c r="S242" s="358"/>
      <c r="T242" s="358"/>
      <c r="U242" s="358"/>
      <c r="V242" s="358"/>
      <c r="W242" s="358"/>
      <c r="X242" s="358"/>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1:49" ht="13.5" customHeight="1">
      <c r="A243" s="1"/>
      <c r="B243" s="358"/>
      <c r="C243" s="358"/>
      <c r="D243" s="358"/>
      <c r="E243" s="358"/>
      <c r="F243" s="358"/>
      <c r="G243" s="358"/>
      <c r="H243" s="358"/>
      <c r="I243" s="358"/>
      <c r="J243" s="358"/>
      <c r="K243" s="358"/>
      <c r="L243" s="358"/>
      <c r="M243" s="358"/>
      <c r="N243" s="358"/>
      <c r="O243" s="358"/>
      <c r="P243" s="358"/>
      <c r="Q243" s="358"/>
      <c r="R243" s="358"/>
      <c r="S243" s="358"/>
      <c r="T243" s="358"/>
      <c r="U243" s="358"/>
      <c r="V243" s="358"/>
      <c r="W243" s="358"/>
      <c r="X243" s="358"/>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1:49" ht="13.5" customHeight="1">
      <c r="A244" s="1"/>
      <c r="B244" s="358"/>
      <c r="C244" s="358"/>
      <c r="D244" s="358"/>
      <c r="E244" s="358"/>
      <c r="F244" s="358"/>
      <c r="G244" s="358"/>
      <c r="H244" s="358"/>
      <c r="I244" s="358"/>
      <c r="J244" s="358"/>
      <c r="K244" s="358"/>
      <c r="L244" s="358"/>
      <c r="M244" s="358"/>
      <c r="N244" s="358"/>
      <c r="O244" s="358"/>
      <c r="P244" s="358"/>
      <c r="Q244" s="358"/>
      <c r="R244" s="358"/>
      <c r="S244" s="358"/>
      <c r="T244" s="358"/>
      <c r="U244" s="358"/>
      <c r="V244" s="358"/>
      <c r="W244" s="358"/>
      <c r="X244" s="358"/>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1:49" ht="13.5" customHeight="1">
      <c r="A245" s="1"/>
      <c r="B245" s="358"/>
      <c r="C245" s="358"/>
      <c r="D245" s="358"/>
      <c r="E245" s="358"/>
      <c r="F245" s="358"/>
      <c r="G245" s="358"/>
      <c r="H245" s="358"/>
      <c r="I245" s="358"/>
      <c r="J245" s="358"/>
      <c r="K245" s="358"/>
      <c r="L245" s="358"/>
      <c r="M245" s="358"/>
      <c r="N245" s="358"/>
      <c r="O245" s="358"/>
      <c r="P245" s="358"/>
      <c r="Q245" s="358"/>
      <c r="R245" s="358"/>
      <c r="S245" s="358"/>
      <c r="T245" s="358"/>
      <c r="U245" s="358"/>
      <c r="V245" s="358"/>
      <c r="W245" s="358"/>
      <c r="X245" s="358"/>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1:49" ht="13.5" customHeight="1">
      <c r="A246" s="1"/>
      <c r="B246" s="358"/>
      <c r="C246" s="358"/>
      <c r="D246" s="358"/>
      <c r="E246" s="358"/>
      <c r="F246" s="358"/>
      <c r="G246" s="358"/>
      <c r="H246" s="358"/>
      <c r="I246" s="358"/>
      <c r="J246" s="358"/>
      <c r="K246" s="358"/>
      <c r="L246" s="358"/>
      <c r="M246" s="358"/>
      <c r="N246" s="358"/>
      <c r="O246" s="358"/>
      <c r="P246" s="358"/>
      <c r="Q246" s="358"/>
      <c r="R246" s="358"/>
      <c r="S246" s="358"/>
      <c r="T246" s="358"/>
      <c r="U246" s="358"/>
      <c r="V246" s="358"/>
      <c r="W246" s="358"/>
      <c r="X246" s="358"/>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1:49" ht="13.5" customHeight="1">
      <c r="A247" s="1"/>
      <c r="B247" s="358"/>
      <c r="C247" s="358"/>
      <c r="D247" s="358"/>
      <c r="E247" s="358"/>
      <c r="F247" s="358"/>
      <c r="G247" s="358"/>
      <c r="H247" s="358"/>
      <c r="I247" s="358"/>
      <c r="J247" s="358"/>
      <c r="K247" s="358"/>
      <c r="L247" s="358"/>
      <c r="M247" s="358"/>
      <c r="N247" s="358"/>
      <c r="O247" s="358"/>
      <c r="P247" s="358"/>
      <c r="Q247" s="358"/>
      <c r="R247" s="358"/>
      <c r="S247" s="358"/>
      <c r="T247" s="358"/>
      <c r="U247" s="358"/>
      <c r="V247" s="358"/>
      <c r="W247" s="358"/>
      <c r="X247" s="358"/>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1:49" ht="13.5" customHeight="1">
      <c r="A248" s="1"/>
      <c r="B248" s="358"/>
      <c r="C248" s="358"/>
      <c r="D248" s="358"/>
      <c r="E248" s="358"/>
      <c r="F248" s="358"/>
      <c r="G248" s="358"/>
      <c r="H248" s="358"/>
      <c r="I248" s="358"/>
      <c r="J248" s="358"/>
      <c r="K248" s="358"/>
      <c r="L248" s="358"/>
      <c r="M248" s="358"/>
      <c r="N248" s="358"/>
      <c r="O248" s="358"/>
      <c r="P248" s="358"/>
      <c r="Q248" s="358"/>
      <c r="R248" s="358"/>
      <c r="S248" s="358"/>
      <c r="T248" s="358"/>
      <c r="U248" s="358"/>
      <c r="V248" s="358"/>
      <c r="W248" s="358"/>
      <c r="X248" s="358"/>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1:49" ht="13.5" customHeight="1">
      <c r="A249" s="1"/>
      <c r="B249" s="358"/>
      <c r="C249" s="358"/>
      <c r="D249" s="358"/>
      <c r="E249" s="358"/>
      <c r="F249" s="358"/>
      <c r="G249" s="358"/>
      <c r="H249" s="358"/>
      <c r="I249" s="358"/>
      <c r="J249" s="358"/>
      <c r="K249" s="358"/>
      <c r="L249" s="358"/>
      <c r="M249" s="358"/>
      <c r="N249" s="358"/>
      <c r="O249" s="358"/>
      <c r="P249" s="358"/>
      <c r="Q249" s="358"/>
      <c r="R249" s="358"/>
      <c r="S249" s="358"/>
      <c r="T249" s="358"/>
      <c r="U249" s="358"/>
      <c r="V249" s="358"/>
      <c r="W249" s="358"/>
      <c r="X249" s="358"/>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1:49" ht="13.5" customHeight="1">
      <c r="A250" s="1"/>
      <c r="B250" s="358"/>
      <c r="C250" s="358"/>
      <c r="D250" s="358"/>
      <c r="E250" s="358"/>
      <c r="F250" s="358"/>
      <c r="G250" s="358"/>
      <c r="H250" s="358"/>
      <c r="I250" s="358"/>
      <c r="J250" s="358"/>
      <c r="K250" s="358"/>
      <c r="L250" s="358"/>
      <c r="M250" s="358"/>
      <c r="N250" s="358"/>
      <c r="O250" s="358"/>
      <c r="P250" s="358"/>
      <c r="Q250" s="358"/>
      <c r="R250" s="358"/>
      <c r="S250" s="358"/>
      <c r="T250" s="358"/>
      <c r="U250" s="358"/>
      <c r="V250" s="358"/>
      <c r="W250" s="358"/>
      <c r="X250" s="358"/>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1:49" ht="13.5" customHeight="1">
      <c r="A251" s="1"/>
      <c r="B251" s="358"/>
      <c r="C251" s="358"/>
      <c r="D251" s="358"/>
      <c r="E251" s="358"/>
      <c r="F251" s="358"/>
      <c r="G251" s="358"/>
      <c r="H251" s="358"/>
      <c r="I251" s="358"/>
      <c r="J251" s="358"/>
      <c r="K251" s="358"/>
      <c r="L251" s="358"/>
      <c r="M251" s="358"/>
      <c r="N251" s="358"/>
      <c r="O251" s="358"/>
      <c r="P251" s="358"/>
      <c r="Q251" s="358"/>
      <c r="R251" s="358"/>
      <c r="S251" s="358"/>
      <c r="T251" s="358"/>
      <c r="U251" s="358"/>
      <c r="V251" s="358"/>
      <c r="W251" s="358"/>
      <c r="X251" s="358"/>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1:49" ht="13.5" customHeight="1">
      <c r="A252" s="1"/>
      <c r="B252" s="358"/>
      <c r="C252" s="358"/>
      <c r="D252" s="358"/>
      <c r="E252" s="358"/>
      <c r="F252" s="358"/>
      <c r="G252" s="358"/>
      <c r="H252" s="358"/>
      <c r="I252" s="358"/>
      <c r="J252" s="358"/>
      <c r="K252" s="358"/>
      <c r="L252" s="358"/>
      <c r="M252" s="358"/>
      <c r="N252" s="358"/>
      <c r="O252" s="358"/>
      <c r="P252" s="358"/>
      <c r="Q252" s="358"/>
      <c r="R252" s="358"/>
      <c r="S252" s="358"/>
      <c r="T252" s="358"/>
      <c r="U252" s="358"/>
      <c r="V252" s="358"/>
      <c r="W252" s="358"/>
      <c r="X252" s="358"/>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1:49" ht="13.5" customHeight="1">
      <c r="A253" s="1"/>
      <c r="B253" s="358"/>
      <c r="C253" s="358"/>
      <c r="D253" s="358"/>
      <c r="E253" s="358"/>
      <c r="F253" s="358"/>
      <c r="G253" s="358"/>
      <c r="H253" s="358"/>
      <c r="I253" s="358"/>
      <c r="J253" s="358"/>
      <c r="K253" s="358"/>
      <c r="L253" s="358"/>
      <c r="M253" s="358"/>
      <c r="N253" s="358"/>
      <c r="O253" s="358"/>
      <c r="P253" s="358"/>
      <c r="Q253" s="358"/>
      <c r="R253" s="358"/>
      <c r="S253" s="358"/>
      <c r="T253" s="358"/>
      <c r="U253" s="358"/>
      <c r="V253" s="358"/>
      <c r="W253" s="358"/>
      <c r="X253" s="358"/>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1:49" ht="13.5" customHeight="1">
      <c r="A254" s="1"/>
      <c r="B254" s="358"/>
      <c r="C254" s="358"/>
      <c r="D254" s="358"/>
      <c r="E254" s="358"/>
      <c r="F254" s="358"/>
      <c r="G254" s="358"/>
      <c r="H254" s="358"/>
      <c r="I254" s="358"/>
      <c r="J254" s="358"/>
      <c r="K254" s="358"/>
      <c r="L254" s="358"/>
      <c r="M254" s="358"/>
      <c r="N254" s="358"/>
      <c r="O254" s="358"/>
      <c r="P254" s="358"/>
      <c r="Q254" s="358"/>
      <c r="R254" s="358"/>
      <c r="S254" s="358"/>
      <c r="T254" s="358"/>
      <c r="U254" s="358"/>
      <c r="V254" s="358"/>
      <c r="W254" s="358"/>
      <c r="X254" s="358"/>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1:49" ht="13.5" customHeight="1">
      <c r="A255" s="1"/>
      <c r="B255" s="358"/>
      <c r="C255" s="358"/>
      <c r="D255" s="358"/>
      <c r="E255" s="358"/>
      <c r="F255" s="358"/>
      <c r="G255" s="358"/>
      <c r="H255" s="358"/>
      <c r="I255" s="358"/>
      <c r="J255" s="358"/>
      <c r="K255" s="358"/>
      <c r="L255" s="358"/>
      <c r="M255" s="358"/>
      <c r="N255" s="358"/>
      <c r="O255" s="358"/>
      <c r="P255" s="358"/>
      <c r="Q255" s="358"/>
      <c r="R255" s="358"/>
      <c r="S255" s="358"/>
      <c r="T255" s="358"/>
      <c r="U255" s="358"/>
      <c r="V255" s="358"/>
      <c r="W255" s="358"/>
      <c r="X255" s="358"/>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1:49" ht="13.5" customHeight="1">
      <c r="A256" s="1"/>
      <c r="B256" s="358"/>
      <c r="C256" s="358"/>
      <c r="D256" s="358"/>
      <c r="E256" s="358"/>
      <c r="F256" s="358"/>
      <c r="G256" s="358"/>
      <c r="H256" s="358"/>
      <c r="I256" s="358"/>
      <c r="J256" s="358"/>
      <c r="K256" s="358"/>
      <c r="L256" s="358"/>
      <c r="M256" s="358"/>
      <c r="N256" s="358"/>
      <c r="O256" s="358"/>
      <c r="P256" s="358"/>
      <c r="Q256" s="358"/>
      <c r="R256" s="358"/>
      <c r="S256" s="358"/>
      <c r="T256" s="358"/>
      <c r="U256" s="358"/>
      <c r="V256" s="358"/>
      <c r="W256" s="358"/>
      <c r="X256" s="358"/>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1:49" ht="13.5" customHeight="1">
      <c r="A257" s="1"/>
      <c r="B257" s="358"/>
      <c r="C257" s="358"/>
      <c r="D257" s="358"/>
      <c r="E257" s="358"/>
      <c r="F257" s="358"/>
      <c r="G257" s="358"/>
      <c r="H257" s="358"/>
      <c r="I257" s="358"/>
      <c r="J257" s="358"/>
      <c r="K257" s="358"/>
      <c r="L257" s="358"/>
      <c r="M257" s="358"/>
      <c r="N257" s="358"/>
      <c r="O257" s="358"/>
      <c r="P257" s="358"/>
      <c r="Q257" s="358"/>
      <c r="R257" s="358"/>
      <c r="S257" s="358"/>
      <c r="T257" s="358"/>
      <c r="U257" s="358"/>
      <c r="V257" s="358"/>
      <c r="W257" s="358"/>
      <c r="X257" s="358"/>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1:49" ht="13.5" customHeight="1">
      <c r="A258" s="1"/>
      <c r="B258" s="358"/>
      <c r="C258" s="358"/>
      <c r="D258" s="358"/>
      <c r="E258" s="358"/>
      <c r="F258" s="358"/>
      <c r="G258" s="358"/>
      <c r="H258" s="358"/>
      <c r="I258" s="358"/>
      <c r="J258" s="358"/>
      <c r="K258" s="358"/>
      <c r="L258" s="358"/>
      <c r="M258" s="358"/>
      <c r="N258" s="358"/>
      <c r="O258" s="358"/>
      <c r="P258" s="358"/>
      <c r="Q258" s="358"/>
      <c r="R258" s="358"/>
      <c r="S258" s="358"/>
      <c r="T258" s="358"/>
      <c r="U258" s="358"/>
      <c r="V258" s="358"/>
      <c r="W258" s="358"/>
      <c r="X258" s="358"/>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1:49" ht="13.5" customHeight="1">
      <c r="A259" s="1"/>
      <c r="B259" s="358"/>
      <c r="C259" s="358"/>
      <c r="D259" s="358"/>
      <c r="E259" s="358"/>
      <c r="F259" s="358"/>
      <c r="G259" s="358"/>
      <c r="H259" s="358"/>
      <c r="I259" s="358"/>
      <c r="J259" s="358"/>
      <c r="K259" s="358"/>
      <c r="L259" s="358"/>
      <c r="M259" s="358"/>
      <c r="N259" s="358"/>
      <c r="O259" s="358"/>
      <c r="P259" s="358"/>
      <c r="Q259" s="358"/>
      <c r="R259" s="358"/>
      <c r="S259" s="358"/>
      <c r="T259" s="358"/>
      <c r="U259" s="358"/>
      <c r="V259" s="358"/>
      <c r="W259" s="358"/>
      <c r="X259" s="358"/>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1:49" ht="13.5" customHeight="1">
      <c r="A260" s="1"/>
      <c r="B260" s="358"/>
      <c r="C260" s="358"/>
      <c r="D260" s="358"/>
      <c r="E260" s="358"/>
      <c r="F260" s="358"/>
      <c r="G260" s="358"/>
      <c r="H260" s="358"/>
      <c r="I260" s="358"/>
      <c r="J260" s="358"/>
      <c r="K260" s="358"/>
      <c r="L260" s="358"/>
      <c r="M260" s="358"/>
      <c r="N260" s="358"/>
      <c r="O260" s="358"/>
      <c r="P260" s="358"/>
      <c r="Q260" s="358"/>
      <c r="R260" s="358"/>
      <c r="S260" s="358"/>
      <c r="T260" s="358"/>
      <c r="U260" s="358"/>
      <c r="V260" s="358"/>
      <c r="W260" s="358"/>
      <c r="X260" s="358"/>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1:49" ht="13.5" customHeight="1">
      <c r="A261" s="1"/>
      <c r="B261" s="358"/>
      <c r="C261" s="358"/>
      <c r="D261" s="358"/>
      <c r="E261" s="358"/>
      <c r="F261" s="358"/>
      <c r="G261" s="358"/>
      <c r="H261" s="358"/>
      <c r="I261" s="358"/>
      <c r="J261" s="358"/>
      <c r="K261" s="358"/>
      <c r="L261" s="358"/>
      <c r="M261" s="358"/>
      <c r="N261" s="358"/>
      <c r="O261" s="358"/>
      <c r="P261" s="358"/>
      <c r="Q261" s="358"/>
      <c r="R261" s="358"/>
      <c r="S261" s="358"/>
      <c r="T261" s="358"/>
      <c r="U261" s="358"/>
      <c r="V261" s="358"/>
      <c r="W261" s="358"/>
      <c r="X261" s="358"/>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1:49" ht="13.5" customHeight="1">
      <c r="A262" s="1"/>
      <c r="B262" s="358"/>
      <c r="C262" s="358"/>
      <c r="D262" s="358"/>
      <c r="E262" s="358"/>
      <c r="F262" s="358"/>
      <c r="G262" s="358"/>
      <c r="H262" s="358"/>
      <c r="I262" s="358"/>
      <c r="J262" s="358"/>
      <c r="K262" s="358"/>
      <c r="L262" s="358"/>
      <c r="M262" s="358"/>
      <c r="N262" s="358"/>
      <c r="O262" s="358"/>
      <c r="P262" s="358"/>
      <c r="Q262" s="358"/>
      <c r="R262" s="358"/>
      <c r="S262" s="358"/>
      <c r="T262" s="358"/>
      <c r="U262" s="358"/>
      <c r="V262" s="358"/>
      <c r="W262" s="358"/>
      <c r="X262" s="358"/>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1:49" ht="13.5" customHeight="1">
      <c r="A263" s="1"/>
      <c r="B263" s="358"/>
      <c r="C263" s="358"/>
      <c r="D263" s="358"/>
      <c r="E263" s="358"/>
      <c r="F263" s="358"/>
      <c r="G263" s="358"/>
      <c r="H263" s="358"/>
      <c r="I263" s="358"/>
      <c r="J263" s="358"/>
      <c r="K263" s="358"/>
      <c r="L263" s="358"/>
      <c r="M263" s="358"/>
      <c r="N263" s="358"/>
      <c r="O263" s="358"/>
      <c r="P263" s="358"/>
      <c r="Q263" s="358"/>
      <c r="R263" s="358"/>
      <c r="S263" s="358"/>
      <c r="T263" s="358"/>
      <c r="U263" s="358"/>
      <c r="V263" s="358"/>
      <c r="W263" s="358"/>
      <c r="X263" s="358"/>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1:49" ht="13.5" customHeight="1">
      <c r="A264" s="1"/>
      <c r="B264" s="358"/>
      <c r="C264" s="358"/>
      <c r="D264" s="358"/>
      <c r="E264" s="358"/>
      <c r="F264" s="358"/>
      <c r="G264" s="358"/>
      <c r="H264" s="358"/>
      <c r="I264" s="358"/>
      <c r="J264" s="358"/>
      <c r="K264" s="358"/>
      <c r="L264" s="358"/>
      <c r="M264" s="358"/>
      <c r="N264" s="358"/>
      <c r="O264" s="358"/>
      <c r="P264" s="358"/>
      <c r="Q264" s="358"/>
      <c r="R264" s="358"/>
      <c r="S264" s="358"/>
      <c r="T264" s="358"/>
      <c r="U264" s="358"/>
      <c r="V264" s="358"/>
      <c r="W264" s="358"/>
      <c r="X264" s="358"/>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1:49" ht="13.5" customHeight="1">
      <c r="A265" s="1"/>
      <c r="B265" s="358"/>
      <c r="C265" s="358"/>
      <c r="D265" s="358"/>
      <c r="E265" s="358"/>
      <c r="F265" s="358"/>
      <c r="G265" s="358"/>
      <c r="H265" s="358"/>
      <c r="I265" s="358"/>
      <c r="J265" s="358"/>
      <c r="K265" s="358"/>
      <c r="L265" s="358"/>
      <c r="M265" s="358"/>
      <c r="N265" s="358"/>
      <c r="O265" s="358"/>
      <c r="P265" s="358"/>
      <c r="Q265" s="358"/>
      <c r="R265" s="358"/>
      <c r="S265" s="358"/>
      <c r="T265" s="358"/>
      <c r="U265" s="358"/>
      <c r="V265" s="358"/>
      <c r="W265" s="358"/>
      <c r="X265" s="358"/>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1:49" ht="13.5" customHeight="1">
      <c r="A266" s="1"/>
      <c r="B266" s="358"/>
      <c r="C266" s="358"/>
      <c r="D266" s="358"/>
      <c r="E266" s="358"/>
      <c r="F266" s="358"/>
      <c r="G266" s="358"/>
      <c r="H266" s="358"/>
      <c r="I266" s="358"/>
      <c r="J266" s="358"/>
      <c r="K266" s="358"/>
      <c r="L266" s="358"/>
      <c r="M266" s="358"/>
      <c r="N266" s="358"/>
      <c r="O266" s="358"/>
      <c r="P266" s="358"/>
      <c r="Q266" s="358"/>
      <c r="R266" s="358"/>
      <c r="S266" s="358"/>
      <c r="T266" s="358"/>
      <c r="U266" s="358"/>
      <c r="V266" s="358"/>
      <c r="W266" s="358"/>
      <c r="X266" s="358"/>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1:49" ht="13.5" customHeight="1">
      <c r="A267" s="1"/>
      <c r="B267" s="358"/>
      <c r="C267" s="358"/>
      <c r="D267" s="358"/>
      <c r="E267" s="358"/>
      <c r="F267" s="358"/>
      <c r="G267" s="358"/>
      <c r="H267" s="358"/>
      <c r="I267" s="358"/>
      <c r="J267" s="358"/>
      <c r="K267" s="358"/>
      <c r="L267" s="358"/>
      <c r="M267" s="358"/>
      <c r="N267" s="358"/>
      <c r="O267" s="358"/>
      <c r="P267" s="358"/>
      <c r="Q267" s="358"/>
      <c r="R267" s="358"/>
      <c r="S267" s="358"/>
      <c r="T267" s="358"/>
      <c r="U267" s="358"/>
      <c r="V267" s="358"/>
      <c r="W267" s="358"/>
      <c r="X267" s="358"/>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1:49" ht="13.5" customHeight="1">
      <c r="A268" s="1"/>
      <c r="B268" s="358"/>
      <c r="C268" s="358"/>
      <c r="D268" s="358"/>
      <c r="E268" s="358"/>
      <c r="F268" s="358"/>
      <c r="G268" s="358"/>
      <c r="H268" s="358"/>
      <c r="I268" s="358"/>
      <c r="J268" s="358"/>
      <c r="K268" s="358"/>
      <c r="L268" s="358"/>
      <c r="M268" s="358"/>
      <c r="N268" s="358"/>
      <c r="O268" s="358"/>
      <c r="P268" s="358"/>
      <c r="Q268" s="358"/>
      <c r="R268" s="358"/>
      <c r="S268" s="358"/>
      <c r="T268" s="358"/>
      <c r="U268" s="358"/>
      <c r="V268" s="358"/>
      <c r="W268" s="358"/>
      <c r="X268" s="358"/>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1:49" ht="13.5" customHeight="1">
      <c r="A269" s="1"/>
      <c r="B269" s="358"/>
      <c r="C269" s="358"/>
      <c r="D269" s="358"/>
      <c r="E269" s="358"/>
      <c r="F269" s="358"/>
      <c r="G269" s="358"/>
      <c r="H269" s="358"/>
      <c r="I269" s="358"/>
      <c r="J269" s="358"/>
      <c r="K269" s="358"/>
      <c r="L269" s="358"/>
      <c r="M269" s="358"/>
      <c r="N269" s="358"/>
      <c r="O269" s="358"/>
      <c r="P269" s="358"/>
      <c r="Q269" s="358"/>
      <c r="R269" s="358"/>
      <c r="S269" s="358"/>
      <c r="T269" s="358"/>
      <c r="U269" s="358"/>
      <c r="V269" s="358"/>
      <c r="W269" s="358"/>
      <c r="X269" s="358"/>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1:49" ht="13.5" customHeight="1">
      <c r="A270" s="1"/>
      <c r="B270" s="358"/>
      <c r="C270" s="358"/>
      <c r="D270" s="358"/>
      <c r="E270" s="358"/>
      <c r="F270" s="358"/>
      <c r="G270" s="358"/>
      <c r="H270" s="358"/>
      <c r="I270" s="358"/>
      <c r="J270" s="358"/>
      <c r="K270" s="358"/>
      <c r="L270" s="358"/>
      <c r="M270" s="358"/>
      <c r="N270" s="358"/>
      <c r="O270" s="358"/>
      <c r="P270" s="358"/>
      <c r="Q270" s="358"/>
      <c r="R270" s="358"/>
      <c r="S270" s="358"/>
      <c r="T270" s="358"/>
      <c r="U270" s="358"/>
      <c r="V270" s="358"/>
      <c r="W270" s="358"/>
      <c r="X270" s="358"/>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1:49" ht="13.5" customHeight="1">
      <c r="A271" s="1"/>
      <c r="B271" s="358"/>
      <c r="C271" s="358"/>
      <c r="D271" s="358"/>
      <c r="E271" s="358"/>
      <c r="F271" s="358"/>
      <c r="G271" s="358"/>
      <c r="H271" s="358"/>
      <c r="I271" s="358"/>
      <c r="J271" s="358"/>
      <c r="K271" s="358"/>
      <c r="L271" s="358"/>
      <c r="M271" s="358"/>
      <c r="N271" s="358"/>
      <c r="O271" s="358"/>
      <c r="P271" s="358"/>
      <c r="Q271" s="358"/>
      <c r="R271" s="358"/>
      <c r="S271" s="358"/>
      <c r="T271" s="358"/>
      <c r="U271" s="358"/>
      <c r="V271" s="358"/>
      <c r="W271" s="358"/>
      <c r="X271" s="358"/>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1:49" ht="13.5" customHeight="1">
      <c r="A272" s="1"/>
      <c r="B272" s="358"/>
      <c r="C272" s="358"/>
      <c r="D272" s="358"/>
      <c r="E272" s="358"/>
      <c r="F272" s="358"/>
      <c r="G272" s="358"/>
      <c r="H272" s="358"/>
      <c r="I272" s="358"/>
      <c r="J272" s="358"/>
      <c r="K272" s="358"/>
      <c r="L272" s="358"/>
      <c r="M272" s="358"/>
      <c r="N272" s="358"/>
      <c r="O272" s="358"/>
      <c r="P272" s="358"/>
      <c r="Q272" s="358"/>
      <c r="R272" s="358"/>
      <c r="S272" s="358"/>
      <c r="T272" s="358"/>
      <c r="U272" s="358"/>
      <c r="V272" s="358"/>
      <c r="W272" s="358"/>
      <c r="X272" s="358"/>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1:49" ht="13.5" customHeight="1">
      <c r="A273" s="1"/>
      <c r="B273" s="358"/>
      <c r="C273" s="358"/>
      <c r="D273" s="358"/>
      <c r="E273" s="358"/>
      <c r="F273" s="358"/>
      <c r="G273" s="358"/>
      <c r="H273" s="358"/>
      <c r="I273" s="358"/>
      <c r="J273" s="358"/>
      <c r="K273" s="358"/>
      <c r="L273" s="358"/>
      <c r="M273" s="358"/>
      <c r="N273" s="358"/>
      <c r="O273" s="358"/>
      <c r="P273" s="358"/>
      <c r="Q273" s="358"/>
      <c r="R273" s="358"/>
      <c r="S273" s="358"/>
      <c r="T273" s="358"/>
      <c r="U273" s="358"/>
      <c r="V273" s="358"/>
      <c r="W273" s="358"/>
      <c r="X273" s="358"/>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1:49" ht="13.5" customHeight="1">
      <c r="A274" s="1"/>
      <c r="B274" s="358"/>
      <c r="C274" s="358"/>
      <c r="D274" s="358"/>
      <c r="E274" s="358"/>
      <c r="F274" s="358"/>
      <c r="G274" s="358"/>
      <c r="H274" s="358"/>
      <c r="I274" s="358"/>
      <c r="J274" s="358"/>
      <c r="K274" s="358"/>
      <c r="L274" s="358"/>
      <c r="M274" s="358"/>
      <c r="N274" s="358"/>
      <c r="O274" s="358"/>
      <c r="P274" s="358"/>
      <c r="Q274" s="358"/>
      <c r="R274" s="358"/>
      <c r="S274" s="358"/>
      <c r="T274" s="358"/>
      <c r="U274" s="358"/>
      <c r="V274" s="358"/>
      <c r="W274" s="358"/>
      <c r="X274" s="358"/>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1:49" ht="13.5" customHeight="1">
      <c r="A275" s="1"/>
      <c r="B275" s="358"/>
      <c r="C275" s="358"/>
      <c r="D275" s="358"/>
      <c r="E275" s="358"/>
      <c r="F275" s="358"/>
      <c r="G275" s="358"/>
      <c r="H275" s="358"/>
      <c r="I275" s="358"/>
      <c r="J275" s="358"/>
      <c r="K275" s="358"/>
      <c r="L275" s="358"/>
      <c r="M275" s="358"/>
      <c r="N275" s="358"/>
      <c r="O275" s="358"/>
      <c r="P275" s="358"/>
      <c r="Q275" s="358"/>
      <c r="R275" s="358"/>
      <c r="S275" s="358"/>
      <c r="T275" s="358"/>
      <c r="U275" s="358"/>
      <c r="V275" s="358"/>
      <c r="W275" s="358"/>
      <c r="X275" s="358"/>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1:49" ht="13.5" customHeight="1">
      <c r="A276" s="1"/>
      <c r="B276" s="358"/>
      <c r="C276" s="358"/>
      <c r="D276" s="358"/>
      <c r="E276" s="358"/>
      <c r="F276" s="358"/>
      <c r="G276" s="358"/>
      <c r="H276" s="358"/>
      <c r="I276" s="358"/>
      <c r="J276" s="358"/>
      <c r="K276" s="358"/>
      <c r="L276" s="358"/>
      <c r="M276" s="358"/>
      <c r="N276" s="358"/>
      <c r="O276" s="358"/>
      <c r="P276" s="358"/>
      <c r="Q276" s="358"/>
      <c r="R276" s="358"/>
      <c r="S276" s="358"/>
      <c r="T276" s="358"/>
      <c r="U276" s="358"/>
      <c r="V276" s="358"/>
      <c r="W276" s="358"/>
      <c r="X276" s="358"/>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1:49" ht="13.5" customHeight="1">
      <c r="A277" s="1"/>
      <c r="B277" s="358"/>
      <c r="C277" s="358"/>
      <c r="D277" s="358"/>
      <c r="E277" s="358"/>
      <c r="F277" s="358"/>
      <c r="G277" s="358"/>
      <c r="H277" s="358"/>
      <c r="I277" s="358"/>
      <c r="J277" s="358"/>
      <c r="K277" s="358"/>
      <c r="L277" s="358"/>
      <c r="M277" s="358"/>
      <c r="N277" s="358"/>
      <c r="O277" s="358"/>
      <c r="P277" s="358"/>
      <c r="Q277" s="358"/>
      <c r="R277" s="358"/>
      <c r="S277" s="358"/>
      <c r="T277" s="358"/>
      <c r="U277" s="358"/>
      <c r="V277" s="358"/>
      <c r="W277" s="358"/>
      <c r="X277" s="358"/>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1:49" ht="13.5" customHeight="1">
      <c r="A278" s="1"/>
      <c r="B278" s="358"/>
      <c r="C278" s="358"/>
      <c r="D278" s="358"/>
      <c r="E278" s="358"/>
      <c r="F278" s="358"/>
      <c r="G278" s="358"/>
      <c r="H278" s="358"/>
      <c r="I278" s="358"/>
      <c r="J278" s="358"/>
      <c r="K278" s="358"/>
      <c r="L278" s="358"/>
      <c r="M278" s="358"/>
      <c r="N278" s="358"/>
      <c r="O278" s="358"/>
      <c r="P278" s="358"/>
      <c r="Q278" s="358"/>
      <c r="R278" s="358"/>
      <c r="S278" s="358"/>
      <c r="T278" s="358"/>
      <c r="U278" s="358"/>
      <c r="V278" s="358"/>
      <c r="W278" s="358"/>
      <c r="X278" s="358"/>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1:49" ht="13.5" customHeight="1">
      <c r="A279" s="1"/>
      <c r="B279" s="358"/>
      <c r="C279" s="358"/>
      <c r="D279" s="358"/>
      <c r="E279" s="358"/>
      <c r="F279" s="358"/>
      <c r="G279" s="358"/>
      <c r="H279" s="358"/>
      <c r="I279" s="358"/>
      <c r="J279" s="358"/>
      <c r="K279" s="358"/>
      <c r="L279" s="358"/>
      <c r="M279" s="358"/>
      <c r="N279" s="358"/>
      <c r="O279" s="358"/>
      <c r="P279" s="358"/>
      <c r="Q279" s="358"/>
      <c r="R279" s="358"/>
      <c r="S279" s="358"/>
      <c r="T279" s="358"/>
      <c r="U279" s="358"/>
      <c r="V279" s="358"/>
      <c r="W279" s="358"/>
      <c r="X279" s="358"/>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1:49" ht="13.5" customHeight="1">
      <c r="A280" s="1"/>
      <c r="B280" s="358"/>
      <c r="C280" s="358"/>
      <c r="D280" s="358"/>
      <c r="E280" s="358"/>
      <c r="F280" s="358"/>
      <c r="G280" s="358"/>
      <c r="H280" s="358"/>
      <c r="I280" s="358"/>
      <c r="J280" s="358"/>
      <c r="K280" s="358"/>
      <c r="L280" s="358"/>
      <c r="M280" s="358"/>
      <c r="N280" s="358"/>
      <c r="O280" s="358"/>
      <c r="P280" s="358"/>
      <c r="Q280" s="358"/>
      <c r="R280" s="358"/>
      <c r="S280" s="358"/>
      <c r="T280" s="358"/>
      <c r="U280" s="358"/>
      <c r="V280" s="358"/>
      <c r="W280" s="358"/>
      <c r="X280" s="358"/>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1:49" ht="13.5" customHeight="1">
      <c r="A281" s="1"/>
      <c r="B281" s="358"/>
      <c r="C281" s="358"/>
      <c r="D281" s="358"/>
      <c r="E281" s="358"/>
      <c r="F281" s="358"/>
      <c r="G281" s="358"/>
      <c r="H281" s="358"/>
      <c r="I281" s="358"/>
      <c r="J281" s="358"/>
      <c r="K281" s="358"/>
      <c r="L281" s="358"/>
      <c r="M281" s="358"/>
      <c r="N281" s="358"/>
      <c r="O281" s="358"/>
      <c r="P281" s="358"/>
      <c r="Q281" s="358"/>
      <c r="R281" s="358"/>
      <c r="S281" s="358"/>
      <c r="T281" s="358"/>
      <c r="U281" s="358"/>
      <c r="V281" s="358"/>
      <c r="W281" s="358"/>
      <c r="X281" s="358"/>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1:49" ht="13.5" customHeight="1">
      <c r="A282" s="1"/>
      <c r="B282" s="358"/>
      <c r="C282" s="358"/>
      <c r="D282" s="358"/>
      <c r="E282" s="358"/>
      <c r="F282" s="358"/>
      <c r="G282" s="358"/>
      <c r="H282" s="358"/>
      <c r="I282" s="358"/>
      <c r="J282" s="358"/>
      <c r="K282" s="358"/>
      <c r="L282" s="358"/>
      <c r="M282" s="358"/>
      <c r="N282" s="358"/>
      <c r="O282" s="358"/>
      <c r="P282" s="358"/>
      <c r="Q282" s="358"/>
      <c r="R282" s="358"/>
      <c r="S282" s="358"/>
      <c r="T282" s="358"/>
      <c r="U282" s="358"/>
      <c r="V282" s="358"/>
      <c r="W282" s="358"/>
      <c r="X282" s="358"/>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1:49" ht="13.5" customHeight="1">
      <c r="A283" s="1"/>
      <c r="B283" s="358"/>
      <c r="C283" s="358"/>
      <c r="D283" s="358"/>
      <c r="E283" s="358"/>
      <c r="F283" s="358"/>
      <c r="G283" s="358"/>
      <c r="H283" s="358"/>
      <c r="I283" s="358"/>
      <c r="J283" s="358"/>
      <c r="K283" s="358"/>
      <c r="L283" s="358"/>
      <c r="M283" s="358"/>
      <c r="N283" s="358"/>
      <c r="O283" s="358"/>
      <c r="P283" s="358"/>
      <c r="Q283" s="358"/>
      <c r="R283" s="358"/>
      <c r="S283" s="358"/>
      <c r="T283" s="358"/>
      <c r="U283" s="358"/>
      <c r="V283" s="358"/>
      <c r="W283" s="358"/>
      <c r="X283" s="358"/>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1:49" ht="13.5" customHeight="1">
      <c r="A284" s="1"/>
      <c r="B284" s="358"/>
      <c r="C284" s="358"/>
      <c r="D284" s="358"/>
      <c r="E284" s="358"/>
      <c r="F284" s="358"/>
      <c r="G284" s="358"/>
      <c r="H284" s="358"/>
      <c r="I284" s="358"/>
      <c r="J284" s="358"/>
      <c r="K284" s="358"/>
      <c r="L284" s="358"/>
      <c r="M284" s="358"/>
      <c r="N284" s="358"/>
      <c r="O284" s="358"/>
      <c r="P284" s="358"/>
      <c r="Q284" s="358"/>
      <c r="R284" s="358"/>
      <c r="S284" s="358"/>
      <c r="T284" s="358"/>
      <c r="U284" s="358"/>
      <c r="V284" s="358"/>
      <c r="W284" s="358"/>
      <c r="X284" s="358"/>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1:49" ht="13.5" customHeight="1">
      <c r="A285" s="1"/>
      <c r="B285" s="358"/>
      <c r="C285" s="358"/>
      <c r="D285" s="358"/>
      <c r="E285" s="358"/>
      <c r="F285" s="358"/>
      <c r="G285" s="358"/>
      <c r="H285" s="358"/>
      <c r="I285" s="358"/>
      <c r="J285" s="358"/>
      <c r="K285" s="358"/>
      <c r="L285" s="358"/>
      <c r="M285" s="358"/>
      <c r="N285" s="358"/>
      <c r="O285" s="358"/>
      <c r="P285" s="358"/>
      <c r="Q285" s="358"/>
      <c r="R285" s="358"/>
      <c r="S285" s="358"/>
      <c r="T285" s="358"/>
      <c r="U285" s="358"/>
      <c r="V285" s="358"/>
      <c r="W285" s="358"/>
      <c r="X285" s="358"/>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1:49" ht="13.5" customHeight="1">
      <c r="A286" s="1"/>
      <c r="B286" s="358"/>
      <c r="C286" s="358"/>
      <c r="D286" s="358"/>
      <c r="E286" s="358"/>
      <c r="F286" s="358"/>
      <c r="G286" s="358"/>
      <c r="H286" s="358"/>
      <c r="I286" s="358"/>
      <c r="J286" s="358"/>
      <c r="K286" s="358"/>
      <c r="L286" s="358"/>
      <c r="M286" s="358"/>
      <c r="N286" s="358"/>
      <c r="O286" s="358"/>
      <c r="P286" s="358"/>
      <c r="Q286" s="358"/>
      <c r="R286" s="358"/>
      <c r="S286" s="358"/>
      <c r="T286" s="358"/>
      <c r="U286" s="358"/>
      <c r="V286" s="358"/>
      <c r="W286" s="358"/>
      <c r="X286" s="358"/>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1:49" ht="13.5" customHeight="1">
      <c r="A287" s="1"/>
      <c r="B287" s="358"/>
      <c r="C287" s="358"/>
      <c r="D287" s="358"/>
      <c r="E287" s="358"/>
      <c r="F287" s="358"/>
      <c r="G287" s="358"/>
      <c r="H287" s="358"/>
      <c r="I287" s="358"/>
      <c r="J287" s="358"/>
      <c r="K287" s="358"/>
      <c r="L287" s="358"/>
      <c r="M287" s="358"/>
      <c r="N287" s="358"/>
      <c r="O287" s="358"/>
      <c r="P287" s="358"/>
      <c r="Q287" s="358"/>
      <c r="R287" s="358"/>
      <c r="S287" s="358"/>
      <c r="T287" s="358"/>
      <c r="U287" s="358"/>
      <c r="V287" s="358"/>
      <c r="W287" s="358"/>
      <c r="X287" s="358"/>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1:49" ht="13.5" customHeight="1">
      <c r="A288" s="1"/>
      <c r="B288" s="358"/>
      <c r="C288" s="358"/>
      <c r="D288" s="358"/>
      <c r="E288" s="358"/>
      <c r="F288" s="358"/>
      <c r="G288" s="358"/>
      <c r="H288" s="358"/>
      <c r="I288" s="358"/>
      <c r="J288" s="358"/>
      <c r="K288" s="358"/>
      <c r="L288" s="358"/>
      <c r="M288" s="358"/>
      <c r="N288" s="358"/>
      <c r="O288" s="358"/>
      <c r="P288" s="358"/>
      <c r="Q288" s="358"/>
      <c r="R288" s="358"/>
      <c r="S288" s="358"/>
      <c r="T288" s="358"/>
      <c r="U288" s="358"/>
      <c r="V288" s="358"/>
      <c r="W288" s="358"/>
      <c r="X288" s="358"/>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1:49" ht="13.5" customHeight="1">
      <c r="A289" s="1"/>
      <c r="B289" s="358"/>
      <c r="C289" s="358"/>
      <c r="D289" s="358"/>
      <c r="E289" s="358"/>
      <c r="F289" s="358"/>
      <c r="G289" s="358"/>
      <c r="H289" s="358"/>
      <c r="I289" s="358"/>
      <c r="J289" s="358"/>
      <c r="K289" s="358"/>
      <c r="L289" s="358"/>
      <c r="M289" s="358"/>
      <c r="N289" s="358"/>
      <c r="O289" s="358"/>
      <c r="P289" s="358"/>
      <c r="Q289" s="358"/>
      <c r="R289" s="358"/>
      <c r="S289" s="358"/>
      <c r="T289" s="358"/>
      <c r="U289" s="358"/>
      <c r="V289" s="358"/>
      <c r="W289" s="358"/>
      <c r="X289" s="358"/>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1:49" ht="13.5" customHeight="1">
      <c r="A290" s="1"/>
      <c r="B290" s="358"/>
      <c r="C290" s="358"/>
      <c r="D290" s="358"/>
      <c r="E290" s="358"/>
      <c r="F290" s="358"/>
      <c r="G290" s="358"/>
      <c r="H290" s="358"/>
      <c r="I290" s="358"/>
      <c r="J290" s="358"/>
      <c r="K290" s="358"/>
      <c r="L290" s="358"/>
      <c r="M290" s="358"/>
      <c r="N290" s="358"/>
      <c r="O290" s="358"/>
      <c r="P290" s="358"/>
      <c r="Q290" s="358"/>
      <c r="R290" s="358"/>
      <c r="S290" s="358"/>
      <c r="T290" s="358"/>
      <c r="U290" s="358"/>
      <c r="V290" s="358"/>
      <c r="W290" s="358"/>
      <c r="X290" s="358"/>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1:49" ht="13.5" customHeight="1">
      <c r="A291" s="1"/>
      <c r="B291" s="358"/>
      <c r="C291" s="358"/>
      <c r="D291" s="358"/>
      <c r="E291" s="358"/>
      <c r="F291" s="358"/>
      <c r="G291" s="358"/>
      <c r="H291" s="358"/>
      <c r="I291" s="358"/>
      <c r="J291" s="358"/>
      <c r="K291" s="358"/>
      <c r="L291" s="358"/>
      <c r="M291" s="358"/>
      <c r="N291" s="358"/>
      <c r="O291" s="358"/>
      <c r="P291" s="358"/>
      <c r="Q291" s="358"/>
      <c r="R291" s="358"/>
      <c r="S291" s="358"/>
      <c r="T291" s="358"/>
      <c r="U291" s="358"/>
      <c r="V291" s="358"/>
      <c r="W291" s="358"/>
      <c r="X291" s="358"/>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1:49" ht="13.5" customHeight="1">
      <c r="A292" s="1"/>
      <c r="B292" s="358"/>
      <c r="C292" s="358"/>
      <c r="D292" s="358"/>
      <c r="E292" s="358"/>
      <c r="F292" s="358"/>
      <c r="G292" s="358"/>
      <c r="H292" s="358"/>
      <c r="I292" s="358"/>
      <c r="J292" s="358"/>
      <c r="K292" s="358"/>
      <c r="L292" s="358"/>
      <c r="M292" s="358"/>
      <c r="N292" s="358"/>
      <c r="O292" s="358"/>
      <c r="P292" s="358"/>
      <c r="Q292" s="358"/>
      <c r="R292" s="358"/>
      <c r="S292" s="358"/>
      <c r="T292" s="358"/>
      <c r="U292" s="358"/>
      <c r="V292" s="358"/>
      <c r="W292" s="358"/>
      <c r="X292" s="358"/>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1:49" ht="13.5" customHeight="1">
      <c r="A293" s="1"/>
      <c r="B293" s="358"/>
      <c r="C293" s="358"/>
      <c r="D293" s="358"/>
      <c r="E293" s="358"/>
      <c r="F293" s="358"/>
      <c r="G293" s="358"/>
      <c r="H293" s="358"/>
      <c r="I293" s="358"/>
      <c r="J293" s="358"/>
      <c r="K293" s="358"/>
      <c r="L293" s="358"/>
      <c r="M293" s="358"/>
      <c r="N293" s="358"/>
      <c r="O293" s="358"/>
      <c r="P293" s="358"/>
      <c r="Q293" s="358"/>
      <c r="R293" s="358"/>
      <c r="S293" s="358"/>
      <c r="T293" s="358"/>
      <c r="U293" s="358"/>
      <c r="V293" s="358"/>
      <c r="W293" s="358"/>
      <c r="X293" s="358"/>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1:49" ht="13.5" customHeight="1">
      <c r="A294" s="1"/>
      <c r="B294" s="358"/>
      <c r="C294" s="358"/>
      <c r="D294" s="358"/>
      <c r="E294" s="358"/>
      <c r="F294" s="358"/>
      <c r="G294" s="358"/>
      <c r="H294" s="358"/>
      <c r="I294" s="358"/>
      <c r="J294" s="358"/>
      <c r="K294" s="358"/>
      <c r="L294" s="358"/>
      <c r="M294" s="358"/>
      <c r="N294" s="358"/>
      <c r="O294" s="358"/>
      <c r="P294" s="358"/>
      <c r="Q294" s="358"/>
      <c r="R294" s="358"/>
      <c r="S294" s="358"/>
      <c r="T294" s="358"/>
      <c r="U294" s="358"/>
      <c r="V294" s="358"/>
      <c r="W294" s="358"/>
      <c r="X294" s="358"/>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1:49" ht="13.5" customHeight="1">
      <c r="A295" s="1"/>
      <c r="B295" s="358"/>
      <c r="C295" s="358"/>
      <c r="D295" s="358"/>
      <c r="E295" s="358"/>
      <c r="F295" s="358"/>
      <c r="G295" s="358"/>
      <c r="H295" s="358"/>
      <c r="I295" s="358"/>
      <c r="J295" s="358"/>
      <c r="K295" s="358"/>
      <c r="L295" s="358"/>
      <c r="M295" s="358"/>
      <c r="N295" s="358"/>
      <c r="O295" s="358"/>
      <c r="P295" s="358"/>
      <c r="Q295" s="358"/>
      <c r="R295" s="358"/>
      <c r="S295" s="358"/>
      <c r="T295" s="358"/>
      <c r="U295" s="358"/>
      <c r="V295" s="358"/>
      <c r="W295" s="358"/>
      <c r="X295" s="358"/>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1:49" ht="13.5" customHeight="1">
      <c r="A296" s="1"/>
      <c r="B296" s="358"/>
      <c r="C296" s="358"/>
      <c r="D296" s="358"/>
      <c r="E296" s="358"/>
      <c r="F296" s="358"/>
      <c r="G296" s="358"/>
      <c r="H296" s="358"/>
      <c r="I296" s="358"/>
      <c r="J296" s="358"/>
      <c r="K296" s="358"/>
      <c r="L296" s="358"/>
      <c r="M296" s="358"/>
      <c r="N296" s="358"/>
      <c r="O296" s="358"/>
      <c r="P296" s="358"/>
      <c r="Q296" s="358"/>
      <c r="R296" s="358"/>
      <c r="S296" s="358"/>
      <c r="T296" s="358"/>
      <c r="U296" s="358"/>
      <c r="V296" s="358"/>
      <c r="W296" s="358"/>
      <c r="X296" s="358"/>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1:49" ht="13.5" customHeight="1">
      <c r="A297" s="1"/>
      <c r="B297" s="358"/>
      <c r="C297" s="358"/>
      <c r="D297" s="358"/>
      <c r="E297" s="358"/>
      <c r="F297" s="358"/>
      <c r="G297" s="358"/>
      <c r="H297" s="358"/>
      <c r="I297" s="358"/>
      <c r="J297" s="358"/>
      <c r="K297" s="358"/>
      <c r="L297" s="358"/>
      <c r="M297" s="358"/>
      <c r="N297" s="358"/>
      <c r="O297" s="358"/>
      <c r="P297" s="358"/>
      <c r="Q297" s="358"/>
      <c r="R297" s="358"/>
      <c r="S297" s="358"/>
      <c r="T297" s="358"/>
      <c r="U297" s="358"/>
      <c r="V297" s="358"/>
      <c r="W297" s="358"/>
      <c r="X297" s="358"/>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1:49" ht="13.5" customHeight="1">
      <c r="A298" s="1"/>
      <c r="B298" s="358"/>
      <c r="C298" s="358"/>
      <c r="D298" s="358"/>
      <c r="E298" s="358"/>
      <c r="F298" s="358"/>
      <c r="G298" s="358"/>
      <c r="H298" s="358"/>
      <c r="I298" s="358"/>
      <c r="J298" s="358"/>
      <c r="K298" s="358"/>
      <c r="L298" s="358"/>
      <c r="M298" s="358"/>
      <c r="N298" s="358"/>
      <c r="O298" s="358"/>
      <c r="P298" s="358"/>
      <c r="Q298" s="358"/>
      <c r="R298" s="358"/>
      <c r="S298" s="358"/>
      <c r="T298" s="358"/>
      <c r="U298" s="358"/>
      <c r="V298" s="358"/>
      <c r="W298" s="358"/>
      <c r="X298" s="358"/>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1:49" ht="13.5" customHeight="1">
      <c r="A299" s="1"/>
      <c r="B299" s="358"/>
      <c r="C299" s="358"/>
      <c r="D299" s="358"/>
      <c r="E299" s="358"/>
      <c r="F299" s="358"/>
      <c r="G299" s="358"/>
      <c r="H299" s="358"/>
      <c r="I299" s="358"/>
      <c r="J299" s="358"/>
      <c r="K299" s="358"/>
      <c r="L299" s="358"/>
      <c r="M299" s="358"/>
      <c r="N299" s="358"/>
      <c r="O299" s="358"/>
      <c r="P299" s="358"/>
      <c r="Q299" s="358"/>
      <c r="R299" s="358"/>
      <c r="S299" s="358"/>
      <c r="T299" s="358"/>
      <c r="U299" s="358"/>
      <c r="V299" s="358"/>
      <c r="W299" s="358"/>
      <c r="X299" s="358"/>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1:49" ht="13.5" customHeight="1">
      <c r="A300" s="1"/>
      <c r="B300" s="358"/>
      <c r="C300" s="358"/>
      <c r="D300" s="358"/>
      <c r="E300" s="358"/>
      <c r="F300" s="358"/>
      <c r="G300" s="358"/>
      <c r="H300" s="358"/>
      <c r="I300" s="358"/>
      <c r="J300" s="358"/>
      <c r="K300" s="358"/>
      <c r="L300" s="358"/>
      <c r="M300" s="358"/>
      <c r="N300" s="358"/>
      <c r="O300" s="358"/>
      <c r="P300" s="358"/>
      <c r="Q300" s="358"/>
      <c r="R300" s="358"/>
      <c r="S300" s="358"/>
      <c r="T300" s="358"/>
      <c r="U300" s="358"/>
      <c r="V300" s="358"/>
      <c r="W300" s="358"/>
      <c r="X300" s="358"/>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1:49" ht="13.5" customHeight="1">
      <c r="A301" s="1"/>
      <c r="B301" s="358"/>
      <c r="C301" s="358"/>
      <c r="D301" s="358"/>
      <c r="E301" s="358"/>
      <c r="F301" s="358"/>
      <c r="G301" s="358"/>
      <c r="H301" s="358"/>
      <c r="I301" s="358"/>
      <c r="J301" s="358"/>
      <c r="K301" s="358"/>
      <c r="L301" s="358"/>
      <c r="M301" s="358"/>
      <c r="N301" s="358"/>
      <c r="O301" s="358"/>
      <c r="P301" s="358"/>
      <c r="Q301" s="358"/>
      <c r="R301" s="358"/>
      <c r="S301" s="358"/>
      <c r="T301" s="358"/>
      <c r="U301" s="358"/>
      <c r="V301" s="358"/>
      <c r="W301" s="358"/>
      <c r="X301" s="358"/>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1:49" ht="13.5" customHeight="1">
      <c r="A302" s="1"/>
      <c r="B302" s="358"/>
      <c r="C302" s="358"/>
      <c r="D302" s="358"/>
      <c r="E302" s="358"/>
      <c r="F302" s="358"/>
      <c r="G302" s="358"/>
      <c r="H302" s="358"/>
      <c r="I302" s="358"/>
      <c r="J302" s="358"/>
      <c r="K302" s="358"/>
      <c r="L302" s="358"/>
      <c r="M302" s="358"/>
      <c r="N302" s="358"/>
      <c r="O302" s="358"/>
      <c r="P302" s="358"/>
      <c r="Q302" s="358"/>
      <c r="R302" s="358"/>
      <c r="S302" s="358"/>
      <c r="T302" s="358"/>
      <c r="U302" s="358"/>
      <c r="V302" s="358"/>
      <c r="W302" s="358"/>
      <c r="X302" s="358"/>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1:49" ht="13.5" customHeight="1">
      <c r="A303" s="1"/>
      <c r="B303" s="358"/>
      <c r="C303" s="358"/>
      <c r="D303" s="358"/>
      <c r="E303" s="358"/>
      <c r="F303" s="358"/>
      <c r="G303" s="358"/>
      <c r="H303" s="358"/>
      <c r="I303" s="358"/>
      <c r="J303" s="358"/>
      <c r="K303" s="358"/>
      <c r="L303" s="358"/>
      <c r="M303" s="358"/>
      <c r="N303" s="358"/>
      <c r="O303" s="358"/>
      <c r="P303" s="358"/>
      <c r="Q303" s="358"/>
      <c r="R303" s="358"/>
      <c r="S303" s="358"/>
      <c r="T303" s="358"/>
      <c r="U303" s="358"/>
      <c r="V303" s="358"/>
      <c r="W303" s="358"/>
      <c r="X303" s="358"/>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1:49" ht="13.5" customHeight="1">
      <c r="A304" s="1"/>
      <c r="B304" s="358"/>
      <c r="C304" s="358"/>
      <c r="D304" s="358"/>
      <c r="E304" s="358"/>
      <c r="F304" s="358"/>
      <c r="G304" s="358"/>
      <c r="H304" s="358"/>
      <c r="I304" s="358"/>
      <c r="J304" s="358"/>
      <c r="K304" s="358"/>
      <c r="L304" s="358"/>
      <c r="M304" s="358"/>
      <c r="N304" s="358"/>
      <c r="O304" s="358"/>
      <c r="P304" s="358"/>
      <c r="Q304" s="358"/>
      <c r="R304" s="358"/>
      <c r="S304" s="358"/>
      <c r="T304" s="358"/>
      <c r="U304" s="358"/>
      <c r="V304" s="358"/>
      <c r="W304" s="358"/>
      <c r="X304" s="358"/>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1:49" ht="13.5" customHeight="1">
      <c r="A305" s="1"/>
      <c r="B305" s="358"/>
      <c r="C305" s="358"/>
      <c r="D305" s="358"/>
      <c r="E305" s="358"/>
      <c r="F305" s="358"/>
      <c r="G305" s="358"/>
      <c r="H305" s="358"/>
      <c r="I305" s="358"/>
      <c r="J305" s="358"/>
      <c r="K305" s="358"/>
      <c r="L305" s="358"/>
      <c r="M305" s="358"/>
      <c r="N305" s="358"/>
      <c r="O305" s="358"/>
      <c r="P305" s="358"/>
      <c r="Q305" s="358"/>
      <c r="R305" s="358"/>
      <c r="S305" s="358"/>
      <c r="T305" s="358"/>
      <c r="U305" s="358"/>
      <c r="V305" s="358"/>
      <c r="W305" s="358"/>
      <c r="X305" s="358"/>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1:49" ht="13.5" customHeight="1">
      <c r="A306" s="1"/>
      <c r="B306" s="358"/>
      <c r="C306" s="358"/>
      <c r="D306" s="358"/>
      <c r="E306" s="358"/>
      <c r="F306" s="358"/>
      <c r="G306" s="358"/>
      <c r="H306" s="358"/>
      <c r="I306" s="358"/>
      <c r="J306" s="358"/>
      <c r="K306" s="358"/>
      <c r="L306" s="358"/>
      <c r="M306" s="358"/>
      <c r="N306" s="358"/>
      <c r="O306" s="358"/>
      <c r="P306" s="358"/>
      <c r="Q306" s="358"/>
      <c r="R306" s="358"/>
      <c r="S306" s="358"/>
      <c r="T306" s="358"/>
      <c r="U306" s="358"/>
      <c r="V306" s="358"/>
      <c r="W306" s="358"/>
      <c r="X306" s="358"/>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1:49" ht="13.5" customHeight="1">
      <c r="A307" s="1"/>
      <c r="B307" s="358"/>
      <c r="C307" s="358"/>
      <c r="D307" s="358"/>
      <c r="E307" s="358"/>
      <c r="F307" s="358"/>
      <c r="G307" s="358"/>
      <c r="H307" s="358"/>
      <c r="I307" s="358"/>
      <c r="J307" s="358"/>
      <c r="K307" s="358"/>
      <c r="L307" s="358"/>
      <c r="M307" s="358"/>
      <c r="N307" s="358"/>
      <c r="O307" s="358"/>
      <c r="P307" s="358"/>
      <c r="Q307" s="358"/>
      <c r="R307" s="358"/>
      <c r="S307" s="358"/>
      <c r="T307" s="358"/>
      <c r="U307" s="358"/>
      <c r="V307" s="358"/>
      <c r="W307" s="358"/>
      <c r="X307" s="358"/>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1:49" ht="13.5" customHeight="1">
      <c r="A308" s="1"/>
      <c r="B308" s="358"/>
      <c r="C308" s="358"/>
      <c r="D308" s="358"/>
      <c r="E308" s="358"/>
      <c r="F308" s="358"/>
      <c r="G308" s="358"/>
      <c r="H308" s="358"/>
      <c r="I308" s="358"/>
      <c r="J308" s="358"/>
      <c r="K308" s="358"/>
      <c r="L308" s="358"/>
      <c r="M308" s="358"/>
      <c r="N308" s="358"/>
      <c r="O308" s="358"/>
      <c r="P308" s="358"/>
      <c r="Q308" s="358"/>
      <c r="R308" s="358"/>
      <c r="S308" s="358"/>
      <c r="T308" s="358"/>
      <c r="U308" s="358"/>
      <c r="V308" s="358"/>
      <c r="W308" s="358"/>
      <c r="X308" s="358"/>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1:49" ht="13.5" customHeight="1">
      <c r="A309" s="1"/>
      <c r="B309" s="358"/>
      <c r="C309" s="358"/>
      <c r="D309" s="358"/>
      <c r="E309" s="358"/>
      <c r="F309" s="358"/>
      <c r="G309" s="358"/>
      <c r="H309" s="358"/>
      <c r="I309" s="358"/>
      <c r="J309" s="358"/>
      <c r="K309" s="358"/>
      <c r="L309" s="358"/>
      <c r="M309" s="358"/>
      <c r="N309" s="358"/>
      <c r="O309" s="358"/>
      <c r="P309" s="358"/>
      <c r="Q309" s="358"/>
      <c r="R309" s="358"/>
      <c r="S309" s="358"/>
      <c r="T309" s="358"/>
      <c r="U309" s="358"/>
      <c r="V309" s="358"/>
      <c r="W309" s="358"/>
      <c r="X309" s="358"/>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1:49" ht="13.5" customHeight="1">
      <c r="A310" s="1"/>
      <c r="B310" s="358"/>
      <c r="C310" s="358"/>
      <c r="D310" s="358"/>
      <c r="E310" s="358"/>
      <c r="F310" s="358"/>
      <c r="G310" s="358"/>
      <c r="H310" s="358"/>
      <c r="I310" s="358"/>
      <c r="J310" s="358"/>
      <c r="K310" s="358"/>
      <c r="L310" s="358"/>
      <c r="M310" s="358"/>
      <c r="N310" s="358"/>
      <c r="O310" s="358"/>
      <c r="P310" s="358"/>
      <c r="Q310" s="358"/>
      <c r="R310" s="358"/>
      <c r="S310" s="358"/>
      <c r="T310" s="358"/>
      <c r="U310" s="358"/>
      <c r="V310" s="358"/>
      <c r="W310" s="358"/>
      <c r="X310" s="358"/>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1:49" ht="13.5" customHeight="1">
      <c r="A311" s="1"/>
      <c r="B311" s="358"/>
      <c r="C311" s="358"/>
      <c r="D311" s="358"/>
      <c r="E311" s="358"/>
      <c r="F311" s="358"/>
      <c r="G311" s="358"/>
      <c r="H311" s="358"/>
      <c r="I311" s="358"/>
      <c r="J311" s="358"/>
      <c r="K311" s="358"/>
      <c r="L311" s="358"/>
      <c r="M311" s="358"/>
      <c r="N311" s="358"/>
      <c r="O311" s="358"/>
      <c r="P311" s="358"/>
      <c r="Q311" s="358"/>
      <c r="R311" s="358"/>
      <c r="S311" s="358"/>
      <c r="T311" s="358"/>
      <c r="U311" s="358"/>
      <c r="V311" s="358"/>
      <c r="W311" s="358"/>
      <c r="X311" s="358"/>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1:49" ht="13.5" customHeight="1">
      <c r="A312" s="1"/>
      <c r="B312" s="358"/>
      <c r="C312" s="358"/>
      <c r="D312" s="358"/>
      <c r="E312" s="358"/>
      <c r="F312" s="358"/>
      <c r="G312" s="358"/>
      <c r="H312" s="358"/>
      <c r="I312" s="358"/>
      <c r="J312" s="358"/>
      <c r="K312" s="358"/>
      <c r="L312" s="358"/>
      <c r="M312" s="358"/>
      <c r="N312" s="358"/>
      <c r="O312" s="358"/>
      <c r="P312" s="358"/>
      <c r="Q312" s="358"/>
      <c r="R312" s="358"/>
      <c r="S312" s="358"/>
      <c r="T312" s="358"/>
      <c r="U312" s="358"/>
      <c r="V312" s="358"/>
      <c r="W312" s="358"/>
      <c r="X312" s="358"/>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1:49" ht="13.5" customHeight="1">
      <c r="A313" s="1"/>
      <c r="B313" s="358"/>
      <c r="C313" s="358"/>
      <c r="D313" s="358"/>
      <c r="E313" s="358"/>
      <c r="F313" s="358"/>
      <c r="G313" s="358"/>
      <c r="H313" s="358"/>
      <c r="I313" s="358"/>
      <c r="J313" s="358"/>
      <c r="K313" s="358"/>
      <c r="L313" s="358"/>
      <c r="M313" s="358"/>
      <c r="N313" s="358"/>
      <c r="O313" s="358"/>
      <c r="P313" s="358"/>
      <c r="Q313" s="358"/>
      <c r="R313" s="358"/>
      <c r="S313" s="358"/>
      <c r="T313" s="358"/>
      <c r="U313" s="358"/>
      <c r="V313" s="358"/>
      <c r="W313" s="358"/>
      <c r="X313" s="358"/>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1:49" ht="13.5" customHeight="1">
      <c r="A314" s="1"/>
      <c r="B314" s="358"/>
      <c r="C314" s="358"/>
      <c r="D314" s="358"/>
      <c r="E314" s="358"/>
      <c r="F314" s="358"/>
      <c r="G314" s="358"/>
      <c r="H314" s="358"/>
      <c r="I314" s="358"/>
      <c r="J314" s="358"/>
      <c r="K314" s="358"/>
      <c r="L314" s="358"/>
      <c r="M314" s="358"/>
      <c r="N314" s="358"/>
      <c r="O314" s="358"/>
      <c r="P314" s="358"/>
      <c r="Q314" s="358"/>
      <c r="R314" s="358"/>
      <c r="S314" s="358"/>
      <c r="T314" s="358"/>
      <c r="U314" s="358"/>
      <c r="V314" s="358"/>
      <c r="W314" s="358"/>
      <c r="X314" s="358"/>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1:49" ht="13.5" customHeight="1">
      <c r="A315" s="1"/>
      <c r="B315" s="358"/>
      <c r="C315" s="358"/>
      <c r="D315" s="358"/>
      <c r="E315" s="358"/>
      <c r="F315" s="358"/>
      <c r="G315" s="358"/>
      <c r="H315" s="358"/>
      <c r="I315" s="358"/>
      <c r="J315" s="358"/>
      <c r="K315" s="358"/>
      <c r="L315" s="358"/>
      <c r="M315" s="358"/>
      <c r="N315" s="358"/>
      <c r="O315" s="358"/>
      <c r="P315" s="358"/>
      <c r="Q315" s="358"/>
      <c r="R315" s="358"/>
      <c r="S315" s="358"/>
      <c r="T315" s="358"/>
      <c r="U315" s="358"/>
      <c r="V315" s="358"/>
      <c r="W315" s="358"/>
      <c r="X315" s="358"/>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1:49" ht="13.5" customHeight="1">
      <c r="A316" s="1"/>
      <c r="B316" s="358"/>
      <c r="C316" s="358"/>
      <c r="D316" s="358"/>
      <c r="E316" s="358"/>
      <c r="F316" s="358"/>
      <c r="G316" s="358"/>
      <c r="H316" s="358"/>
      <c r="I316" s="358"/>
      <c r="J316" s="358"/>
      <c r="K316" s="358"/>
      <c r="L316" s="358"/>
      <c r="M316" s="358"/>
      <c r="N316" s="358"/>
      <c r="O316" s="358"/>
      <c r="P316" s="358"/>
      <c r="Q316" s="358"/>
      <c r="R316" s="358"/>
      <c r="S316" s="358"/>
      <c r="T316" s="358"/>
      <c r="U316" s="358"/>
      <c r="V316" s="358"/>
      <c r="W316" s="358"/>
      <c r="X316" s="358"/>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1:49" ht="13.5" customHeight="1">
      <c r="A317" s="1"/>
      <c r="B317" s="358"/>
      <c r="C317" s="358"/>
      <c r="D317" s="358"/>
      <c r="E317" s="358"/>
      <c r="F317" s="358"/>
      <c r="G317" s="358"/>
      <c r="H317" s="358"/>
      <c r="I317" s="358"/>
      <c r="J317" s="358"/>
      <c r="K317" s="358"/>
      <c r="L317" s="358"/>
      <c r="M317" s="358"/>
      <c r="N317" s="358"/>
      <c r="O317" s="358"/>
      <c r="P317" s="358"/>
      <c r="Q317" s="358"/>
      <c r="R317" s="358"/>
      <c r="S317" s="358"/>
      <c r="T317" s="358"/>
      <c r="U317" s="358"/>
      <c r="V317" s="358"/>
      <c r="W317" s="358"/>
      <c r="X317" s="358"/>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1:49" ht="13.5" customHeight="1">
      <c r="A318" s="1"/>
      <c r="B318" s="358"/>
      <c r="C318" s="358"/>
      <c r="D318" s="358"/>
      <c r="E318" s="358"/>
      <c r="F318" s="358"/>
      <c r="G318" s="358"/>
      <c r="H318" s="358"/>
      <c r="I318" s="358"/>
      <c r="J318" s="358"/>
      <c r="K318" s="358"/>
      <c r="L318" s="358"/>
      <c r="M318" s="358"/>
      <c r="N318" s="358"/>
      <c r="O318" s="358"/>
      <c r="P318" s="358"/>
      <c r="Q318" s="358"/>
      <c r="R318" s="358"/>
      <c r="S318" s="358"/>
      <c r="T318" s="358"/>
      <c r="U318" s="358"/>
      <c r="V318" s="358"/>
      <c r="W318" s="358"/>
      <c r="X318" s="358"/>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1:49" ht="13.5" customHeight="1">
      <c r="A319" s="1"/>
      <c r="B319" s="358"/>
      <c r="C319" s="358"/>
      <c r="D319" s="358"/>
      <c r="E319" s="358"/>
      <c r="F319" s="358"/>
      <c r="G319" s="358"/>
      <c r="H319" s="358"/>
      <c r="I319" s="358"/>
      <c r="J319" s="358"/>
      <c r="K319" s="358"/>
      <c r="L319" s="358"/>
      <c r="M319" s="358"/>
      <c r="N319" s="358"/>
      <c r="O319" s="358"/>
      <c r="P319" s="358"/>
      <c r="Q319" s="358"/>
      <c r="R319" s="358"/>
      <c r="S319" s="358"/>
      <c r="T319" s="358"/>
      <c r="U319" s="358"/>
      <c r="V319" s="358"/>
      <c r="W319" s="358"/>
      <c r="X319" s="358"/>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1:49" ht="13.5" customHeight="1">
      <c r="A320" s="1"/>
      <c r="B320" s="358"/>
      <c r="C320" s="358"/>
      <c r="D320" s="358"/>
      <c r="E320" s="358"/>
      <c r="F320" s="358"/>
      <c r="G320" s="358"/>
      <c r="H320" s="358"/>
      <c r="I320" s="358"/>
      <c r="J320" s="358"/>
      <c r="K320" s="358"/>
      <c r="L320" s="358"/>
      <c r="M320" s="358"/>
      <c r="N320" s="358"/>
      <c r="O320" s="358"/>
      <c r="P320" s="358"/>
      <c r="Q320" s="358"/>
      <c r="R320" s="358"/>
      <c r="S320" s="358"/>
      <c r="T320" s="358"/>
      <c r="U320" s="358"/>
      <c r="V320" s="358"/>
      <c r="W320" s="358"/>
      <c r="X320" s="358"/>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1:49" ht="13.5" customHeight="1">
      <c r="A321" s="1"/>
      <c r="B321" s="358"/>
      <c r="C321" s="358"/>
      <c r="D321" s="358"/>
      <c r="E321" s="358"/>
      <c r="F321" s="358"/>
      <c r="G321" s="358"/>
      <c r="H321" s="358"/>
      <c r="I321" s="358"/>
      <c r="J321" s="358"/>
      <c r="K321" s="358"/>
      <c r="L321" s="358"/>
      <c r="M321" s="358"/>
      <c r="N321" s="358"/>
      <c r="O321" s="358"/>
      <c r="P321" s="358"/>
      <c r="Q321" s="358"/>
      <c r="R321" s="358"/>
      <c r="S321" s="358"/>
      <c r="T321" s="358"/>
      <c r="U321" s="358"/>
      <c r="V321" s="358"/>
      <c r="W321" s="358"/>
      <c r="X321" s="358"/>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1:49" ht="13.5" customHeight="1">
      <c r="A322" s="1"/>
      <c r="B322" s="358"/>
      <c r="C322" s="358"/>
      <c r="D322" s="358"/>
      <c r="E322" s="358"/>
      <c r="F322" s="358"/>
      <c r="G322" s="358"/>
      <c r="H322" s="358"/>
      <c r="I322" s="358"/>
      <c r="J322" s="358"/>
      <c r="K322" s="358"/>
      <c r="L322" s="358"/>
      <c r="M322" s="358"/>
      <c r="N322" s="358"/>
      <c r="O322" s="358"/>
      <c r="P322" s="358"/>
      <c r="Q322" s="358"/>
      <c r="R322" s="358"/>
      <c r="S322" s="358"/>
      <c r="T322" s="358"/>
      <c r="U322" s="358"/>
      <c r="V322" s="358"/>
      <c r="W322" s="358"/>
      <c r="X322" s="358"/>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1:49" ht="13.5" customHeight="1">
      <c r="A323" s="1"/>
      <c r="B323" s="358"/>
      <c r="C323" s="358"/>
      <c r="D323" s="358"/>
      <c r="E323" s="358"/>
      <c r="F323" s="358"/>
      <c r="G323" s="358"/>
      <c r="H323" s="358"/>
      <c r="I323" s="358"/>
      <c r="J323" s="358"/>
      <c r="K323" s="358"/>
      <c r="L323" s="358"/>
      <c r="M323" s="358"/>
      <c r="N323" s="358"/>
      <c r="O323" s="358"/>
      <c r="P323" s="358"/>
      <c r="Q323" s="358"/>
      <c r="R323" s="358"/>
      <c r="S323" s="358"/>
      <c r="T323" s="358"/>
      <c r="U323" s="358"/>
      <c r="V323" s="358"/>
      <c r="W323" s="358"/>
      <c r="X323" s="358"/>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1:49" ht="13.5" customHeight="1">
      <c r="A324" s="1"/>
      <c r="B324" s="358"/>
      <c r="C324" s="358"/>
      <c r="D324" s="358"/>
      <c r="E324" s="358"/>
      <c r="F324" s="358"/>
      <c r="G324" s="358"/>
      <c r="H324" s="358"/>
      <c r="I324" s="358"/>
      <c r="J324" s="358"/>
      <c r="K324" s="358"/>
      <c r="L324" s="358"/>
      <c r="M324" s="358"/>
      <c r="N324" s="358"/>
      <c r="O324" s="358"/>
      <c r="P324" s="358"/>
      <c r="Q324" s="358"/>
      <c r="R324" s="358"/>
      <c r="S324" s="358"/>
      <c r="T324" s="358"/>
      <c r="U324" s="358"/>
      <c r="V324" s="358"/>
      <c r="W324" s="358"/>
      <c r="X324" s="358"/>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1:49" ht="13.5" customHeight="1">
      <c r="A325" s="1"/>
      <c r="B325" s="358"/>
      <c r="C325" s="358"/>
      <c r="D325" s="358"/>
      <c r="E325" s="358"/>
      <c r="F325" s="358"/>
      <c r="G325" s="358"/>
      <c r="H325" s="358"/>
      <c r="I325" s="358"/>
      <c r="J325" s="358"/>
      <c r="K325" s="358"/>
      <c r="L325" s="358"/>
      <c r="M325" s="358"/>
      <c r="N325" s="358"/>
      <c r="O325" s="358"/>
      <c r="P325" s="358"/>
      <c r="Q325" s="358"/>
      <c r="R325" s="358"/>
      <c r="S325" s="358"/>
      <c r="T325" s="358"/>
      <c r="U325" s="358"/>
      <c r="V325" s="358"/>
      <c r="W325" s="358"/>
      <c r="X325" s="358"/>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1:49" ht="13.5" customHeight="1">
      <c r="A326" s="1"/>
      <c r="B326" s="358"/>
      <c r="C326" s="358"/>
      <c r="D326" s="358"/>
      <c r="E326" s="358"/>
      <c r="F326" s="358"/>
      <c r="G326" s="358"/>
      <c r="H326" s="358"/>
      <c r="I326" s="358"/>
      <c r="J326" s="358"/>
      <c r="K326" s="358"/>
      <c r="L326" s="358"/>
      <c r="M326" s="358"/>
      <c r="N326" s="358"/>
      <c r="O326" s="358"/>
      <c r="P326" s="358"/>
      <c r="Q326" s="358"/>
      <c r="R326" s="358"/>
      <c r="S326" s="358"/>
      <c r="T326" s="358"/>
      <c r="U326" s="358"/>
      <c r="V326" s="358"/>
      <c r="W326" s="358"/>
      <c r="X326" s="358"/>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1:49" ht="13.5" customHeight="1">
      <c r="A327" s="1"/>
      <c r="B327" s="358"/>
      <c r="C327" s="358"/>
      <c r="D327" s="358"/>
      <c r="E327" s="358"/>
      <c r="F327" s="358"/>
      <c r="G327" s="358"/>
      <c r="H327" s="358"/>
      <c r="I327" s="358"/>
      <c r="J327" s="358"/>
      <c r="K327" s="358"/>
      <c r="L327" s="358"/>
      <c r="M327" s="358"/>
      <c r="N327" s="358"/>
      <c r="O327" s="358"/>
      <c r="P327" s="358"/>
      <c r="Q327" s="358"/>
      <c r="R327" s="358"/>
      <c r="S327" s="358"/>
      <c r="T327" s="358"/>
      <c r="U327" s="358"/>
      <c r="V327" s="358"/>
      <c r="W327" s="358"/>
      <c r="X327" s="358"/>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1:49" ht="13.5" customHeight="1">
      <c r="A328" s="1"/>
      <c r="B328" s="358"/>
      <c r="C328" s="358"/>
      <c r="D328" s="358"/>
      <c r="E328" s="358"/>
      <c r="F328" s="358"/>
      <c r="G328" s="358"/>
      <c r="H328" s="358"/>
      <c r="I328" s="358"/>
      <c r="J328" s="358"/>
      <c r="K328" s="358"/>
      <c r="L328" s="358"/>
      <c r="M328" s="358"/>
      <c r="N328" s="358"/>
      <c r="O328" s="358"/>
      <c r="P328" s="358"/>
      <c r="Q328" s="358"/>
      <c r="R328" s="358"/>
      <c r="S328" s="358"/>
      <c r="T328" s="358"/>
      <c r="U328" s="358"/>
      <c r="V328" s="358"/>
      <c r="W328" s="358"/>
      <c r="X328" s="358"/>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1:49" ht="13.5" customHeight="1">
      <c r="A329" s="1"/>
      <c r="B329" s="358"/>
      <c r="C329" s="358"/>
      <c r="D329" s="358"/>
      <c r="E329" s="358"/>
      <c r="F329" s="358"/>
      <c r="G329" s="358"/>
      <c r="H329" s="358"/>
      <c r="I329" s="358"/>
      <c r="J329" s="358"/>
      <c r="K329" s="358"/>
      <c r="L329" s="358"/>
      <c r="M329" s="358"/>
      <c r="N329" s="358"/>
      <c r="O329" s="358"/>
      <c r="P329" s="358"/>
      <c r="Q329" s="358"/>
      <c r="R329" s="358"/>
      <c r="S329" s="358"/>
      <c r="T329" s="358"/>
      <c r="U329" s="358"/>
      <c r="V329" s="358"/>
      <c r="W329" s="358"/>
      <c r="X329" s="358"/>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1:49" ht="13.5" customHeight="1">
      <c r="A330" s="1"/>
      <c r="B330" s="358"/>
      <c r="C330" s="358"/>
      <c r="D330" s="358"/>
      <c r="E330" s="358"/>
      <c r="F330" s="358"/>
      <c r="G330" s="358"/>
      <c r="H330" s="358"/>
      <c r="I330" s="358"/>
      <c r="J330" s="358"/>
      <c r="K330" s="358"/>
      <c r="L330" s="358"/>
      <c r="M330" s="358"/>
      <c r="N330" s="358"/>
      <c r="O330" s="358"/>
      <c r="P330" s="358"/>
      <c r="Q330" s="358"/>
      <c r="R330" s="358"/>
      <c r="S330" s="358"/>
      <c r="T330" s="358"/>
      <c r="U330" s="358"/>
      <c r="V330" s="358"/>
      <c r="W330" s="358"/>
      <c r="X330" s="358"/>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1:49" ht="13.5" customHeight="1">
      <c r="A331" s="1"/>
      <c r="B331" s="358"/>
      <c r="C331" s="358"/>
      <c r="D331" s="358"/>
      <c r="E331" s="358"/>
      <c r="F331" s="358"/>
      <c r="G331" s="358"/>
      <c r="H331" s="358"/>
      <c r="I331" s="358"/>
      <c r="J331" s="358"/>
      <c r="K331" s="358"/>
      <c r="L331" s="358"/>
      <c r="M331" s="358"/>
      <c r="N331" s="358"/>
      <c r="O331" s="358"/>
      <c r="P331" s="358"/>
      <c r="Q331" s="358"/>
      <c r="R331" s="358"/>
      <c r="S331" s="358"/>
      <c r="T331" s="358"/>
      <c r="U331" s="358"/>
      <c r="V331" s="358"/>
      <c r="W331" s="358"/>
      <c r="X331" s="358"/>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1:49" ht="13.5" customHeight="1">
      <c r="A332" s="1"/>
      <c r="B332" s="358"/>
      <c r="C332" s="358"/>
      <c r="D332" s="358"/>
      <c r="E332" s="358"/>
      <c r="F332" s="358"/>
      <c r="G332" s="358"/>
      <c r="H332" s="358"/>
      <c r="I332" s="358"/>
      <c r="J332" s="358"/>
      <c r="K332" s="358"/>
      <c r="L332" s="358"/>
      <c r="M332" s="358"/>
      <c r="N332" s="358"/>
      <c r="O332" s="358"/>
      <c r="P332" s="358"/>
      <c r="Q332" s="358"/>
      <c r="R332" s="358"/>
      <c r="S332" s="358"/>
      <c r="T332" s="358"/>
      <c r="U332" s="358"/>
      <c r="V332" s="358"/>
      <c r="W332" s="358"/>
      <c r="X332" s="358"/>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1:49" ht="13.5" customHeight="1">
      <c r="A333" s="1"/>
      <c r="B333" s="358"/>
      <c r="C333" s="358"/>
      <c r="D333" s="358"/>
      <c r="E333" s="358"/>
      <c r="F333" s="358"/>
      <c r="G333" s="358"/>
      <c r="H333" s="358"/>
      <c r="I333" s="358"/>
      <c r="J333" s="358"/>
      <c r="K333" s="358"/>
      <c r="L333" s="358"/>
      <c r="M333" s="358"/>
      <c r="N333" s="358"/>
      <c r="O333" s="358"/>
      <c r="P333" s="358"/>
      <c r="Q333" s="358"/>
      <c r="R333" s="358"/>
      <c r="S333" s="358"/>
      <c r="T333" s="358"/>
      <c r="U333" s="358"/>
      <c r="V333" s="358"/>
      <c r="W333" s="358"/>
      <c r="X333" s="358"/>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1:49" ht="13.5" customHeight="1">
      <c r="A334" s="1"/>
      <c r="B334" s="358"/>
      <c r="C334" s="358"/>
      <c r="D334" s="358"/>
      <c r="E334" s="358"/>
      <c r="F334" s="358"/>
      <c r="G334" s="358"/>
      <c r="H334" s="358"/>
      <c r="I334" s="358"/>
      <c r="J334" s="358"/>
      <c r="K334" s="358"/>
      <c r="L334" s="358"/>
      <c r="M334" s="358"/>
      <c r="N334" s="358"/>
      <c r="O334" s="358"/>
      <c r="P334" s="358"/>
      <c r="Q334" s="358"/>
      <c r="R334" s="358"/>
      <c r="S334" s="358"/>
      <c r="T334" s="358"/>
      <c r="U334" s="358"/>
      <c r="V334" s="358"/>
      <c r="W334" s="358"/>
      <c r="X334" s="358"/>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1:49" ht="13.5" customHeight="1">
      <c r="A335" s="1"/>
      <c r="B335" s="358"/>
      <c r="C335" s="358"/>
      <c r="D335" s="358"/>
      <c r="E335" s="358"/>
      <c r="F335" s="358"/>
      <c r="G335" s="358"/>
      <c r="H335" s="358"/>
      <c r="I335" s="358"/>
      <c r="J335" s="358"/>
      <c r="K335" s="358"/>
      <c r="L335" s="358"/>
      <c r="M335" s="358"/>
      <c r="N335" s="358"/>
      <c r="O335" s="358"/>
      <c r="P335" s="358"/>
      <c r="Q335" s="358"/>
      <c r="R335" s="358"/>
      <c r="S335" s="358"/>
      <c r="T335" s="358"/>
      <c r="U335" s="358"/>
      <c r="V335" s="358"/>
      <c r="W335" s="358"/>
      <c r="X335" s="358"/>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1:49" ht="13.5" customHeight="1">
      <c r="A336" s="1"/>
      <c r="B336" s="358"/>
      <c r="C336" s="358"/>
      <c r="D336" s="358"/>
      <c r="E336" s="358"/>
      <c r="F336" s="358"/>
      <c r="G336" s="358"/>
      <c r="H336" s="358"/>
      <c r="I336" s="358"/>
      <c r="J336" s="358"/>
      <c r="K336" s="358"/>
      <c r="L336" s="358"/>
      <c r="M336" s="358"/>
      <c r="N336" s="358"/>
      <c r="O336" s="358"/>
      <c r="P336" s="358"/>
      <c r="Q336" s="358"/>
      <c r="R336" s="358"/>
      <c r="S336" s="358"/>
      <c r="T336" s="358"/>
      <c r="U336" s="358"/>
      <c r="V336" s="358"/>
      <c r="W336" s="358"/>
      <c r="X336" s="358"/>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1:49" ht="13.5" customHeight="1">
      <c r="A337" s="1"/>
      <c r="B337" s="358"/>
      <c r="C337" s="358"/>
      <c r="D337" s="358"/>
      <c r="E337" s="358"/>
      <c r="F337" s="358"/>
      <c r="G337" s="358"/>
      <c r="H337" s="358"/>
      <c r="I337" s="358"/>
      <c r="J337" s="358"/>
      <c r="K337" s="358"/>
      <c r="L337" s="358"/>
      <c r="M337" s="358"/>
      <c r="N337" s="358"/>
      <c r="O337" s="358"/>
      <c r="P337" s="358"/>
      <c r="Q337" s="358"/>
      <c r="R337" s="358"/>
      <c r="S337" s="358"/>
      <c r="T337" s="358"/>
      <c r="U337" s="358"/>
      <c r="V337" s="358"/>
      <c r="W337" s="358"/>
      <c r="X337" s="358"/>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1:49" ht="13.5" customHeight="1">
      <c r="A338" s="1"/>
      <c r="B338" s="358"/>
      <c r="C338" s="358"/>
      <c r="D338" s="358"/>
      <c r="E338" s="358"/>
      <c r="F338" s="358"/>
      <c r="G338" s="358"/>
      <c r="H338" s="358"/>
      <c r="I338" s="358"/>
      <c r="J338" s="358"/>
      <c r="K338" s="358"/>
      <c r="L338" s="358"/>
      <c r="M338" s="358"/>
      <c r="N338" s="358"/>
      <c r="O338" s="358"/>
      <c r="P338" s="358"/>
      <c r="Q338" s="358"/>
      <c r="R338" s="358"/>
      <c r="S338" s="358"/>
      <c r="T338" s="358"/>
      <c r="U338" s="358"/>
      <c r="V338" s="358"/>
      <c r="W338" s="358"/>
      <c r="X338" s="358"/>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1:49" ht="13.5" customHeight="1">
      <c r="A339" s="1"/>
      <c r="B339" s="358"/>
      <c r="C339" s="358"/>
      <c r="D339" s="358"/>
      <c r="E339" s="358"/>
      <c r="F339" s="358"/>
      <c r="G339" s="358"/>
      <c r="H339" s="358"/>
      <c r="I339" s="358"/>
      <c r="J339" s="358"/>
      <c r="K339" s="358"/>
      <c r="L339" s="358"/>
      <c r="M339" s="358"/>
      <c r="N339" s="358"/>
      <c r="O339" s="358"/>
      <c r="P339" s="358"/>
      <c r="Q339" s="358"/>
      <c r="R339" s="358"/>
      <c r="S339" s="358"/>
      <c r="T339" s="358"/>
      <c r="U339" s="358"/>
      <c r="V339" s="358"/>
      <c r="W339" s="358"/>
      <c r="X339" s="358"/>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1:49" ht="13.5" customHeight="1">
      <c r="A340" s="1"/>
      <c r="B340" s="358"/>
      <c r="C340" s="358"/>
      <c r="D340" s="358"/>
      <c r="E340" s="358"/>
      <c r="F340" s="358"/>
      <c r="G340" s="358"/>
      <c r="H340" s="358"/>
      <c r="I340" s="358"/>
      <c r="J340" s="358"/>
      <c r="K340" s="358"/>
      <c r="L340" s="358"/>
      <c r="M340" s="358"/>
      <c r="N340" s="358"/>
      <c r="O340" s="358"/>
      <c r="P340" s="358"/>
      <c r="Q340" s="358"/>
      <c r="R340" s="358"/>
      <c r="S340" s="358"/>
      <c r="T340" s="358"/>
      <c r="U340" s="358"/>
      <c r="V340" s="358"/>
      <c r="W340" s="358"/>
      <c r="X340" s="358"/>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1:49" ht="13.5" customHeight="1">
      <c r="A341" s="1"/>
      <c r="B341" s="358"/>
      <c r="C341" s="358"/>
      <c r="D341" s="358"/>
      <c r="E341" s="358"/>
      <c r="F341" s="358"/>
      <c r="G341" s="358"/>
      <c r="H341" s="358"/>
      <c r="I341" s="358"/>
      <c r="J341" s="358"/>
      <c r="K341" s="358"/>
      <c r="L341" s="358"/>
      <c r="M341" s="358"/>
      <c r="N341" s="358"/>
      <c r="O341" s="358"/>
      <c r="P341" s="358"/>
      <c r="Q341" s="358"/>
      <c r="R341" s="358"/>
      <c r="S341" s="358"/>
      <c r="T341" s="358"/>
      <c r="U341" s="358"/>
      <c r="V341" s="358"/>
      <c r="W341" s="358"/>
      <c r="X341" s="358"/>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1:49" ht="13.5" customHeight="1">
      <c r="A342" s="1"/>
      <c r="B342" s="358"/>
      <c r="C342" s="358"/>
      <c r="D342" s="358"/>
      <c r="E342" s="358"/>
      <c r="F342" s="358"/>
      <c r="G342" s="358"/>
      <c r="H342" s="358"/>
      <c r="I342" s="358"/>
      <c r="J342" s="358"/>
      <c r="K342" s="358"/>
      <c r="L342" s="358"/>
      <c r="M342" s="358"/>
      <c r="N342" s="358"/>
      <c r="O342" s="358"/>
      <c r="P342" s="358"/>
      <c r="Q342" s="358"/>
      <c r="R342" s="358"/>
      <c r="S342" s="358"/>
      <c r="T342" s="358"/>
      <c r="U342" s="358"/>
      <c r="V342" s="358"/>
      <c r="W342" s="358"/>
      <c r="X342" s="358"/>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1:49" ht="13.5" customHeight="1">
      <c r="A343" s="1"/>
      <c r="B343" s="358"/>
      <c r="C343" s="358"/>
      <c r="D343" s="358"/>
      <c r="E343" s="358"/>
      <c r="F343" s="358"/>
      <c r="G343" s="358"/>
      <c r="H343" s="358"/>
      <c r="I343" s="358"/>
      <c r="J343" s="358"/>
      <c r="K343" s="358"/>
      <c r="L343" s="358"/>
      <c r="M343" s="358"/>
      <c r="N343" s="358"/>
      <c r="O343" s="358"/>
      <c r="P343" s="358"/>
      <c r="Q343" s="358"/>
      <c r="R343" s="358"/>
      <c r="S343" s="358"/>
      <c r="T343" s="358"/>
      <c r="U343" s="358"/>
      <c r="V343" s="358"/>
      <c r="W343" s="358"/>
      <c r="X343" s="358"/>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1:49" ht="13.5" customHeight="1">
      <c r="A344" s="1"/>
      <c r="B344" s="358"/>
      <c r="C344" s="358"/>
      <c r="D344" s="358"/>
      <c r="E344" s="358"/>
      <c r="F344" s="358"/>
      <c r="G344" s="358"/>
      <c r="H344" s="358"/>
      <c r="I344" s="358"/>
      <c r="J344" s="358"/>
      <c r="K344" s="358"/>
      <c r="L344" s="358"/>
      <c r="M344" s="358"/>
      <c r="N344" s="358"/>
      <c r="O344" s="358"/>
      <c r="P344" s="358"/>
      <c r="Q344" s="358"/>
      <c r="R344" s="358"/>
      <c r="S344" s="358"/>
      <c r="T344" s="358"/>
      <c r="U344" s="358"/>
      <c r="V344" s="358"/>
      <c r="W344" s="358"/>
      <c r="X344" s="358"/>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1:49" ht="13.5" customHeight="1">
      <c r="A345" s="1"/>
      <c r="B345" s="358"/>
      <c r="C345" s="358"/>
      <c r="D345" s="358"/>
      <c r="E345" s="358"/>
      <c r="F345" s="358"/>
      <c r="G345" s="358"/>
      <c r="H345" s="358"/>
      <c r="I345" s="358"/>
      <c r="J345" s="358"/>
      <c r="K345" s="358"/>
      <c r="L345" s="358"/>
      <c r="M345" s="358"/>
      <c r="N345" s="358"/>
      <c r="O345" s="358"/>
      <c r="P345" s="358"/>
      <c r="Q345" s="358"/>
      <c r="R345" s="358"/>
      <c r="S345" s="358"/>
      <c r="T345" s="358"/>
      <c r="U345" s="358"/>
      <c r="V345" s="358"/>
      <c r="W345" s="358"/>
      <c r="X345" s="358"/>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1:49" ht="13.5" customHeight="1">
      <c r="A346" s="1"/>
      <c r="B346" s="358"/>
      <c r="C346" s="358"/>
      <c r="D346" s="358"/>
      <c r="E346" s="358"/>
      <c r="F346" s="358"/>
      <c r="G346" s="358"/>
      <c r="H346" s="358"/>
      <c r="I346" s="358"/>
      <c r="J346" s="358"/>
      <c r="K346" s="358"/>
      <c r="L346" s="358"/>
      <c r="M346" s="358"/>
      <c r="N346" s="358"/>
      <c r="O346" s="358"/>
      <c r="P346" s="358"/>
      <c r="Q346" s="358"/>
      <c r="R346" s="358"/>
      <c r="S346" s="358"/>
      <c r="T346" s="358"/>
      <c r="U346" s="358"/>
      <c r="V346" s="358"/>
      <c r="W346" s="358"/>
      <c r="X346" s="358"/>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1:49" ht="13.5" customHeight="1">
      <c r="A347" s="1"/>
      <c r="B347" s="358"/>
      <c r="C347" s="358"/>
      <c r="D347" s="358"/>
      <c r="E347" s="358"/>
      <c r="F347" s="358"/>
      <c r="G347" s="358"/>
      <c r="H347" s="358"/>
      <c r="I347" s="358"/>
      <c r="J347" s="358"/>
      <c r="K347" s="358"/>
      <c r="L347" s="358"/>
      <c r="M347" s="358"/>
      <c r="N347" s="358"/>
      <c r="O347" s="358"/>
      <c r="P347" s="358"/>
      <c r="Q347" s="358"/>
      <c r="R347" s="358"/>
      <c r="S347" s="358"/>
      <c r="T347" s="358"/>
      <c r="U347" s="358"/>
      <c r="V347" s="358"/>
      <c r="W347" s="358"/>
      <c r="X347" s="358"/>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1:49" ht="13.5" customHeight="1">
      <c r="A348" s="1"/>
      <c r="B348" s="358"/>
      <c r="C348" s="358"/>
      <c r="D348" s="358"/>
      <c r="E348" s="358"/>
      <c r="F348" s="358"/>
      <c r="G348" s="358"/>
      <c r="H348" s="358"/>
      <c r="I348" s="358"/>
      <c r="J348" s="358"/>
      <c r="K348" s="358"/>
      <c r="L348" s="358"/>
      <c r="M348" s="358"/>
      <c r="N348" s="358"/>
      <c r="O348" s="358"/>
      <c r="P348" s="358"/>
      <c r="Q348" s="358"/>
      <c r="R348" s="358"/>
      <c r="S348" s="358"/>
      <c r="T348" s="358"/>
      <c r="U348" s="358"/>
      <c r="V348" s="358"/>
      <c r="W348" s="358"/>
      <c r="X348" s="358"/>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1:49" ht="13.5" customHeight="1">
      <c r="A349" s="1"/>
      <c r="B349" s="358"/>
      <c r="C349" s="358"/>
      <c r="D349" s="358"/>
      <c r="E349" s="358"/>
      <c r="F349" s="358"/>
      <c r="G349" s="358"/>
      <c r="H349" s="358"/>
      <c r="I349" s="358"/>
      <c r="J349" s="358"/>
      <c r="K349" s="358"/>
      <c r="L349" s="358"/>
      <c r="M349" s="358"/>
      <c r="N349" s="358"/>
      <c r="O349" s="358"/>
      <c r="P349" s="358"/>
      <c r="Q349" s="358"/>
      <c r="R349" s="358"/>
      <c r="S349" s="358"/>
      <c r="T349" s="358"/>
      <c r="U349" s="358"/>
      <c r="V349" s="358"/>
      <c r="W349" s="358"/>
      <c r="X349" s="358"/>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1:49" ht="13.5" customHeight="1">
      <c r="A350" s="1"/>
      <c r="B350" s="358"/>
      <c r="C350" s="358"/>
      <c r="D350" s="358"/>
      <c r="E350" s="358"/>
      <c r="F350" s="358"/>
      <c r="G350" s="358"/>
      <c r="H350" s="358"/>
      <c r="I350" s="358"/>
      <c r="J350" s="358"/>
      <c r="K350" s="358"/>
      <c r="L350" s="358"/>
      <c r="M350" s="358"/>
      <c r="N350" s="358"/>
      <c r="O350" s="358"/>
      <c r="P350" s="358"/>
      <c r="Q350" s="358"/>
      <c r="R350" s="358"/>
      <c r="S350" s="358"/>
      <c r="T350" s="358"/>
      <c r="U350" s="358"/>
      <c r="V350" s="358"/>
      <c r="W350" s="358"/>
      <c r="X350" s="358"/>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1:49" ht="13.5" customHeight="1">
      <c r="A351" s="1"/>
      <c r="B351" s="358"/>
      <c r="C351" s="358"/>
      <c r="D351" s="358"/>
      <c r="E351" s="358"/>
      <c r="F351" s="358"/>
      <c r="G351" s="358"/>
      <c r="H351" s="358"/>
      <c r="I351" s="358"/>
      <c r="J351" s="358"/>
      <c r="K351" s="358"/>
      <c r="L351" s="358"/>
      <c r="M351" s="358"/>
      <c r="N351" s="358"/>
      <c r="O351" s="358"/>
      <c r="P351" s="358"/>
      <c r="Q351" s="358"/>
      <c r="R351" s="358"/>
      <c r="S351" s="358"/>
      <c r="T351" s="358"/>
      <c r="U351" s="358"/>
      <c r="V351" s="358"/>
      <c r="W351" s="358"/>
      <c r="X351" s="358"/>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1:49" ht="13.5" customHeight="1">
      <c r="A352" s="1"/>
      <c r="B352" s="358"/>
      <c r="C352" s="358"/>
      <c r="D352" s="358"/>
      <c r="E352" s="358"/>
      <c r="F352" s="358"/>
      <c r="G352" s="358"/>
      <c r="H352" s="358"/>
      <c r="I352" s="358"/>
      <c r="J352" s="358"/>
      <c r="K352" s="358"/>
      <c r="L352" s="358"/>
      <c r="M352" s="358"/>
      <c r="N352" s="358"/>
      <c r="O352" s="358"/>
      <c r="P352" s="358"/>
      <c r="Q352" s="358"/>
      <c r="R352" s="358"/>
      <c r="S352" s="358"/>
      <c r="T352" s="358"/>
      <c r="U352" s="358"/>
      <c r="V352" s="358"/>
      <c r="W352" s="358"/>
      <c r="X352" s="358"/>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1:49" ht="13.5" customHeight="1">
      <c r="A353" s="1"/>
      <c r="B353" s="358"/>
      <c r="C353" s="358"/>
      <c r="D353" s="358"/>
      <c r="E353" s="358"/>
      <c r="F353" s="358"/>
      <c r="G353" s="358"/>
      <c r="H353" s="358"/>
      <c r="I353" s="358"/>
      <c r="J353" s="358"/>
      <c r="K353" s="358"/>
      <c r="L353" s="358"/>
      <c r="M353" s="358"/>
      <c r="N353" s="358"/>
      <c r="O353" s="358"/>
      <c r="P353" s="358"/>
      <c r="Q353" s="358"/>
      <c r="R353" s="358"/>
      <c r="S353" s="358"/>
      <c r="T353" s="358"/>
      <c r="U353" s="358"/>
      <c r="V353" s="358"/>
      <c r="W353" s="358"/>
      <c r="X353" s="358"/>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1:49" ht="13.5" customHeight="1">
      <c r="A354" s="1"/>
      <c r="B354" s="358"/>
      <c r="C354" s="358"/>
      <c r="D354" s="358"/>
      <c r="E354" s="358"/>
      <c r="F354" s="358"/>
      <c r="G354" s="358"/>
      <c r="H354" s="358"/>
      <c r="I354" s="358"/>
      <c r="J354" s="358"/>
      <c r="K354" s="358"/>
      <c r="L354" s="358"/>
      <c r="M354" s="358"/>
      <c r="N354" s="358"/>
      <c r="O354" s="358"/>
      <c r="P354" s="358"/>
      <c r="Q354" s="358"/>
      <c r="R354" s="358"/>
      <c r="S354" s="358"/>
      <c r="T354" s="358"/>
      <c r="U354" s="358"/>
      <c r="V354" s="358"/>
      <c r="W354" s="358"/>
      <c r="X354" s="358"/>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1:49" ht="13.5" customHeight="1">
      <c r="A355" s="1"/>
      <c r="B355" s="358"/>
      <c r="C355" s="358"/>
      <c r="D355" s="358"/>
      <c r="E355" s="358"/>
      <c r="F355" s="358"/>
      <c r="G355" s="358"/>
      <c r="H355" s="358"/>
      <c r="I355" s="358"/>
      <c r="J355" s="358"/>
      <c r="K355" s="358"/>
      <c r="L355" s="358"/>
      <c r="M355" s="358"/>
      <c r="N355" s="358"/>
      <c r="O355" s="358"/>
      <c r="P355" s="358"/>
      <c r="Q355" s="358"/>
      <c r="R355" s="358"/>
      <c r="S355" s="358"/>
      <c r="T355" s="358"/>
      <c r="U355" s="358"/>
      <c r="V355" s="358"/>
      <c r="W355" s="358"/>
      <c r="X355" s="358"/>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1:49" ht="13.5" customHeight="1">
      <c r="A356" s="1"/>
      <c r="B356" s="358"/>
      <c r="C356" s="358"/>
      <c r="D356" s="358"/>
      <c r="E356" s="358"/>
      <c r="F356" s="358"/>
      <c r="G356" s="358"/>
      <c r="H356" s="358"/>
      <c r="I356" s="358"/>
      <c r="J356" s="358"/>
      <c r="K356" s="358"/>
      <c r="L356" s="358"/>
      <c r="M356" s="358"/>
      <c r="N356" s="358"/>
      <c r="O356" s="358"/>
      <c r="P356" s="358"/>
      <c r="Q356" s="358"/>
      <c r="R356" s="358"/>
      <c r="S356" s="358"/>
      <c r="T356" s="358"/>
      <c r="U356" s="358"/>
      <c r="V356" s="358"/>
      <c r="W356" s="358"/>
      <c r="X356" s="358"/>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1:49" ht="13.5" customHeight="1">
      <c r="A357" s="1"/>
      <c r="B357" s="358"/>
      <c r="C357" s="358"/>
      <c r="D357" s="358"/>
      <c r="E357" s="358"/>
      <c r="F357" s="358"/>
      <c r="G357" s="358"/>
      <c r="H357" s="358"/>
      <c r="I357" s="358"/>
      <c r="J357" s="358"/>
      <c r="K357" s="358"/>
      <c r="L357" s="358"/>
      <c r="M357" s="358"/>
      <c r="N357" s="358"/>
      <c r="O357" s="358"/>
      <c r="P357" s="358"/>
      <c r="Q357" s="358"/>
      <c r="R357" s="358"/>
      <c r="S357" s="358"/>
      <c r="T357" s="358"/>
      <c r="U357" s="358"/>
      <c r="V357" s="358"/>
      <c r="W357" s="358"/>
      <c r="X357" s="358"/>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1:49" ht="13.5" customHeight="1">
      <c r="A358" s="1"/>
      <c r="B358" s="358"/>
      <c r="C358" s="358"/>
      <c r="D358" s="358"/>
      <c r="E358" s="358"/>
      <c r="F358" s="358"/>
      <c r="G358" s="358"/>
      <c r="H358" s="358"/>
      <c r="I358" s="358"/>
      <c r="J358" s="358"/>
      <c r="K358" s="358"/>
      <c r="L358" s="358"/>
      <c r="M358" s="358"/>
      <c r="N358" s="358"/>
      <c r="O358" s="358"/>
      <c r="P358" s="358"/>
      <c r="Q358" s="358"/>
      <c r="R358" s="358"/>
      <c r="S358" s="358"/>
      <c r="T358" s="358"/>
      <c r="U358" s="358"/>
      <c r="V358" s="358"/>
      <c r="W358" s="358"/>
      <c r="X358" s="358"/>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1:49" ht="13.5" customHeight="1">
      <c r="A359" s="1"/>
      <c r="B359" s="358"/>
      <c r="C359" s="358"/>
      <c r="D359" s="358"/>
      <c r="E359" s="358"/>
      <c r="F359" s="358"/>
      <c r="G359" s="358"/>
      <c r="H359" s="358"/>
      <c r="I359" s="358"/>
      <c r="J359" s="358"/>
      <c r="K359" s="358"/>
      <c r="L359" s="358"/>
      <c r="M359" s="358"/>
      <c r="N359" s="358"/>
      <c r="O359" s="358"/>
      <c r="P359" s="358"/>
      <c r="Q359" s="358"/>
      <c r="R359" s="358"/>
      <c r="S359" s="358"/>
      <c r="T359" s="358"/>
      <c r="U359" s="358"/>
      <c r="V359" s="358"/>
      <c r="W359" s="358"/>
      <c r="X359" s="358"/>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1:49" ht="13.5" customHeight="1">
      <c r="A360" s="1"/>
      <c r="B360" s="358"/>
      <c r="C360" s="358"/>
      <c r="D360" s="358"/>
      <c r="E360" s="358"/>
      <c r="F360" s="358"/>
      <c r="G360" s="358"/>
      <c r="H360" s="358"/>
      <c r="I360" s="358"/>
      <c r="J360" s="358"/>
      <c r="K360" s="358"/>
      <c r="L360" s="358"/>
      <c r="M360" s="358"/>
      <c r="N360" s="358"/>
      <c r="O360" s="358"/>
      <c r="P360" s="358"/>
      <c r="Q360" s="358"/>
      <c r="R360" s="358"/>
      <c r="S360" s="358"/>
      <c r="T360" s="358"/>
      <c r="U360" s="358"/>
      <c r="V360" s="358"/>
      <c r="W360" s="358"/>
      <c r="X360" s="358"/>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1:49" ht="13.5" customHeight="1">
      <c r="A361" s="1"/>
      <c r="B361" s="358"/>
      <c r="C361" s="358"/>
      <c r="D361" s="358"/>
      <c r="E361" s="358"/>
      <c r="F361" s="358"/>
      <c r="G361" s="358"/>
      <c r="H361" s="358"/>
      <c r="I361" s="358"/>
      <c r="J361" s="358"/>
      <c r="K361" s="358"/>
      <c r="L361" s="358"/>
      <c r="M361" s="358"/>
      <c r="N361" s="358"/>
      <c r="O361" s="358"/>
      <c r="P361" s="358"/>
      <c r="Q361" s="358"/>
      <c r="R361" s="358"/>
      <c r="S361" s="358"/>
      <c r="T361" s="358"/>
      <c r="U361" s="358"/>
      <c r="V361" s="358"/>
      <c r="W361" s="358"/>
      <c r="X361" s="358"/>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1:49" ht="13.5" customHeight="1">
      <c r="A362" s="1"/>
      <c r="B362" s="358"/>
      <c r="C362" s="358"/>
      <c r="D362" s="358"/>
      <c r="E362" s="358"/>
      <c r="F362" s="358"/>
      <c r="G362" s="358"/>
      <c r="H362" s="358"/>
      <c r="I362" s="358"/>
      <c r="J362" s="358"/>
      <c r="K362" s="358"/>
      <c r="L362" s="358"/>
      <c r="M362" s="358"/>
      <c r="N362" s="358"/>
      <c r="O362" s="358"/>
      <c r="P362" s="358"/>
      <c r="Q362" s="358"/>
      <c r="R362" s="358"/>
      <c r="S362" s="358"/>
      <c r="T362" s="358"/>
      <c r="U362" s="358"/>
      <c r="V362" s="358"/>
      <c r="W362" s="358"/>
      <c r="X362" s="358"/>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1:49" ht="13.5" customHeight="1">
      <c r="A363" s="1"/>
      <c r="B363" s="358"/>
      <c r="C363" s="358"/>
      <c r="D363" s="358"/>
      <c r="E363" s="358"/>
      <c r="F363" s="358"/>
      <c r="G363" s="358"/>
      <c r="H363" s="358"/>
      <c r="I363" s="358"/>
      <c r="J363" s="358"/>
      <c r="K363" s="358"/>
      <c r="L363" s="358"/>
      <c r="M363" s="358"/>
      <c r="N363" s="358"/>
      <c r="O363" s="358"/>
      <c r="P363" s="358"/>
      <c r="Q363" s="358"/>
      <c r="R363" s="358"/>
      <c r="S363" s="358"/>
      <c r="T363" s="358"/>
      <c r="U363" s="358"/>
      <c r="V363" s="358"/>
      <c r="W363" s="358"/>
      <c r="X363" s="358"/>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1:49" ht="13.5" customHeight="1">
      <c r="A364" s="1"/>
      <c r="B364" s="358"/>
      <c r="C364" s="358"/>
      <c r="D364" s="358"/>
      <c r="E364" s="358"/>
      <c r="F364" s="358"/>
      <c r="G364" s="358"/>
      <c r="H364" s="358"/>
      <c r="I364" s="358"/>
      <c r="J364" s="358"/>
      <c r="K364" s="358"/>
      <c r="L364" s="358"/>
      <c r="M364" s="358"/>
      <c r="N364" s="358"/>
      <c r="O364" s="358"/>
      <c r="P364" s="358"/>
      <c r="Q364" s="358"/>
      <c r="R364" s="358"/>
      <c r="S364" s="358"/>
      <c r="T364" s="358"/>
      <c r="U364" s="358"/>
      <c r="V364" s="358"/>
      <c r="W364" s="358"/>
      <c r="X364" s="358"/>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1:49" ht="13.5" customHeight="1">
      <c r="A365" s="1"/>
      <c r="B365" s="358"/>
      <c r="C365" s="358"/>
      <c r="D365" s="358"/>
      <c r="E365" s="358"/>
      <c r="F365" s="358"/>
      <c r="G365" s="358"/>
      <c r="H365" s="358"/>
      <c r="I365" s="358"/>
      <c r="J365" s="358"/>
      <c r="K365" s="358"/>
      <c r="L365" s="358"/>
      <c r="M365" s="358"/>
      <c r="N365" s="358"/>
      <c r="O365" s="358"/>
      <c r="P365" s="358"/>
      <c r="Q365" s="358"/>
      <c r="R365" s="358"/>
      <c r="S365" s="358"/>
      <c r="T365" s="358"/>
      <c r="U365" s="358"/>
      <c r="V365" s="358"/>
      <c r="W365" s="358"/>
      <c r="X365" s="358"/>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1:49" ht="13.5" customHeight="1">
      <c r="A366" s="1"/>
      <c r="B366" s="358"/>
      <c r="C366" s="358"/>
      <c r="D366" s="358"/>
      <c r="E366" s="358"/>
      <c r="F366" s="358"/>
      <c r="G366" s="358"/>
      <c r="H366" s="358"/>
      <c r="I366" s="358"/>
      <c r="J366" s="358"/>
      <c r="K366" s="358"/>
      <c r="L366" s="358"/>
      <c r="M366" s="358"/>
      <c r="N366" s="358"/>
      <c r="O366" s="358"/>
      <c r="P366" s="358"/>
      <c r="Q366" s="358"/>
      <c r="R366" s="358"/>
      <c r="S366" s="358"/>
      <c r="T366" s="358"/>
      <c r="U366" s="358"/>
      <c r="V366" s="358"/>
      <c r="W366" s="358"/>
      <c r="X366" s="358"/>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1:49" ht="13.5" customHeight="1">
      <c r="A367" s="1"/>
      <c r="B367" s="358"/>
      <c r="C367" s="358"/>
      <c r="D367" s="358"/>
      <c r="E367" s="358"/>
      <c r="F367" s="358"/>
      <c r="G367" s="358"/>
      <c r="H367" s="358"/>
      <c r="I367" s="358"/>
      <c r="J367" s="358"/>
      <c r="K367" s="358"/>
      <c r="L367" s="358"/>
      <c r="M367" s="358"/>
      <c r="N367" s="358"/>
      <c r="O367" s="358"/>
      <c r="P367" s="358"/>
      <c r="Q367" s="358"/>
      <c r="R367" s="358"/>
      <c r="S367" s="358"/>
      <c r="T367" s="358"/>
      <c r="U367" s="358"/>
      <c r="V367" s="358"/>
      <c r="W367" s="358"/>
      <c r="X367" s="358"/>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1:49" ht="13.5" customHeight="1">
      <c r="A368" s="1"/>
      <c r="B368" s="358"/>
      <c r="C368" s="358"/>
      <c r="D368" s="358"/>
      <c r="E368" s="358"/>
      <c r="F368" s="358"/>
      <c r="G368" s="358"/>
      <c r="H368" s="358"/>
      <c r="I368" s="358"/>
      <c r="J368" s="358"/>
      <c r="K368" s="358"/>
      <c r="L368" s="358"/>
      <c r="M368" s="358"/>
      <c r="N368" s="358"/>
      <c r="O368" s="358"/>
      <c r="P368" s="358"/>
      <c r="Q368" s="358"/>
      <c r="R368" s="358"/>
      <c r="S368" s="358"/>
      <c r="T368" s="358"/>
      <c r="U368" s="358"/>
      <c r="V368" s="358"/>
      <c r="W368" s="358"/>
      <c r="X368" s="358"/>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1:49" ht="13.5" customHeight="1">
      <c r="A369" s="1"/>
      <c r="B369" s="358"/>
      <c r="C369" s="358"/>
      <c r="D369" s="358"/>
      <c r="E369" s="358"/>
      <c r="F369" s="358"/>
      <c r="G369" s="358"/>
      <c r="H369" s="358"/>
      <c r="I369" s="358"/>
      <c r="J369" s="358"/>
      <c r="K369" s="358"/>
      <c r="L369" s="358"/>
      <c r="M369" s="358"/>
      <c r="N369" s="358"/>
      <c r="O369" s="358"/>
      <c r="P369" s="358"/>
      <c r="Q369" s="358"/>
      <c r="R369" s="358"/>
      <c r="S369" s="358"/>
      <c r="T369" s="358"/>
      <c r="U369" s="358"/>
      <c r="V369" s="358"/>
      <c r="W369" s="358"/>
      <c r="X369" s="358"/>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1:49" ht="13.5" customHeight="1">
      <c r="A370" s="1"/>
      <c r="B370" s="358"/>
      <c r="C370" s="358"/>
      <c r="D370" s="358"/>
      <c r="E370" s="358"/>
      <c r="F370" s="358"/>
      <c r="G370" s="358"/>
      <c r="H370" s="358"/>
      <c r="I370" s="358"/>
      <c r="J370" s="358"/>
      <c r="K370" s="358"/>
      <c r="L370" s="358"/>
      <c r="M370" s="358"/>
      <c r="N370" s="358"/>
      <c r="O370" s="358"/>
      <c r="P370" s="358"/>
      <c r="Q370" s="358"/>
      <c r="R370" s="358"/>
      <c r="S370" s="358"/>
      <c r="T370" s="358"/>
      <c r="U370" s="358"/>
      <c r="V370" s="358"/>
      <c r="W370" s="358"/>
      <c r="X370" s="358"/>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1:49" ht="13.5" customHeight="1">
      <c r="A371" s="1"/>
      <c r="B371" s="358"/>
      <c r="C371" s="358"/>
      <c r="D371" s="358"/>
      <c r="E371" s="358"/>
      <c r="F371" s="358"/>
      <c r="G371" s="358"/>
      <c r="H371" s="358"/>
      <c r="I371" s="358"/>
      <c r="J371" s="358"/>
      <c r="K371" s="358"/>
      <c r="L371" s="358"/>
      <c r="M371" s="358"/>
      <c r="N371" s="358"/>
      <c r="O371" s="358"/>
      <c r="P371" s="358"/>
      <c r="Q371" s="358"/>
      <c r="R371" s="358"/>
      <c r="S371" s="358"/>
      <c r="T371" s="358"/>
      <c r="U371" s="358"/>
      <c r="V371" s="358"/>
      <c r="W371" s="358"/>
      <c r="X371" s="358"/>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1:49" ht="13.5" customHeight="1">
      <c r="A372" s="1"/>
      <c r="B372" s="358"/>
      <c r="C372" s="358"/>
      <c r="D372" s="358"/>
      <c r="E372" s="358"/>
      <c r="F372" s="358"/>
      <c r="G372" s="358"/>
      <c r="H372" s="358"/>
      <c r="I372" s="358"/>
      <c r="J372" s="358"/>
      <c r="K372" s="358"/>
      <c r="L372" s="358"/>
      <c r="M372" s="358"/>
      <c r="N372" s="358"/>
      <c r="O372" s="358"/>
      <c r="P372" s="358"/>
      <c r="Q372" s="358"/>
      <c r="R372" s="358"/>
      <c r="S372" s="358"/>
      <c r="T372" s="358"/>
      <c r="U372" s="358"/>
      <c r="V372" s="358"/>
      <c r="W372" s="358"/>
      <c r="X372" s="358"/>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1:49" ht="13.5" customHeight="1">
      <c r="A373" s="1"/>
      <c r="B373" s="358"/>
      <c r="C373" s="358"/>
      <c r="D373" s="358"/>
      <c r="E373" s="358"/>
      <c r="F373" s="358"/>
      <c r="G373" s="358"/>
      <c r="H373" s="358"/>
      <c r="I373" s="358"/>
      <c r="J373" s="358"/>
      <c r="K373" s="358"/>
      <c r="L373" s="358"/>
      <c r="M373" s="358"/>
      <c r="N373" s="358"/>
      <c r="O373" s="358"/>
      <c r="P373" s="358"/>
      <c r="Q373" s="358"/>
      <c r="R373" s="358"/>
      <c r="S373" s="358"/>
      <c r="T373" s="358"/>
      <c r="U373" s="358"/>
      <c r="V373" s="358"/>
      <c r="W373" s="358"/>
      <c r="X373" s="358"/>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1:49" ht="13.5" customHeight="1">
      <c r="A374" s="1"/>
      <c r="B374" s="358"/>
      <c r="C374" s="358"/>
      <c r="D374" s="358"/>
      <c r="E374" s="358"/>
      <c r="F374" s="358"/>
      <c r="G374" s="358"/>
      <c r="H374" s="358"/>
      <c r="I374" s="358"/>
      <c r="J374" s="358"/>
      <c r="K374" s="358"/>
      <c r="L374" s="358"/>
      <c r="M374" s="358"/>
      <c r="N374" s="358"/>
      <c r="O374" s="358"/>
      <c r="P374" s="358"/>
      <c r="Q374" s="358"/>
      <c r="R374" s="358"/>
      <c r="S374" s="358"/>
      <c r="T374" s="358"/>
      <c r="U374" s="358"/>
      <c r="V374" s="358"/>
      <c r="W374" s="358"/>
      <c r="X374" s="358"/>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1:49" ht="13.5" customHeight="1">
      <c r="A375" s="1"/>
      <c r="B375" s="358"/>
      <c r="C375" s="358"/>
      <c r="D375" s="358"/>
      <c r="E375" s="358"/>
      <c r="F375" s="358"/>
      <c r="G375" s="358"/>
      <c r="H375" s="358"/>
      <c r="I375" s="358"/>
      <c r="J375" s="358"/>
      <c r="K375" s="358"/>
      <c r="L375" s="358"/>
      <c r="M375" s="358"/>
      <c r="N375" s="358"/>
      <c r="O375" s="358"/>
      <c r="P375" s="358"/>
      <c r="Q375" s="358"/>
      <c r="R375" s="358"/>
      <c r="S375" s="358"/>
      <c r="T375" s="358"/>
      <c r="U375" s="358"/>
      <c r="V375" s="358"/>
      <c r="W375" s="358"/>
      <c r="X375" s="358"/>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1:49" ht="13.5" customHeight="1">
      <c r="A376" s="1"/>
      <c r="B376" s="358"/>
      <c r="C376" s="358"/>
      <c r="D376" s="358"/>
      <c r="E376" s="358"/>
      <c r="F376" s="358"/>
      <c r="G376" s="358"/>
      <c r="H376" s="358"/>
      <c r="I376" s="358"/>
      <c r="J376" s="358"/>
      <c r="K376" s="358"/>
      <c r="L376" s="358"/>
      <c r="M376" s="358"/>
      <c r="N376" s="358"/>
      <c r="O376" s="358"/>
      <c r="P376" s="358"/>
      <c r="Q376" s="358"/>
      <c r="R376" s="358"/>
      <c r="S376" s="358"/>
      <c r="T376" s="358"/>
      <c r="U376" s="358"/>
      <c r="V376" s="358"/>
      <c r="W376" s="358"/>
      <c r="X376" s="358"/>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1:49" ht="13.5" customHeight="1">
      <c r="A377" s="1"/>
      <c r="B377" s="358"/>
      <c r="C377" s="358"/>
      <c r="D377" s="358"/>
      <c r="E377" s="358"/>
      <c r="F377" s="358"/>
      <c r="G377" s="358"/>
      <c r="H377" s="358"/>
      <c r="I377" s="358"/>
      <c r="J377" s="358"/>
      <c r="K377" s="358"/>
      <c r="L377" s="358"/>
      <c r="M377" s="358"/>
      <c r="N377" s="358"/>
      <c r="O377" s="358"/>
      <c r="P377" s="358"/>
      <c r="Q377" s="358"/>
      <c r="R377" s="358"/>
      <c r="S377" s="358"/>
      <c r="T377" s="358"/>
      <c r="U377" s="358"/>
      <c r="V377" s="358"/>
      <c r="W377" s="358"/>
      <c r="X377" s="358"/>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1:49" ht="13.5" customHeight="1">
      <c r="A378" s="1"/>
      <c r="B378" s="358"/>
      <c r="C378" s="358"/>
      <c r="D378" s="358"/>
      <c r="E378" s="358"/>
      <c r="F378" s="358"/>
      <c r="G378" s="358"/>
      <c r="H378" s="358"/>
      <c r="I378" s="358"/>
      <c r="J378" s="358"/>
      <c r="K378" s="358"/>
      <c r="L378" s="358"/>
      <c r="M378" s="358"/>
      <c r="N378" s="358"/>
      <c r="O378" s="358"/>
      <c r="P378" s="358"/>
      <c r="Q378" s="358"/>
      <c r="R378" s="358"/>
      <c r="S378" s="358"/>
      <c r="T378" s="358"/>
      <c r="U378" s="358"/>
      <c r="V378" s="358"/>
      <c r="W378" s="358"/>
      <c r="X378" s="358"/>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1:49" ht="13.5" customHeight="1">
      <c r="A379" s="1"/>
      <c r="B379" s="358"/>
      <c r="C379" s="358"/>
      <c r="D379" s="358"/>
      <c r="E379" s="358"/>
      <c r="F379" s="358"/>
      <c r="G379" s="358"/>
      <c r="H379" s="358"/>
      <c r="I379" s="358"/>
      <c r="J379" s="358"/>
      <c r="K379" s="358"/>
      <c r="L379" s="358"/>
      <c r="M379" s="358"/>
      <c r="N379" s="358"/>
      <c r="O379" s="358"/>
      <c r="P379" s="358"/>
      <c r="Q379" s="358"/>
      <c r="R379" s="358"/>
      <c r="S379" s="358"/>
      <c r="T379" s="358"/>
      <c r="U379" s="358"/>
      <c r="V379" s="358"/>
      <c r="W379" s="358"/>
      <c r="X379" s="358"/>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1:49" ht="13.5" customHeight="1">
      <c r="A380" s="1"/>
      <c r="B380" s="358"/>
      <c r="C380" s="358"/>
      <c r="D380" s="358"/>
      <c r="E380" s="358"/>
      <c r="F380" s="358"/>
      <c r="G380" s="358"/>
      <c r="H380" s="358"/>
      <c r="I380" s="358"/>
      <c r="J380" s="358"/>
      <c r="K380" s="358"/>
      <c r="L380" s="358"/>
      <c r="M380" s="358"/>
      <c r="N380" s="358"/>
      <c r="O380" s="358"/>
      <c r="P380" s="358"/>
      <c r="Q380" s="358"/>
      <c r="R380" s="358"/>
      <c r="S380" s="358"/>
      <c r="T380" s="358"/>
      <c r="U380" s="358"/>
      <c r="V380" s="358"/>
      <c r="W380" s="358"/>
      <c r="X380" s="358"/>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1:49" ht="13.5" customHeight="1">
      <c r="A381" s="1"/>
      <c r="B381" s="358"/>
      <c r="C381" s="358"/>
      <c r="D381" s="358"/>
      <c r="E381" s="358"/>
      <c r="F381" s="358"/>
      <c r="G381" s="358"/>
      <c r="H381" s="358"/>
      <c r="I381" s="358"/>
      <c r="J381" s="358"/>
      <c r="K381" s="358"/>
      <c r="L381" s="358"/>
      <c r="M381" s="358"/>
      <c r="N381" s="358"/>
      <c r="O381" s="358"/>
      <c r="P381" s="358"/>
      <c r="Q381" s="358"/>
      <c r="R381" s="358"/>
      <c r="S381" s="358"/>
      <c r="T381" s="358"/>
      <c r="U381" s="358"/>
      <c r="V381" s="358"/>
      <c r="W381" s="358"/>
      <c r="X381" s="358"/>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1:49" ht="13.5" customHeight="1">
      <c r="A382" s="1"/>
      <c r="B382" s="358"/>
      <c r="C382" s="358"/>
      <c r="D382" s="358"/>
      <c r="E382" s="358"/>
      <c r="F382" s="358"/>
      <c r="G382" s="358"/>
      <c r="H382" s="358"/>
      <c r="I382" s="358"/>
      <c r="J382" s="358"/>
      <c r="K382" s="358"/>
      <c r="L382" s="358"/>
      <c r="M382" s="358"/>
      <c r="N382" s="358"/>
      <c r="O382" s="358"/>
      <c r="P382" s="358"/>
      <c r="Q382" s="358"/>
      <c r="R382" s="358"/>
      <c r="S382" s="358"/>
      <c r="T382" s="358"/>
      <c r="U382" s="358"/>
      <c r="V382" s="358"/>
      <c r="W382" s="358"/>
      <c r="X382" s="358"/>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1:49" ht="13.5" customHeight="1">
      <c r="A383" s="1"/>
      <c r="B383" s="358"/>
      <c r="C383" s="358"/>
      <c r="D383" s="358"/>
      <c r="E383" s="358"/>
      <c r="F383" s="358"/>
      <c r="G383" s="358"/>
      <c r="H383" s="358"/>
      <c r="I383" s="358"/>
      <c r="J383" s="358"/>
      <c r="K383" s="358"/>
      <c r="L383" s="358"/>
      <c r="M383" s="358"/>
      <c r="N383" s="358"/>
      <c r="O383" s="358"/>
      <c r="P383" s="358"/>
      <c r="Q383" s="358"/>
      <c r="R383" s="358"/>
      <c r="S383" s="358"/>
      <c r="T383" s="358"/>
      <c r="U383" s="358"/>
      <c r="V383" s="358"/>
      <c r="W383" s="358"/>
      <c r="X383" s="358"/>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1:49" ht="13.5" customHeight="1">
      <c r="A384" s="1"/>
      <c r="B384" s="358"/>
      <c r="C384" s="358"/>
      <c r="D384" s="358"/>
      <c r="E384" s="358"/>
      <c r="F384" s="358"/>
      <c r="G384" s="358"/>
      <c r="H384" s="358"/>
      <c r="I384" s="358"/>
      <c r="J384" s="358"/>
      <c r="K384" s="358"/>
      <c r="L384" s="358"/>
      <c r="M384" s="358"/>
      <c r="N384" s="358"/>
      <c r="O384" s="358"/>
      <c r="P384" s="358"/>
      <c r="Q384" s="358"/>
      <c r="R384" s="358"/>
      <c r="S384" s="358"/>
      <c r="T384" s="358"/>
      <c r="U384" s="358"/>
      <c r="V384" s="358"/>
      <c r="W384" s="358"/>
      <c r="X384" s="358"/>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1:49" ht="13.5" customHeight="1">
      <c r="A385" s="1"/>
      <c r="B385" s="358"/>
      <c r="C385" s="358"/>
      <c r="D385" s="358"/>
      <c r="E385" s="358"/>
      <c r="F385" s="358"/>
      <c r="G385" s="358"/>
      <c r="H385" s="358"/>
      <c r="I385" s="358"/>
      <c r="J385" s="358"/>
      <c r="K385" s="358"/>
      <c r="L385" s="358"/>
      <c r="M385" s="358"/>
      <c r="N385" s="358"/>
      <c r="O385" s="358"/>
      <c r="P385" s="358"/>
      <c r="Q385" s="358"/>
      <c r="R385" s="358"/>
      <c r="S385" s="358"/>
      <c r="T385" s="358"/>
      <c r="U385" s="358"/>
      <c r="V385" s="358"/>
      <c r="W385" s="358"/>
      <c r="X385" s="358"/>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1:49" ht="13.5" customHeight="1">
      <c r="A386" s="1"/>
      <c r="B386" s="358"/>
      <c r="C386" s="358"/>
      <c r="D386" s="358"/>
      <c r="E386" s="358"/>
      <c r="F386" s="358"/>
      <c r="G386" s="358"/>
      <c r="H386" s="358"/>
      <c r="I386" s="358"/>
      <c r="J386" s="358"/>
      <c r="K386" s="358"/>
      <c r="L386" s="358"/>
      <c r="M386" s="358"/>
      <c r="N386" s="358"/>
      <c r="O386" s="358"/>
      <c r="P386" s="358"/>
      <c r="Q386" s="358"/>
      <c r="R386" s="358"/>
      <c r="S386" s="358"/>
      <c r="T386" s="358"/>
      <c r="U386" s="358"/>
      <c r="V386" s="358"/>
      <c r="W386" s="358"/>
      <c r="X386" s="358"/>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1:49" ht="13.5" customHeight="1">
      <c r="A387" s="1"/>
      <c r="B387" s="358"/>
      <c r="C387" s="358"/>
      <c r="D387" s="358"/>
      <c r="E387" s="358"/>
      <c r="F387" s="358"/>
      <c r="G387" s="358"/>
      <c r="H387" s="358"/>
      <c r="I387" s="358"/>
      <c r="J387" s="358"/>
      <c r="K387" s="358"/>
      <c r="L387" s="358"/>
      <c r="M387" s="358"/>
      <c r="N387" s="358"/>
      <c r="O387" s="358"/>
      <c r="P387" s="358"/>
      <c r="Q387" s="358"/>
      <c r="R387" s="358"/>
      <c r="S387" s="358"/>
      <c r="T387" s="358"/>
      <c r="U387" s="358"/>
      <c r="V387" s="358"/>
      <c r="W387" s="358"/>
      <c r="X387" s="358"/>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1:49" ht="13.5" customHeight="1">
      <c r="A388" s="1"/>
      <c r="B388" s="358"/>
      <c r="C388" s="358"/>
      <c r="D388" s="358"/>
      <c r="E388" s="358"/>
      <c r="F388" s="358"/>
      <c r="G388" s="358"/>
      <c r="H388" s="358"/>
      <c r="I388" s="358"/>
      <c r="J388" s="358"/>
      <c r="K388" s="358"/>
      <c r="L388" s="358"/>
      <c r="M388" s="358"/>
      <c r="N388" s="358"/>
      <c r="O388" s="358"/>
      <c r="P388" s="358"/>
      <c r="Q388" s="358"/>
      <c r="R388" s="358"/>
      <c r="S388" s="358"/>
      <c r="T388" s="358"/>
      <c r="U388" s="358"/>
      <c r="V388" s="358"/>
      <c r="W388" s="358"/>
      <c r="X388" s="358"/>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1:49" ht="13.5" customHeight="1">
      <c r="A389" s="1"/>
      <c r="B389" s="358"/>
      <c r="C389" s="358"/>
      <c r="D389" s="358"/>
      <c r="E389" s="358"/>
      <c r="F389" s="358"/>
      <c r="G389" s="358"/>
      <c r="H389" s="358"/>
      <c r="I389" s="358"/>
      <c r="J389" s="358"/>
      <c r="K389" s="358"/>
      <c r="L389" s="358"/>
      <c r="M389" s="358"/>
      <c r="N389" s="358"/>
      <c r="O389" s="358"/>
      <c r="P389" s="358"/>
      <c r="Q389" s="358"/>
      <c r="R389" s="358"/>
      <c r="S389" s="358"/>
      <c r="T389" s="358"/>
      <c r="U389" s="358"/>
      <c r="V389" s="358"/>
      <c r="W389" s="358"/>
      <c r="X389" s="358"/>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1:49" ht="13.5" customHeight="1">
      <c r="A390" s="1"/>
      <c r="B390" s="358"/>
      <c r="C390" s="358"/>
      <c r="D390" s="358"/>
      <c r="E390" s="358"/>
      <c r="F390" s="358"/>
      <c r="G390" s="358"/>
      <c r="H390" s="358"/>
      <c r="I390" s="358"/>
      <c r="J390" s="358"/>
      <c r="K390" s="358"/>
      <c r="L390" s="358"/>
      <c r="M390" s="358"/>
      <c r="N390" s="358"/>
      <c r="O390" s="358"/>
      <c r="P390" s="358"/>
      <c r="Q390" s="358"/>
      <c r="R390" s="358"/>
      <c r="S390" s="358"/>
      <c r="T390" s="358"/>
      <c r="U390" s="358"/>
      <c r="V390" s="358"/>
      <c r="W390" s="358"/>
      <c r="X390" s="358"/>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1:49" ht="13.5" customHeight="1">
      <c r="A391" s="1"/>
      <c r="B391" s="358"/>
      <c r="C391" s="358"/>
      <c r="D391" s="358"/>
      <c r="E391" s="358"/>
      <c r="F391" s="358"/>
      <c r="G391" s="358"/>
      <c r="H391" s="358"/>
      <c r="I391" s="358"/>
      <c r="J391" s="358"/>
      <c r="K391" s="358"/>
      <c r="L391" s="358"/>
      <c r="M391" s="358"/>
      <c r="N391" s="358"/>
      <c r="O391" s="358"/>
      <c r="P391" s="358"/>
      <c r="Q391" s="358"/>
      <c r="R391" s="358"/>
      <c r="S391" s="358"/>
      <c r="T391" s="358"/>
      <c r="U391" s="358"/>
      <c r="V391" s="358"/>
      <c r="W391" s="358"/>
      <c r="X391" s="358"/>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1:49" ht="13.5" customHeight="1">
      <c r="A392" s="1"/>
      <c r="B392" s="358"/>
      <c r="C392" s="358"/>
      <c r="D392" s="358"/>
      <c r="E392" s="358"/>
      <c r="F392" s="358"/>
      <c r="G392" s="358"/>
      <c r="H392" s="358"/>
      <c r="I392" s="358"/>
      <c r="J392" s="358"/>
      <c r="K392" s="358"/>
      <c r="L392" s="358"/>
      <c r="M392" s="358"/>
      <c r="N392" s="358"/>
      <c r="O392" s="358"/>
      <c r="P392" s="358"/>
      <c r="Q392" s="358"/>
      <c r="R392" s="358"/>
      <c r="S392" s="358"/>
      <c r="T392" s="358"/>
      <c r="U392" s="358"/>
      <c r="V392" s="358"/>
      <c r="W392" s="358"/>
      <c r="X392" s="358"/>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1:49" ht="13.5" customHeight="1">
      <c r="A393" s="1"/>
      <c r="B393" s="358"/>
      <c r="C393" s="358"/>
      <c r="D393" s="358"/>
      <c r="E393" s="358"/>
      <c r="F393" s="358"/>
      <c r="G393" s="358"/>
      <c r="H393" s="358"/>
      <c r="I393" s="358"/>
      <c r="J393" s="358"/>
      <c r="K393" s="358"/>
      <c r="L393" s="358"/>
      <c r="M393" s="358"/>
      <c r="N393" s="358"/>
      <c r="O393" s="358"/>
      <c r="P393" s="358"/>
      <c r="Q393" s="358"/>
      <c r="R393" s="358"/>
      <c r="S393" s="358"/>
      <c r="T393" s="358"/>
      <c r="U393" s="358"/>
      <c r="V393" s="358"/>
      <c r="W393" s="358"/>
      <c r="X393" s="358"/>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1:49" ht="13.5" customHeight="1">
      <c r="A394" s="1"/>
      <c r="B394" s="358"/>
      <c r="C394" s="358"/>
      <c r="D394" s="358"/>
      <c r="E394" s="358"/>
      <c r="F394" s="358"/>
      <c r="G394" s="358"/>
      <c r="H394" s="358"/>
      <c r="I394" s="358"/>
      <c r="J394" s="358"/>
      <c r="K394" s="358"/>
      <c r="L394" s="358"/>
      <c r="M394" s="358"/>
      <c r="N394" s="358"/>
      <c r="O394" s="358"/>
      <c r="P394" s="358"/>
      <c r="Q394" s="358"/>
      <c r="R394" s="358"/>
      <c r="S394" s="358"/>
      <c r="T394" s="358"/>
      <c r="U394" s="358"/>
      <c r="V394" s="358"/>
      <c r="W394" s="358"/>
      <c r="X394" s="358"/>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1:49" ht="13.5" customHeight="1">
      <c r="A395" s="1"/>
      <c r="B395" s="358"/>
      <c r="C395" s="358"/>
      <c r="D395" s="358"/>
      <c r="E395" s="358"/>
      <c r="F395" s="358"/>
      <c r="G395" s="358"/>
      <c r="H395" s="358"/>
      <c r="I395" s="358"/>
      <c r="J395" s="358"/>
      <c r="K395" s="358"/>
      <c r="L395" s="358"/>
      <c r="M395" s="358"/>
      <c r="N395" s="358"/>
      <c r="O395" s="358"/>
      <c r="P395" s="358"/>
      <c r="Q395" s="358"/>
      <c r="R395" s="358"/>
      <c r="S395" s="358"/>
      <c r="T395" s="358"/>
      <c r="U395" s="358"/>
      <c r="V395" s="358"/>
      <c r="W395" s="358"/>
      <c r="X395" s="358"/>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1:49" ht="13.5" customHeight="1">
      <c r="A396" s="1"/>
      <c r="B396" s="358"/>
      <c r="C396" s="358"/>
      <c r="D396" s="358"/>
      <c r="E396" s="358"/>
      <c r="F396" s="358"/>
      <c r="G396" s="358"/>
      <c r="H396" s="358"/>
      <c r="I396" s="358"/>
      <c r="J396" s="358"/>
      <c r="K396" s="358"/>
      <c r="L396" s="358"/>
      <c r="M396" s="358"/>
      <c r="N396" s="358"/>
      <c r="O396" s="358"/>
      <c r="P396" s="358"/>
      <c r="Q396" s="358"/>
      <c r="R396" s="358"/>
      <c r="S396" s="358"/>
      <c r="T396" s="358"/>
      <c r="U396" s="358"/>
      <c r="V396" s="358"/>
      <c r="W396" s="358"/>
      <c r="X396" s="358"/>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1:49" ht="13.5" customHeight="1">
      <c r="A397" s="1"/>
      <c r="B397" s="358"/>
      <c r="C397" s="358"/>
      <c r="D397" s="358"/>
      <c r="E397" s="358"/>
      <c r="F397" s="358"/>
      <c r="G397" s="358"/>
      <c r="H397" s="358"/>
      <c r="I397" s="358"/>
      <c r="J397" s="358"/>
      <c r="K397" s="358"/>
      <c r="L397" s="358"/>
      <c r="M397" s="358"/>
      <c r="N397" s="358"/>
      <c r="O397" s="358"/>
      <c r="P397" s="358"/>
      <c r="Q397" s="358"/>
      <c r="R397" s="358"/>
      <c r="S397" s="358"/>
      <c r="T397" s="358"/>
      <c r="U397" s="358"/>
      <c r="V397" s="358"/>
      <c r="W397" s="358"/>
      <c r="X397" s="358"/>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1:49" ht="13.5" customHeight="1">
      <c r="A398" s="1"/>
      <c r="B398" s="358"/>
      <c r="C398" s="358"/>
      <c r="D398" s="358"/>
      <c r="E398" s="358"/>
      <c r="F398" s="358"/>
      <c r="G398" s="358"/>
      <c r="H398" s="358"/>
      <c r="I398" s="358"/>
      <c r="J398" s="358"/>
      <c r="K398" s="358"/>
      <c r="L398" s="358"/>
      <c r="M398" s="358"/>
      <c r="N398" s="358"/>
      <c r="O398" s="358"/>
      <c r="P398" s="358"/>
      <c r="Q398" s="358"/>
      <c r="R398" s="358"/>
      <c r="S398" s="358"/>
      <c r="T398" s="358"/>
      <c r="U398" s="358"/>
      <c r="V398" s="358"/>
      <c r="W398" s="358"/>
      <c r="X398" s="358"/>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1:49" ht="13.5" customHeight="1">
      <c r="A399" s="1"/>
      <c r="B399" s="358"/>
      <c r="C399" s="358"/>
      <c r="D399" s="358"/>
      <c r="E399" s="358"/>
      <c r="F399" s="358"/>
      <c r="G399" s="358"/>
      <c r="H399" s="358"/>
      <c r="I399" s="358"/>
      <c r="J399" s="358"/>
      <c r="K399" s="358"/>
      <c r="L399" s="358"/>
      <c r="M399" s="358"/>
      <c r="N399" s="358"/>
      <c r="O399" s="358"/>
      <c r="P399" s="358"/>
      <c r="Q399" s="358"/>
      <c r="R399" s="358"/>
      <c r="S399" s="358"/>
      <c r="T399" s="358"/>
      <c r="U399" s="358"/>
      <c r="V399" s="358"/>
      <c r="W399" s="358"/>
      <c r="X399" s="358"/>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1:49" ht="13.5" customHeight="1">
      <c r="A400" s="1"/>
      <c r="B400" s="358"/>
      <c r="C400" s="358"/>
      <c r="D400" s="358"/>
      <c r="E400" s="358"/>
      <c r="F400" s="358"/>
      <c r="G400" s="358"/>
      <c r="H400" s="358"/>
      <c r="I400" s="358"/>
      <c r="J400" s="358"/>
      <c r="K400" s="358"/>
      <c r="L400" s="358"/>
      <c r="M400" s="358"/>
      <c r="N400" s="358"/>
      <c r="O400" s="358"/>
      <c r="P400" s="358"/>
      <c r="Q400" s="358"/>
      <c r="R400" s="358"/>
      <c r="S400" s="358"/>
      <c r="T400" s="358"/>
      <c r="U400" s="358"/>
      <c r="V400" s="358"/>
      <c r="W400" s="358"/>
      <c r="X400" s="358"/>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1:49" ht="13.5" customHeight="1">
      <c r="A401" s="1"/>
      <c r="B401" s="358"/>
      <c r="C401" s="358"/>
      <c r="D401" s="358"/>
      <c r="E401" s="358"/>
      <c r="F401" s="358"/>
      <c r="G401" s="358"/>
      <c r="H401" s="358"/>
      <c r="I401" s="358"/>
      <c r="J401" s="358"/>
      <c r="K401" s="358"/>
      <c r="L401" s="358"/>
      <c r="M401" s="358"/>
      <c r="N401" s="358"/>
      <c r="O401" s="358"/>
      <c r="P401" s="358"/>
      <c r="Q401" s="358"/>
      <c r="R401" s="358"/>
      <c r="S401" s="358"/>
      <c r="T401" s="358"/>
      <c r="U401" s="358"/>
      <c r="V401" s="358"/>
      <c r="W401" s="358"/>
      <c r="X401" s="358"/>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1:49" ht="13.5" customHeight="1">
      <c r="A402" s="1"/>
      <c r="B402" s="358"/>
      <c r="C402" s="358"/>
      <c r="D402" s="358"/>
      <c r="E402" s="358"/>
      <c r="F402" s="358"/>
      <c r="G402" s="358"/>
      <c r="H402" s="358"/>
      <c r="I402" s="358"/>
      <c r="J402" s="358"/>
      <c r="K402" s="358"/>
      <c r="L402" s="358"/>
      <c r="M402" s="358"/>
      <c r="N402" s="358"/>
      <c r="O402" s="358"/>
      <c r="P402" s="358"/>
      <c r="Q402" s="358"/>
      <c r="R402" s="358"/>
      <c r="S402" s="358"/>
      <c r="T402" s="358"/>
      <c r="U402" s="358"/>
      <c r="V402" s="358"/>
      <c r="W402" s="358"/>
      <c r="X402" s="358"/>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1:49" ht="13.5" customHeight="1">
      <c r="A403" s="1"/>
      <c r="B403" s="358"/>
      <c r="C403" s="358"/>
      <c r="D403" s="358"/>
      <c r="E403" s="358"/>
      <c r="F403" s="358"/>
      <c r="G403" s="358"/>
      <c r="H403" s="358"/>
      <c r="I403" s="358"/>
      <c r="J403" s="358"/>
      <c r="K403" s="358"/>
      <c r="L403" s="358"/>
      <c r="M403" s="358"/>
      <c r="N403" s="358"/>
      <c r="O403" s="358"/>
      <c r="P403" s="358"/>
      <c r="Q403" s="358"/>
      <c r="R403" s="358"/>
      <c r="S403" s="358"/>
      <c r="T403" s="358"/>
      <c r="U403" s="358"/>
      <c r="V403" s="358"/>
      <c r="W403" s="358"/>
      <c r="X403" s="358"/>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1:49" ht="13.5" customHeight="1">
      <c r="A404" s="1"/>
      <c r="B404" s="358"/>
      <c r="C404" s="358"/>
      <c r="D404" s="358"/>
      <c r="E404" s="358"/>
      <c r="F404" s="358"/>
      <c r="G404" s="358"/>
      <c r="H404" s="358"/>
      <c r="I404" s="358"/>
      <c r="J404" s="358"/>
      <c r="K404" s="358"/>
      <c r="L404" s="358"/>
      <c r="M404" s="358"/>
      <c r="N404" s="358"/>
      <c r="O404" s="358"/>
      <c r="P404" s="358"/>
      <c r="Q404" s="358"/>
      <c r="R404" s="358"/>
      <c r="S404" s="358"/>
      <c r="T404" s="358"/>
      <c r="U404" s="358"/>
      <c r="V404" s="358"/>
      <c r="W404" s="358"/>
      <c r="X404" s="358"/>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1:49" ht="13.5" customHeight="1">
      <c r="A405" s="1"/>
      <c r="B405" s="358"/>
      <c r="C405" s="358"/>
      <c r="D405" s="358"/>
      <c r="E405" s="358"/>
      <c r="F405" s="358"/>
      <c r="G405" s="358"/>
      <c r="H405" s="358"/>
      <c r="I405" s="358"/>
      <c r="J405" s="358"/>
      <c r="K405" s="358"/>
      <c r="L405" s="358"/>
      <c r="M405" s="358"/>
      <c r="N405" s="358"/>
      <c r="O405" s="358"/>
      <c r="P405" s="358"/>
      <c r="Q405" s="358"/>
      <c r="R405" s="358"/>
      <c r="S405" s="358"/>
      <c r="T405" s="358"/>
      <c r="U405" s="358"/>
      <c r="V405" s="358"/>
      <c r="W405" s="358"/>
      <c r="X405" s="358"/>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1:49" ht="13.5" customHeight="1">
      <c r="A406" s="1"/>
      <c r="B406" s="358"/>
      <c r="C406" s="358"/>
      <c r="D406" s="358"/>
      <c r="E406" s="358"/>
      <c r="F406" s="358"/>
      <c r="G406" s="358"/>
      <c r="H406" s="358"/>
      <c r="I406" s="358"/>
      <c r="J406" s="358"/>
      <c r="K406" s="358"/>
      <c r="L406" s="358"/>
      <c r="M406" s="358"/>
      <c r="N406" s="358"/>
      <c r="O406" s="358"/>
      <c r="P406" s="358"/>
      <c r="Q406" s="358"/>
      <c r="R406" s="358"/>
      <c r="S406" s="358"/>
      <c r="T406" s="358"/>
      <c r="U406" s="358"/>
      <c r="V406" s="358"/>
      <c r="W406" s="358"/>
      <c r="X406" s="358"/>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1:49" ht="13.5" customHeight="1">
      <c r="A407" s="1"/>
      <c r="B407" s="358"/>
      <c r="C407" s="358"/>
      <c r="D407" s="358"/>
      <c r="E407" s="358"/>
      <c r="F407" s="358"/>
      <c r="G407" s="358"/>
      <c r="H407" s="358"/>
      <c r="I407" s="358"/>
      <c r="J407" s="358"/>
      <c r="K407" s="358"/>
      <c r="L407" s="358"/>
      <c r="M407" s="358"/>
      <c r="N407" s="358"/>
      <c r="O407" s="358"/>
      <c r="P407" s="358"/>
      <c r="Q407" s="358"/>
      <c r="R407" s="358"/>
      <c r="S407" s="358"/>
      <c r="T407" s="358"/>
      <c r="U407" s="358"/>
      <c r="V407" s="358"/>
      <c r="W407" s="358"/>
      <c r="X407" s="358"/>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1:49" ht="13.5" customHeight="1">
      <c r="A408" s="1"/>
      <c r="B408" s="358"/>
      <c r="C408" s="358"/>
      <c r="D408" s="358"/>
      <c r="E408" s="358"/>
      <c r="F408" s="358"/>
      <c r="G408" s="358"/>
      <c r="H408" s="358"/>
      <c r="I408" s="358"/>
      <c r="J408" s="358"/>
      <c r="K408" s="358"/>
      <c r="L408" s="358"/>
      <c r="M408" s="358"/>
      <c r="N408" s="358"/>
      <c r="O408" s="358"/>
      <c r="P408" s="358"/>
      <c r="Q408" s="358"/>
      <c r="R408" s="358"/>
      <c r="S408" s="358"/>
      <c r="T408" s="358"/>
      <c r="U408" s="358"/>
      <c r="V408" s="358"/>
      <c r="W408" s="358"/>
      <c r="X408" s="358"/>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1:49" ht="13.5" customHeight="1">
      <c r="A409" s="1"/>
      <c r="B409" s="358"/>
      <c r="C409" s="358"/>
      <c r="D409" s="358"/>
      <c r="E409" s="358"/>
      <c r="F409" s="358"/>
      <c r="G409" s="358"/>
      <c r="H409" s="358"/>
      <c r="I409" s="358"/>
      <c r="J409" s="358"/>
      <c r="K409" s="358"/>
      <c r="L409" s="358"/>
      <c r="M409" s="358"/>
      <c r="N409" s="358"/>
      <c r="O409" s="358"/>
      <c r="P409" s="358"/>
      <c r="Q409" s="358"/>
      <c r="R409" s="358"/>
      <c r="S409" s="358"/>
      <c r="T409" s="358"/>
      <c r="U409" s="358"/>
      <c r="V409" s="358"/>
      <c r="W409" s="358"/>
      <c r="X409" s="358"/>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1:49" ht="13.5" customHeight="1">
      <c r="A410" s="1"/>
      <c r="B410" s="358"/>
      <c r="C410" s="358"/>
      <c r="D410" s="358"/>
      <c r="E410" s="358"/>
      <c r="F410" s="358"/>
      <c r="G410" s="358"/>
      <c r="H410" s="358"/>
      <c r="I410" s="358"/>
      <c r="J410" s="358"/>
      <c r="K410" s="358"/>
      <c r="L410" s="358"/>
      <c r="M410" s="358"/>
      <c r="N410" s="358"/>
      <c r="O410" s="358"/>
      <c r="P410" s="358"/>
      <c r="Q410" s="358"/>
      <c r="R410" s="358"/>
      <c r="S410" s="358"/>
      <c r="T410" s="358"/>
      <c r="U410" s="358"/>
      <c r="V410" s="358"/>
      <c r="W410" s="358"/>
      <c r="X410" s="358"/>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1:49" ht="13.5" customHeight="1">
      <c r="A411" s="1"/>
      <c r="B411" s="358"/>
      <c r="C411" s="358"/>
      <c r="D411" s="358"/>
      <c r="E411" s="358"/>
      <c r="F411" s="358"/>
      <c r="G411" s="358"/>
      <c r="H411" s="358"/>
      <c r="I411" s="358"/>
      <c r="J411" s="358"/>
      <c r="K411" s="358"/>
      <c r="L411" s="358"/>
      <c r="M411" s="358"/>
      <c r="N411" s="358"/>
      <c r="O411" s="358"/>
      <c r="P411" s="358"/>
      <c r="Q411" s="358"/>
      <c r="R411" s="358"/>
      <c r="S411" s="358"/>
      <c r="T411" s="358"/>
      <c r="U411" s="358"/>
      <c r="V411" s="358"/>
      <c r="W411" s="358"/>
      <c r="X411" s="358"/>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1:49" ht="13.5" customHeight="1">
      <c r="A412" s="1"/>
      <c r="B412" s="358"/>
      <c r="C412" s="358"/>
      <c r="D412" s="358"/>
      <c r="E412" s="358"/>
      <c r="F412" s="358"/>
      <c r="G412" s="358"/>
      <c r="H412" s="358"/>
      <c r="I412" s="358"/>
      <c r="J412" s="358"/>
      <c r="K412" s="358"/>
      <c r="L412" s="358"/>
      <c r="M412" s="358"/>
      <c r="N412" s="358"/>
      <c r="O412" s="358"/>
      <c r="P412" s="358"/>
      <c r="Q412" s="358"/>
      <c r="R412" s="358"/>
      <c r="S412" s="358"/>
      <c r="T412" s="358"/>
      <c r="U412" s="358"/>
      <c r="V412" s="358"/>
      <c r="W412" s="358"/>
      <c r="X412" s="358"/>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1:49" ht="13.5" customHeight="1">
      <c r="A413" s="1"/>
      <c r="B413" s="358"/>
      <c r="C413" s="358"/>
      <c r="D413" s="358"/>
      <c r="E413" s="358"/>
      <c r="F413" s="358"/>
      <c r="G413" s="358"/>
      <c r="H413" s="358"/>
      <c r="I413" s="358"/>
      <c r="J413" s="358"/>
      <c r="K413" s="358"/>
      <c r="L413" s="358"/>
      <c r="M413" s="358"/>
      <c r="N413" s="358"/>
      <c r="O413" s="358"/>
      <c r="P413" s="358"/>
      <c r="Q413" s="358"/>
      <c r="R413" s="358"/>
      <c r="S413" s="358"/>
      <c r="T413" s="358"/>
      <c r="U413" s="358"/>
      <c r="V413" s="358"/>
      <c r="W413" s="358"/>
      <c r="X413" s="358"/>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1:49" ht="13.5" customHeight="1">
      <c r="A414" s="1"/>
      <c r="B414" s="358"/>
      <c r="C414" s="358"/>
      <c r="D414" s="358"/>
      <c r="E414" s="358"/>
      <c r="F414" s="358"/>
      <c r="G414" s="358"/>
      <c r="H414" s="358"/>
      <c r="I414" s="358"/>
      <c r="J414" s="358"/>
      <c r="K414" s="358"/>
      <c r="L414" s="358"/>
      <c r="M414" s="358"/>
      <c r="N414" s="358"/>
      <c r="O414" s="358"/>
      <c r="P414" s="358"/>
      <c r="Q414" s="358"/>
      <c r="R414" s="358"/>
      <c r="S414" s="358"/>
      <c r="T414" s="358"/>
      <c r="U414" s="358"/>
      <c r="V414" s="358"/>
      <c r="W414" s="358"/>
      <c r="X414" s="358"/>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1:49" ht="13.5" customHeight="1">
      <c r="A415" s="1"/>
      <c r="B415" s="358"/>
      <c r="C415" s="358"/>
      <c r="D415" s="358"/>
      <c r="E415" s="358"/>
      <c r="F415" s="358"/>
      <c r="G415" s="358"/>
      <c r="H415" s="358"/>
      <c r="I415" s="358"/>
      <c r="J415" s="358"/>
      <c r="K415" s="358"/>
      <c r="L415" s="358"/>
      <c r="M415" s="358"/>
      <c r="N415" s="358"/>
      <c r="O415" s="358"/>
      <c r="P415" s="358"/>
      <c r="Q415" s="358"/>
      <c r="R415" s="358"/>
      <c r="S415" s="358"/>
      <c r="T415" s="358"/>
      <c r="U415" s="358"/>
      <c r="V415" s="358"/>
      <c r="W415" s="358"/>
      <c r="X415" s="358"/>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1:49" ht="13.5" customHeight="1">
      <c r="A416" s="1"/>
      <c r="B416" s="358"/>
      <c r="C416" s="358"/>
      <c r="D416" s="358"/>
      <c r="E416" s="358"/>
      <c r="F416" s="358"/>
      <c r="G416" s="358"/>
      <c r="H416" s="358"/>
      <c r="I416" s="358"/>
      <c r="J416" s="358"/>
      <c r="K416" s="358"/>
      <c r="L416" s="358"/>
      <c r="M416" s="358"/>
      <c r="N416" s="358"/>
      <c r="O416" s="358"/>
      <c r="P416" s="358"/>
      <c r="Q416" s="358"/>
      <c r="R416" s="358"/>
      <c r="S416" s="358"/>
      <c r="T416" s="358"/>
      <c r="U416" s="358"/>
      <c r="V416" s="358"/>
      <c r="W416" s="358"/>
      <c r="X416" s="358"/>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1:49" ht="13.5" customHeight="1">
      <c r="A417" s="1"/>
      <c r="B417" s="358"/>
      <c r="C417" s="358"/>
      <c r="D417" s="358"/>
      <c r="E417" s="358"/>
      <c r="F417" s="358"/>
      <c r="G417" s="358"/>
      <c r="H417" s="358"/>
      <c r="I417" s="358"/>
      <c r="J417" s="358"/>
      <c r="K417" s="358"/>
      <c r="L417" s="358"/>
      <c r="M417" s="358"/>
      <c r="N417" s="358"/>
      <c r="O417" s="358"/>
      <c r="P417" s="358"/>
      <c r="Q417" s="358"/>
      <c r="R417" s="358"/>
      <c r="S417" s="358"/>
      <c r="T417" s="358"/>
      <c r="U417" s="358"/>
      <c r="V417" s="358"/>
      <c r="W417" s="358"/>
      <c r="X417" s="358"/>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1:49" ht="13.5" customHeight="1">
      <c r="A418" s="1"/>
      <c r="B418" s="358"/>
      <c r="C418" s="358"/>
      <c r="D418" s="358"/>
      <c r="E418" s="358"/>
      <c r="F418" s="358"/>
      <c r="G418" s="358"/>
      <c r="H418" s="358"/>
      <c r="I418" s="358"/>
      <c r="J418" s="358"/>
      <c r="K418" s="358"/>
      <c r="L418" s="358"/>
      <c r="M418" s="358"/>
      <c r="N418" s="358"/>
      <c r="O418" s="358"/>
      <c r="P418" s="358"/>
      <c r="Q418" s="358"/>
      <c r="R418" s="358"/>
      <c r="S418" s="358"/>
      <c r="T418" s="358"/>
      <c r="U418" s="358"/>
      <c r="V418" s="358"/>
      <c r="W418" s="358"/>
      <c r="X418" s="358"/>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1:49" ht="13.5" customHeight="1">
      <c r="A419" s="1"/>
      <c r="B419" s="358"/>
      <c r="C419" s="358"/>
      <c r="D419" s="358"/>
      <c r="E419" s="358"/>
      <c r="F419" s="358"/>
      <c r="G419" s="358"/>
      <c r="H419" s="358"/>
      <c r="I419" s="358"/>
      <c r="J419" s="358"/>
      <c r="K419" s="358"/>
      <c r="L419" s="358"/>
      <c r="M419" s="358"/>
      <c r="N419" s="358"/>
      <c r="O419" s="358"/>
      <c r="P419" s="358"/>
      <c r="Q419" s="358"/>
      <c r="R419" s="358"/>
      <c r="S419" s="358"/>
      <c r="T419" s="358"/>
      <c r="U419" s="358"/>
      <c r="V419" s="358"/>
      <c r="W419" s="358"/>
      <c r="X419" s="358"/>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1:49" ht="13.5" customHeight="1">
      <c r="A420" s="1"/>
      <c r="B420" s="358"/>
      <c r="C420" s="358"/>
      <c r="D420" s="358"/>
      <c r="E420" s="358"/>
      <c r="F420" s="358"/>
      <c r="G420" s="358"/>
      <c r="H420" s="358"/>
      <c r="I420" s="358"/>
      <c r="J420" s="358"/>
      <c r="K420" s="358"/>
      <c r="L420" s="358"/>
      <c r="M420" s="358"/>
      <c r="N420" s="358"/>
      <c r="O420" s="358"/>
      <c r="P420" s="358"/>
      <c r="Q420" s="358"/>
      <c r="R420" s="358"/>
      <c r="S420" s="358"/>
      <c r="T420" s="358"/>
      <c r="U420" s="358"/>
      <c r="V420" s="358"/>
      <c r="W420" s="358"/>
      <c r="X420" s="358"/>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1:49" ht="13.5" customHeight="1">
      <c r="A421" s="1"/>
      <c r="B421" s="358"/>
      <c r="C421" s="358"/>
      <c r="D421" s="358"/>
      <c r="E421" s="358"/>
      <c r="F421" s="358"/>
      <c r="G421" s="358"/>
      <c r="H421" s="358"/>
      <c r="I421" s="358"/>
      <c r="J421" s="358"/>
      <c r="K421" s="358"/>
      <c r="L421" s="358"/>
      <c r="M421" s="358"/>
      <c r="N421" s="358"/>
      <c r="O421" s="358"/>
      <c r="P421" s="358"/>
      <c r="Q421" s="358"/>
      <c r="R421" s="358"/>
      <c r="S421" s="358"/>
      <c r="T421" s="358"/>
      <c r="U421" s="358"/>
      <c r="V421" s="358"/>
      <c r="W421" s="358"/>
      <c r="X421" s="358"/>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1:49" ht="13.5" customHeight="1">
      <c r="A422" s="1"/>
      <c r="B422" s="358"/>
      <c r="C422" s="358"/>
      <c r="D422" s="358"/>
      <c r="E422" s="358"/>
      <c r="F422" s="358"/>
      <c r="G422" s="358"/>
      <c r="H422" s="358"/>
      <c r="I422" s="358"/>
      <c r="J422" s="358"/>
      <c r="K422" s="358"/>
      <c r="L422" s="358"/>
      <c r="M422" s="358"/>
      <c r="N422" s="358"/>
      <c r="O422" s="358"/>
      <c r="P422" s="358"/>
      <c r="Q422" s="358"/>
      <c r="R422" s="358"/>
      <c r="S422" s="358"/>
      <c r="T422" s="358"/>
      <c r="U422" s="358"/>
      <c r="V422" s="358"/>
      <c r="W422" s="358"/>
      <c r="X422" s="358"/>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1:49" ht="13.5" customHeight="1">
      <c r="A423" s="1"/>
      <c r="B423" s="358"/>
      <c r="C423" s="358"/>
      <c r="D423" s="358"/>
      <c r="E423" s="358"/>
      <c r="F423" s="358"/>
      <c r="G423" s="358"/>
      <c r="H423" s="358"/>
      <c r="I423" s="358"/>
      <c r="J423" s="358"/>
      <c r="K423" s="358"/>
      <c r="L423" s="358"/>
      <c r="M423" s="358"/>
      <c r="N423" s="358"/>
      <c r="O423" s="358"/>
      <c r="P423" s="358"/>
      <c r="Q423" s="358"/>
      <c r="R423" s="358"/>
      <c r="S423" s="358"/>
      <c r="T423" s="358"/>
      <c r="U423" s="358"/>
      <c r="V423" s="358"/>
      <c r="W423" s="358"/>
      <c r="X423" s="358"/>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1:49" ht="13.5" customHeight="1">
      <c r="A424" s="1"/>
      <c r="B424" s="358"/>
      <c r="C424" s="358"/>
      <c r="D424" s="358"/>
      <c r="E424" s="358"/>
      <c r="F424" s="358"/>
      <c r="G424" s="358"/>
      <c r="H424" s="358"/>
      <c r="I424" s="358"/>
      <c r="J424" s="358"/>
      <c r="K424" s="358"/>
      <c r="L424" s="358"/>
      <c r="M424" s="358"/>
      <c r="N424" s="358"/>
      <c r="O424" s="358"/>
      <c r="P424" s="358"/>
      <c r="Q424" s="358"/>
      <c r="R424" s="358"/>
      <c r="S424" s="358"/>
      <c r="T424" s="358"/>
      <c r="U424" s="358"/>
      <c r="V424" s="358"/>
      <c r="W424" s="358"/>
      <c r="X424" s="358"/>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1:49" ht="13.5" customHeight="1">
      <c r="A425" s="1"/>
      <c r="B425" s="358"/>
      <c r="C425" s="358"/>
      <c r="D425" s="358"/>
      <c r="E425" s="358"/>
      <c r="F425" s="358"/>
      <c r="G425" s="358"/>
      <c r="H425" s="358"/>
      <c r="I425" s="358"/>
      <c r="J425" s="358"/>
      <c r="K425" s="358"/>
      <c r="L425" s="358"/>
      <c r="M425" s="358"/>
      <c r="N425" s="358"/>
      <c r="O425" s="358"/>
      <c r="P425" s="358"/>
      <c r="Q425" s="358"/>
      <c r="R425" s="358"/>
      <c r="S425" s="358"/>
      <c r="T425" s="358"/>
      <c r="U425" s="358"/>
      <c r="V425" s="358"/>
      <c r="W425" s="358"/>
      <c r="X425" s="358"/>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1:49" ht="13.5" customHeight="1">
      <c r="A426" s="1"/>
      <c r="B426" s="358"/>
      <c r="C426" s="358"/>
      <c r="D426" s="358"/>
      <c r="E426" s="358"/>
      <c r="F426" s="358"/>
      <c r="G426" s="358"/>
      <c r="H426" s="358"/>
      <c r="I426" s="358"/>
      <c r="J426" s="358"/>
      <c r="K426" s="358"/>
      <c r="L426" s="358"/>
      <c r="M426" s="358"/>
      <c r="N426" s="358"/>
      <c r="O426" s="358"/>
      <c r="P426" s="358"/>
      <c r="Q426" s="358"/>
      <c r="R426" s="358"/>
      <c r="S426" s="358"/>
      <c r="T426" s="358"/>
      <c r="U426" s="358"/>
      <c r="V426" s="358"/>
      <c r="W426" s="358"/>
      <c r="X426" s="358"/>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1:49" ht="13.5" customHeight="1">
      <c r="A427" s="1"/>
      <c r="B427" s="358"/>
      <c r="C427" s="358"/>
      <c r="D427" s="358"/>
      <c r="E427" s="358"/>
      <c r="F427" s="358"/>
      <c r="G427" s="358"/>
      <c r="H427" s="358"/>
      <c r="I427" s="358"/>
      <c r="J427" s="358"/>
      <c r="K427" s="358"/>
      <c r="L427" s="358"/>
      <c r="M427" s="358"/>
      <c r="N427" s="358"/>
      <c r="O427" s="358"/>
      <c r="P427" s="358"/>
      <c r="Q427" s="358"/>
      <c r="R427" s="358"/>
      <c r="S427" s="358"/>
      <c r="T427" s="358"/>
      <c r="U427" s="358"/>
      <c r="V427" s="358"/>
      <c r="W427" s="358"/>
      <c r="X427" s="358"/>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1:49" ht="13.5" customHeight="1">
      <c r="A428" s="1"/>
      <c r="B428" s="358"/>
      <c r="C428" s="358"/>
      <c r="D428" s="358"/>
      <c r="E428" s="358"/>
      <c r="F428" s="358"/>
      <c r="G428" s="358"/>
      <c r="H428" s="358"/>
      <c r="I428" s="358"/>
      <c r="J428" s="358"/>
      <c r="K428" s="358"/>
      <c r="L428" s="358"/>
      <c r="M428" s="358"/>
      <c r="N428" s="358"/>
      <c r="O428" s="358"/>
      <c r="P428" s="358"/>
      <c r="Q428" s="358"/>
      <c r="R428" s="358"/>
      <c r="S428" s="358"/>
      <c r="T428" s="358"/>
      <c r="U428" s="358"/>
      <c r="V428" s="358"/>
      <c r="W428" s="358"/>
      <c r="X428" s="358"/>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1:49" ht="13.5" customHeight="1">
      <c r="A429" s="1"/>
      <c r="B429" s="358"/>
      <c r="C429" s="358"/>
      <c r="D429" s="358"/>
      <c r="E429" s="358"/>
      <c r="F429" s="358"/>
      <c r="G429" s="358"/>
      <c r="H429" s="358"/>
      <c r="I429" s="358"/>
      <c r="J429" s="358"/>
      <c r="K429" s="358"/>
      <c r="L429" s="358"/>
      <c r="M429" s="358"/>
      <c r="N429" s="358"/>
      <c r="O429" s="358"/>
      <c r="P429" s="358"/>
      <c r="Q429" s="358"/>
      <c r="R429" s="358"/>
      <c r="S429" s="358"/>
      <c r="T429" s="358"/>
      <c r="U429" s="358"/>
      <c r="V429" s="358"/>
      <c r="W429" s="358"/>
      <c r="X429" s="358"/>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1:49" ht="13.5" customHeight="1">
      <c r="A430" s="1"/>
      <c r="B430" s="358"/>
      <c r="C430" s="358"/>
      <c r="D430" s="358"/>
      <c r="E430" s="358"/>
      <c r="F430" s="358"/>
      <c r="G430" s="358"/>
      <c r="H430" s="358"/>
      <c r="I430" s="358"/>
      <c r="J430" s="358"/>
      <c r="K430" s="358"/>
      <c r="L430" s="358"/>
      <c r="M430" s="358"/>
      <c r="N430" s="358"/>
      <c r="O430" s="358"/>
      <c r="P430" s="358"/>
      <c r="Q430" s="358"/>
      <c r="R430" s="358"/>
      <c r="S430" s="358"/>
      <c r="T430" s="358"/>
      <c r="U430" s="358"/>
      <c r="V430" s="358"/>
      <c r="W430" s="358"/>
      <c r="X430" s="358"/>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1:49" ht="13.5" customHeight="1">
      <c r="A431" s="1"/>
      <c r="B431" s="358"/>
      <c r="C431" s="358"/>
      <c r="D431" s="358"/>
      <c r="E431" s="358"/>
      <c r="F431" s="358"/>
      <c r="G431" s="358"/>
      <c r="H431" s="358"/>
      <c r="I431" s="358"/>
      <c r="J431" s="358"/>
      <c r="K431" s="358"/>
      <c r="L431" s="358"/>
      <c r="M431" s="358"/>
      <c r="N431" s="358"/>
      <c r="O431" s="358"/>
      <c r="P431" s="358"/>
      <c r="Q431" s="358"/>
      <c r="R431" s="358"/>
      <c r="S431" s="358"/>
      <c r="T431" s="358"/>
      <c r="U431" s="358"/>
      <c r="V431" s="358"/>
      <c r="W431" s="358"/>
      <c r="X431" s="358"/>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1:49" ht="13.5" customHeight="1">
      <c r="A432" s="1"/>
      <c r="B432" s="358"/>
      <c r="C432" s="358"/>
      <c r="D432" s="358"/>
      <c r="E432" s="358"/>
      <c r="F432" s="358"/>
      <c r="G432" s="358"/>
      <c r="H432" s="358"/>
      <c r="I432" s="358"/>
      <c r="J432" s="358"/>
      <c r="K432" s="358"/>
      <c r="L432" s="358"/>
      <c r="M432" s="358"/>
      <c r="N432" s="358"/>
      <c r="O432" s="358"/>
      <c r="P432" s="358"/>
      <c r="Q432" s="358"/>
      <c r="R432" s="358"/>
      <c r="S432" s="358"/>
      <c r="T432" s="358"/>
      <c r="U432" s="358"/>
      <c r="V432" s="358"/>
      <c r="W432" s="358"/>
      <c r="X432" s="358"/>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1:49" ht="13.5" customHeight="1">
      <c r="A433" s="1"/>
      <c r="B433" s="358"/>
      <c r="C433" s="358"/>
      <c r="D433" s="358"/>
      <c r="E433" s="358"/>
      <c r="F433" s="358"/>
      <c r="G433" s="358"/>
      <c r="H433" s="358"/>
      <c r="I433" s="358"/>
      <c r="J433" s="358"/>
      <c r="K433" s="358"/>
      <c r="L433" s="358"/>
      <c r="M433" s="358"/>
      <c r="N433" s="358"/>
      <c r="O433" s="358"/>
      <c r="P433" s="358"/>
      <c r="Q433" s="358"/>
      <c r="R433" s="358"/>
      <c r="S433" s="358"/>
      <c r="T433" s="358"/>
      <c r="U433" s="358"/>
      <c r="V433" s="358"/>
      <c r="W433" s="358"/>
      <c r="X433" s="358"/>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1:49" ht="13.5" customHeight="1">
      <c r="A434" s="1"/>
      <c r="B434" s="358"/>
      <c r="C434" s="358"/>
      <c r="D434" s="358"/>
      <c r="E434" s="358"/>
      <c r="F434" s="358"/>
      <c r="G434" s="358"/>
      <c r="H434" s="358"/>
      <c r="I434" s="358"/>
      <c r="J434" s="358"/>
      <c r="K434" s="358"/>
      <c r="L434" s="358"/>
      <c r="M434" s="358"/>
      <c r="N434" s="358"/>
      <c r="O434" s="358"/>
      <c r="P434" s="358"/>
      <c r="Q434" s="358"/>
      <c r="R434" s="358"/>
      <c r="S434" s="358"/>
      <c r="T434" s="358"/>
      <c r="U434" s="358"/>
      <c r="V434" s="358"/>
      <c r="W434" s="358"/>
      <c r="X434" s="358"/>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1:49" ht="13.5" customHeight="1">
      <c r="A435" s="1"/>
      <c r="B435" s="358"/>
      <c r="C435" s="358"/>
      <c r="D435" s="358"/>
      <c r="E435" s="358"/>
      <c r="F435" s="358"/>
      <c r="G435" s="358"/>
      <c r="H435" s="358"/>
      <c r="I435" s="358"/>
      <c r="J435" s="358"/>
      <c r="K435" s="358"/>
      <c r="L435" s="358"/>
      <c r="M435" s="358"/>
      <c r="N435" s="358"/>
      <c r="O435" s="358"/>
      <c r="P435" s="358"/>
      <c r="Q435" s="358"/>
      <c r="R435" s="358"/>
      <c r="S435" s="358"/>
      <c r="T435" s="358"/>
      <c r="U435" s="358"/>
      <c r="V435" s="358"/>
      <c r="W435" s="358"/>
      <c r="X435" s="358"/>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1:49" ht="13.5" customHeight="1">
      <c r="A436" s="1"/>
      <c r="B436" s="358"/>
      <c r="C436" s="358"/>
      <c r="D436" s="358"/>
      <c r="E436" s="358"/>
      <c r="F436" s="358"/>
      <c r="G436" s="358"/>
      <c r="H436" s="358"/>
      <c r="I436" s="358"/>
      <c r="J436" s="358"/>
      <c r="K436" s="358"/>
      <c r="L436" s="358"/>
      <c r="M436" s="358"/>
      <c r="N436" s="358"/>
      <c r="O436" s="358"/>
      <c r="P436" s="358"/>
      <c r="Q436" s="358"/>
      <c r="R436" s="358"/>
      <c r="S436" s="358"/>
      <c r="T436" s="358"/>
      <c r="U436" s="358"/>
      <c r="V436" s="358"/>
      <c r="W436" s="358"/>
      <c r="X436" s="358"/>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1:49" ht="13.5" customHeight="1">
      <c r="A437" s="1"/>
      <c r="B437" s="358"/>
      <c r="C437" s="358"/>
      <c r="D437" s="358"/>
      <c r="E437" s="358"/>
      <c r="F437" s="358"/>
      <c r="G437" s="358"/>
      <c r="H437" s="358"/>
      <c r="I437" s="358"/>
      <c r="J437" s="358"/>
      <c r="K437" s="358"/>
      <c r="L437" s="358"/>
      <c r="M437" s="358"/>
      <c r="N437" s="358"/>
      <c r="O437" s="358"/>
      <c r="P437" s="358"/>
      <c r="Q437" s="358"/>
      <c r="R437" s="358"/>
      <c r="S437" s="358"/>
      <c r="T437" s="358"/>
      <c r="U437" s="358"/>
      <c r="V437" s="358"/>
      <c r="W437" s="358"/>
      <c r="X437" s="358"/>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1:49" ht="13.5" customHeight="1">
      <c r="A438" s="1"/>
      <c r="B438" s="358"/>
      <c r="C438" s="358"/>
      <c r="D438" s="358"/>
      <c r="E438" s="358"/>
      <c r="F438" s="358"/>
      <c r="G438" s="358"/>
      <c r="H438" s="358"/>
      <c r="I438" s="358"/>
      <c r="J438" s="358"/>
      <c r="K438" s="358"/>
      <c r="L438" s="358"/>
      <c r="M438" s="358"/>
      <c r="N438" s="358"/>
      <c r="O438" s="358"/>
      <c r="P438" s="358"/>
      <c r="Q438" s="358"/>
      <c r="R438" s="358"/>
      <c r="S438" s="358"/>
      <c r="T438" s="358"/>
      <c r="U438" s="358"/>
      <c r="V438" s="358"/>
      <c r="W438" s="358"/>
      <c r="X438" s="358"/>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1:49" ht="13.5" customHeight="1">
      <c r="A439" s="1"/>
      <c r="B439" s="358"/>
      <c r="C439" s="358"/>
      <c r="D439" s="358"/>
      <c r="E439" s="358"/>
      <c r="F439" s="358"/>
      <c r="G439" s="358"/>
      <c r="H439" s="358"/>
      <c r="I439" s="358"/>
      <c r="J439" s="358"/>
      <c r="K439" s="358"/>
      <c r="L439" s="358"/>
      <c r="M439" s="358"/>
      <c r="N439" s="358"/>
      <c r="O439" s="358"/>
      <c r="P439" s="358"/>
      <c r="Q439" s="358"/>
      <c r="R439" s="358"/>
      <c r="S439" s="358"/>
      <c r="T439" s="358"/>
      <c r="U439" s="358"/>
      <c r="V439" s="358"/>
      <c r="W439" s="358"/>
      <c r="X439" s="358"/>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1:49" ht="13.5" customHeight="1">
      <c r="A440" s="1"/>
      <c r="B440" s="358"/>
      <c r="C440" s="358"/>
      <c r="D440" s="358"/>
      <c r="E440" s="358"/>
      <c r="F440" s="358"/>
      <c r="G440" s="358"/>
      <c r="H440" s="358"/>
      <c r="I440" s="358"/>
      <c r="J440" s="358"/>
      <c r="K440" s="358"/>
      <c r="L440" s="358"/>
      <c r="M440" s="358"/>
      <c r="N440" s="358"/>
      <c r="O440" s="358"/>
      <c r="P440" s="358"/>
      <c r="Q440" s="358"/>
      <c r="R440" s="358"/>
      <c r="S440" s="358"/>
      <c r="T440" s="358"/>
      <c r="U440" s="358"/>
      <c r="V440" s="358"/>
      <c r="W440" s="358"/>
      <c r="X440" s="358"/>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1:49" ht="13.5" customHeight="1">
      <c r="A441" s="1"/>
      <c r="B441" s="358"/>
      <c r="C441" s="358"/>
      <c r="D441" s="358"/>
      <c r="E441" s="358"/>
      <c r="F441" s="358"/>
      <c r="G441" s="358"/>
      <c r="H441" s="358"/>
      <c r="I441" s="358"/>
      <c r="J441" s="358"/>
      <c r="K441" s="358"/>
      <c r="L441" s="358"/>
      <c r="M441" s="358"/>
      <c r="N441" s="358"/>
      <c r="O441" s="358"/>
      <c r="P441" s="358"/>
      <c r="Q441" s="358"/>
      <c r="R441" s="358"/>
      <c r="S441" s="358"/>
      <c r="T441" s="358"/>
      <c r="U441" s="358"/>
      <c r="V441" s="358"/>
      <c r="W441" s="358"/>
      <c r="X441" s="358"/>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1:49" ht="13.5" customHeight="1">
      <c r="A442" s="1"/>
      <c r="B442" s="358"/>
      <c r="C442" s="358"/>
      <c r="D442" s="358"/>
      <c r="E442" s="358"/>
      <c r="F442" s="358"/>
      <c r="G442" s="358"/>
      <c r="H442" s="358"/>
      <c r="I442" s="358"/>
      <c r="J442" s="358"/>
      <c r="K442" s="358"/>
      <c r="L442" s="358"/>
      <c r="M442" s="358"/>
      <c r="N442" s="358"/>
      <c r="O442" s="358"/>
      <c r="P442" s="358"/>
      <c r="Q442" s="358"/>
      <c r="R442" s="358"/>
      <c r="S442" s="358"/>
      <c r="T442" s="358"/>
      <c r="U442" s="358"/>
      <c r="V442" s="358"/>
      <c r="W442" s="358"/>
      <c r="X442" s="358"/>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1:49" ht="13.5" customHeight="1">
      <c r="A443" s="1"/>
      <c r="B443" s="358"/>
      <c r="C443" s="358"/>
      <c r="D443" s="358"/>
      <c r="E443" s="358"/>
      <c r="F443" s="358"/>
      <c r="G443" s="358"/>
      <c r="H443" s="358"/>
      <c r="I443" s="358"/>
      <c r="J443" s="358"/>
      <c r="K443" s="358"/>
      <c r="L443" s="358"/>
      <c r="M443" s="358"/>
      <c r="N443" s="358"/>
      <c r="O443" s="358"/>
      <c r="P443" s="358"/>
      <c r="Q443" s="358"/>
      <c r="R443" s="358"/>
      <c r="S443" s="358"/>
      <c r="T443" s="358"/>
      <c r="U443" s="358"/>
      <c r="V443" s="358"/>
      <c r="W443" s="358"/>
      <c r="X443" s="358"/>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1:49" ht="13.5" customHeight="1">
      <c r="A444" s="1"/>
      <c r="B444" s="358"/>
      <c r="C444" s="358"/>
      <c r="D444" s="358"/>
      <c r="E444" s="358"/>
      <c r="F444" s="358"/>
      <c r="G444" s="358"/>
      <c r="H444" s="358"/>
      <c r="I444" s="358"/>
      <c r="J444" s="358"/>
      <c r="K444" s="358"/>
      <c r="L444" s="358"/>
      <c r="M444" s="358"/>
      <c r="N444" s="358"/>
      <c r="O444" s="358"/>
      <c r="P444" s="358"/>
      <c r="Q444" s="358"/>
      <c r="R444" s="358"/>
      <c r="S444" s="358"/>
      <c r="T444" s="358"/>
      <c r="U444" s="358"/>
      <c r="V444" s="358"/>
      <c r="W444" s="358"/>
      <c r="X444" s="358"/>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1:49" ht="13.5" customHeight="1">
      <c r="A445" s="1"/>
      <c r="B445" s="358"/>
      <c r="C445" s="358"/>
      <c r="D445" s="358"/>
      <c r="E445" s="358"/>
      <c r="F445" s="358"/>
      <c r="G445" s="358"/>
      <c r="H445" s="358"/>
      <c r="I445" s="358"/>
      <c r="J445" s="358"/>
      <c r="K445" s="358"/>
      <c r="L445" s="358"/>
      <c r="M445" s="358"/>
      <c r="N445" s="358"/>
      <c r="O445" s="358"/>
      <c r="P445" s="358"/>
      <c r="Q445" s="358"/>
      <c r="R445" s="358"/>
      <c r="S445" s="358"/>
      <c r="T445" s="358"/>
      <c r="U445" s="358"/>
      <c r="V445" s="358"/>
      <c r="W445" s="358"/>
      <c r="X445" s="358"/>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1:49" ht="13.5" customHeight="1">
      <c r="A446" s="1"/>
      <c r="B446" s="358"/>
      <c r="C446" s="358"/>
      <c r="D446" s="358"/>
      <c r="E446" s="358"/>
      <c r="F446" s="358"/>
      <c r="G446" s="358"/>
      <c r="H446" s="358"/>
      <c r="I446" s="358"/>
      <c r="J446" s="358"/>
      <c r="K446" s="358"/>
      <c r="L446" s="358"/>
      <c r="M446" s="358"/>
      <c r="N446" s="358"/>
      <c r="O446" s="358"/>
      <c r="P446" s="358"/>
      <c r="Q446" s="358"/>
      <c r="R446" s="358"/>
      <c r="S446" s="358"/>
      <c r="T446" s="358"/>
      <c r="U446" s="358"/>
      <c r="V446" s="358"/>
      <c r="W446" s="358"/>
      <c r="X446" s="358"/>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1:49" ht="13.5" customHeight="1">
      <c r="A447" s="1"/>
      <c r="B447" s="358"/>
      <c r="C447" s="358"/>
      <c r="D447" s="358"/>
      <c r="E447" s="358"/>
      <c r="F447" s="358"/>
      <c r="G447" s="358"/>
      <c r="H447" s="358"/>
      <c r="I447" s="358"/>
      <c r="J447" s="358"/>
      <c r="K447" s="358"/>
      <c r="L447" s="358"/>
      <c r="M447" s="358"/>
      <c r="N447" s="358"/>
      <c r="O447" s="358"/>
      <c r="P447" s="358"/>
      <c r="Q447" s="358"/>
      <c r="R447" s="358"/>
      <c r="S447" s="358"/>
      <c r="T447" s="358"/>
      <c r="U447" s="358"/>
      <c r="V447" s="358"/>
      <c r="W447" s="358"/>
      <c r="X447" s="358"/>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1:49" ht="13.5" customHeight="1">
      <c r="A448" s="1"/>
      <c r="B448" s="358"/>
      <c r="C448" s="358"/>
      <c r="D448" s="358"/>
      <c r="E448" s="358"/>
      <c r="F448" s="358"/>
      <c r="G448" s="358"/>
      <c r="H448" s="358"/>
      <c r="I448" s="358"/>
      <c r="J448" s="358"/>
      <c r="K448" s="358"/>
      <c r="L448" s="358"/>
      <c r="M448" s="358"/>
      <c r="N448" s="358"/>
      <c r="O448" s="358"/>
      <c r="P448" s="358"/>
      <c r="Q448" s="358"/>
      <c r="R448" s="358"/>
      <c r="S448" s="358"/>
      <c r="T448" s="358"/>
      <c r="U448" s="358"/>
      <c r="V448" s="358"/>
      <c r="W448" s="358"/>
      <c r="X448" s="358"/>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1:49" ht="13.5" customHeight="1">
      <c r="A449" s="1"/>
      <c r="B449" s="358"/>
      <c r="C449" s="358"/>
      <c r="D449" s="358"/>
      <c r="E449" s="358"/>
      <c r="F449" s="358"/>
      <c r="G449" s="358"/>
      <c r="H449" s="358"/>
      <c r="I449" s="358"/>
      <c r="J449" s="358"/>
      <c r="K449" s="358"/>
      <c r="L449" s="358"/>
      <c r="M449" s="358"/>
      <c r="N449" s="358"/>
      <c r="O449" s="358"/>
      <c r="P449" s="358"/>
      <c r="Q449" s="358"/>
      <c r="R449" s="358"/>
      <c r="S449" s="358"/>
      <c r="T449" s="358"/>
      <c r="U449" s="358"/>
      <c r="V449" s="358"/>
      <c r="W449" s="358"/>
      <c r="X449" s="358"/>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1:49" ht="13.5" customHeight="1">
      <c r="A450" s="1"/>
      <c r="B450" s="358"/>
      <c r="C450" s="358"/>
      <c r="D450" s="358"/>
      <c r="E450" s="358"/>
      <c r="F450" s="358"/>
      <c r="G450" s="358"/>
      <c r="H450" s="358"/>
      <c r="I450" s="358"/>
      <c r="J450" s="358"/>
      <c r="K450" s="358"/>
      <c r="L450" s="358"/>
      <c r="M450" s="358"/>
      <c r="N450" s="358"/>
      <c r="O450" s="358"/>
      <c r="P450" s="358"/>
      <c r="Q450" s="358"/>
      <c r="R450" s="358"/>
      <c r="S450" s="358"/>
      <c r="T450" s="358"/>
      <c r="U450" s="358"/>
      <c r="V450" s="358"/>
      <c r="W450" s="358"/>
      <c r="X450" s="358"/>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1:49" ht="13.5" customHeight="1">
      <c r="A451" s="1"/>
      <c r="B451" s="358"/>
      <c r="C451" s="358"/>
      <c r="D451" s="358"/>
      <c r="E451" s="358"/>
      <c r="F451" s="358"/>
      <c r="G451" s="358"/>
      <c r="H451" s="358"/>
      <c r="I451" s="358"/>
      <c r="J451" s="358"/>
      <c r="K451" s="358"/>
      <c r="L451" s="358"/>
      <c r="M451" s="358"/>
      <c r="N451" s="358"/>
      <c r="O451" s="358"/>
      <c r="P451" s="358"/>
      <c r="Q451" s="358"/>
      <c r="R451" s="358"/>
      <c r="S451" s="358"/>
      <c r="T451" s="358"/>
      <c r="U451" s="358"/>
      <c r="V451" s="358"/>
      <c r="W451" s="358"/>
      <c r="X451" s="358"/>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1:49" ht="13.5" customHeight="1">
      <c r="A452" s="1"/>
      <c r="B452" s="358"/>
      <c r="C452" s="358"/>
      <c r="D452" s="358"/>
      <c r="E452" s="358"/>
      <c r="F452" s="358"/>
      <c r="G452" s="358"/>
      <c r="H452" s="358"/>
      <c r="I452" s="358"/>
      <c r="J452" s="358"/>
      <c r="K452" s="358"/>
      <c r="L452" s="358"/>
      <c r="M452" s="358"/>
      <c r="N452" s="358"/>
      <c r="O452" s="358"/>
      <c r="P452" s="358"/>
      <c r="Q452" s="358"/>
      <c r="R452" s="358"/>
      <c r="S452" s="358"/>
      <c r="T452" s="358"/>
      <c r="U452" s="358"/>
      <c r="V452" s="358"/>
      <c r="W452" s="358"/>
      <c r="X452" s="358"/>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1:49" ht="13.5" customHeight="1">
      <c r="A453" s="1"/>
      <c r="B453" s="358"/>
      <c r="C453" s="358"/>
      <c r="D453" s="358"/>
      <c r="E453" s="358"/>
      <c r="F453" s="358"/>
      <c r="G453" s="358"/>
      <c r="H453" s="358"/>
      <c r="I453" s="358"/>
      <c r="J453" s="358"/>
      <c r="K453" s="358"/>
      <c r="L453" s="358"/>
      <c r="M453" s="358"/>
      <c r="N453" s="358"/>
      <c r="O453" s="358"/>
      <c r="P453" s="358"/>
      <c r="Q453" s="358"/>
      <c r="R453" s="358"/>
      <c r="S453" s="358"/>
      <c r="T453" s="358"/>
      <c r="U453" s="358"/>
      <c r="V453" s="358"/>
      <c r="W453" s="358"/>
      <c r="X453" s="358"/>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1:49" ht="13.5" customHeight="1">
      <c r="A454" s="1"/>
      <c r="B454" s="358"/>
      <c r="C454" s="358"/>
      <c r="D454" s="358"/>
      <c r="E454" s="358"/>
      <c r="F454" s="358"/>
      <c r="G454" s="358"/>
      <c r="H454" s="358"/>
      <c r="I454" s="358"/>
      <c r="J454" s="358"/>
      <c r="K454" s="358"/>
      <c r="L454" s="358"/>
      <c r="M454" s="358"/>
      <c r="N454" s="358"/>
      <c r="O454" s="358"/>
      <c r="P454" s="358"/>
      <c r="Q454" s="358"/>
      <c r="R454" s="358"/>
      <c r="S454" s="358"/>
      <c r="T454" s="358"/>
      <c r="U454" s="358"/>
      <c r="V454" s="358"/>
      <c r="W454" s="358"/>
      <c r="X454" s="358"/>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1:49" ht="13.5" customHeight="1">
      <c r="A455" s="1"/>
      <c r="B455" s="358"/>
      <c r="C455" s="358"/>
      <c r="D455" s="358"/>
      <c r="E455" s="358"/>
      <c r="F455" s="358"/>
      <c r="G455" s="358"/>
      <c r="H455" s="358"/>
      <c r="I455" s="358"/>
      <c r="J455" s="358"/>
      <c r="K455" s="358"/>
      <c r="L455" s="358"/>
      <c r="M455" s="358"/>
      <c r="N455" s="358"/>
      <c r="O455" s="358"/>
      <c r="P455" s="358"/>
      <c r="Q455" s="358"/>
      <c r="R455" s="358"/>
      <c r="S455" s="358"/>
      <c r="T455" s="358"/>
      <c r="U455" s="358"/>
      <c r="V455" s="358"/>
      <c r="W455" s="358"/>
      <c r="X455" s="358"/>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1:49" ht="13.5" customHeight="1">
      <c r="A456" s="1"/>
      <c r="B456" s="358"/>
      <c r="C456" s="358"/>
      <c r="D456" s="358"/>
      <c r="E456" s="358"/>
      <c r="F456" s="358"/>
      <c r="G456" s="358"/>
      <c r="H456" s="358"/>
      <c r="I456" s="358"/>
      <c r="J456" s="358"/>
      <c r="K456" s="358"/>
      <c r="L456" s="358"/>
      <c r="M456" s="358"/>
      <c r="N456" s="358"/>
      <c r="O456" s="358"/>
      <c r="P456" s="358"/>
      <c r="Q456" s="358"/>
      <c r="R456" s="358"/>
      <c r="S456" s="358"/>
      <c r="T456" s="358"/>
      <c r="U456" s="358"/>
      <c r="V456" s="358"/>
      <c r="W456" s="358"/>
      <c r="X456" s="358"/>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1:49" ht="13.5" customHeight="1">
      <c r="A457" s="1"/>
      <c r="B457" s="358"/>
      <c r="C457" s="358"/>
      <c r="D457" s="358"/>
      <c r="E457" s="358"/>
      <c r="F457" s="358"/>
      <c r="G457" s="358"/>
      <c r="H457" s="358"/>
      <c r="I457" s="358"/>
      <c r="J457" s="358"/>
      <c r="K457" s="358"/>
      <c r="L457" s="358"/>
      <c r="M457" s="358"/>
      <c r="N457" s="358"/>
      <c r="O457" s="358"/>
      <c r="P457" s="358"/>
      <c r="Q457" s="358"/>
      <c r="R457" s="358"/>
      <c r="S457" s="358"/>
      <c r="T457" s="358"/>
      <c r="U457" s="358"/>
      <c r="V457" s="358"/>
      <c r="W457" s="358"/>
      <c r="X457" s="358"/>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1:49" ht="13.5" customHeight="1">
      <c r="A458" s="1"/>
      <c r="B458" s="358"/>
      <c r="C458" s="358"/>
      <c r="D458" s="358"/>
      <c r="E458" s="358"/>
      <c r="F458" s="358"/>
      <c r="G458" s="358"/>
      <c r="H458" s="358"/>
      <c r="I458" s="358"/>
      <c r="J458" s="358"/>
      <c r="K458" s="358"/>
      <c r="L458" s="358"/>
      <c r="M458" s="358"/>
      <c r="N458" s="358"/>
      <c r="O458" s="358"/>
      <c r="P458" s="358"/>
      <c r="Q458" s="358"/>
      <c r="R458" s="358"/>
      <c r="S458" s="358"/>
      <c r="T458" s="358"/>
      <c r="U458" s="358"/>
      <c r="V458" s="358"/>
      <c r="W458" s="358"/>
      <c r="X458" s="358"/>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1:49" ht="13.5" customHeight="1">
      <c r="A459" s="1"/>
      <c r="B459" s="358"/>
      <c r="C459" s="358"/>
      <c r="D459" s="358"/>
      <c r="E459" s="358"/>
      <c r="F459" s="358"/>
      <c r="G459" s="358"/>
      <c r="H459" s="358"/>
      <c r="I459" s="358"/>
      <c r="J459" s="358"/>
      <c r="K459" s="358"/>
      <c r="L459" s="358"/>
      <c r="M459" s="358"/>
      <c r="N459" s="358"/>
      <c r="O459" s="358"/>
      <c r="P459" s="358"/>
      <c r="Q459" s="358"/>
      <c r="R459" s="358"/>
      <c r="S459" s="358"/>
      <c r="T459" s="358"/>
      <c r="U459" s="358"/>
      <c r="V459" s="358"/>
      <c r="W459" s="358"/>
      <c r="X459" s="358"/>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1:49" ht="13.5" customHeight="1">
      <c r="A460" s="1"/>
      <c r="B460" s="358"/>
      <c r="C460" s="358"/>
      <c r="D460" s="358"/>
      <c r="E460" s="358"/>
      <c r="F460" s="358"/>
      <c r="G460" s="358"/>
      <c r="H460" s="358"/>
      <c r="I460" s="358"/>
      <c r="J460" s="358"/>
      <c r="K460" s="358"/>
      <c r="L460" s="358"/>
      <c r="M460" s="358"/>
      <c r="N460" s="358"/>
      <c r="O460" s="358"/>
      <c r="P460" s="358"/>
      <c r="Q460" s="358"/>
      <c r="R460" s="358"/>
      <c r="S460" s="358"/>
      <c r="T460" s="358"/>
      <c r="U460" s="358"/>
      <c r="V460" s="358"/>
      <c r="W460" s="358"/>
      <c r="X460" s="358"/>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1:49" ht="13.5" customHeight="1">
      <c r="A461" s="1"/>
      <c r="B461" s="358"/>
      <c r="C461" s="358"/>
      <c r="D461" s="358"/>
      <c r="E461" s="358"/>
      <c r="F461" s="358"/>
      <c r="G461" s="358"/>
      <c r="H461" s="358"/>
      <c r="I461" s="358"/>
      <c r="J461" s="358"/>
      <c r="K461" s="358"/>
      <c r="L461" s="358"/>
      <c r="M461" s="358"/>
      <c r="N461" s="358"/>
      <c r="O461" s="358"/>
      <c r="P461" s="358"/>
      <c r="Q461" s="358"/>
      <c r="R461" s="358"/>
      <c r="S461" s="358"/>
      <c r="T461" s="358"/>
      <c r="U461" s="358"/>
      <c r="V461" s="358"/>
      <c r="W461" s="358"/>
      <c r="X461" s="358"/>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1:49" ht="13.5" customHeight="1">
      <c r="A462" s="1"/>
      <c r="B462" s="358"/>
      <c r="C462" s="358"/>
      <c r="D462" s="358"/>
      <c r="E462" s="358"/>
      <c r="F462" s="358"/>
      <c r="G462" s="358"/>
      <c r="H462" s="358"/>
      <c r="I462" s="358"/>
      <c r="J462" s="358"/>
      <c r="K462" s="358"/>
      <c r="L462" s="358"/>
      <c r="M462" s="358"/>
      <c r="N462" s="358"/>
      <c r="O462" s="358"/>
      <c r="P462" s="358"/>
      <c r="Q462" s="358"/>
      <c r="R462" s="358"/>
      <c r="S462" s="358"/>
      <c r="T462" s="358"/>
      <c r="U462" s="358"/>
      <c r="V462" s="358"/>
      <c r="W462" s="358"/>
      <c r="X462" s="358"/>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1:49" ht="13.5" customHeight="1">
      <c r="A463" s="1"/>
      <c r="B463" s="358"/>
      <c r="C463" s="358"/>
      <c r="D463" s="358"/>
      <c r="E463" s="358"/>
      <c r="F463" s="358"/>
      <c r="G463" s="358"/>
      <c r="H463" s="358"/>
      <c r="I463" s="358"/>
      <c r="J463" s="358"/>
      <c r="K463" s="358"/>
      <c r="L463" s="358"/>
      <c r="M463" s="358"/>
      <c r="N463" s="358"/>
      <c r="O463" s="358"/>
      <c r="P463" s="358"/>
      <c r="Q463" s="358"/>
      <c r="R463" s="358"/>
      <c r="S463" s="358"/>
      <c r="T463" s="358"/>
      <c r="U463" s="358"/>
      <c r="V463" s="358"/>
      <c r="W463" s="358"/>
      <c r="X463" s="358"/>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1:49" ht="13.5" customHeight="1">
      <c r="A464" s="1"/>
      <c r="B464" s="358"/>
      <c r="C464" s="358"/>
      <c r="D464" s="358"/>
      <c r="E464" s="358"/>
      <c r="F464" s="358"/>
      <c r="G464" s="358"/>
      <c r="H464" s="358"/>
      <c r="I464" s="358"/>
      <c r="J464" s="358"/>
      <c r="K464" s="358"/>
      <c r="L464" s="358"/>
      <c r="M464" s="358"/>
      <c r="N464" s="358"/>
      <c r="O464" s="358"/>
      <c r="P464" s="358"/>
      <c r="Q464" s="358"/>
      <c r="R464" s="358"/>
      <c r="S464" s="358"/>
      <c r="T464" s="358"/>
      <c r="U464" s="358"/>
      <c r="V464" s="358"/>
      <c r="W464" s="358"/>
      <c r="X464" s="358"/>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1:49" ht="13.5" customHeight="1">
      <c r="A465" s="1"/>
      <c r="B465" s="358"/>
      <c r="C465" s="358"/>
      <c r="D465" s="358"/>
      <c r="E465" s="358"/>
      <c r="F465" s="358"/>
      <c r="G465" s="358"/>
      <c r="H465" s="358"/>
      <c r="I465" s="358"/>
      <c r="J465" s="358"/>
      <c r="K465" s="358"/>
      <c r="L465" s="358"/>
      <c r="M465" s="358"/>
      <c r="N465" s="358"/>
      <c r="O465" s="358"/>
      <c r="P465" s="358"/>
      <c r="Q465" s="358"/>
      <c r="R465" s="358"/>
      <c r="S465" s="358"/>
      <c r="T465" s="358"/>
      <c r="U465" s="358"/>
      <c r="V465" s="358"/>
      <c r="W465" s="358"/>
      <c r="X465" s="358"/>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1:49" ht="13.5" customHeight="1">
      <c r="A466" s="1"/>
      <c r="B466" s="358"/>
      <c r="C466" s="358"/>
      <c r="D466" s="358"/>
      <c r="E466" s="358"/>
      <c r="F466" s="358"/>
      <c r="G466" s="358"/>
      <c r="H466" s="358"/>
      <c r="I466" s="358"/>
      <c r="J466" s="358"/>
      <c r="K466" s="358"/>
      <c r="L466" s="358"/>
      <c r="M466" s="358"/>
      <c r="N466" s="358"/>
      <c r="O466" s="358"/>
      <c r="P466" s="358"/>
      <c r="Q466" s="358"/>
      <c r="R466" s="358"/>
      <c r="S466" s="358"/>
      <c r="T466" s="358"/>
      <c r="U466" s="358"/>
      <c r="V466" s="358"/>
      <c r="W466" s="358"/>
      <c r="X466" s="358"/>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1:49" ht="13.5" customHeight="1">
      <c r="A467" s="1"/>
      <c r="B467" s="358"/>
      <c r="C467" s="358"/>
      <c r="D467" s="358"/>
      <c r="E467" s="358"/>
      <c r="F467" s="358"/>
      <c r="G467" s="358"/>
      <c r="H467" s="358"/>
      <c r="I467" s="358"/>
      <c r="J467" s="358"/>
      <c r="K467" s="358"/>
      <c r="L467" s="358"/>
      <c r="M467" s="358"/>
      <c r="N467" s="358"/>
      <c r="O467" s="358"/>
      <c r="P467" s="358"/>
      <c r="Q467" s="358"/>
      <c r="R467" s="358"/>
      <c r="S467" s="358"/>
      <c r="T467" s="358"/>
      <c r="U467" s="358"/>
      <c r="V467" s="358"/>
      <c r="W467" s="358"/>
      <c r="X467" s="358"/>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1:49" ht="13.5" customHeight="1">
      <c r="A468" s="1"/>
      <c r="B468" s="358"/>
      <c r="C468" s="358"/>
      <c r="D468" s="358"/>
      <c r="E468" s="358"/>
      <c r="F468" s="358"/>
      <c r="G468" s="358"/>
      <c r="H468" s="358"/>
      <c r="I468" s="358"/>
      <c r="J468" s="358"/>
      <c r="K468" s="358"/>
      <c r="L468" s="358"/>
      <c r="M468" s="358"/>
      <c r="N468" s="358"/>
      <c r="O468" s="358"/>
      <c r="P468" s="358"/>
      <c r="Q468" s="358"/>
      <c r="R468" s="358"/>
      <c r="S468" s="358"/>
      <c r="T468" s="358"/>
      <c r="U468" s="358"/>
      <c r="V468" s="358"/>
      <c r="W468" s="358"/>
      <c r="X468" s="358"/>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1:49" ht="13.5" customHeight="1">
      <c r="A469" s="1"/>
      <c r="B469" s="358"/>
      <c r="C469" s="358"/>
      <c r="D469" s="358"/>
      <c r="E469" s="358"/>
      <c r="F469" s="358"/>
      <c r="G469" s="358"/>
      <c r="H469" s="358"/>
      <c r="I469" s="358"/>
      <c r="J469" s="358"/>
      <c r="K469" s="358"/>
      <c r="L469" s="358"/>
      <c r="M469" s="358"/>
      <c r="N469" s="358"/>
      <c r="O469" s="358"/>
      <c r="P469" s="358"/>
      <c r="Q469" s="358"/>
      <c r="R469" s="358"/>
      <c r="S469" s="358"/>
      <c r="T469" s="358"/>
      <c r="U469" s="358"/>
      <c r="V469" s="358"/>
      <c r="W469" s="358"/>
      <c r="X469" s="358"/>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1:49" ht="13.5" customHeight="1">
      <c r="A470" s="1"/>
      <c r="B470" s="358"/>
      <c r="C470" s="358"/>
      <c r="D470" s="358"/>
      <c r="E470" s="358"/>
      <c r="F470" s="358"/>
      <c r="G470" s="358"/>
      <c r="H470" s="358"/>
      <c r="I470" s="358"/>
      <c r="J470" s="358"/>
      <c r="K470" s="358"/>
      <c r="L470" s="358"/>
      <c r="M470" s="358"/>
      <c r="N470" s="358"/>
      <c r="O470" s="358"/>
      <c r="P470" s="358"/>
      <c r="Q470" s="358"/>
      <c r="R470" s="358"/>
      <c r="S470" s="358"/>
      <c r="T470" s="358"/>
      <c r="U470" s="358"/>
      <c r="V470" s="358"/>
      <c r="W470" s="358"/>
      <c r="X470" s="358"/>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1:49" ht="13.5" customHeight="1">
      <c r="A471" s="1"/>
      <c r="B471" s="358"/>
      <c r="C471" s="358"/>
      <c r="D471" s="358"/>
      <c r="E471" s="358"/>
      <c r="F471" s="358"/>
      <c r="G471" s="358"/>
      <c r="H471" s="358"/>
      <c r="I471" s="358"/>
      <c r="J471" s="358"/>
      <c r="K471" s="358"/>
      <c r="L471" s="358"/>
      <c r="M471" s="358"/>
      <c r="N471" s="358"/>
      <c r="O471" s="358"/>
      <c r="P471" s="358"/>
      <c r="Q471" s="358"/>
      <c r="R471" s="358"/>
      <c r="S471" s="358"/>
      <c r="T471" s="358"/>
      <c r="U471" s="358"/>
      <c r="V471" s="358"/>
      <c r="W471" s="358"/>
      <c r="X471" s="358"/>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1:49" ht="13.5" customHeight="1">
      <c r="A472" s="1"/>
      <c r="B472" s="358"/>
      <c r="C472" s="358"/>
      <c r="D472" s="358"/>
      <c r="E472" s="358"/>
      <c r="F472" s="358"/>
      <c r="G472" s="358"/>
      <c r="H472" s="358"/>
      <c r="I472" s="358"/>
      <c r="J472" s="358"/>
      <c r="K472" s="358"/>
      <c r="L472" s="358"/>
      <c r="M472" s="358"/>
      <c r="N472" s="358"/>
      <c r="O472" s="358"/>
      <c r="P472" s="358"/>
      <c r="Q472" s="358"/>
      <c r="R472" s="358"/>
      <c r="S472" s="358"/>
      <c r="T472" s="358"/>
      <c r="U472" s="358"/>
      <c r="V472" s="358"/>
      <c r="W472" s="358"/>
      <c r="X472" s="358"/>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1:49" ht="13.5" customHeight="1">
      <c r="A473" s="1"/>
      <c r="B473" s="358"/>
      <c r="C473" s="358"/>
      <c r="D473" s="358"/>
      <c r="E473" s="358"/>
      <c r="F473" s="358"/>
      <c r="G473" s="358"/>
      <c r="H473" s="358"/>
      <c r="I473" s="358"/>
      <c r="J473" s="358"/>
      <c r="K473" s="358"/>
      <c r="L473" s="358"/>
      <c r="M473" s="358"/>
      <c r="N473" s="358"/>
      <c r="O473" s="358"/>
      <c r="P473" s="358"/>
      <c r="Q473" s="358"/>
      <c r="R473" s="358"/>
      <c r="S473" s="358"/>
      <c r="T473" s="358"/>
      <c r="U473" s="358"/>
      <c r="V473" s="358"/>
      <c r="W473" s="358"/>
      <c r="X473" s="358"/>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1:49" ht="13.5" customHeight="1">
      <c r="A474" s="1"/>
      <c r="B474" s="358"/>
      <c r="C474" s="358"/>
      <c r="D474" s="358"/>
      <c r="E474" s="358"/>
      <c r="F474" s="358"/>
      <c r="G474" s="358"/>
      <c r="H474" s="358"/>
      <c r="I474" s="358"/>
      <c r="J474" s="358"/>
      <c r="K474" s="358"/>
      <c r="L474" s="358"/>
      <c r="M474" s="358"/>
      <c r="N474" s="358"/>
      <c r="O474" s="358"/>
      <c r="P474" s="358"/>
      <c r="Q474" s="358"/>
      <c r="R474" s="358"/>
      <c r="S474" s="358"/>
      <c r="T474" s="358"/>
      <c r="U474" s="358"/>
      <c r="V474" s="358"/>
      <c r="W474" s="358"/>
      <c r="X474" s="358"/>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1:49" ht="13.5" customHeight="1">
      <c r="A475" s="1"/>
      <c r="B475" s="358"/>
      <c r="C475" s="358"/>
      <c r="D475" s="358"/>
      <c r="E475" s="358"/>
      <c r="F475" s="358"/>
      <c r="G475" s="358"/>
      <c r="H475" s="358"/>
      <c r="I475" s="358"/>
      <c r="J475" s="358"/>
      <c r="K475" s="358"/>
      <c r="L475" s="358"/>
      <c r="M475" s="358"/>
      <c r="N475" s="358"/>
      <c r="O475" s="358"/>
      <c r="P475" s="358"/>
      <c r="Q475" s="358"/>
      <c r="R475" s="358"/>
      <c r="S475" s="358"/>
      <c r="T475" s="358"/>
      <c r="U475" s="358"/>
      <c r="V475" s="358"/>
      <c r="W475" s="358"/>
      <c r="X475" s="358"/>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1:49" ht="13.5" customHeight="1">
      <c r="A476" s="1"/>
      <c r="B476" s="358"/>
      <c r="C476" s="358"/>
      <c r="D476" s="358"/>
      <c r="E476" s="358"/>
      <c r="F476" s="358"/>
      <c r="G476" s="358"/>
      <c r="H476" s="358"/>
      <c r="I476" s="358"/>
      <c r="J476" s="358"/>
      <c r="K476" s="358"/>
      <c r="L476" s="358"/>
      <c r="M476" s="358"/>
      <c r="N476" s="358"/>
      <c r="O476" s="358"/>
      <c r="P476" s="358"/>
      <c r="Q476" s="358"/>
      <c r="R476" s="358"/>
      <c r="S476" s="358"/>
      <c r="T476" s="358"/>
      <c r="U476" s="358"/>
      <c r="V476" s="358"/>
      <c r="W476" s="358"/>
      <c r="X476" s="358"/>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1:49" ht="13.5" customHeight="1">
      <c r="A477" s="1"/>
      <c r="B477" s="358"/>
      <c r="C477" s="358"/>
      <c r="D477" s="358"/>
      <c r="E477" s="358"/>
      <c r="F477" s="358"/>
      <c r="G477" s="358"/>
      <c r="H477" s="358"/>
      <c r="I477" s="358"/>
      <c r="J477" s="358"/>
      <c r="K477" s="358"/>
      <c r="L477" s="358"/>
      <c r="M477" s="358"/>
      <c r="N477" s="358"/>
      <c r="O477" s="358"/>
      <c r="P477" s="358"/>
      <c r="Q477" s="358"/>
      <c r="R477" s="358"/>
      <c r="S477" s="358"/>
      <c r="T477" s="358"/>
      <c r="U477" s="358"/>
      <c r="V477" s="358"/>
      <c r="W477" s="358"/>
      <c r="X477" s="358"/>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1:49" ht="13.5" customHeight="1">
      <c r="A478" s="1"/>
      <c r="B478" s="358"/>
      <c r="C478" s="358"/>
      <c r="D478" s="358"/>
      <c r="E478" s="358"/>
      <c r="F478" s="358"/>
      <c r="G478" s="358"/>
      <c r="H478" s="358"/>
      <c r="I478" s="358"/>
      <c r="J478" s="358"/>
      <c r="K478" s="358"/>
      <c r="L478" s="358"/>
      <c r="M478" s="358"/>
      <c r="N478" s="358"/>
      <c r="O478" s="358"/>
      <c r="P478" s="358"/>
      <c r="Q478" s="358"/>
      <c r="R478" s="358"/>
      <c r="S478" s="358"/>
      <c r="T478" s="358"/>
      <c r="U478" s="358"/>
      <c r="V478" s="358"/>
      <c r="W478" s="358"/>
      <c r="X478" s="358"/>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1:49" ht="13.5" customHeight="1">
      <c r="A479" s="1"/>
      <c r="B479" s="358"/>
      <c r="C479" s="358"/>
      <c r="D479" s="358"/>
      <c r="E479" s="358"/>
      <c r="F479" s="358"/>
      <c r="G479" s="358"/>
      <c r="H479" s="358"/>
      <c r="I479" s="358"/>
      <c r="J479" s="358"/>
      <c r="K479" s="358"/>
      <c r="L479" s="358"/>
      <c r="M479" s="358"/>
      <c r="N479" s="358"/>
      <c r="O479" s="358"/>
      <c r="P479" s="358"/>
      <c r="Q479" s="358"/>
      <c r="R479" s="358"/>
      <c r="S479" s="358"/>
      <c r="T479" s="358"/>
      <c r="U479" s="358"/>
      <c r="V479" s="358"/>
      <c r="W479" s="358"/>
      <c r="X479" s="358"/>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1:49" ht="13.5" customHeight="1">
      <c r="A480" s="1"/>
      <c r="B480" s="358"/>
      <c r="C480" s="358"/>
      <c r="D480" s="358"/>
      <c r="E480" s="358"/>
      <c r="F480" s="358"/>
      <c r="G480" s="358"/>
      <c r="H480" s="358"/>
      <c r="I480" s="358"/>
      <c r="J480" s="358"/>
      <c r="K480" s="358"/>
      <c r="L480" s="358"/>
      <c r="M480" s="358"/>
      <c r="N480" s="358"/>
      <c r="O480" s="358"/>
      <c r="P480" s="358"/>
      <c r="Q480" s="358"/>
      <c r="R480" s="358"/>
      <c r="S480" s="358"/>
      <c r="T480" s="358"/>
      <c r="U480" s="358"/>
      <c r="V480" s="358"/>
      <c r="W480" s="358"/>
      <c r="X480" s="358"/>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1:49" ht="13.5" customHeight="1">
      <c r="A481" s="1"/>
      <c r="B481" s="358"/>
      <c r="C481" s="358"/>
      <c r="D481" s="358"/>
      <c r="E481" s="358"/>
      <c r="F481" s="358"/>
      <c r="G481" s="358"/>
      <c r="H481" s="358"/>
      <c r="I481" s="358"/>
      <c r="J481" s="358"/>
      <c r="K481" s="358"/>
      <c r="L481" s="358"/>
      <c r="M481" s="358"/>
      <c r="N481" s="358"/>
      <c r="O481" s="358"/>
      <c r="P481" s="358"/>
      <c r="Q481" s="358"/>
      <c r="R481" s="358"/>
      <c r="S481" s="358"/>
      <c r="T481" s="358"/>
      <c r="U481" s="358"/>
      <c r="V481" s="358"/>
      <c r="W481" s="358"/>
      <c r="X481" s="358"/>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1:49" ht="13.5" customHeight="1">
      <c r="A482" s="1"/>
      <c r="B482" s="358"/>
      <c r="C482" s="358"/>
      <c r="D482" s="358"/>
      <c r="E482" s="358"/>
      <c r="F482" s="358"/>
      <c r="G482" s="358"/>
      <c r="H482" s="358"/>
      <c r="I482" s="358"/>
      <c r="J482" s="358"/>
      <c r="K482" s="358"/>
      <c r="L482" s="358"/>
      <c r="M482" s="358"/>
      <c r="N482" s="358"/>
      <c r="O482" s="358"/>
      <c r="P482" s="358"/>
      <c r="Q482" s="358"/>
      <c r="R482" s="358"/>
      <c r="S482" s="358"/>
      <c r="T482" s="358"/>
      <c r="U482" s="358"/>
      <c r="V482" s="358"/>
      <c r="W482" s="358"/>
      <c r="X482" s="358"/>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1:49" ht="13.5" customHeight="1">
      <c r="A483" s="1"/>
      <c r="B483" s="358"/>
      <c r="C483" s="358"/>
      <c r="D483" s="358"/>
      <c r="E483" s="358"/>
      <c r="F483" s="358"/>
      <c r="G483" s="358"/>
      <c r="H483" s="358"/>
      <c r="I483" s="358"/>
      <c r="J483" s="358"/>
      <c r="K483" s="358"/>
      <c r="L483" s="358"/>
      <c r="M483" s="358"/>
      <c r="N483" s="358"/>
      <c r="O483" s="358"/>
      <c r="P483" s="358"/>
      <c r="Q483" s="358"/>
      <c r="R483" s="358"/>
      <c r="S483" s="358"/>
      <c r="T483" s="358"/>
      <c r="U483" s="358"/>
      <c r="V483" s="358"/>
      <c r="W483" s="358"/>
      <c r="X483" s="358"/>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1:49" ht="13.5" customHeight="1">
      <c r="A484" s="1"/>
      <c r="B484" s="358"/>
      <c r="C484" s="358"/>
      <c r="D484" s="358"/>
      <c r="E484" s="358"/>
      <c r="F484" s="358"/>
      <c r="G484" s="358"/>
      <c r="H484" s="358"/>
      <c r="I484" s="358"/>
      <c r="J484" s="358"/>
      <c r="K484" s="358"/>
      <c r="L484" s="358"/>
      <c r="M484" s="358"/>
      <c r="N484" s="358"/>
      <c r="O484" s="358"/>
      <c r="P484" s="358"/>
      <c r="Q484" s="358"/>
      <c r="R484" s="358"/>
      <c r="S484" s="358"/>
      <c r="T484" s="358"/>
      <c r="U484" s="358"/>
      <c r="V484" s="358"/>
      <c r="W484" s="358"/>
      <c r="X484" s="358"/>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1:49" ht="13.5" customHeight="1">
      <c r="A485" s="1"/>
      <c r="B485" s="358"/>
      <c r="C485" s="358"/>
      <c r="D485" s="358"/>
      <c r="E485" s="358"/>
      <c r="F485" s="358"/>
      <c r="G485" s="358"/>
      <c r="H485" s="358"/>
      <c r="I485" s="358"/>
      <c r="J485" s="358"/>
      <c r="K485" s="358"/>
      <c r="L485" s="358"/>
      <c r="M485" s="358"/>
      <c r="N485" s="358"/>
      <c r="O485" s="358"/>
      <c r="P485" s="358"/>
      <c r="Q485" s="358"/>
      <c r="R485" s="358"/>
      <c r="S485" s="358"/>
      <c r="T485" s="358"/>
      <c r="U485" s="358"/>
      <c r="V485" s="358"/>
      <c r="W485" s="358"/>
      <c r="X485" s="358"/>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1:49" ht="13.5" customHeight="1">
      <c r="A486" s="1"/>
      <c r="B486" s="358"/>
      <c r="C486" s="358"/>
      <c r="D486" s="358"/>
      <c r="E486" s="358"/>
      <c r="F486" s="358"/>
      <c r="G486" s="358"/>
      <c r="H486" s="358"/>
      <c r="I486" s="358"/>
      <c r="J486" s="358"/>
      <c r="K486" s="358"/>
      <c r="L486" s="358"/>
      <c r="M486" s="358"/>
      <c r="N486" s="358"/>
      <c r="O486" s="358"/>
      <c r="P486" s="358"/>
      <c r="Q486" s="358"/>
      <c r="R486" s="358"/>
      <c r="S486" s="358"/>
      <c r="T486" s="358"/>
      <c r="U486" s="358"/>
      <c r="V486" s="358"/>
      <c r="W486" s="358"/>
      <c r="X486" s="358"/>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1:49" ht="13.5" customHeight="1">
      <c r="A487" s="1"/>
      <c r="B487" s="358"/>
      <c r="C487" s="358"/>
      <c r="D487" s="358"/>
      <c r="E487" s="358"/>
      <c r="F487" s="358"/>
      <c r="G487" s="358"/>
      <c r="H487" s="358"/>
      <c r="I487" s="358"/>
      <c r="J487" s="358"/>
      <c r="K487" s="358"/>
      <c r="L487" s="358"/>
      <c r="M487" s="358"/>
      <c r="N487" s="358"/>
      <c r="O487" s="358"/>
      <c r="P487" s="358"/>
      <c r="Q487" s="358"/>
      <c r="R487" s="358"/>
      <c r="S487" s="358"/>
      <c r="T487" s="358"/>
      <c r="U487" s="358"/>
      <c r="V487" s="358"/>
      <c r="W487" s="358"/>
      <c r="X487" s="358"/>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1:49" ht="13.5" customHeight="1">
      <c r="A488" s="1"/>
      <c r="B488" s="358"/>
      <c r="C488" s="358"/>
      <c r="D488" s="358"/>
      <c r="E488" s="358"/>
      <c r="F488" s="358"/>
      <c r="G488" s="358"/>
      <c r="H488" s="358"/>
      <c r="I488" s="358"/>
      <c r="J488" s="358"/>
      <c r="K488" s="358"/>
      <c r="L488" s="358"/>
      <c r="M488" s="358"/>
      <c r="N488" s="358"/>
      <c r="O488" s="358"/>
      <c r="P488" s="358"/>
      <c r="Q488" s="358"/>
      <c r="R488" s="358"/>
      <c r="S488" s="358"/>
      <c r="T488" s="358"/>
      <c r="U488" s="358"/>
      <c r="V488" s="358"/>
      <c r="W488" s="358"/>
      <c r="X488" s="358"/>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1:49" ht="13.5" customHeight="1">
      <c r="A489" s="1"/>
      <c r="B489" s="358"/>
      <c r="C489" s="358"/>
      <c r="D489" s="358"/>
      <c r="E489" s="358"/>
      <c r="F489" s="358"/>
      <c r="G489" s="358"/>
      <c r="H489" s="358"/>
      <c r="I489" s="358"/>
      <c r="J489" s="358"/>
      <c r="K489" s="358"/>
      <c r="L489" s="358"/>
      <c r="M489" s="358"/>
      <c r="N489" s="358"/>
      <c r="O489" s="358"/>
      <c r="P489" s="358"/>
      <c r="Q489" s="358"/>
      <c r="R489" s="358"/>
      <c r="S489" s="358"/>
      <c r="T489" s="358"/>
      <c r="U489" s="358"/>
      <c r="V489" s="358"/>
      <c r="W489" s="358"/>
      <c r="X489" s="358"/>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1:49" ht="13.5" customHeight="1">
      <c r="A490" s="1"/>
      <c r="B490" s="358"/>
      <c r="C490" s="358"/>
      <c r="D490" s="358"/>
      <c r="E490" s="358"/>
      <c r="F490" s="358"/>
      <c r="G490" s="358"/>
      <c r="H490" s="358"/>
      <c r="I490" s="358"/>
      <c r="J490" s="358"/>
      <c r="K490" s="358"/>
      <c r="L490" s="358"/>
      <c r="M490" s="358"/>
      <c r="N490" s="358"/>
      <c r="O490" s="358"/>
      <c r="P490" s="358"/>
      <c r="Q490" s="358"/>
      <c r="R490" s="358"/>
      <c r="S490" s="358"/>
      <c r="T490" s="358"/>
      <c r="U490" s="358"/>
      <c r="V490" s="358"/>
      <c r="W490" s="358"/>
      <c r="X490" s="358"/>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1:49" ht="13.5" customHeight="1">
      <c r="A491" s="1"/>
      <c r="B491" s="358"/>
      <c r="C491" s="358"/>
      <c r="D491" s="358"/>
      <c r="E491" s="358"/>
      <c r="F491" s="358"/>
      <c r="G491" s="358"/>
      <c r="H491" s="358"/>
      <c r="I491" s="358"/>
      <c r="J491" s="358"/>
      <c r="K491" s="358"/>
      <c r="L491" s="358"/>
      <c r="M491" s="358"/>
      <c r="N491" s="358"/>
      <c r="O491" s="358"/>
      <c r="P491" s="358"/>
      <c r="Q491" s="358"/>
      <c r="R491" s="358"/>
      <c r="S491" s="358"/>
      <c r="T491" s="358"/>
      <c r="U491" s="358"/>
      <c r="V491" s="358"/>
      <c r="W491" s="358"/>
      <c r="X491" s="358"/>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1:49" ht="13.5" customHeight="1">
      <c r="A492" s="1"/>
      <c r="B492" s="358"/>
      <c r="C492" s="358"/>
      <c r="D492" s="358"/>
      <c r="E492" s="358"/>
      <c r="F492" s="358"/>
      <c r="G492" s="358"/>
      <c r="H492" s="358"/>
      <c r="I492" s="358"/>
      <c r="J492" s="358"/>
      <c r="K492" s="358"/>
      <c r="L492" s="358"/>
      <c r="M492" s="358"/>
      <c r="N492" s="358"/>
      <c r="O492" s="358"/>
      <c r="P492" s="358"/>
      <c r="Q492" s="358"/>
      <c r="R492" s="358"/>
      <c r="S492" s="358"/>
      <c r="T492" s="358"/>
      <c r="U492" s="358"/>
      <c r="V492" s="358"/>
      <c r="W492" s="358"/>
      <c r="X492" s="358"/>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1:49" ht="13.5" customHeight="1">
      <c r="A493" s="1"/>
      <c r="B493" s="358"/>
      <c r="C493" s="358"/>
      <c r="D493" s="358"/>
      <c r="E493" s="358"/>
      <c r="F493" s="358"/>
      <c r="G493" s="358"/>
      <c r="H493" s="358"/>
      <c r="I493" s="358"/>
      <c r="J493" s="358"/>
      <c r="K493" s="358"/>
      <c r="L493" s="358"/>
      <c r="M493" s="358"/>
      <c r="N493" s="358"/>
      <c r="O493" s="358"/>
      <c r="P493" s="358"/>
      <c r="Q493" s="358"/>
      <c r="R493" s="358"/>
      <c r="S493" s="358"/>
      <c r="T493" s="358"/>
      <c r="U493" s="358"/>
      <c r="V493" s="358"/>
      <c r="W493" s="358"/>
      <c r="X493" s="358"/>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1:49" ht="13.5" customHeight="1">
      <c r="A494" s="1"/>
      <c r="B494" s="358"/>
      <c r="C494" s="358"/>
      <c r="D494" s="358"/>
      <c r="E494" s="358"/>
      <c r="F494" s="358"/>
      <c r="G494" s="358"/>
      <c r="H494" s="358"/>
      <c r="I494" s="358"/>
      <c r="J494" s="358"/>
      <c r="K494" s="358"/>
      <c r="L494" s="358"/>
      <c r="M494" s="358"/>
      <c r="N494" s="358"/>
      <c r="O494" s="358"/>
      <c r="P494" s="358"/>
      <c r="Q494" s="358"/>
      <c r="R494" s="358"/>
      <c r="S494" s="358"/>
      <c r="T494" s="358"/>
      <c r="U494" s="358"/>
      <c r="V494" s="358"/>
      <c r="W494" s="358"/>
      <c r="X494" s="358"/>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1:49" ht="13.5" customHeight="1">
      <c r="A495" s="1"/>
      <c r="B495" s="358"/>
      <c r="C495" s="358"/>
      <c r="D495" s="358"/>
      <c r="E495" s="358"/>
      <c r="F495" s="358"/>
      <c r="G495" s="358"/>
      <c r="H495" s="358"/>
      <c r="I495" s="358"/>
      <c r="J495" s="358"/>
      <c r="K495" s="358"/>
      <c r="L495" s="358"/>
      <c r="M495" s="358"/>
      <c r="N495" s="358"/>
      <c r="O495" s="358"/>
      <c r="P495" s="358"/>
      <c r="Q495" s="358"/>
      <c r="R495" s="358"/>
      <c r="S495" s="358"/>
      <c r="T495" s="358"/>
      <c r="U495" s="358"/>
      <c r="V495" s="358"/>
      <c r="W495" s="358"/>
      <c r="X495" s="358"/>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1:49" ht="13.5" customHeight="1">
      <c r="A496" s="1"/>
      <c r="B496" s="358"/>
      <c r="C496" s="358"/>
      <c r="D496" s="358"/>
      <c r="E496" s="358"/>
      <c r="F496" s="358"/>
      <c r="G496" s="358"/>
      <c r="H496" s="358"/>
      <c r="I496" s="358"/>
      <c r="J496" s="358"/>
      <c r="K496" s="358"/>
      <c r="L496" s="358"/>
      <c r="M496" s="358"/>
      <c r="N496" s="358"/>
      <c r="O496" s="358"/>
      <c r="P496" s="358"/>
      <c r="Q496" s="358"/>
      <c r="R496" s="358"/>
      <c r="S496" s="358"/>
      <c r="T496" s="358"/>
      <c r="U496" s="358"/>
      <c r="V496" s="358"/>
      <c r="W496" s="358"/>
      <c r="X496" s="358"/>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1:49" ht="13.5" customHeight="1">
      <c r="A497" s="1"/>
      <c r="B497" s="358"/>
      <c r="C497" s="358"/>
      <c r="D497" s="358"/>
      <c r="E497" s="358"/>
      <c r="F497" s="358"/>
      <c r="G497" s="358"/>
      <c r="H497" s="358"/>
      <c r="I497" s="358"/>
      <c r="J497" s="358"/>
      <c r="K497" s="358"/>
      <c r="L497" s="358"/>
      <c r="M497" s="358"/>
      <c r="N497" s="358"/>
      <c r="O497" s="358"/>
      <c r="P497" s="358"/>
      <c r="Q497" s="358"/>
      <c r="R497" s="358"/>
      <c r="S497" s="358"/>
      <c r="T497" s="358"/>
      <c r="U497" s="358"/>
      <c r="V497" s="358"/>
      <c r="W497" s="358"/>
      <c r="X497" s="358"/>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1:49" ht="13.5" customHeight="1">
      <c r="A498" s="1"/>
      <c r="B498" s="358"/>
      <c r="C498" s="358"/>
      <c r="D498" s="358"/>
      <c r="E498" s="358"/>
      <c r="F498" s="358"/>
      <c r="G498" s="358"/>
      <c r="H498" s="358"/>
      <c r="I498" s="358"/>
      <c r="J498" s="358"/>
      <c r="K498" s="358"/>
      <c r="L498" s="358"/>
      <c r="M498" s="358"/>
      <c r="N498" s="358"/>
      <c r="O498" s="358"/>
      <c r="P498" s="358"/>
      <c r="Q498" s="358"/>
      <c r="R498" s="358"/>
      <c r="S498" s="358"/>
      <c r="T498" s="358"/>
      <c r="U498" s="358"/>
      <c r="V498" s="358"/>
      <c r="W498" s="358"/>
      <c r="X498" s="358"/>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1:49" ht="13.5" customHeight="1">
      <c r="A499" s="1"/>
      <c r="B499" s="358"/>
      <c r="C499" s="358"/>
      <c r="D499" s="358"/>
      <c r="E499" s="358"/>
      <c r="F499" s="358"/>
      <c r="G499" s="358"/>
      <c r="H499" s="358"/>
      <c r="I499" s="358"/>
      <c r="J499" s="358"/>
      <c r="K499" s="358"/>
      <c r="L499" s="358"/>
      <c r="M499" s="358"/>
      <c r="N499" s="358"/>
      <c r="O499" s="358"/>
      <c r="P499" s="358"/>
      <c r="Q499" s="358"/>
      <c r="R499" s="358"/>
      <c r="S499" s="358"/>
      <c r="T499" s="358"/>
      <c r="U499" s="358"/>
      <c r="V499" s="358"/>
      <c r="W499" s="358"/>
      <c r="X499" s="358"/>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1:49" ht="13.5" customHeight="1">
      <c r="A500" s="1"/>
      <c r="B500" s="358"/>
      <c r="C500" s="358"/>
      <c r="D500" s="358"/>
      <c r="E500" s="358"/>
      <c r="F500" s="358"/>
      <c r="G500" s="358"/>
      <c r="H500" s="358"/>
      <c r="I500" s="358"/>
      <c r="J500" s="358"/>
      <c r="K500" s="358"/>
      <c r="L500" s="358"/>
      <c r="M500" s="358"/>
      <c r="N500" s="358"/>
      <c r="O500" s="358"/>
      <c r="P500" s="358"/>
      <c r="Q500" s="358"/>
      <c r="R500" s="358"/>
      <c r="S500" s="358"/>
      <c r="T500" s="358"/>
      <c r="U500" s="358"/>
      <c r="V500" s="358"/>
      <c r="W500" s="358"/>
      <c r="X500" s="358"/>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1:49" ht="13.5" customHeight="1">
      <c r="A501" s="1"/>
      <c r="B501" s="358"/>
      <c r="C501" s="358"/>
      <c r="D501" s="358"/>
      <c r="E501" s="358"/>
      <c r="F501" s="358"/>
      <c r="G501" s="358"/>
      <c r="H501" s="358"/>
      <c r="I501" s="358"/>
      <c r="J501" s="358"/>
      <c r="K501" s="358"/>
      <c r="L501" s="358"/>
      <c r="M501" s="358"/>
      <c r="N501" s="358"/>
      <c r="O501" s="358"/>
      <c r="P501" s="358"/>
      <c r="Q501" s="358"/>
      <c r="R501" s="358"/>
      <c r="S501" s="358"/>
      <c r="T501" s="358"/>
      <c r="U501" s="358"/>
      <c r="V501" s="358"/>
      <c r="W501" s="358"/>
      <c r="X501" s="358"/>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1:49" ht="13.5" customHeight="1">
      <c r="A502" s="1"/>
      <c r="B502" s="358"/>
      <c r="C502" s="358"/>
      <c r="D502" s="358"/>
      <c r="E502" s="358"/>
      <c r="F502" s="358"/>
      <c r="G502" s="358"/>
      <c r="H502" s="358"/>
      <c r="I502" s="358"/>
      <c r="J502" s="358"/>
      <c r="K502" s="358"/>
      <c r="L502" s="358"/>
      <c r="M502" s="358"/>
      <c r="N502" s="358"/>
      <c r="O502" s="358"/>
      <c r="P502" s="358"/>
      <c r="Q502" s="358"/>
      <c r="R502" s="358"/>
      <c r="S502" s="358"/>
      <c r="T502" s="358"/>
      <c r="U502" s="358"/>
      <c r="V502" s="358"/>
      <c r="W502" s="358"/>
      <c r="X502" s="358"/>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1:49" ht="13.5" customHeight="1">
      <c r="A503" s="1"/>
      <c r="B503" s="358"/>
      <c r="C503" s="358"/>
      <c r="D503" s="358"/>
      <c r="E503" s="358"/>
      <c r="F503" s="358"/>
      <c r="G503" s="358"/>
      <c r="H503" s="358"/>
      <c r="I503" s="358"/>
      <c r="J503" s="358"/>
      <c r="K503" s="358"/>
      <c r="L503" s="358"/>
      <c r="M503" s="358"/>
      <c r="N503" s="358"/>
      <c r="O503" s="358"/>
      <c r="P503" s="358"/>
      <c r="Q503" s="358"/>
      <c r="R503" s="358"/>
      <c r="S503" s="358"/>
      <c r="T503" s="358"/>
      <c r="U503" s="358"/>
      <c r="V503" s="358"/>
      <c r="W503" s="358"/>
      <c r="X503" s="358"/>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1:49" ht="13.5" customHeight="1">
      <c r="A504" s="1"/>
      <c r="B504" s="358"/>
      <c r="C504" s="358"/>
      <c r="D504" s="358"/>
      <c r="E504" s="358"/>
      <c r="F504" s="358"/>
      <c r="G504" s="358"/>
      <c r="H504" s="358"/>
      <c r="I504" s="358"/>
      <c r="J504" s="358"/>
      <c r="K504" s="358"/>
      <c r="L504" s="358"/>
      <c r="M504" s="358"/>
      <c r="N504" s="358"/>
      <c r="O504" s="358"/>
      <c r="P504" s="358"/>
      <c r="Q504" s="358"/>
      <c r="R504" s="358"/>
      <c r="S504" s="358"/>
      <c r="T504" s="358"/>
      <c r="U504" s="358"/>
      <c r="V504" s="358"/>
      <c r="W504" s="358"/>
      <c r="X504" s="358"/>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1:49" ht="13.5" customHeight="1">
      <c r="A505" s="1"/>
      <c r="B505" s="358"/>
      <c r="C505" s="358"/>
      <c r="D505" s="358"/>
      <c r="E505" s="358"/>
      <c r="F505" s="358"/>
      <c r="G505" s="358"/>
      <c r="H505" s="358"/>
      <c r="I505" s="358"/>
      <c r="J505" s="358"/>
      <c r="K505" s="358"/>
      <c r="L505" s="358"/>
      <c r="M505" s="358"/>
      <c r="N505" s="358"/>
      <c r="O505" s="358"/>
      <c r="P505" s="358"/>
      <c r="Q505" s="358"/>
      <c r="R505" s="358"/>
      <c r="S505" s="358"/>
      <c r="T505" s="358"/>
      <c r="U505" s="358"/>
      <c r="V505" s="358"/>
      <c r="W505" s="358"/>
      <c r="X505" s="358"/>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1:49" ht="13.5" customHeight="1">
      <c r="A506" s="1"/>
      <c r="B506" s="358"/>
      <c r="C506" s="358"/>
      <c r="D506" s="358"/>
      <c r="E506" s="358"/>
      <c r="F506" s="358"/>
      <c r="G506" s="358"/>
      <c r="H506" s="358"/>
      <c r="I506" s="358"/>
      <c r="J506" s="358"/>
      <c r="K506" s="358"/>
      <c r="L506" s="358"/>
      <c r="M506" s="358"/>
      <c r="N506" s="358"/>
      <c r="O506" s="358"/>
      <c r="P506" s="358"/>
      <c r="Q506" s="358"/>
      <c r="R506" s="358"/>
      <c r="S506" s="358"/>
      <c r="T506" s="358"/>
      <c r="U506" s="358"/>
      <c r="V506" s="358"/>
      <c r="W506" s="358"/>
      <c r="X506" s="358"/>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1:49" ht="13.5" customHeight="1">
      <c r="A507" s="1"/>
      <c r="B507" s="358"/>
      <c r="C507" s="358"/>
      <c r="D507" s="358"/>
      <c r="E507" s="358"/>
      <c r="F507" s="358"/>
      <c r="G507" s="358"/>
      <c r="H507" s="358"/>
      <c r="I507" s="358"/>
      <c r="J507" s="358"/>
      <c r="K507" s="358"/>
      <c r="L507" s="358"/>
      <c r="M507" s="358"/>
      <c r="N507" s="358"/>
      <c r="O507" s="358"/>
      <c r="P507" s="358"/>
      <c r="Q507" s="358"/>
      <c r="R507" s="358"/>
      <c r="S507" s="358"/>
      <c r="T507" s="358"/>
      <c r="U507" s="358"/>
      <c r="V507" s="358"/>
      <c r="W507" s="358"/>
      <c r="X507" s="358"/>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1:49" ht="13.5" customHeight="1">
      <c r="A508" s="1"/>
      <c r="B508" s="358"/>
      <c r="C508" s="358"/>
      <c r="D508" s="358"/>
      <c r="E508" s="358"/>
      <c r="F508" s="358"/>
      <c r="G508" s="358"/>
      <c r="H508" s="358"/>
      <c r="I508" s="358"/>
      <c r="J508" s="358"/>
      <c r="K508" s="358"/>
      <c r="L508" s="358"/>
      <c r="M508" s="358"/>
      <c r="N508" s="358"/>
      <c r="O508" s="358"/>
      <c r="P508" s="358"/>
      <c r="Q508" s="358"/>
      <c r="R508" s="358"/>
      <c r="S508" s="358"/>
      <c r="T508" s="358"/>
      <c r="U508" s="358"/>
      <c r="V508" s="358"/>
      <c r="W508" s="358"/>
      <c r="X508" s="358"/>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1:49" ht="13.5" customHeight="1">
      <c r="A509" s="1"/>
      <c r="B509" s="358"/>
      <c r="C509" s="358"/>
      <c r="D509" s="358"/>
      <c r="E509" s="358"/>
      <c r="F509" s="358"/>
      <c r="G509" s="358"/>
      <c r="H509" s="358"/>
      <c r="I509" s="358"/>
      <c r="J509" s="358"/>
      <c r="K509" s="358"/>
      <c r="L509" s="358"/>
      <c r="M509" s="358"/>
      <c r="N509" s="358"/>
      <c r="O509" s="358"/>
      <c r="P509" s="358"/>
      <c r="Q509" s="358"/>
      <c r="R509" s="358"/>
      <c r="S509" s="358"/>
      <c r="T509" s="358"/>
      <c r="U509" s="358"/>
      <c r="V509" s="358"/>
      <c r="W509" s="358"/>
      <c r="X509" s="358"/>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1:49" ht="13.5" customHeight="1">
      <c r="A510" s="1"/>
      <c r="B510" s="358"/>
      <c r="C510" s="358"/>
      <c r="D510" s="358"/>
      <c r="E510" s="358"/>
      <c r="F510" s="358"/>
      <c r="G510" s="358"/>
      <c r="H510" s="358"/>
      <c r="I510" s="358"/>
      <c r="J510" s="358"/>
      <c r="K510" s="358"/>
      <c r="L510" s="358"/>
      <c r="M510" s="358"/>
      <c r="N510" s="358"/>
      <c r="O510" s="358"/>
      <c r="P510" s="358"/>
      <c r="Q510" s="358"/>
      <c r="R510" s="358"/>
      <c r="S510" s="358"/>
      <c r="T510" s="358"/>
      <c r="U510" s="358"/>
      <c r="V510" s="358"/>
      <c r="W510" s="358"/>
      <c r="X510" s="358"/>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1:49" ht="13.5" customHeight="1">
      <c r="A511" s="1"/>
      <c r="B511" s="358"/>
      <c r="C511" s="358"/>
      <c r="D511" s="358"/>
      <c r="E511" s="358"/>
      <c r="F511" s="358"/>
      <c r="G511" s="358"/>
      <c r="H511" s="358"/>
      <c r="I511" s="358"/>
      <c r="J511" s="358"/>
      <c r="K511" s="358"/>
      <c r="L511" s="358"/>
      <c r="M511" s="358"/>
      <c r="N511" s="358"/>
      <c r="O511" s="358"/>
      <c r="P511" s="358"/>
      <c r="Q511" s="358"/>
      <c r="R511" s="358"/>
      <c r="S511" s="358"/>
      <c r="T511" s="358"/>
      <c r="U511" s="358"/>
      <c r="V511" s="358"/>
      <c r="W511" s="358"/>
      <c r="X511" s="358"/>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1:49" ht="13.5" customHeight="1">
      <c r="A512" s="1"/>
      <c r="B512" s="358"/>
      <c r="C512" s="358"/>
      <c r="D512" s="358"/>
      <c r="E512" s="358"/>
      <c r="F512" s="358"/>
      <c r="G512" s="358"/>
      <c r="H512" s="358"/>
      <c r="I512" s="358"/>
      <c r="J512" s="358"/>
      <c r="K512" s="358"/>
      <c r="L512" s="358"/>
      <c r="M512" s="358"/>
      <c r="N512" s="358"/>
      <c r="O512" s="358"/>
      <c r="P512" s="358"/>
      <c r="Q512" s="358"/>
      <c r="R512" s="358"/>
      <c r="S512" s="358"/>
      <c r="T512" s="358"/>
      <c r="U512" s="358"/>
      <c r="V512" s="358"/>
      <c r="W512" s="358"/>
      <c r="X512" s="358"/>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1:49" ht="13.5" customHeight="1">
      <c r="A513" s="1"/>
      <c r="B513" s="358"/>
      <c r="C513" s="358"/>
      <c r="D513" s="358"/>
      <c r="E513" s="358"/>
      <c r="F513" s="358"/>
      <c r="G513" s="358"/>
      <c r="H513" s="358"/>
      <c r="I513" s="358"/>
      <c r="J513" s="358"/>
      <c r="K513" s="358"/>
      <c r="L513" s="358"/>
      <c r="M513" s="358"/>
      <c r="N513" s="358"/>
      <c r="O513" s="358"/>
      <c r="P513" s="358"/>
      <c r="Q513" s="358"/>
      <c r="R513" s="358"/>
      <c r="S513" s="358"/>
      <c r="T513" s="358"/>
      <c r="U513" s="358"/>
      <c r="V513" s="358"/>
      <c r="W513" s="358"/>
      <c r="X513" s="358"/>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1:49" ht="13.5" customHeight="1">
      <c r="A514" s="1"/>
      <c r="B514" s="358"/>
      <c r="C514" s="358"/>
      <c r="D514" s="358"/>
      <c r="E514" s="358"/>
      <c r="F514" s="358"/>
      <c r="G514" s="358"/>
      <c r="H514" s="358"/>
      <c r="I514" s="358"/>
      <c r="J514" s="358"/>
      <c r="K514" s="358"/>
      <c r="L514" s="358"/>
      <c r="M514" s="358"/>
      <c r="N514" s="358"/>
      <c r="O514" s="358"/>
      <c r="P514" s="358"/>
      <c r="Q514" s="358"/>
      <c r="R514" s="358"/>
      <c r="S514" s="358"/>
      <c r="T514" s="358"/>
      <c r="U514" s="358"/>
      <c r="V514" s="358"/>
      <c r="W514" s="358"/>
      <c r="X514" s="358"/>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1:49" ht="13.5" customHeight="1">
      <c r="A515" s="1"/>
      <c r="B515" s="358"/>
      <c r="C515" s="358"/>
      <c r="D515" s="358"/>
      <c r="E515" s="358"/>
      <c r="F515" s="358"/>
      <c r="G515" s="358"/>
      <c r="H515" s="358"/>
      <c r="I515" s="358"/>
      <c r="J515" s="358"/>
      <c r="K515" s="358"/>
      <c r="L515" s="358"/>
      <c r="M515" s="358"/>
      <c r="N515" s="358"/>
      <c r="O515" s="358"/>
      <c r="P515" s="358"/>
      <c r="Q515" s="358"/>
      <c r="R515" s="358"/>
      <c r="S515" s="358"/>
      <c r="T515" s="358"/>
      <c r="U515" s="358"/>
      <c r="V515" s="358"/>
      <c r="W515" s="358"/>
      <c r="X515" s="358"/>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1:49" ht="13.5" customHeight="1">
      <c r="A516" s="1"/>
      <c r="B516" s="358"/>
      <c r="C516" s="358"/>
      <c r="D516" s="358"/>
      <c r="E516" s="358"/>
      <c r="F516" s="358"/>
      <c r="G516" s="358"/>
      <c r="H516" s="358"/>
      <c r="I516" s="358"/>
      <c r="J516" s="358"/>
      <c r="K516" s="358"/>
      <c r="L516" s="358"/>
      <c r="M516" s="358"/>
      <c r="N516" s="358"/>
      <c r="O516" s="358"/>
      <c r="P516" s="358"/>
      <c r="Q516" s="358"/>
      <c r="R516" s="358"/>
      <c r="S516" s="358"/>
      <c r="T516" s="358"/>
      <c r="U516" s="358"/>
      <c r="V516" s="358"/>
      <c r="W516" s="358"/>
      <c r="X516" s="358"/>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1:49" ht="13.5" customHeight="1">
      <c r="A517" s="1"/>
      <c r="B517" s="358"/>
      <c r="C517" s="358"/>
      <c r="D517" s="358"/>
      <c r="E517" s="358"/>
      <c r="F517" s="358"/>
      <c r="G517" s="358"/>
      <c r="H517" s="358"/>
      <c r="I517" s="358"/>
      <c r="J517" s="358"/>
      <c r="K517" s="358"/>
      <c r="L517" s="358"/>
      <c r="M517" s="358"/>
      <c r="N517" s="358"/>
      <c r="O517" s="358"/>
      <c r="P517" s="358"/>
      <c r="Q517" s="358"/>
      <c r="R517" s="358"/>
      <c r="S517" s="358"/>
      <c r="T517" s="358"/>
      <c r="U517" s="358"/>
      <c r="V517" s="358"/>
      <c r="W517" s="358"/>
      <c r="X517" s="358"/>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1:49" ht="13.5" customHeight="1">
      <c r="A518" s="1"/>
      <c r="B518" s="358"/>
      <c r="C518" s="358"/>
      <c r="D518" s="358"/>
      <c r="E518" s="358"/>
      <c r="F518" s="358"/>
      <c r="G518" s="358"/>
      <c r="H518" s="358"/>
      <c r="I518" s="358"/>
      <c r="J518" s="358"/>
      <c r="K518" s="358"/>
      <c r="L518" s="358"/>
      <c r="M518" s="358"/>
      <c r="N518" s="358"/>
      <c r="O518" s="358"/>
      <c r="P518" s="358"/>
      <c r="Q518" s="358"/>
      <c r="R518" s="358"/>
      <c r="S518" s="358"/>
      <c r="T518" s="358"/>
      <c r="U518" s="358"/>
      <c r="V518" s="358"/>
      <c r="W518" s="358"/>
      <c r="X518" s="358"/>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1:49" ht="13.5" customHeight="1">
      <c r="A519" s="1"/>
      <c r="B519" s="358"/>
      <c r="C519" s="358"/>
      <c r="D519" s="358"/>
      <c r="E519" s="358"/>
      <c r="F519" s="358"/>
      <c r="G519" s="358"/>
      <c r="H519" s="358"/>
      <c r="I519" s="358"/>
      <c r="J519" s="358"/>
      <c r="K519" s="358"/>
      <c r="L519" s="358"/>
      <c r="M519" s="358"/>
      <c r="N519" s="358"/>
      <c r="O519" s="358"/>
      <c r="P519" s="358"/>
      <c r="Q519" s="358"/>
      <c r="R519" s="358"/>
      <c r="S519" s="358"/>
      <c r="T519" s="358"/>
      <c r="U519" s="358"/>
      <c r="V519" s="358"/>
      <c r="W519" s="358"/>
      <c r="X519" s="358"/>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1:49" ht="13.5" customHeight="1">
      <c r="A520" s="1"/>
      <c r="B520" s="358"/>
      <c r="C520" s="358"/>
      <c r="D520" s="358"/>
      <c r="E520" s="358"/>
      <c r="F520" s="358"/>
      <c r="G520" s="358"/>
      <c r="H520" s="358"/>
      <c r="I520" s="358"/>
      <c r="J520" s="358"/>
      <c r="K520" s="358"/>
      <c r="L520" s="358"/>
      <c r="M520" s="358"/>
      <c r="N520" s="358"/>
      <c r="O520" s="358"/>
      <c r="P520" s="358"/>
      <c r="Q520" s="358"/>
      <c r="R520" s="358"/>
      <c r="S520" s="358"/>
      <c r="T520" s="358"/>
      <c r="U520" s="358"/>
      <c r="V520" s="358"/>
      <c r="W520" s="358"/>
      <c r="X520" s="358"/>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1:49" ht="13.5" customHeight="1">
      <c r="A521" s="1"/>
      <c r="B521" s="358"/>
      <c r="C521" s="358"/>
      <c r="D521" s="358"/>
      <c r="E521" s="358"/>
      <c r="F521" s="358"/>
      <c r="G521" s="358"/>
      <c r="H521" s="358"/>
      <c r="I521" s="358"/>
      <c r="J521" s="358"/>
      <c r="K521" s="358"/>
      <c r="L521" s="358"/>
      <c r="M521" s="358"/>
      <c r="N521" s="358"/>
      <c r="O521" s="358"/>
      <c r="P521" s="358"/>
      <c r="Q521" s="358"/>
      <c r="R521" s="358"/>
      <c r="S521" s="358"/>
      <c r="T521" s="358"/>
      <c r="U521" s="358"/>
      <c r="V521" s="358"/>
      <c r="W521" s="358"/>
      <c r="X521" s="358"/>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1:49" ht="13.5" customHeight="1">
      <c r="A522" s="1"/>
      <c r="B522" s="358"/>
      <c r="C522" s="358"/>
      <c r="D522" s="358"/>
      <c r="E522" s="358"/>
      <c r="F522" s="358"/>
      <c r="G522" s="358"/>
      <c r="H522" s="358"/>
      <c r="I522" s="358"/>
      <c r="J522" s="358"/>
      <c r="K522" s="358"/>
      <c r="L522" s="358"/>
      <c r="M522" s="358"/>
      <c r="N522" s="358"/>
      <c r="O522" s="358"/>
      <c r="P522" s="358"/>
      <c r="Q522" s="358"/>
      <c r="R522" s="358"/>
      <c r="S522" s="358"/>
      <c r="T522" s="358"/>
      <c r="U522" s="358"/>
      <c r="V522" s="358"/>
      <c r="W522" s="358"/>
      <c r="X522" s="358"/>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1:49" ht="13.5" customHeight="1">
      <c r="A523" s="1"/>
      <c r="B523" s="358"/>
      <c r="C523" s="358"/>
      <c r="D523" s="358"/>
      <c r="E523" s="358"/>
      <c r="F523" s="358"/>
      <c r="G523" s="358"/>
      <c r="H523" s="358"/>
      <c r="I523" s="358"/>
      <c r="J523" s="358"/>
      <c r="K523" s="358"/>
      <c r="L523" s="358"/>
      <c r="M523" s="358"/>
      <c r="N523" s="358"/>
      <c r="O523" s="358"/>
      <c r="P523" s="358"/>
      <c r="Q523" s="358"/>
      <c r="R523" s="358"/>
      <c r="S523" s="358"/>
      <c r="T523" s="358"/>
      <c r="U523" s="358"/>
      <c r="V523" s="358"/>
      <c r="W523" s="358"/>
      <c r="X523" s="358"/>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1:49" ht="13.5" customHeight="1">
      <c r="A524" s="1"/>
      <c r="B524" s="358"/>
      <c r="C524" s="358"/>
      <c r="D524" s="358"/>
      <c r="E524" s="358"/>
      <c r="F524" s="358"/>
      <c r="G524" s="358"/>
      <c r="H524" s="358"/>
      <c r="I524" s="358"/>
      <c r="J524" s="358"/>
      <c r="K524" s="358"/>
      <c r="L524" s="358"/>
      <c r="M524" s="358"/>
      <c r="N524" s="358"/>
      <c r="O524" s="358"/>
      <c r="P524" s="358"/>
      <c r="Q524" s="358"/>
      <c r="R524" s="358"/>
      <c r="S524" s="358"/>
      <c r="T524" s="358"/>
      <c r="U524" s="358"/>
      <c r="V524" s="358"/>
      <c r="W524" s="358"/>
      <c r="X524" s="358"/>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1:49" ht="13.5" customHeight="1">
      <c r="A525" s="1"/>
      <c r="B525" s="358"/>
      <c r="C525" s="358"/>
      <c r="D525" s="358"/>
      <c r="E525" s="358"/>
      <c r="F525" s="358"/>
      <c r="G525" s="358"/>
      <c r="H525" s="358"/>
      <c r="I525" s="358"/>
      <c r="J525" s="358"/>
      <c r="K525" s="358"/>
      <c r="L525" s="358"/>
      <c r="M525" s="358"/>
      <c r="N525" s="358"/>
      <c r="O525" s="358"/>
      <c r="P525" s="358"/>
      <c r="Q525" s="358"/>
      <c r="R525" s="358"/>
      <c r="S525" s="358"/>
      <c r="T525" s="358"/>
      <c r="U525" s="358"/>
      <c r="V525" s="358"/>
      <c r="W525" s="358"/>
      <c r="X525" s="358"/>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1:49" ht="13.5" customHeight="1">
      <c r="A526" s="1"/>
      <c r="B526" s="358"/>
      <c r="C526" s="358"/>
      <c r="D526" s="358"/>
      <c r="E526" s="358"/>
      <c r="F526" s="358"/>
      <c r="G526" s="358"/>
      <c r="H526" s="358"/>
      <c r="I526" s="358"/>
      <c r="J526" s="358"/>
      <c r="K526" s="358"/>
      <c r="L526" s="358"/>
      <c r="M526" s="358"/>
      <c r="N526" s="358"/>
      <c r="O526" s="358"/>
      <c r="P526" s="358"/>
      <c r="Q526" s="358"/>
      <c r="R526" s="358"/>
      <c r="S526" s="358"/>
      <c r="T526" s="358"/>
      <c r="U526" s="358"/>
      <c r="V526" s="358"/>
      <c r="W526" s="358"/>
      <c r="X526" s="358"/>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1:49" ht="13.5" customHeight="1">
      <c r="A527" s="1"/>
      <c r="B527" s="358"/>
      <c r="C527" s="358"/>
      <c r="D527" s="358"/>
      <c r="E527" s="358"/>
      <c r="F527" s="358"/>
      <c r="G527" s="358"/>
      <c r="H527" s="358"/>
      <c r="I527" s="358"/>
      <c r="J527" s="358"/>
      <c r="K527" s="358"/>
      <c r="L527" s="358"/>
      <c r="M527" s="358"/>
      <c r="N527" s="358"/>
      <c r="O527" s="358"/>
      <c r="P527" s="358"/>
      <c r="Q527" s="358"/>
      <c r="R527" s="358"/>
      <c r="S527" s="358"/>
      <c r="T527" s="358"/>
      <c r="U527" s="358"/>
      <c r="V527" s="358"/>
      <c r="W527" s="358"/>
      <c r="X527" s="358"/>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1:49" ht="13.5" customHeight="1">
      <c r="A528" s="1"/>
      <c r="B528" s="358"/>
      <c r="C528" s="358"/>
      <c r="D528" s="358"/>
      <c r="E528" s="358"/>
      <c r="F528" s="358"/>
      <c r="G528" s="358"/>
      <c r="H528" s="358"/>
      <c r="I528" s="358"/>
      <c r="J528" s="358"/>
      <c r="K528" s="358"/>
      <c r="L528" s="358"/>
      <c r="M528" s="358"/>
      <c r="N528" s="358"/>
      <c r="O528" s="358"/>
      <c r="P528" s="358"/>
      <c r="Q528" s="358"/>
      <c r="R528" s="358"/>
      <c r="S528" s="358"/>
      <c r="T528" s="358"/>
      <c r="U528" s="358"/>
      <c r="V528" s="358"/>
      <c r="W528" s="358"/>
      <c r="X528" s="358"/>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1:49" ht="13.5" customHeight="1">
      <c r="A529" s="1"/>
      <c r="B529" s="358"/>
      <c r="C529" s="358"/>
      <c r="D529" s="358"/>
      <c r="E529" s="358"/>
      <c r="F529" s="358"/>
      <c r="G529" s="358"/>
      <c r="H529" s="358"/>
      <c r="I529" s="358"/>
      <c r="J529" s="358"/>
      <c r="K529" s="358"/>
      <c r="L529" s="358"/>
      <c r="M529" s="358"/>
      <c r="N529" s="358"/>
      <c r="O529" s="358"/>
      <c r="P529" s="358"/>
      <c r="Q529" s="358"/>
      <c r="R529" s="358"/>
      <c r="S529" s="358"/>
      <c r="T529" s="358"/>
      <c r="U529" s="358"/>
      <c r="V529" s="358"/>
      <c r="W529" s="358"/>
      <c r="X529" s="358"/>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1:49" ht="13.5" customHeight="1">
      <c r="A530" s="1"/>
      <c r="B530" s="358"/>
      <c r="C530" s="358"/>
      <c r="D530" s="358"/>
      <c r="E530" s="358"/>
      <c r="F530" s="358"/>
      <c r="G530" s="358"/>
      <c r="H530" s="358"/>
      <c r="I530" s="358"/>
      <c r="J530" s="358"/>
      <c r="K530" s="358"/>
      <c r="L530" s="358"/>
      <c r="M530" s="358"/>
      <c r="N530" s="358"/>
      <c r="O530" s="358"/>
      <c r="P530" s="358"/>
      <c r="Q530" s="358"/>
      <c r="R530" s="358"/>
      <c r="S530" s="358"/>
      <c r="T530" s="358"/>
      <c r="U530" s="358"/>
      <c r="V530" s="358"/>
      <c r="W530" s="358"/>
      <c r="X530" s="358"/>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1:49" ht="13.5" customHeight="1">
      <c r="A531" s="1"/>
      <c r="B531" s="358"/>
      <c r="C531" s="358"/>
      <c r="D531" s="358"/>
      <c r="E531" s="358"/>
      <c r="F531" s="358"/>
      <c r="G531" s="358"/>
      <c r="H531" s="358"/>
      <c r="I531" s="358"/>
      <c r="J531" s="358"/>
      <c r="K531" s="358"/>
      <c r="L531" s="358"/>
      <c r="M531" s="358"/>
      <c r="N531" s="358"/>
      <c r="O531" s="358"/>
      <c r="P531" s="358"/>
      <c r="Q531" s="358"/>
      <c r="R531" s="358"/>
      <c r="S531" s="358"/>
      <c r="T531" s="358"/>
      <c r="U531" s="358"/>
      <c r="V531" s="358"/>
      <c r="W531" s="358"/>
      <c r="X531" s="358"/>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1:49" ht="13.5" customHeight="1">
      <c r="A532" s="1"/>
      <c r="B532" s="358"/>
      <c r="C532" s="358"/>
      <c r="D532" s="358"/>
      <c r="E532" s="358"/>
      <c r="F532" s="358"/>
      <c r="G532" s="358"/>
      <c r="H532" s="358"/>
      <c r="I532" s="358"/>
      <c r="J532" s="358"/>
      <c r="K532" s="358"/>
      <c r="L532" s="358"/>
      <c r="M532" s="358"/>
      <c r="N532" s="358"/>
      <c r="O532" s="358"/>
      <c r="P532" s="358"/>
      <c r="Q532" s="358"/>
      <c r="R532" s="358"/>
      <c r="S532" s="358"/>
      <c r="T532" s="358"/>
      <c r="U532" s="358"/>
      <c r="V532" s="358"/>
      <c r="W532" s="358"/>
      <c r="X532" s="358"/>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1:49" ht="13.5" customHeight="1">
      <c r="A533" s="1"/>
      <c r="B533" s="358"/>
      <c r="C533" s="358"/>
      <c r="D533" s="358"/>
      <c r="E533" s="358"/>
      <c r="F533" s="358"/>
      <c r="G533" s="358"/>
      <c r="H533" s="358"/>
      <c r="I533" s="358"/>
      <c r="J533" s="358"/>
      <c r="K533" s="358"/>
      <c r="L533" s="358"/>
      <c r="M533" s="358"/>
      <c r="N533" s="358"/>
      <c r="O533" s="358"/>
      <c r="P533" s="358"/>
      <c r="Q533" s="358"/>
      <c r="R533" s="358"/>
      <c r="S533" s="358"/>
      <c r="T533" s="358"/>
      <c r="U533" s="358"/>
      <c r="V533" s="358"/>
      <c r="W533" s="358"/>
      <c r="X533" s="358"/>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1:49" ht="13.5" customHeight="1">
      <c r="A534" s="1"/>
      <c r="B534" s="358"/>
      <c r="C534" s="358"/>
      <c r="D534" s="358"/>
      <c r="E534" s="358"/>
      <c r="F534" s="358"/>
      <c r="G534" s="358"/>
      <c r="H534" s="358"/>
      <c r="I534" s="358"/>
      <c r="J534" s="358"/>
      <c r="K534" s="358"/>
      <c r="L534" s="358"/>
      <c r="M534" s="358"/>
      <c r="N534" s="358"/>
      <c r="O534" s="358"/>
      <c r="P534" s="358"/>
      <c r="Q534" s="358"/>
      <c r="R534" s="358"/>
      <c r="S534" s="358"/>
      <c r="T534" s="358"/>
      <c r="U534" s="358"/>
      <c r="V534" s="358"/>
      <c r="W534" s="358"/>
      <c r="X534" s="358"/>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1:49" ht="13.5" customHeight="1">
      <c r="A535" s="1"/>
      <c r="B535" s="358"/>
      <c r="C535" s="358"/>
      <c r="D535" s="358"/>
      <c r="E535" s="358"/>
      <c r="F535" s="358"/>
      <c r="G535" s="358"/>
      <c r="H535" s="358"/>
      <c r="I535" s="358"/>
      <c r="J535" s="358"/>
      <c r="K535" s="358"/>
      <c r="L535" s="358"/>
      <c r="M535" s="358"/>
      <c r="N535" s="358"/>
      <c r="O535" s="358"/>
      <c r="P535" s="358"/>
      <c r="Q535" s="358"/>
      <c r="R535" s="358"/>
      <c r="S535" s="358"/>
      <c r="T535" s="358"/>
      <c r="U535" s="358"/>
      <c r="V535" s="358"/>
      <c r="W535" s="358"/>
      <c r="X535" s="358"/>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1:49" ht="13.5" customHeight="1">
      <c r="A536" s="1"/>
      <c r="B536" s="358"/>
      <c r="C536" s="358"/>
      <c r="D536" s="358"/>
      <c r="E536" s="358"/>
      <c r="F536" s="358"/>
      <c r="G536" s="358"/>
      <c r="H536" s="358"/>
      <c r="I536" s="358"/>
      <c r="J536" s="358"/>
      <c r="K536" s="358"/>
      <c r="L536" s="358"/>
      <c r="M536" s="358"/>
      <c r="N536" s="358"/>
      <c r="O536" s="358"/>
      <c r="P536" s="358"/>
      <c r="Q536" s="358"/>
      <c r="R536" s="358"/>
      <c r="S536" s="358"/>
      <c r="T536" s="358"/>
      <c r="U536" s="358"/>
      <c r="V536" s="358"/>
      <c r="W536" s="358"/>
      <c r="X536" s="358"/>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1:49" ht="13.5" customHeight="1">
      <c r="A537" s="1"/>
      <c r="B537" s="358"/>
      <c r="C537" s="358"/>
      <c r="D537" s="358"/>
      <c r="E537" s="358"/>
      <c r="F537" s="358"/>
      <c r="G537" s="358"/>
      <c r="H537" s="358"/>
      <c r="I537" s="358"/>
      <c r="J537" s="358"/>
      <c r="K537" s="358"/>
      <c r="L537" s="358"/>
      <c r="M537" s="358"/>
      <c r="N537" s="358"/>
      <c r="O537" s="358"/>
      <c r="P537" s="358"/>
      <c r="Q537" s="358"/>
      <c r="R537" s="358"/>
      <c r="S537" s="358"/>
      <c r="T537" s="358"/>
      <c r="U537" s="358"/>
      <c r="V537" s="358"/>
      <c r="W537" s="358"/>
      <c r="X537" s="358"/>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1:49" ht="13.5" customHeight="1">
      <c r="A538" s="1"/>
      <c r="B538" s="358"/>
      <c r="C538" s="358"/>
      <c r="D538" s="358"/>
      <c r="E538" s="358"/>
      <c r="F538" s="358"/>
      <c r="G538" s="358"/>
      <c r="H538" s="358"/>
      <c r="I538" s="358"/>
      <c r="J538" s="358"/>
      <c r="K538" s="358"/>
      <c r="L538" s="358"/>
      <c r="M538" s="358"/>
      <c r="N538" s="358"/>
      <c r="O538" s="358"/>
      <c r="P538" s="358"/>
      <c r="Q538" s="358"/>
      <c r="R538" s="358"/>
      <c r="S538" s="358"/>
      <c r="T538" s="358"/>
      <c r="U538" s="358"/>
      <c r="V538" s="358"/>
      <c r="W538" s="358"/>
      <c r="X538" s="358"/>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1:49" ht="13.5" customHeight="1">
      <c r="A539" s="1"/>
      <c r="B539" s="358"/>
      <c r="C539" s="358"/>
      <c r="D539" s="358"/>
      <c r="E539" s="358"/>
      <c r="F539" s="358"/>
      <c r="G539" s="358"/>
      <c r="H539" s="358"/>
      <c r="I539" s="358"/>
      <c r="J539" s="358"/>
      <c r="K539" s="358"/>
      <c r="L539" s="358"/>
      <c r="M539" s="358"/>
      <c r="N539" s="358"/>
      <c r="O539" s="358"/>
      <c r="P539" s="358"/>
      <c r="Q539" s="358"/>
      <c r="R539" s="358"/>
      <c r="S539" s="358"/>
      <c r="T539" s="358"/>
      <c r="U539" s="358"/>
      <c r="V539" s="358"/>
      <c r="W539" s="358"/>
      <c r="X539" s="358"/>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1:49" ht="13.5" customHeight="1">
      <c r="A540" s="1"/>
      <c r="B540" s="358"/>
      <c r="C540" s="358"/>
      <c r="D540" s="358"/>
      <c r="E540" s="358"/>
      <c r="F540" s="358"/>
      <c r="G540" s="358"/>
      <c r="H540" s="358"/>
      <c r="I540" s="358"/>
      <c r="J540" s="358"/>
      <c r="K540" s="358"/>
      <c r="L540" s="358"/>
      <c r="M540" s="358"/>
      <c r="N540" s="358"/>
      <c r="O540" s="358"/>
      <c r="P540" s="358"/>
      <c r="Q540" s="358"/>
      <c r="R540" s="358"/>
      <c r="S540" s="358"/>
      <c r="T540" s="358"/>
      <c r="U540" s="358"/>
      <c r="V540" s="358"/>
      <c r="W540" s="358"/>
      <c r="X540" s="358"/>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1:49" ht="13.5" customHeight="1">
      <c r="A541" s="1"/>
      <c r="B541" s="358"/>
      <c r="C541" s="358"/>
      <c r="D541" s="358"/>
      <c r="E541" s="358"/>
      <c r="F541" s="358"/>
      <c r="G541" s="358"/>
      <c r="H541" s="358"/>
      <c r="I541" s="358"/>
      <c r="J541" s="358"/>
      <c r="K541" s="358"/>
      <c r="L541" s="358"/>
      <c r="M541" s="358"/>
      <c r="N541" s="358"/>
      <c r="O541" s="358"/>
      <c r="P541" s="358"/>
      <c r="Q541" s="358"/>
      <c r="R541" s="358"/>
      <c r="S541" s="358"/>
      <c r="T541" s="358"/>
      <c r="U541" s="358"/>
      <c r="V541" s="358"/>
      <c r="W541" s="358"/>
      <c r="X541" s="358"/>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1:49" ht="13.5" customHeight="1">
      <c r="A542" s="1"/>
      <c r="B542" s="358"/>
      <c r="C542" s="358"/>
      <c r="D542" s="358"/>
      <c r="E542" s="358"/>
      <c r="F542" s="358"/>
      <c r="G542" s="358"/>
      <c r="H542" s="358"/>
      <c r="I542" s="358"/>
      <c r="J542" s="358"/>
      <c r="K542" s="358"/>
      <c r="L542" s="358"/>
      <c r="M542" s="358"/>
      <c r="N542" s="358"/>
      <c r="O542" s="358"/>
      <c r="P542" s="358"/>
      <c r="Q542" s="358"/>
      <c r="R542" s="358"/>
      <c r="S542" s="358"/>
      <c r="T542" s="358"/>
      <c r="U542" s="358"/>
      <c r="V542" s="358"/>
      <c r="W542" s="358"/>
      <c r="X542" s="358"/>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1:49" ht="13.5" customHeight="1">
      <c r="A543" s="1"/>
      <c r="B543" s="358"/>
      <c r="C543" s="358"/>
      <c r="D543" s="358"/>
      <c r="E543" s="358"/>
      <c r="F543" s="358"/>
      <c r="G543" s="358"/>
      <c r="H543" s="358"/>
      <c r="I543" s="358"/>
      <c r="J543" s="358"/>
      <c r="K543" s="358"/>
      <c r="L543" s="358"/>
      <c r="M543" s="358"/>
      <c r="N543" s="358"/>
      <c r="O543" s="358"/>
      <c r="P543" s="358"/>
      <c r="Q543" s="358"/>
      <c r="R543" s="358"/>
      <c r="S543" s="358"/>
      <c r="T543" s="358"/>
      <c r="U543" s="358"/>
      <c r="V543" s="358"/>
      <c r="W543" s="358"/>
      <c r="X543" s="358"/>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1:49" ht="13.5" customHeight="1">
      <c r="A544" s="1"/>
      <c r="B544" s="358"/>
      <c r="C544" s="358"/>
      <c r="D544" s="358"/>
      <c r="E544" s="358"/>
      <c r="F544" s="358"/>
      <c r="G544" s="358"/>
      <c r="H544" s="358"/>
      <c r="I544" s="358"/>
      <c r="J544" s="358"/>
      <c r="K544" s="358"/>
      <c r="L544" s="358"/>
      <c r="M544" s="358"/>
      <c r="N544" s="358"/>
      <c r="O544" s="358"/>
      <c r="P544" s="358"/>
      <c r="Q544" s="358"/>
      <c r="R544" s="358"/>
      <c r="S544" s="358"/>
      <c r="T544" s="358"/>
      <c r="U544" s="358"/>
      <c r="V544" s="358"/>
      <c r="W544" s="358"/>
      <c r="X544" s="358"/>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1:49" ht="13.5" customHeight="1">
      <c r="A545" s="1"/>
      <c r="B545" s="358"/>
      <c r="C545" s="358"/>
      <c r="D545" s="358"/>
      <c r="E545" s="358"/>
      <c r="F545" s="358"/>
      <c r="G545" s="358"/>
      <c r="H545" s="358"/>
      <c r="I545" s="358"/>
      <c r="J545" s="358"/>
      <c r="K545" s="358"/>
      <c r="L545" s="358"/>
      <c r="M545" s="358"/>
      <c r="N545" s="358"/>
      <c r="O545" s="358"/>
      <c r="P545" s="358"/>
      <c r="Q545" s="358"/>
      <c r="R545" s="358"/>
      <c r="S545" s="358"/>
      <c r="T545" s="358"/>
      <c r="U545" s="358"/>
      <c r="V545" s="358"/>
      <c r="W545" s="358"/>
      <c r="X545" s="358"/>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1:49" ht="13.5" customHeight="1">
      <c r="A546" s="1"/>
      <c r="B546" s="358"/>
      <c r="C546" s="358"/>
      <c r="D546" s="358"/>
      <c r="E546" s="358"/>
      <c r="F546" s="358"/>
      <c r="G546" s="358"/>
      <c r="H546" s="358"/>
      <c r="I546" s="358"/>
      <c r="J546" s="358"/>
      <c r="K546" s="358"/>
      <c r="L546" s="358"/>
      <c r="M546" s="358"/>
      <c r="N546" s="358"/>
      <c r="O546" s="358"/>
      <c r="P546" s="358"/>
      <c r="Q546" s="358"/>
      <c r="R546" s="358"/>
      <c r="S546" s="358"/>
      <c r="T546" s="358"/>
      <c r="U546" s="358"/>
      <c r="V546" s="358"/>
      <c r="W546" s="358"/>
      <c r="X546" s="358"/>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1:49" ht="13.5" customHeight="1">
      <c r="A547" s="1"/>
      <c r="B547" s="358"/>
      <c r="C547" s="358"/>
      <c r="D547" s="358"/>
      <c r="E547" s="358"/>
      <c r="F547" s="358"/>
      <c r="G547" s="358"/>
      <c r="H547" s="358"/>
      <c r="I547" s="358"/>
      <c r="J547" s="358"/>
      <c r="K547" s="358"/>
      <c r="L547" s="358"/>
      <c r="M547" s="358"/>
      <c r="N547" s="358"/>
      <c r="O547" s="358"/>
      <c r="P547" s="358"/>
      <c r="Q547" s="358"/>
      <c r="R547" s="358"/>
      <c r="S547" s="358"/>
      <c r="T547" s="358"/>
      <c r="U547" s="358"/>
      <c r="V547" s="358"/>
      <c r="W547" s="358"/>
      <c r="X547" s="358"/>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1:49" ht="13.5" customHeight="1">
      <c r="A548" s="1"/>
      <c r="B548" s="358"/>
      <c r="C548" s="358"/>
      <c r="D548" s="358"/>
      <c r="E548" s="358"/>
      <c r="F548" s="358"/>
      <c r="G548" s="358"/>
      <c r="H548" s="358"/>
      <c r="I548" s="358"/>
      <c r="J548" s="358"/>
      <c r="K548" s="358"/>
      <c r="L548" s="358"/>
      <c r="M548" s="358"/>
      <c r="N548" s="358"/>
      <c r="O548" s="358"/>
      <c r="P548" s="358"/>
      <c r="Q548" s="358"/>
      <c r="R548" s="358"/>
      <c r="S548" s="358"/>
      <c r="T548" s="358"/>
      <c r="U548" s="358"/>
      <c r="V548" s="358"/>
      <c r="W548" s="358"/>
      <c r="X548" s="358"/>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1:49" ht="13.5" customHeight="1">
      <c r="A549" s="1"/>
      <c r="B549" s="358"/>
      <c r="C549" s="358"/>
      <c r="D549" s="358"/>
      <c r="E549" s="358"/>
      <c r="F549" s="358"/>
      <c r="G549" s="358"/>
      <c r="H549" s="358"/>
      <c r="I549" s="358"/>
      <c r="J549" s="358"/>
      <c r="K549" s="358"/>
      <c r="L549" s="358"/>
      <c r="M549" s="358"/>
      <c r="N549" s="358"/>
      <c r="O549" s="358"/>
      <c r="P549" s="358"/>
      <c r="Q549" s="358"/>
      <c r="R549" s="358"/>
      <c r="S549" s="358"/>
      <c r="T549" s="358"/>
      <c r="U549" s="358"/>
      <c r="V549" s="358"/>
      <c r="W549" s="358"/>
      <c r="X549" s="358"/>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1:49" ht="13.5" customHeight="1">
      <c r="A550" s="1"/>
      <c r="B550" s="358"/>
      <c r="C550" s="358"/>
      <c r="D550" s="358"/>
      <c r="E550" s="358"/>
      <c r="F550" s="358"/>
      <c r="G550" s="358"/>
      <c r="H550" s="358"/>
      <c r="I550" s="358"/>
      <c r="J550" s="358"/>
      <c r="K550" s="358"/>
      <c r="L550" s="358"/>
      <c r="M550" s="358"/>
      <c r="N550" s="358"/>
      <c r="O550" s="358"/>
      <c r="P550" s="358"/>
      <c r="Q550" s="358"/>
      <c r="R550" s="358"/>
      <c r="S550" s="358"/>
      <c r="T550" s="358"/>
      <c r="U550" s="358"/>
      <c r="V550" s="358"/>
      <c r="W550" s="358"/>
      <c r="X550" s="358"/>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1:49" ht="13.5" customHeight="1">
      <c r="A551" s="1"/>
      <c r="B551" s="358"/>
      <c r="C551" s="358"/>
      <c r="D551" s="358"/>
      <c r="E551" s="358"/>
      <c r="F551" s="358"/>
      <c r="G551" s="358"/>
      <c r="H551" s="358"/>
      <c r="I551" s="358"/>
      <c r="J551" s="358"/>
      <c r="K551" s="358"/>
      <c r="L551" s="358"/>
      <c r="M551" s="358"/>
      <c r="N551" s="358"/>
      <c r="O551" s="358"/>
      <c r="P551" s="358"/>
      <c r="Q551" s="358"/>
      <c r="R551" s="358"/>
      <c r="S551" s="358"/>
      <c r="T551" s="358"/>
      <c r="U551" s="358"/>
      <c r="V551" s="358"/>
      <c r="W551" s="358"/>
      <c r="X551" s="358"/>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1:49" ht="13.5" customHeight="1">
      <c r="A552" s="1"/>
      <c r="B552" s="358"/>
      <c r="C552" s="358"/>
      <c r="D552" s="358"/>
      <c r="E552" s="358"/>
      <c r="F552" s="358"/>
      <c r="G552" s="358"/>
      <c r="H552" s="358"/>
      <c r="I552" s="358"/>
      <c r="J552" s="358"/>
      <c r="K552" s="358"/>
      <c r="L552" s="358"/>
      <c r="M552" s="358"/>
      <c r="N552" s="358"/>
      <c r="O552" s="358"/>
      <c r="P552" s="358"/>
      <c r="Q552" s="358"/>
      <c r="R552" s="358"/>
      <c r="S552" s="358"/>
      <c r="T552" s="358"/>
      <c r="U552" s="358"/>
      <c r="V552" s="358"/>
      <c r="W552" s="358"/>
      <c r="X552" s="358"/>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1:49" ht="13.5" customHeight="1">
      <c r="A553" s="1"/>
      <c r="B553" s="358"/>
      <c r="C553" s="358"/>
      <c r="D553" s="358"/>
      <c r="E553" s="358"/>
      <c r="F553" s="358"/>
      <c r="G553" s="358"/>
      <c r="H553" s="358"/>
      <c r="I553" s="358"/>
      <c r="J553" s="358"/>
      <c r="K553" s="358"/>
      <c r="L553" s="358"/>
      <c r="M553" s="358"/>
      <c r="N553" s="358"/>
      <c r="O553" s="358"/>
      <c r="P553" s="358"/>
      <c r="Q553" s="358"/>
      <c r="R553" s="358"/>
      <c r="S553" s="358"/>
      <c r="T553" s="358"/>
      <c r="U553" s="358"/>
      <c r="V553" s="358"/>
      <c r="W553" s="358"/>
      <c r="X553" s="358"/>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1:49" ht="13.5" customHeight="1">
      <c r="A554" s="1"/>
      <c r="B554" s="358"/>
      <c r="C554" s="358"/>
      <c r="D554" s="358"/>
      <c r="E554" s="358"/>
      <c r="F554" s="358"/>
      <c r="G554" s="358"/>
      <c r="H554" s="358"/>
      <c r="I554" s="358"/>
      <c r="J554" s="358"/>
      <c r="K554" s="358"/>
      <c r="L554" s="358"/>
      <c r="M554" s="358"/>
      <c r="N554" s="358"/>
      <c r="O554" s="358"/>
      <c r="P554" s="358"/>
      <c r="Q554" s="358"/>
      <c r="R554" s="358"/>
      <c r="S554" s="358"/>
      <c r="T554" s="358"/>
      <c r="U554" s="358"/>
      <c r="V554" s="358"/>
      <c r="W554" s="358"/>
      <c r="X554" s="358"/>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1:49" ht="13.5" customHeight="1">
      <c r="A555" s="1"/>
      <c r="B555" s="358"/>
      <c r="C555" s="358"/>
      <c r="D555" s="358"/>
      <c r="E555" s="358"/>
      <c r="F555" s="358"/>
      <c r="G555" s="358"/>
      <c r="H555" s="358"/>
      <c r="I555" s="358"/>
      <c r="J555" s="358"/>
      <c r="K555" s="358"/>
      <c r="L555" s="358"/>
      <c r="M555" s="358"/>
      <c r="N555" s="358"/>
      <c r="O555" s="358"/>
      <c r="P555" s="358"/>
      <c r="Q555" s="358"/>
      <c r="R555" s="358"/>
      <c r="S555" s="358"/>
      <c r="T555" s="358"/>
      <c r="U555" s="358"/>
      <c r="V555" s="358"/>
      <c r="W555" s="358"/>
      <c r="X555" s="358"/>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1:49" ht="13.5" customHeight="1">
      <c r="A556" s="1"/>
      <c r="B556" s="358"/>
      <c r="C556" s="358"/>
      <c r="D556" s="358"/>
      <c r="E556" s="358"/>
      <c r="F556" s="358"/>
      <c r="G556" s="358"/>
      <c r="H556" s="358"/>
      <c r="I556" s="358"/>
      <c r="J556" s="358"/>
      <c r="K556" s="358"/>
      <c r="L556" s="358"/>
      <c r="M556" s="358"/>
      <c r="N556" s="358"/>
      <c r="O556" s="358"/>
      <c r="P556" s="358"/>
      <c r="Q556" s="358"/>
      <c r="R556" s="358"/>
      <c r="S556" s="358"/>
      <c r="T556" s="358"/>
      <c r="U556" s="358"/>
      <c r="V556" s="358"/>
      <c r="W556" s="358"/>
      <c r="X556" s="358"/>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1:49" ht="13.5" customHeight="1">
      <c r="A557" s="1"/>
      <c r="B557" s="358"/>
      <c r="C557" s="358"/>
      <c r="D557" s="358"/>
      <c r="E557" s="358"/>
      <c r="F557" s="358"/>
      <c r="G557" s="358"/>
      <c r="H557" s="358"/>
      <c r="I557" s="358"/>
      <c r="J557" s="358"/>
      <c r="K557" s="358"/>
      <c r="L557" s="358"/>
      <c r="M557" s="358"/>
      <c r="N557" s="358"/>
      <c r="O557" s="358"/>
      <c r="P557" s="358"/>
      <c r="Q557" s="358"/>
      <c r="R557" s="358"/>
      <c r="S557" s="358"/>
      <c r="T557" s="358"/>
      <c r="U557" s="358"/>
      <c r="V557" s="358"/>
      <c r="W557" s="358"/>
      <c r="X557" s="358"/>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1:49" ht="13.5" customHeight="1">
      <c r="A558" s="1"/>
      <c r="B558" s="358"/>
      <c r="C558" s="358"/>
      <c r="D558" s="358"/>
      <c r="E558" s="358"/>
      <c r="F558" s="358"/>
      <c r="G558" s="358"/>
      <c r="H558" s="358"/>
      <c r="I558" s="358"/>
      <c r="J558" s="358"/>
      <c r="K558" s="358"/>
      <c r="L558" s="358"/>
      <c r="M558" s="358"/>
      <c r="N558" s="358"/>
      <c r="O558" s="358"/>
      <c r="P558" s="358"/>
      <c r="Q558" s="358"/>
      <c r="R558" s="358"/>
      <c r="S558" s="358"/>
      <c r="T558" s="358"/>
      <c r="U558" s="358"/>
      <c r="V558" s="358"/>
      <c r="W558" s="358"/>
      <c r="X558" s="358"/>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1:49" ht="13.5" customHeight="1">
      <c r="A559" s="1"/>
      <c r="B559" s="358"/>
      <c r="C559" s="358"/>
      <c r="D559" s="358"/>
      <c r="E559" s="358"/>
      <c r="F559" s="358"/>
      <c r="G559" s="358"/>
      <c r="H559" s="358"/>
      <c r="I559" s="358"/>
      <c r="J559" s="358"/>
      <c r="K559" s="358"/>
      <c r="L559" s="358"/>
      <c r="M559" s="358"/>
      <c r="N559" s="358"/>
      <c r="O559" s="358"/>
      <c r="P559" s="358"/>
      <c r="Q559" s="358"/>
      <c r="R559" s="358"/>
      <c r="S559" s="358"/>
      <c r="T559" s="358"/>
      <c r="U559" s="358"/>
      <c r="V559" s="358"/>
      <c r="W559" s="358"/>
      <c r="X559" s="358"/>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1:49" ht="13.5" customHeight="1">
      <c r="A560" s="1"/>
      <c r="B560" s="358"/>
      <c r="C560" s="358"/>
      <c r="D560" s="358"/>
      <c r="E560" s="358"/>
      <c r="F560" s="358"/>
      <c r="G560" s="358"/>
      <c r="H560" s="358"/>
      <c r="I560" s="358"/>
      <c r="J560" s="358"/>
      <c r="K560" s="358"/>
      <c r="L560" s="358"/>
      <c r="M560" s="358"/>
      <c r="N560" s="358"/>
      <c r="O560" s="358"/>
      <c r="P560" s="358"/>
      <c r="Q560" s="358"/>
      <c r="R560" s="358"/>
      <c r="S560" s="358"/>
      <c r="T560" s="358"/>
      <c r="U560" s="358"/>
      <c r="V560" s="358"/>
      <c r="W560" s="358"/>
      <c r="X560" s="358"/>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1:49" ht="13.5" customHeight="1">
      <c r="A561" s="1"/>
      <c r="B561" s="358"/>
      <c r="C561" s="358"/>
      <c r="D561" s="358"/>
      <c r="E561" s="358"/>
      <c r="F561" s="358"/>
      <c r="G561" s="358"/>
      <c r="H561" s="358"/>
      <c r="I561" s="358"/>
      <c r="J561" s="358"/>
      <c r="K561" s="358"/>
      <c r="L561" s="358"/>
      <c r="M561" s="358"/>
      <c r="N561" s="358"/>
      <c r="O561" s="358"/>
      <c r="P561" s="358"/>
      <c r="Q561" s="358"/>
      <c r="R561" s="358"/>
      <c r="S561" s="358"/>
      <c r="T561" s="358"/>
      <c r="U561" s="358"/>
      <c r="V561" s="358"/>
      <c r="W561" s="358"/>
      <c r="X561" s="358"/>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1:49" ht="13.5" customHeight="1">
      <c r="A562" s="1"/>
      <c r="B562" s="358"/>
      <c r="C562" s="358"/>
      <c r="D562" s="358"/>
      <c r="E562" s="358"/>
      <c r="F562" s="358"/>
      <c r="G562" s="358"/>
      <c r="H562" s="358"/>
      <c r="I562" s="358"/>
      <c r="J562" s="358"/>
      <c r="K562" s="358"/>
      <c r="L562" s="358"/>
      <c r="M562" s="358"/>
      <c r="N562" s="358"/>
      <c r="O562" s="358"/>
      <c r="P562" s="358"/>
      <c r="Q562" s="358"/>
      <c r="R562" s="358"/>
      <c r="S562" s="358"/>
      <c r="T562" s="358"/>
      <c r="U562" s="358"/>
      <c r="V562" s="358"/>
      <c r="W562" s="358"/>
      <c r="X562" s="358"/>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1:49" ht="13.5" customHeight="1">
      <c r="A563" s="1"/>
      <c r="B563" s="358"/>
      <c r="C563" s="358"/>
      <c r="D563" s="358"/>
      <c r="E563" s="358"/>
      <c r="F563" s="358"/>
      <c r="G563" s="358"/>
      <c r="H563" s="358"/>
      <c r="I563" s="358"/>
      <c r="J563" s="358"/>
      <c r="K563" s="358"/>
      <c r="L563" s="358"/>
      <c r="M563" s="358"/>
      <c r="N563" s="358"/>
      <c r="O563" s="358"/>
      <c r="P563" s="358"/>
      <c r="Q563" s="358"/>
      <c r="R563" s="358"/>
      <c r="S563" s="358"/>
      <c r="T563" s="358"/>
      <c r="U563" s="358"/>
      <c r="V563" s="358"/>
      <c r="W563" s="358"/>
      <c r="X563" s="358"/>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1:49" ht="13.5" customHeight="1">
      <c r="A564" s="1"/>
      <c r="B564" s="358"/>
      <c r="C564" s="358"/>
      <c r="D564" s="358"/>
      <c r="E564" s="358"/>
      <c r="F564" s="358"/>
      <c r="G564" s="358"/>
      <c r="H564" s="358"/>
      <c r="I564" s="358"/>
      <c r="J564" s="358"/>
      <c r="K564" s="358"/>
      <c r="L564" s="358"/>
      <c r="M564" s="358"/>
      <c r="N564" s="358"/>
      <c r="O564" s="358"/>
      <c r="P564" s="358"/>
      <c r="Q564" s="358"/>
      <c r="R564" s="358"/>
      <c r="S564" s="358"/>
      <c r="T564" s="358"/>
      <c r="U564" s="358"/>
      <c r="V564" s="358"/>
      <c r="W564" s="358"/>
      <c r="X564" s="358"/>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1:49" ht="13.5" customHeight="1">
      <c r="A565" s="1"/>
      <c r="B565" s="358"/>
      <c r="C565" s="358"/>
      <c r="D565" s="358"/>
      <c r="E565" s="358"/>
      <c r="F565" s="358"/>
      <c r="G565" s="358"/>
      <c r="H565" s="358"/>
      <c r="I565" s="358"/>
      <c r="J565" s="358"/>
      <c r="K565" s="358"/>
      <c r="L565" s="358"/>
      <c r="M565" s="358"/>
      <c r="N565" s="358"/>
      <c r="O565" s="358"/>
      <c r="P565" s="358"/>
      <c r="Q565" s="358"/>
      <c r="R565" s="358"/>
      <c r="S565" s="358"/>
      <c r="T565" s="358"/>
      <c r="U565" s="358"/>
      <c r="V565" s="358"/>
      <c r="W565" s="358"/>
      <c r="X565" s="358"/>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1:49" ht="13.5" customHeight="1">
      <c r="A566" s="1"/>
      <c r="B566" s="358"/>
      <c r="C566" s="358"/>
      <c r="D566" s="358"/>
      <c r="E566" s="358"/>
      <c r="F566" s="358"/>
      <c r="G566" s="358"/>
      <c r="H566" s="358"/>
      <c r="I566" s="358"/>
      <c r="J566" s="358"/>
      <c r="K566" s="358"/>
      <c r="L566" s="358"/>
      <c r="M566" s="358"/>
      <c r="N566" s="358"/>
      <c r="O566" s="358"/>
      <c r="P566" s="358"/>
      <c r="Q566" s="358"/>
      <c r="R566" s="358"/>
      <c r="S566" s="358"/>
      <c r="T566" s="358"/>
      <c r="U566" s="358"/>
      <c r="V566" s="358"/>
      <c r="W566" s="358"/>
      <c r="X566" s="358"/>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1:49" ht="13.5" customHeight="1">
      <c r="A567" s="1"/>
      <c r="B567" s="358"/>
      <c r="C567" s="358"/>
      <c r="D567" s="358"/>
      <c r="E567" s="358"/>
      <c r="F567" s="358"/>
      <c r="G567" s="358"/>
      <c r="H567" s="358"/>
      <c r="I567" s="358"/>
      <c r="J567" s="358"/>
      <c r="K567" s="358"/>
      <c r="L567" s="358"/>
      <c r="M567" s="358"/>
      <c r="N567" s="358"/>
      <c r="O567" s="358"/>
      <c r="P567" s="358"/>
      <c r="Q567" s="358"/>
      <c r="R567" s="358"/>
      <c r="S567" s="358"/>
      <c r="T567" s="358"/>
      <c r="U567" s="358"/>
      <c r="V567" s="358"/>
      <c r="W567" s="358"/>
      <c r="X567" s="358"/>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1:49" ht="13.5" customHeight="1">
      <c r="A568" s="1"/>
      <c r="B568" s="358"/>
      <c r="C568" s="358"/>
      <c r="D568" s="358"/>
      <c r="E568" s="358"/>
      <c r="F568" s="358"/>
      <c r="G568" s="358"/>
      <c r="H568" s="358"/>
      <c r="I568" s="358"/>
      <c r="J568" s="358"/>
      <c r="K568" s="358"/>
      <c r="L568" s="358"/>
      <c r="M568" s="358"/>
      <c r="N568" s="358"/>
      <c r="O568" s="358"/>
      <c r="P568" s="358"/>
      <c r="Q568" s="358"/>
      <c r="R568" s="358"/>
      <c r="S568" s="358"/>
      <c r="T568" s="358"/>
      <c r="U568" s="358"/>
      <c r="V568" s="358"/>
      <c r="W568" s="358"/>
      <c r="X568" s="358"/>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1:49" ht="13.5" customHeight="1">
      <c r="A569" s="1"/>
      <c r="B569" s="358"/>
      <c r="C569" s="358"/>
      <c r="D569" s="358"/>
      <c r="E569" s="358"/>
      <c r="F569" s="358"/>
      <c r="G569" s="358"/>
      <c r="H569" s="358"/>
      <c r="I569" s="358"/>
      <c r="J569" s="358"/>
      <c r="K569" s="358"/>
      <c r="L569" s="358"/>
      <c r="M569" s="358"/>
      <c r="N569" s="358"/>
      <c r="O569" s="358"/>
      <c r="P569" s="358"/>
      <c r="Q569" s="358"/>
      <c r="R569" s="358"/>
      <c r="S569" s="358"/>
      <c r="T569" s="358"/>
      <c r="U569" s="358"/>
      <c r="V569" s="358"/>
      <c r="W569" s="358"/>
      <c r="X569" s="358"/>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1:49" ht="13.5" customHeight="1">
      <c r="A570" s="1"/>
      <c r="B570" s="358"/>
      <c r="C570" s="358"/>
      <c r="D570" s="358"/>
      <c r="E570" s="358"/>
      <c r="F570" s="358"/>
      <c r="G570" s="358"/>
      <c r="H570" s="358"/>
      <c r="I570" s="358"/>
      <c r="J570" s="358"/>
      <c r="K570" s="358"/>
      <c r="L570" s="358"/>
      <c r="M570" s="358"/>
      <c r="N570" s="358"/>
      <c r="O570" s="358"/>
      <c r="P570" s="358"/>
      <c r="Q570" s="358"/>
      <c r="R570" s="358"/>
      <c r="S570" s="358"/>
      <c r="T570" s="358"/>
      <c r="U570" s="358"/>
      <c r="V570" s="358"/>
      <c r="W570" s="358"/>
      <c r="X570" s="358"/>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1:49" ht="13.5" customHeight="1">
      <c r="A571" s="1"/>
      <c r="B571" s="358"/>
      <c r="C571" s="358"/>
      <c r="D571" s="358"/>
      <c r="E571" s="358"/>
      <c r="F571" s="358"/>
      <c r="G571" s="358"/>
      <c r="H571" s="358"/>
      <c r="I571" s="358"/>
      <c r="J571" s="358"/>
      <c r="K571" s="358"/>
      <c r="L571" s="358"/>
      <c r="M571" s="358"/>
      <c r="N571" s="358"/>
      <c r="O571" s="358"/>
      <c r="P571" s="358"/>
      <c r="Q571" s="358"/>
      <c r="R571" s="358"/>
      <c r="S571" s="358"/>
      <c r="T571" s="358"/>
      <c r="U571" s="358"/>
      <c r="V571" s="358"/>
      <c r="W571" s="358"/>
      <c r="X571" s="358"/>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1:49" ht="13.5" customHeight="1">
      <c r="A572" s="1"/>
      <c r="B572" s="358"/>
      <c r="C572" s="358"/>
      <c r="D572" s="358"/>
      <c r="E572" s="358"/>
      <c r="F572" s="358"/>
      <c r="G572" s="358"/>
      <c r="H572" s="358"/>
      <c r="I572" s="358"/>
      <c r="J572" s="358"/>
      <c r="K572" s="358"/>
      <c r="L572" s="358"/>
      <c r="M572" s="358"/>
      <c r="N572" s="358"/>
      <c r="O572" s="358"/>
      <c r="P572" s="358"/>
      <c r="Q572" s="358"/>
      <c r="R572" s="358"/>
      <c r="S572" s="358"/>
      <c r="T572" s="358"/>
      <c r="U572" s="358"/>
      <c r="V572" s="358"/>
      <c r="W572" s="358"/>
      <c r="X572" s="358"/>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1:49" ht="13.5" customHeight="1">
      <c r="A573" s="1"/>
      <c r="B573" s="358"/>
      <c r="C573" s="358"/>
      <c r="D573" s="358"/>
      <c r="E573" s="358"/>
      <c r="F573" s="358"/>
      <c r="G573" s="358"/>
      <c r="H573" s="358"/>
      <c r="I573" s="358"/>
      <c r="J573" s="358"/>
      <c r="K573" s="358"/>
      <c r="L573" s="358"/>
      <c r="M573" s="358"/>
      <c r="N573" s="358"/>
      <c r="O573" s="358"/>
      <c r="P573" s="358"/>
      <c r="Q573" s="358"/>
      <c r="R573" s="358"/>
      <c r="S573" s="358"/>
      <c r="T573" s="358"/>
      <c r="U573" s="358"/>
      <c r="V573" s="358"/>
      <c r="W573" s="358"/>
      <c r="X573" s="358"/>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1:49" ht="13.5" customHeight="1">
      <c r="A574" s="1"/>
      <c r="B574" s="358"/>
      <c r="C574" s="358"/>
      <c r="D574" s="358"/>
      <c r="E574" s="358"/>
      <c r="F574" s="358"/>
      <c r="G574" s="358"/>
      <c r="H574" s="358"/>
      <c r="I574" s="358"/>
      <c r="J574" s="358"/>
      <c r="K574" s="358"/>
      <c r="L574" s="358"/>
      <c r="M574" s="358"/>
      <c r="N574" s="358"/>
      <c r="O574" s="358"/>
      <c r="P574" s="358"/>
      <c r="Q574" s="358"/>
      <c r="R574" s="358"/>
      <c r="S574" s="358"/>
      <c r="T574" s="358"/>
      <c r="U574" s="358"/>
      <c r="V574" s="358"/>
      <c r="W574" s="358"/>
      <c r="X574" s="358"/>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1:49" ht="13.5" customHeight="1">
      <c r="A575" s="1"/>
      <c r="B575" s="358"/>
      <c r="C575" s="358"/>
      <c r="D575" s="358"/>
      <c r="E575" s="358"/>
      <c r="F575" s="358"/>
      <c r="G575" s="358"/>
      <c r="H575" s="358"/>
      <c r="I575" s="358"/>
      <c r="J575" s="358"/>
      <c r="K575" s="358"/>
      <c r="L575" s="358"/>
      <c r="M575" s="358"/>
      <c r="N575" s="358"/>
      <c r="O575" s="358"/>
      <c r="P575" s="358"/>
      <c r="Q575" s="358"/>
      <c r="R575" s="358"/>
      <c r="S575" s="358"/>
      <c r="T575" s="358"/>
      <c r="U575" s="358"/>
      <c r="V575" s="358"/>
      <c r="W575" s="358"/>
      <c r="X575" s="358"/>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1:49" ht="13.5" customHeight="1">
      <c r="A576" s="1"/>
      <c r="B576" s="358"/>
      <c r="C576" s="358"/>
      <c r="D576" s="358"/>
      <c r="E576" s="358"/>
      <c r="F576" s="358"/>
      <c r="G576" s="358"/>
      <c r="H576" s="358"/>
      <c r="I576" s="358"/>
      <c r="J576" s="358"/>
      <c r="K576" s="358"/>
      <c r="L576" s="358"/>
      <c r="M576" s="358"/>
      <c r="N576" s="358"/>
      <c r="O576" s="358"/>
      <c r="P576" s="358"/>
      <c r="Q576" s="358"/>
      <c r="R576" s="358"/>
      <c r="S576" s="358"/>
      <c r="T576" s="358"/>
      <c r="U576" s="358"/>
      <c r="V576" s="358"/>
      <c r="W576" s="358"/>
      <c r="X576" s="358"/>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1:49" ht="13.5" customHeight="1">
      <c r="A577" s="1"/>
      <c r="B577" s="358"/>
      <c r="C577" s="358"/>
      <c r="D577" s="358"/>
      <c r="E577" s="358"/>
      <c r="F577" s="358"/>
      <c r="G577" s="358"/>
      <c r="H577" s="358"/>
      <c r="I577" s="358"/>
      <c r="J577" s="358"/>
      <c r="K577" s="358"/>
      <c r="L577" s="358"/>
      <c r="M577" s="358"/>
      <c r="N577" s="358"/>
      <c r="O577" s="358"/>
      <c r="P577" s="358"/>
      <c r="Q577" s="358"/>
      <c r="R577" s="358"/>
      <c r="S577" s="358"/>
      <c r="T577" s="358"/>
      <c r="U577" s="358"/>
      <c r="V577" s="358"/>
      <c r="W577" s="358"/>
      <c r="X577" s="358"/>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1:49" ht="13.5" customHeight="1">
      <c r="A578" s="1"/>
      <c r="B578" s="358"/>
      <c r="C578" s="358"/>
      <c r="D578" s="358"/>
      <c r="E578" s="358"/>
      <c r="F578" s="358"/>
      <c r="G578" s="358"/>
      <c r="H578" s="358"/>
      <c r="I578" s="358"/>
      <c r="J578" s="358"/>
      <c r="K578" s="358"/>
      <c r="L578" s="358"/>
      <c r="M578" s="358"/>
      <c r="N578" s="358"/>
      <c r="O578" s="358"/>
      <c r="P578" s="358"/>
      <c r="Q578" s="358"/>
      <c r="R578" s="358"/>
      <c r="S578" s="358"/>
      <c r="T578" s="358"/>
      <c r="U578" s="358"/>
      <c r="V578" s="358"/>
      <c r="W578" s="358"/>
      <c r="X578" s="358"/>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1:49" ht="13.5" customHeight="1">
      <c r="A579" s="1"/>
      <c r="B579" s="358"/>
      <c r="C579" s="358"/>
      <c r="D579" s="358"/>
      <c r="E579" s="358"/>
      <c r="F579" s="358"/>
      <c r="G579" s="358"/>
      <c r="H579" s="358"/>
      <c r="I579" s="358"/>
      <c r="J579" s="358"/>
      <c r="K579" s="358"/>
      <c r="L579" s="358"/>
      <c r="M579" s="358"/>
      <c r="N579" s="358"/>
      <c r="O579" s="358"/>
      <c r="P579" s="358"/>
      <c r="Q579" s="358"/>
      <c r="R579" s="358"/>
      <c r="S579" s="358"/>
      <c r="T579" s="358"/>
      <c r="U579" s="358"/>
      <c r="V579" s="358"/>
      <c r="W579" s="358"/>
      <c r="X579" s="358"/>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1:49" ht="13.5" customHeight="1">
      <c r="A580" s="1"/>
      <c r="B580" s="358"/>
      <c r="C580" s="358"/>
      <c r="D580" s="358"/>
      <c r="E580" s="358"/>
      <c r="F580" s="358"/>
      <c r="G580" s="358"/>
      <c r="H580" s="358"/>
      <c r="I580" s="358"/>
      <c r="J580" s="358"/>
      <c r="K580" s="358"/>
      <c r="L580" s="358"/>
      <c r="M580" s="358"/>
      <c r="N580" s="358"/>
      <c r="O580" s="358"/>
      <c r="P580" s="358"/>
      <c r="Q580" s="358"/>
      <c r="R580" s="358"/>
      <c r="S580" s="358"/>
      <c r="T580" s="358"/>
      <c r="U580" s="358"/>
      <c r="V580" s="358"/>
      <c r="W580" s="358"/>
      <c r="X580" s="358"/>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1:49" ht="13.5" customHeight="1">
      <c r="A581" s="1"/>
      <c r="B581" s="358"/>
      <c r="C581" s="358"/>
      <c r="D581" s="358"/>
      <c r="E581" s="358"/>
      <c r="F581" s="358"/>
      <c r="G581" s="358"/>
      <c r="H581" s="358"/>
      <c r="I581" s="358"/>
      <c r="J581" s="358"/>
      <c r="K581" s="358"/>
      <c r="L581" s="358"/>
      <c r="M581" s="358"/>
      <c r="N581" s="358"/>
      <c r="O581" s="358"/>
      <c r="P581" s="358"/>
      <c r="Q581" s="358"/>
      <c r="R581" s="358"/>
      <c r="S581" s="358"/>
      <c r="T581" s="358"/>
      <c r="U581" s="358"/>
      <c r="V581" s="358"/>
      <c r="W581" s="358"/>
      <c r="X581" s="358"/>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1:49" ht="13.5" customHeight="1">
      <c r="A582" s="1"/>
      <c r="B582" s="358"/>
      <c r="C582" s="358"/>
      <c r="D582" s="358"/>
      <c r="E582" s="358"/>
      <c r="F582" s="358"/>
      <c r="G582" s="358"/>
      <c r="H582" s="358"/>
      <c r="I582" s="358"/>
      <c r="J582" s="358"/>
      <c r="K582" s="358"/>
      <c r="L582" s="358"/>
      <c r="M582" s="358"/>
      <c r="N582" s="358"/>
      <c r="O582" s="358"/>
      <c r="P582" s="358"/>
      <c r="Q582" s="358"/>
      <c r="R582" s="358"/>
      <c r="S582" s="358"/>
      <c r="T582" s="358"/>
      <c r="U582" s="358"/>
      <c r="V582" s="358"/>
      <c r="W582" s="358"/>
      <c r="X582" s="358"/>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1:49" ht="13.5" customHeight="1">
      <c r="A583" s="1"/>
      <c r="B583" s="358"/>
      <c r="C583" s="358"/>
      <c r="D583" s="358"/>
      <c r="E583" s="358"/>
      <c r="F583" s="358"/>
      <c r="G583" s="358"/>
      <c r="H583" s="358"/>
      <c r="I583" s="358"/>
      <c r="J583" s="358"/>
      <c r="K583" s="358"/>
      <c r="L583" s="358"/>
      <c r="M583" s="358"/>
      <c r="N583" s="358"/>
      <c r="O583" s="358"/>
      <c r="P583" s="358"/>
      <c r="Q583" s="358"/>
      <c r="R583" s="358"/>
      <c r="S583" s="358"/>
      <c r="T583" s="358"/>
      <c r="U583" s="358"/>
      <c r="V583" s="358"/>
      <c r="W583" s="358"/>
      <c r="X583" s="358"/>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1:49" ht="13.5" customHeight="1">
      <c r="A584" s="1"/>
      <c r="B584" s="358"/>
      <c r="C584" s="358"/>
      <c r="D584" s="358"/>
      <c r="E584" s="358"/>
      <c r="F584" s="358"/>
      <c r="G584" s="358"/>
      <c r="H584" s="358"/>
      <c r="I584" s="358"/>
      <c r="J584" s="358"/>
      <c r="K584" s="358"/>
      <c r="L584" s="358"/>
      <c r="M584" s="358"/>
      <c r="N584" s="358"/>
      <c r="O584" s="358"/>
      <c r="P584" s="358"/>
      <c r="Q584" s="358"/>
      <c r="R584" s="358"/>
      <c r="S584" s="358"/>
      <c r="T584" s="358"/>
      <c r="U584" s="358"/>
      <c r="V584" s="358"/>
      <c r="W584" s="358"/>
      <c r="X584" s="358"/>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1:49" ht="13.5" customHeight="1">
      <c r="A585" s="1"/>
      <c r="B585" s="358"/>
      <c r="C585" s="358"/>
      <c r="D585" s="358"/>
      <c r="E585" s="358"/>
      <c r="F585" s="358"/>
      <c r="G585" s="358"/>
      <c r="H585" s="358"/>
      <c r="I585" s="358"/>
      <c r="J585" s="358"/>
      <c r="K585" s="358"/>
      <c r="L585" s="358"/>
      <c r="M585" s="358"/>
      <c r="N585" s="358"/>
      <c r="O585" s="358"/>
      <c r="P585" s="358"/>
      <c r="Q585" s="358"/>
      <c r="R585" s="358"/>
      <c r="S585" s="358"/>
      <c r="T585" s="358"/>
      <c r="U585" s="358"/>
      <c r="V585" s="358"/>
      <c r="W585" s="358"/>
      <c r="X585" s="358"/>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1:49" ht="13.5" customHeight="1">
      <c r="A586" s="1"/>
      <c r="B586" s="358"/>
      <c r="C586" s="358"/>
      <c r="D586" s="358"/>
      <c r="E586" s="358"/>
      <c r="F586" s="358"/>
      <c r="G586" s="358"/>
      <c r="H586" s="358"/>
      <c r="I586" s="358"/>
      <c r="J586" s="358"/>
      <c r="K586" s="358"/>
      <c r="L586" s="358"/>
      <c r="M586" s="358"/>
      <c r="N586" s="358"/>
      <c r="O586" s="358"/>
      <c r="P586" s="358"/>
      <c r="Q586" s="358"/>
      <c r="R586" s="358"/>
      <c r="S586" s="358"/>
      <c r="T586" s="358"/>
      <c r="U586" s="358"/>
      <c r="V586" s="358"/>
      <c r="W586" s="358"/>
      <c r="X586" s="358"/>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1:49" ht="13.5" customHeight="1">
      <c r="A587" s="1"/>
      <c r="B587" s="358"/>
      <c r="C587" s="358"/>
      <c r="D587" s="358"/>
      <c r="E587" s="358"/>
      <c r="F587" s="358"/>
      <c r="G587" s="358"/>
      <c r="H587" s="358"/>
      <c r="I587" s="358"/>
      <c r="J587" s="358"/>
      <c r="K587" s="358"/>
      <c r="L587" s="358"/>
      <c r="M587" s="358"/>
      <c r="N587" s="358"/>
      <c r="O587" s="358"/>
      <c r="P587" s="358"/>
      <c r="Q587" s="358"/>
      <c r="R587" s="358"/>
      <c r="S587" s="358"/>
      <c r="T587" s="358"/>
      <c r="U587" s="358"/>
      <c r="V587" s="358"/>
      <c r="W587" s="358"/>
      <c r="X587" s="358"/>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1:49" ht="13.5" customHeight="1">
      <c r="A588" s="1"/>
      <c r="B588" s="358"/>
      <c r="C588" s="358"/>
      <c r="D588" s="358"/>
      <c r="E588" s="358"/>
      <c r="F588" s="358"/>
      <c r="G588" s="358"/>
      <c r="H588" s="358"/>
      <c r="I588" s="358"/>
      <c r="J588" s="358"/>
      <c r="K588" s="358"/>
      <c r="L588" s="358"/>
      <c r="M588" s="358"/>
      <c r="N588" s="358"/>
      <c r="O588" s="358"/>
      <c r="P588" s="358"/>
      <c r="Q588" s="358"/>
      <c r="R588" s="358"/>
      <c r="S588" s="358"/>
      <c r="T588" s="358"/>
      <c r="U588" s="358"/>
      <c r="V588" s="358"/>
      <c r="W588" s="358"/>
      <c r="X588" s="358"/>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1:49" ht="13.5" customHeight="1">
      <c r="A589" s="1"/>
      <c r="B589" s="358"/>
      <c r="C589" s="358"/>
      <c r="D589" s="358"/>
      <c r="E589" s="358"/>
      <c r="F589" s="358"/>
      <c r="G589" s="358"/>
      <c r="H589" s="358"/>
      <c r="I589" s="358"/>
      <c r="J589" s="358"/>
      <c r="K589" s="358"/>
      <c r="L589" s="358"/>
      <c r="M589" s="358"/>
      <c r="N589" s="358"/>
      <c r="O589" s="358"/>
      <c r="P589" s="358"/>
      <c r="Q589" s="358"/>
      <c r="R589" s="358"/>
      <c r="S589" s="358"/>
      <c r="T589" s="358"/>
      <c r="U589" s="358"/>
      <c r="V589" s="358"/>
      <c r="W589" s="358"/>
      <c r="X589" s="358"/>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1:49" ht="13.5" customHeight="1">
      <c r="A590" s="1"/>
      <c r="B590" s="358"/>
      <c r="C590" s="358"/>
      <c r="D590" s="358"/>
      <c r="E590" s="358"/>
      <c r="F590" s="358"/>
      <c r="G590" s="358"/>
      <c r="H590" s="358"/>
      <c r="I590" s="358"/>
      <c r="J590" s="358"/>
      <c r="K590" s="358"/>
      <c r="L590" s="358"/>
      <c r="M590" s="358"/>
      <c r="N590" s="358"/>
      <c r="O590" s="358"/>
      <c r="P590" s="358"/>
      <c r="Q590" s="358"/>
      <c r="R590" s="358"/>
      <c r="S590" s="358"/>
      <c r="T590" s="358"/>
      <c r="U590" s="358"/>
      <c r="V590" s="358"/>
      <c r="W590" s="358"/>
      <c r="X590" s="358"/>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1:49" ht="13.5" customHeight="1">
      <c r="A591" s="1"/>
      <c r="B591" s="358"/>
      <c r="C591" s="358"/>
      <c r="D591" s="358"/>
      <c r="E591" s="358"/>
      <c r="F591" s="358"/>
      <c r="G591" s="358"/>
      <c r="H591" s="358"/>
      <c r="I591" s="358"/>
      <c r="J591" s="358"/>
      <c r="K591" s="358"/>
      <c r="L591" s="358"/>
      <c r="M591" s="358"/>
      <c r="N591" s="358"/>
      <c r="O591" s="358"/>
      <c r="P591" s="358"/>
      <c r="Q591" s="358"/>
      <c r="R591" s="358"/>
      <c r="S591" s="358"/>
      <c r="T591" s="358"/>
      <c r="U591" s="358"/>
      <c r="V591" s="358"/>
      <c r="W591" s="358"/>
      <c r="X591" s="358"/>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1:49" ht="13.5" customHeight="1">
      <c r="A592" s="1"/>
      <c r="B592" s="358"/>
      <c r="C592" s="358"/>
      <c r="D592" s="358"/>
      <c r="E592" s="358"/>
      <c r="F592" s="358"/>
      <c r="G592" s="358"/>
      <c r="H592" s="358"/>
      <c r="I592" s="358"/>
      <c r="J592" s="358"/>
      <c r="K592" s="358"/>
      <c r="L592" s="358"/>
      <c r="M592" s="358"/>
      <c r="N592" s="358"/>
      <c r="O592" s="358"/>
      <c r="P592" s="358"/>
      <c r="Q592" s="358"/>
      <c r="R592" s="358"/>
      <c r="S592" s="358"/>
      <c r="T592" s="358"/>
      <c r="U592" s="358"/>
      <c r="V592" s="358"/>
      <c r="W592" s="358"/>
      <c r="X592" s="358"/>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1:49" ht="13.5" customHeight="1">
      <c r="A593" s="1"/>
      <c r="B593" s="358"/>
      <c r="C593" s="358"/>
      <c r="D593" s="358"/>
      <c r="E593" s="358"/>
      <c r="F593" s="358"/>
      <c r="G593" s="358"/>
      <c r="H593" s="358"/>
      <c r="I593" s="358"/>
      <c r="J593" s="358"/>
      <c r="K593" s="358"/>
      <c r="L593" s="358"/>
      <c r="M593" s="358"/>
      <c r="N593" s="358"/>
      <c r="O593" s="358"/>
      <c r="P593" s="358"/>
      <c r="Q593" s="358"/>
      <c r="R593" s="358"/>
      <c r="S593" s="358"/>
      <c r="T593" s="358"/>
      <c r="U593" s="358"/>
      <c r="V593" s="358"/>
      <c r="W593" s="358"/>
      <c r="X593" s="358"/>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1:49" ht="13.5" customHeight="1">
      <c r="A594" s="1"/>
      <c r="B594" s="358"/>
      <c r="C594" s="358"/>
      <c r="D594" s="358"/>
      <c r="E594" s="358"/>
      <c r="F594" s="358"/>
      <c r="G594" s="358"/>
      <c r="H594" s="358"/>
      <c r="I594" s="358"/>
      <c r="J594" s="358"/>
      <c r="K594" s="358"/>
      <c r="L594" s="358"/>
      <c r="M594" s="358"/>
      <c r="N594" s="358"/>
      <c r="O594" s="358"/>
      <c r="P594" s="358"/>
      <c r="Q594" s="358"/>
      <c r="R594" s="358"/>
      <c r="S594" s="358"/>
      <c r="T594" s="358"/>
      <c r="U594" s="358"/>
      <c r="V594" s="358"/>
      <c r="W594" s="358"/>
      <c r="X594" s="358"/>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1:49" ht="13.5" customHeight="1">
      <c r="A595" s="1"/>
      <c r="B595" s="358"/>
      <c r="C595" s="358"/>
      <c r="D595" s="358"/>
      <c r="E595" s="358"/>
      <c r="F595" s="358"/>
      <c r="G595" s="358"/>
      <c r="H595" s="358"/>
      <c r="I595" s="358"/>
      <c r="J595" s="358"/>
      <c r="K595" s="358"/>
      <c r="L595" s="358"/>
      <c r="M595" s="358"/>
      <c r="N595" s="358"/>
      <c r="O595" s="358"/>
      <c r="P595" s="358"/>
      <c r="Q595" s="358"/>
      <c r="R595" s="358"/>
      <c r="S595" s="358"/>
      <c r="T595" s="358"/>
      <c r="U595" s="358"/>
      <c r="V595" s="358"/>
      <c r="W595" s="358"/>
      <c r="X595" s="358"/>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1:49" ht="13.5" customHeight="1">
      <c r="A596" s="1"/>
      <c r="B596" s="358"/>
      <c r="C596" s="358"/>
      <c r="D596" s="358"/>
      <c r="E596" s="358"/>
      <c r="F596" s="358"/>
      <c r="G596" s="358"/>
      <c r="H596" s="358"/>
      <c r="I596" s="358"/>
      <c r="J596" s="358"/>
      <c r="K596" s="358"/>
      <c r="L596" s="358"/>
      <c r="M596" s="358"/>
      <c r="N596" s="358"/>
      <c r="O596" s="358"/>
      <c r="P596" s="358"/>
      <c r="Q596" s="358"/>
      <c r="R596" s="358"/>
      <c r="S596" s="358"/>
      <c r="T596" s="358"/>
      <c r="U596" s="358"/>
      <c r="V596" s="358"/>
      <c r="W596" s="358"/>
      <c r="X596" s="358"/>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1:49" ht="13.5" customHeight="1">
      <c r="A597" s="1"/>
      <c r="B597" s="358"/>
      <c r="C597" s="358"/>
      <c r="D597" s="358"/>
      <c r="E597" s="358"/>
      <c r="F597" s="358"/>
      <c r="G597" s="358"/>
      <c r="H597" s="358"/>
      <c r="I597" s="358"/>
      <c r="J597" s="358"/>
      <c r="K597" s="358"/>
      <c r="L597" s="358"/>
      <c r="M597" s="358"/>
      <c r="N597" s="358"/>
      <c r="O597" s="358"/>
      <c r="P597" s="358"/>
      <c r="Q597" s="358"/>
      <c r="R597" s="358"/>
      <c r="S597" s="358"/>
      <c r="T597" s="358"/>
      <c r="U597" s="358"/>
      <c r="V597" s="358"/>
      <c r="W597" s="358"/>
      <c r="X597" s="358"/>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1:49" ht="13.5" customHeight="1">
      <c r="A598" s="1"/>
      <c r="B598" s="358"/>
      <c r="C598" s="358"/>
      <c r="D598" s="358"/>
      <c r="E598" s="358"/>
      <c r="F598" s="358"/>
      <c r="G598" s="358"/>
      <c r="H598" s="358"/>
      <c r="I598" s="358"/>
      <c r="J598" s="358"/>
      <c r="K598" s="358"/>
      <c r="L598" s="358"/>
      <c r="M598" s="358"/>
      <c r="N598" s="358"/>
      <c r="O598" s="358"/>
      <c r="P598" s="358"/>
      <c r="Q598" s="358"/>
      <c r="R598" s="358"/>
      <c r="S598" s="358"/>
      <c r="T598" s="358"/>
      <c r="U598" s="358"/>
      <c r="V598" s="358"/>
      <c r="W598" s="358"/>
      <c r="X598" s="358"/>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1:49" ht="13.5" customHeight="1">
      <c r="A599" s="1"/>
      <c r="B599" s="358"/>
      <c r="C599" s="358"/>
      <c r="D599" s="358"/>
      <c r="E599" s="358"/>
      <c r="F599" s="358"/>
      <c r="G599" s="358"/>
      <c r="H599" s="358"/>
      <c r="I599" s="358"/>
      <c r="J599" s="358"/>
      <c r="K599" s="358"/>
      <c r="L599" s="358"/>
      <c r="M599" s="358"/>
      <c r="N599" s="358"/>
      <c r="O599" s="358"/>
      <c r="P599" s="358"/>
      <c r="Q599" s="358"/>
      <c r="R599" s="358"/>
      <c r="S599" s="358"/>
      <c r="T599" s="358"/>
      <c r="U599" s="358"/>
      <c r="V599" s="358"/>
      <c r="W599" s="358"/>
      <c r="X599" s="358"/>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1:49" ht="13.5" customHeight="1">
      <c r="A600" s="1"/>
      <c r="B600" s="358"/>
      <c r="C600" s="358"/>
      <c r="D600" s="358"/>
      <c r="E600" s="358"/>
      <c r="F600" s="358"/>
      <c r="G600" s="358"/>
      <c r="H600" s="358"/>
      <c r="I600" s="358"/>
      <c r="J600" s="358"/>
      <c r="K600" s="358"/>
      <c r="L600" s="358"/>
      <c r="M600" s="358"/>
      <c r="N600" s="358"/>
      <c r="O600" s="358"/>
      <c r="P600" s="358"/>
      <c r="Q600" s="358"/>
      <c r="R600" s="358"/>
      <c r="S600" s="358"/>
      <c r="T600" s="358"/>
      <c r="U600" s="358"/>
      <c r="V600" s="358"/>
      <c r="W600" s="358"/>
      <c r="X600" s="358"/>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1:49" ht="13.5" customHeight="1">
      <c r="A601" s="1"/>
      <c r="B601" s="358"/>
      <c r="C601" s="358"/>
      <c r="D601" s="358"/>
      <c r="E601" s="358"/>
      <c r="F601" s="358"/>
      <c r="G601" s="358"/>
      <c r="H601" s="358"/>
      <c r="I601" s="358"/>
      <c r="J601" s="358"/>
      <c r="K601" s="358"/>
      <c r="L601" s="358"/>
      <c r="M601" s="358"/>
      <c r="N601" s="358"/>
      <c r="O601" s="358"/>
      <c r="P601" s="358"/>
      <c r="Q601" s="358"/>
      <c r="R601" s="358"/>
      <c r="S601" s="358"/>
      <c r="T601" s="358"/>
      <c r="U601" s="358"/>
      <c r="V601" s="358"/>
      <c r="W601" s="358"/>
      <c r="X601" s="358"/>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1:49" ht="13.5" customHeight="1">
      <c r="A602" s="1"/>
      <c r="B602" s="358"/>
      <c r="C602" s="358"/>
      <c r="D602" s="358"/>
      <c r="E602" s="358"/>
      <c r="F602" s="358"/>
      <c r="G602" s="358"/>
      <c r="H602" s="358"/>
      <c r="I602" s="358"/>
      <c r="J602" s="358"/>
      <c r="K602" s="358"/>
      <c r="L602" s="358"/>
      <c r="M602" s="358"/>
      <c r="N602" s="358"/>
      <c r="O602" s="358"/>
      <c r="P602" s="358"/>
      <c r="Q602" s="358"/>
      <c r="R602" s="358"/>
      <c r="S602" s="358"/>
      <c r="T602" s="358"/>
      <c r="U602" s="358"/>
      <c r="V602" s="358"/>
      <c r="W602" s="358"/>
      <c r="X602" s="358"/>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1:49" ht="13.5" customHeight="1">
      <c r="A603" s="1"/>
      <c r="B603" s="358"/>
      <c r="C603" s="358"/>
      <c r="D603" s="358"/>
      <c r="E603" s="358"/>
      <c r="F603" s="358"/>
      <c r="G603" s="358"/>
      <c r="H603" s="358"/>
      <c r="I603" s="358"/>
      <c r="J603" s="358"/>
      <c r="K603" s="358"/>
      <c r="L603" s="358"/>
      <c r="M603" s="358"/>
      <c r="N603" s="358"/>
      <c r="O603" s="358"/>
      <c r="P603" s="358"/>
      <c r="Q603" s="358"/>
      <c r="R603" s="358"/>
      <c r="S603" s="358"/>
      <c r="T603" s="358"/>
      <c r="U603" s="358"/>
      <c r="V603" s="358"/>
      <c r="W603" s="358"/>
      <c r="X603" s="358"/>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1:49" ht="13.5" customHeight="1">
      <c r="A604" s="1"/>
      <c r="B604" s="358"/>
      <c r="C604" s="358"/>
      <c r="D604" s="358"/>
      <c r="E604" s="358"/>
      <c r="F604" s="358"/>
      <c r="G604" s="358"/>
      <c r="H604" s="358"/>
      <c r="I604" s="358"/>
      <c r="J604" s="358"/>
      <c r="K604" s="358"/>
      <c r="L604" s="358"/>
      <c r="M604" s="358"/>
      <c r="N604" s="358"/>
      <c r="O604" s="358"/>
      <c r="P604" s="358"/>
      <c r="Q604" s="358"/>
      <c r="R604" s="358"/>
      <c r="S604" s="358"/>
      <c r="T604" s="358"/>
      <c r="U604" s="358"/>
      <c r="V604" s="358"/>
      <c r="W604" s="358"/>
      <c r="X604" s="358"/>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1:49" ht="13.5" customHeight="1">
      <c r="A605" s="1"/>
      <c r="B605" s="358"/>
      <c r="C605" s="358"/>
      <c r="D605" s="358"/>
      <c r="E605" s="358"/>
      <c r="F605" s="358"/>
      <c r="G605" s="358"/>
      <c r="H605" s="358"/>
      <c r="I605" s="358"/>
      <c r="J605" s="358"/>
      <c r="K605" s="358"/>
      <c r="L605" s="358"/>
      <c r="M605" s="358"/>
      <c r="N605" s="358"/>
      <c r="O605" s="358"/>
      <c r="P605" s="358"/>
      <c r="Q605" s="358"/>
      <c r="R605" s="358"/>
      <c r="S605" s="358"/>
      <c r="T605" s="358"/>
      <c r="U605" s="358"/>
      <c r="V605" s="358"/>
      <c r="W605" s="358"/>
      <c r="X605" s="358"/>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1:49" ht="13.5" customHeight="1">
      <c r="A606" s="1"/>
      <c r="B606" s="358"/>
      <c r="C606" s="358"/>
      <c r="D606" s="358"/>
      <c r="E606" s="358"/>
      <c r="F606" s="358"/>
      <c r="G606" s="358"/>
      <c r="H606" s="358"/>
      <c r="I606" s="358"/>
      <c r="J606" s="358"/>
      <c r="K606" s="358"/>
      <c r="L606" s="358"/>
      <c r="M606" s="358"/>
      <c r="N606" s="358"/>
      <c r="O606" s="358"/>
      <c r="P606" s="358"/>
      <c r="Q606" s="358"/>
      <c r="R606" s="358"/>
      <c r="S606" s="358"/>
      <c r="T606" s="358"/>
      <c r="U606" s="358"/>
      <c r="V606" s="358"/>
      <c r="W606" s="358"/>
      <c r="X606" s="358"/>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1:49" ht="13.5" customHeight="1">
      <c r="A607" s="1"/>
      <c r="B607" s="358"/>
      <c r="C607" s="358"/>
      <c r="D607" s="358"/>
      <c r="E607" s="358"/>
      <c r="F607" s="358"/>
      <c r="G607" s="358"/>
      <c r="H607" s="358"/>
      <c r="I607" s="358"/>
      <c r="J607" s="358"/>
      <c r="K607" s="358"/>
      <c r="L607" s="358"/>
      <c r="M607" s="358"/>
      <c r="N607" s="358"/>
      <c r="O607" s="358"/>
      <c r="P607" s="358"/>
      <c r="Q607" s="358"/>
      <c r="R607" s="358"/>
      <c r="S607" s="358"/>
      <c r="T607" s="358"/>
      <c r="U607" s="358"/>
      <c r="V607" s="358"/>
      <c r="W607" s="358"/>
      <c r="X607" s="358"/>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1:49" ht="13.5" customHeight="1">
      <c r="A608" s="1"/>
      <c r="B608" s="358"/>
      <c r="C608" s="358"/>
      <c r="D608" s="358"/>
      <c r="E608" s="358"/>
      <c r="F608" s="358"/>
      <c r="G608" s="358"/>
      <c r="H608" s="358"/>
      <c r="I608" s="358"/>
      <c r="J608" s="358"/>
      <c r="K608" s="358"/>
      <c r="L608" s="358"/>
      <c r="M608" s="358"/>
      <c r="N608" s="358"/>
      <c r="O608" s="358"/>
      <c r="P608" s="358"/>
      <c r="Q608" s="358"/>
      <c r="R608" s="358"/>
      <c r="S608" s="358"/>
      <c r="T608" s="358"/>
      <c r="U608" s="358"/>
      <c r="V608" s="358"/>
      <c r="W608" s="358"/>
      <c r="X608" s="358"/>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1:49" ht="13.5" customHeight="1">
      <c r="A609" s="1"/>
      <c r="B609" s="358"/>
      <c r="C609" s="358"/>
      <c r="D609" s="358"/>
      <c r="E609" s="358"/>
      <c r="F609" s="358"/>
      <c r="G609" s="358"/>
      <c r="H609" s="358"/>
      <c r="I609" s="358"/>
      <c r="J609" s="358"/>
      <c r="K609" s="358"/>
      <c r="L609" s="358"/>
      <c r="M609" s="358"/>
      <c r="N609" s="358"/>
      <c r="O609" s="358"/>
      <c r="P609" s="358"/>
      <c r="Q609" s="358"/>
      <c r="R609" s="358"/>
      <c r="S609" s="358"/>
      <c r="T609" s="358"/>
      <c r="U609" s="358"/>
      <c r="V609" s="358"/>
      <c r="W609" s="358"/>
      <c r="X609" s="358"/>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1:49" ht="13.5" customHeight="1">
      <c r="A610" s="1"/>
      <c r="B610" s="358"/>
      <c r="C610" s="358"/>
      <c r="D610" s="358"/>
      <c r="E610" s="358"/>
      <c r="F610" s="358"/>
      <c r="G610" s="358"/>
      <c r="H610" s="358"/>
      <c r="I610" s="358"/>
      <c r="J610" s="358"/>
      <c r="K610" s="358"/>
      <c r="L610" s="358"/>
      <c r="M610" s="358"/>
      <c r="N610" s="358"/>
      <c r="O610" s="358"/>
      <c r="P610" s="358"/>
      <c r="Q610" s="358"/>
      <c r="R610" s="358"/>
      <c r="S610" s="358"/>
      <c r="T610" s="358"/>
      <c r="U610" s="358"/>
      <c r="V610" s="358"/>
      <c r="W610" s="358"/>
      <c r="X610" s="358"/>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1:49" ht="13.5" customHeight="1">
      <c r="A611" s="1"/>
      <c r="B611" s="358"/>
      <c r="C611" s="358"/>
      <c r="D611" s="358"/>
      <c r="E611" s="358"/>
      <c r="F611" s="358"/>
      <c r="G611" s="358"/>
      <c r="H611" s="358"/>
      <c r="I611" s="358"/>
      <c r="J611" s="358"/>
      <c r="K611" s="358"/>
      <c r="L611" s="358"/>
      <c r="M611" s="358"/>
      <c r="N611" s="358"/>
      <c r="O611" s="358"/>
      <c r="P611" s="358"/>
      <c r="Q611" s="358"/>
      <c r="R611" s="358"/>
      <c r="S611" s="358"/>
      <c r="T611" s="358"/>
      <c r="U611" s="358"/>
      <c r="V611" s="358"/>
      <c r="W611" s="358"/>
      <c r="X611" s="358"/>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1:49" ht="13.5" customHeight="1">
      <c r="A612" s="1"/>
      <c r="B612" s="358"/>
      <c r="C612" s="358"/>
      <c r="D612" s="358"/>
      <c r="E612" s="358"/>
      <c r="F612" s="358"/>
      <c r="G612" s="358"/>
      <c r="H612" s="358"/>
      <c r="I612" s="358"/>
      <c r="J612" s="358"/>
      <c r="K612" s="358"/>
      <c r="L612" s="358"/>
      <c r="M612" s="358"/>
      <c r="N612" s="358"/>
      <c r="O612" s="358"/>
      <c r="P612" s="358"/>
      <c r="Q612" s="358"/>
      <c r="R612" s="358"/>
      <c r="S612" s="358"/>
      <c r="T612" s="358"/>
      <c r="U612" s="358"/>
      <c r="V612" s="358"/>
      <c r="W612" s="358"/>
      <c r="X612" s="358"/>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1:49" ht="13.5" customHeight="1">
      <c r="A613" s="1"/>
      <c r="B613" s="358"/>
      <c r="C613" s="358"/>
      <c r="D613" s="358"/>
      <c r="E613" s="358"/>
      <c r="F613" s="358"/>
      <c r="G613" s="358"/>
      <c r="H613" s="358"/>
      <c r="I613" s="358"/>
      <c r="J613" s="358"/>
      <c r="K613" s="358"/>
      <c r="L613" s="358"/>
      <c r="M613" s="358"/>
      <c r="N613" s="358"/>
      <c r="O613" s="358"/>
      <c r="P613" s="358"/>
      <c r="Q613" s="358"/>
      <c r="R613" s="358"/>
      <c r="S613" s="358"/>
      <c r="T613" s="358"/>
      <c r="U613" s="358"/>
      <c r="V613" s="358"/>
      <c r="W613" s="358"/>
      <c r="X613" s="358"/>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1:49" ht="13.5" customHeight="1">
      <c r="A614" s="1"/>
      <c r="B614" s="358"/>
      <c r="C614" s="358"/>
      <c r="D614" s="358"/>
      <c r="E614" s="358"/>
      <c r="F614" s="358"/>
      <c r="G614" s="358"/>
      <c r="H614" s="358"/>
      <c r="I614" s="358"/>
      <c r="J614" s="358"/>
      <c r="K614" s="358"/>
      <c r="L614" s="358"/>
      <c r="M614" s="358"/>
      <c r="N614" s="358"/>
      <c r="O614" s="358"/>
      <c r="P614" s="358"/>
      <c r="Q614" s="358"/>
      <c r="R614" s="358"/>
      <c r="S614" s="358"/>
      <c r="T614" s="358"/>
      <c r="U614" s="358"/>
      <c r="V614" s="358"/>
      <c r="W614" s="358"/>
      <c r="X614" s="358"/>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1:49" ht="13.5" customHeight="1">
      <c r="A615" s="1"/>
      <c r="B615" s="358"/>
      <c r="C615" s="358"/>
      <c r="D615" s="358"/>
      <c r="E615" s="358"/>
      <c r="F615" s="358"/>
      <c r="G615" s="358"/>
      <c r="H615" s="358"/>
      <c r="I615" s="358"/>
      <c r="J615" s="358"/>
      <c r="K615" s="358"/>
      <c r="L615" s="358"/>
      <c r="M615" s="358"/>
      <c r="N615" s="358"/>
      <c r="O615" s="358"/>
      <c r="P615" s="358"/>
      <c r="Q615" s="358"/>
      <c r="R615" s="358"/>
      <c r="S615" s="358"/>
      <c r="T615" s="358"/>
      <c r="U615" s="358"/>
      <c r="V615" s="358"/>
      <c r="W615" s="358"/>
      <c r="X615" s="358"/>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1:49" ht="13.5" customHeight="1">
      <c r="A616" s="1"/>
      <c r="B616" s="358"/>
      <c r="C616" s="358"/>
      <c r="D616" s="358"/>
      <c r="E616" s="358"/>
      <c r="F616" s="358"/>
      <c r="G616" s="358"/>
      <c r="H616" s="358"/>
      <c r="I616" s="358"/>
      <c r="J616" s="358"/>
      <c r="K616" s="358"/>
      <c r="L616" s="358"/>
      <c r="M616" s="358"/>
      <c r="N616" s="358"/>
      <c r="O616" s="358"/>
      <c r="P616" s="358"/>
      <c r="Q616" s="358"/>
      <c r="R616" s="358"/>
      <c r="S616" s="358"/>
      <c r="T616" s="358"/>
      <c r="U616" s="358"/>
      <c r="V616" s="358"/>
      <c r="W616" s="358"/>
      <c r="X616" s="358"/>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1:49" ht="13.5" customHeight="1">
      <c r="A617" s="1"/>
      <c r="B617" s="358"/>
      <c r="C617" s="358"/>
      <c r="D617" s="358"/>
      <c r="E617" s="358"/>
      <c r="F617" s="358"/>
      <c r="G617" s="358"/>
      <c r="H617" s="358"/>
      <c r="I617" s="358"/>
      <c r="J617" s="358"/>
      <c r="K617" s="358"/>
      <c r="L617" s="358"/>
      <c r="M617" s="358"/>
      <c r="N617" s="358"/>
      <c r="O617" s="358"/>
      <c r="P617" s="358"/>
      <c r="Q617" s="358"/>
      <c r="R617" s="358"/>
      <c r="S617" s="358"/>
      <c r="T617" s="358"/>
      <c r="U617" s="358"/>
      <c r="V617" s="358"/>
      <c r="W617" s="358"/>
      <c r="X617" s="358"/>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1:49" ht="13.5" customHeight="1">
      <c r="A618" s="1"/>
      <c r="B618" s="358"/>
      <c r="C618" s="358"/>
      <c r="D618" s="358"/>
      <c r="E618" s="358"/>
      <c r="F618" s="358"/>
      <c r="G618" s="358"/>
      <c r="H618" s="358"/>
      <c r="I618" s="358"/>
      <c r="J618" s="358"/>
      <c r="K618" s="358"/>
      <c r="L618" s="358"/>
      <c r="M618" s="358"/>
      <c r="N618" s="358"/>
      <c r="O618" s="358"/>
      <c r="P618" s="358"/>
      <c r="Q618" s="358"/>
      <c r="R618" s="358"/>
      <c r="S618" s="358"/>
      <c r="T618" s="358"/>
      <c r="U618" s="358"/>
      <c r="V618" s="358"/>
      <c r="W618" s="358"/>
      <c r="X618" s="358"/>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1:49" ht="13.5" customHeight="1">
      <c r="A619" s="1"/>
      <c r="B619" s="358"/>
      <c r="C619" s="358"/>
      <c r="D619" s="358"/>
      <c r="E619" s="358"/>
      <c r="F619" s="358"/>
      <c r="G619" s="358"/>
      <c r="H619" s="358"/>
      <c r="I619" s="358"/>
      <c r="J619" s="358"/>
      <c r="K619" s="358"/>
      <c r="L619" s="358"/>
      <c r="M619" s="358"/>
      <c r="N619" s="358"/>
      <c r="O619" s="358"/>
      <c r="P619" s="358"/>
      <c r="Q619" s="358"/>
      <c r="R619" s="358"/>
      <c r="S619" s="358"/>
      <c r="T619" s="358"/>
      <c r="U619" s="358"/>
      <c r="V619" s="358"/>
      <c r="W619" s="358"/>
      <c r="X619" s="358"/>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1:49" ht="13.5" customHeight="1">
      <c r="A620" s="1"/>
      <c r="B620" s="358"/>
      <c r="C620" s="358"/>
      <c r="D620" s="358"/>
      <c r="E620" s="358"/>
      <c r="F620" s="358"/>
      <c r="G620" s="358"/>
      <c r="H620" s="358"/>
      <c r="I620" s="358"/>
      <c r="J620" s="358"/>
      <c r="K620" s="358"/>
      <c r="L620" s="358"/>
      <c r="M620" s="358"/>
      <c r="N620" s="358"/>
      <c r="O620" s="358"/>
      <c r="P620" s="358"/>
      <c r="Q620" s="358"/>
      <c r="R620" s="358"/>
      <c r="S620" s="358"/>
      <c r="T620" s="358"/>
      <c r="U620" s="358"/>
      <c r="V620" s="358"/>
      <c r="W620" s="358"/>
      <c r="X620" s="358"/>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1:49" ht="13.5" customHeight="1">
      <c r="A621" s="1"/>
      <c r="B621" s="358"/>
      <c r="C621" s="358"/>
      <c r="D621" s="358"/>
      <c r="E621" s="358"/>
      <c r="F621" s="358"/>
      <c r="G621" s="358"/>
      <c r="H621" s="358"/>
      <c r="I621" s="358"/>
      <c r="J621" s="358"/>
      <c r="K621" s="358"/>
      <c r="L621" s="358"/>
      <c r="M621" s="358"/>
      <c r="N621" s="358"/>
      <c r="O621" s="358"/>
      <c r="P621" s="358"/>
      <c r="Q621" s="358"/>
      <c r="R621" s="358"/>
      <c r="S621" s="358"/>
      <c r="T621" s="358"/>
      <c r="U621" s="358"/>
      <c r="V621" s="358"/>
      <c r="W621" s="358"/>
      <c r="X621" s="358"/>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1:49" ht="13.5" customHeight="1">
      <c r="A622" s="1"/>
      <c r="B622" s="358"/>
      <c r="C622" s="358"/>
      <c r="D622" s="358"/>
      <c r="E622" s="358"/>
      <c r="F622" s="358"/>
      <c r="G622" s="358"/>
      <c r="H622" s="358"/>
      <c r="I622" s="358"/>
      <c r="J622" s="358"/>
      <c r="K622" s="358"/>
      <c r="L622" s="358"/>
      <c r="M622" s="358"/>
      <c r="N622" s="358"/>
      <c r="O622" s="358"/>
      <c r="P622" s="358"/>
      <c r="Q622" s="358"/>
      <c r="R622" s="358"/>
      <c r="S622" s="358"/>
      <c r="T622" s="358"/>
      <c r="U622" s="358"/>
      <c r="V622" s="358"/>
      <c r="W622" s="358"/>
      <c r="X622" s="358"/>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1:49" ht="13.5" customHeight="1">
      <c r="A623" s="1"/>
      <c r="B623" s="358"/>
      <c r="C623" s="358"/>
      <c r="D623" s="358"/>
      <c r="E623" s="358"/>
      <c r="F623" s="358"/>
      <c r="G623" s="358"/>
      <c r="H623" s="358"/>
      <c r="I623" s="358"/>
      <c r="J623" s="358"/>
      <c r="K623" s="358"/>
      <c r="L623" s="358"/>
      <c r="M623" s="358"/>
      <c r="N623" s="358"/>
      <c r="O623" s="358"/>
      <c r="P623" s="358"/>
      <c r="Q623" s="358"/>
      <c r="R623" s="358"/>
      <c r="S623" s="358"/>
      <c r="T623" s="358"/>
      <c r="U623" s="358"/>
      <c r="V623" s="358"/>
      <c r="W623" s="358"/>
      <c r="X623" s="358"/>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1:49" ht="13.5" customHeight="1">
      <c r="A624" s="1"/>
      <c r="B624" s="358"/>
      <c r="C624" s="358"/>
      <c r="D624" s="358"/>
      <c r="E624" s="358"/>
      <c r="F624" s="358"/>
      <c r="G624" s="358"/>
      <c r="H624" s="358"/>
      <c r="I624" s="358"/>
      <c r="J624" s="358"/>
      <c r="K624" s="358"/>
      <c r="L624" s="358"/>
      <c r="M624" s="358"/>
      <c r="N624" s="358"/>
      <c r="O624" s="358"/>
      <c r="P624" s="358"/>
      <c r="Q624" s="358"/>
      <c r="R624" s="358"/>
      <c r="S624" s="358"/>
      <c r="T624" s="358"/>
      <c r="U624" s="358"/>
      <c r="V624" s="358"/>
      <c r="W624" s="358"/>
      <c r="X624" s="358"/>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1:49" ht="13.5" customHeight="1">
      <c r="A625" s="1"/>
      <c r="B625" s="358"/>
      <c r="C625" s="358"/>
      <c r="D625" s="358"/>
      <c r="E625" s="358"/>
      <c r="F625" s="358"/>
      <c r="G625" s="358"/>
      <c r="H625" s="358"/>
      <c r="I625" s="358"/>
      <c r="J625" s="358"/>
      <c r="K625" s="358"/>
      <c r="L625" s="358"/>
      <c r="M625" s="358"/>
      <c r="N625" s="358"/>
      <c r="O625" s="358"/>
      <c r="P625" s="358"/>
      <c r="Q625" s="358"/>
      <c r="R625" s="358"/>
      <c r="S625" s="358"/>
      <c r="T625" s="358"/>
      <c r="U625" s="358"/>
      <c r="V625" s="358"/>
      <c r="W625" s="358"/>
      <c r="X625" s="358"/>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1:49" ht="13.5" customHeight="1">
      <c r="A626" s="1"/>
      <c r="B626" s="358"/>
      <c r="C626" s="358"/>
      <c r="D626" s="358"/>
      <c r="E626" s="358"/>
      <c r="F626" s="358"/>
      <c r="G626" s="358"/>
      <c r="H626" s="358"/>
      <c r="I626" s="358"/>
      <c r="J626" s="358"/>
      <c r="K626" s="358"/>
      <c r="L626" s="358"/>
      <c r="M626" s="358"/>
      <c r="N626" s="358"/>
      <c r="O626" s="358"/>
      <c r="P626" s="358"/>
      <c r="Q626" s="358"/>
      <c r="R626" s="358"/>
      <c r="S626" s="358"/>
      <c r="T626" s="358"/>
      <c r="U626" s="358"/>
      <c r="V626" s="358"/>
      <c r="W626" s="358"/>
      <c r="X626" s="358"/>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1:49" ht="13.5" customHeight="1">
      <c r="A627" s="1"/>
      <c r="B627" s="358"/>
      <c r="C627" s="358"/>
      <c r="D627" s="358"/>
      <c r="E627" s="358"/>
      <c r="F627" s="358"/>
      <c r="G627" s="358"/>
      <c r="H627" s="358"/>
      <c r="I627" s="358"/>
      <c r="J627" s="358"/>
      <c r="K627" s="358"/>
      <c r="L627" s="358"/>
      <c r="M627" s="358"/>
      <c r="N627" s="358"/>
      <c r="O627" s="358"/>
      <c r="P627" s="358"/>
      <c r="Q627" s="358"/>
      <c r="R627" s="358"/>
      <c r="S627" s="358"/>
      <c r="T627" s="358"/>
      <c r="U627" s="358"/>
      <c r="V627" s="358"/>
      <c r="W627" s="358"/>
      <c r="X627" s="358"/>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1:49" ht="13.5" customHeight="1">
      <c r="A628" s="1"/>
      <c r="B628" s="358"/>
      <c r="C628" s="358"/>
      <c r="D628" s="358"/>
      <c r="E628" s="358"/>
      <c r="F628" s="358"/>
      <c r="G628" s="358"/>
      <c r="H628" s="358"/>
      <c r="I628" s="358"/>
      <c r="J628" s="358"/>
      <c r="K628" s="358"/>
      <c r="L628" s="358"/>
      <c r="M628" s="358"/>
      <c r="N628" s="358"/>
      <c r="O628" s="358"/>
      <c r="P628" s="358"/>
      <c r="Q628" s="358"/>
      <c r="R628" s="358"/>
      <c r="S628" s="358"/>
      <c r="T628" s="358"/>
      <c r="U628" s="358"/>
      <c r="V628" s="358"/>
      <c r="W628" s="358"/>
      <c r="X628" s="358"/>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1:49" ht="13.5" customHeight="1">
      <c r="A629" s="1"/>
      <c r="B629" s="358"/>
      <c r="C629" s="358"/>
      <c r="D629" s="358"/>
      <c r="E629" s="358"/>
      <c r="F629" s="358"/>
      <c r="G629" s="358"/>
      <c r="H629" s="358"/>
      <c r="I629" s="358"/>
      <c r="J629" s="358"/>
      <c r="K629" s="358"/>
      <c r="L629" s="358"/>
      <c r="M629" s="358"/>
      <c r="N629" s="358"/>
      <c r="O629" s="358"/>
      <c r="P629" s="358"/>
      <c r="Q629" s="358"/>
      <c r="R629" s="358"/>
      <c r="S629" s="358"/>
      <c r="T629" s="358"/>
      <c r="U629" s="358"/>
      <c r="V629" s="358"/>
      <c r="W629" s="358"/>
      <c r="X629" s="358"/>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1:49" ht="13.5" customHeight="1">
      <c r="A630" s="1"/>
      <c r="B630" s="358"/>
      <c r="C630" s="358"/>
      <c r="D630" s="358"/>
      <c r="E630" s="358"/>
      <c r="F630" s="358"/>
      <c r="G630" s="358"/>
      <c r="H630" s="358"/>
      <c r="I630" s="358"/>
      <c r="J630" s="358"/>
      <c r="K630" s="358"/>
      <c r="L630" s="358"/>
      <c r="M630" s="358"/>
      <c r="N630" s="358"/>
      <c r="O630" s="358"/>
      <c r="P630" s="358"/>
      <c r="Q630" s="358"/>
      <c r="R630" s="358"/>
      <c r="S630" s="358"/>
      <c r="T630" s="358"/>
      <c r="U630" s="358"/>
      <c r="V630" s="358"/>
      <c r="W630" s="358"/>
      <c r="X630" s="358"/>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1:49" ht="13.5" customHeight="1">
      <c r="A631" s="1"/>
      <c r="B631" s="358"/>
      <c r="C631" s="358"/>
      <c r="D631" s="358"/>
      <c r="E631" s="358"/>
      <c r="F631" s="358"/>
      <c r="G631" s="358"/>
      <c r="H631" s="358"/>
      <c r="I631" s="358"/>
      <c r="J631" s="358"/>
      <c r="K631" s="358"/>
      <c r="L631" s="358"/>
      <c r="M631" s="358"/>
      <c r="N631" s="358"/>
      <c r="O631" s="358"/>
      <c r="P631" s="358"/>
      <c r="Q631" s="358"/>
      <c r="R631" s="358"/>
      <c r="S631" s="358"/>
      <c r="T631" s="358"/>
      <c r="U631" s="358"/>
      <c r="V631" s="358"/>
      <c r="W631" s="358"/>
      <c r="X631" s="358"/>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1:49" ht="13.5" customHeight="1">
      <c r="A632" s="1"/>
      <c r="B632" s="358"/>
      <c r="C632" s="358"/>
      <c r="D632" s="358"/>
      <c r="E632" s="358"/>
      <c r="F632" s="358"/>
      <c r="G632" s="358"/>
      <c r="H632" s="358"/>
      <c r="I632" s="358"/>
      <c r="J632" s="358"/>
      <c r="K632" s="358"/>
      <c r="L632" s="358"/>
      <c r="M632" s="358"/>
      <c r="N632" s="358"/>
      <c r="O632" s="358"/>
      <c r="P632" s="358"/>
      <c r="Q632" s="358"/>
      <c r="R632" s="358"/>
      <c r="S632" s="358"/>
      <c r="T632" s="358"/>
      <c r="U632" s="358"/>
      <c r="V632" s="358"/>
      <c r="W632" s="358"/>
      <c r="X632" s="358"/>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1:49" ht="13.5" customHeight="1">
      <c r="A633" s="1"/>
      <c r="B633" s="358"/>
      <c r="C633" s="358"/>
      <c r="D633" s="358"/>
      <c r="E633" s="358"/>
      <c r="F633" s="358"/>
      <c r="G633" s="358"/>
      <c r="H633" s="358"/>
      <c r="I633" s="358"/>
      <c r="J633" s="358"/>
      <c r="K633" s="358"/>
      <c r="L633" s="358"/>
      <c r="M633" s="358"/>
      <c r="N633" s="358"/>
      <c r="O633" s="358"/>
      <c r="P633" s="358"/>
      <c r="Q633" s="358"/>
      <c r="R633" s="358"/>
      <c r="S633" s="358"/>
      <c r="T633" s="358"/>
      <c r="U633" s="358"/>
      <c r="V633" s="358"/>
      <c r="W633" s="358"/>
      <c r="X633" s="358"/>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1:49" ht="13.5" customHeight="1">
      <c r="A634" s="1"/>
      <c r="B634" s="358"/>
      <c r="C634" s="358"/>
      <c r="D634" s="358"/>
      <c r="E634" s="358"/>
      <c r="F634" s="358"/>
      <c r="G634" s="358"/>
      <c r="H634" s="358"/>
      <c r="I634" s="358"/>
      <c r="J634" s="358"/>
      <c r="K634" s="358"/>
      <c r="L634" s="358"/>
      <c r="M634" s="358"/>
      <c r="N634" s="358"/>
      <c r="O634" s="358"/>
      <c r="P634" s="358"/>
      <c r="Q634" s="358"/>
      <c r="R634" s="358"/>
      <c r="S634" s="358"/>
      <c r="T634" s="358"/>
      <c r="U634" s="358"/>
      <c r="V634" s="358"/>
      <c r="W634" s="358"/>
      <c r="X634" s="358"/>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1:49" ht="13.5" customHeight="1">
      <c r="A635" s="1"/>
      <c r="B635" s="358"/>
      <c r="C635" s="358"/>
      <c r="D635" s="358"/>
      <c r="E635" s="358"/>
      <c r="F635" s="358"/>
      <c r="G635" s="358"/>
      <c r="H635" s="358"/>
      <c r="I635" s="358"/>
      <c r="J635" s="358"/>
      <c r="K635" s="358"/>
      <c r="L635" s="358"/>
      <c r="M635" s="358"/>
      <c r="N635" s="358"/>
      <c r="O635" s="358"/>
      <c r="P635" s="358"/>
      <c r="Q635" s="358"/>
      <c r="R635" s="358"/>
      <c r="S635" s="358"/>
      <c r="T635" s="358"/>
      <c r="U635" s="358"/>
      <c r="V635" s="358"/>
      <c r="W635" s="358"/>
      <c r="X635" s="358"/>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1:49" ht="13.5" customHeight="1">
      <c r="A636" s="1"/>
      <c r="B636" s="358"/>
      <c r="C636" s="358"/>
      <c r="D636" s="358"/>
      <c r="E636" s="358"/>
      <c r="F636" s="358"/>
      <c r="G636" s="358"/>
      <c r="H636" s="358"/>
      <c r="I636" s="358"/>
      <c r="J636" s="358"/>
      <c r="K636" s="358"/>
      <c r="L636" s="358"/>
      <c r="M636" s="358"/>
      <c r="N636" s="358"/>
      <c r="O636" s="358"/>
      <c r="P636" s="358"/>
      <c r="Q636" s="358"/>
      <c r="R636" s="358"/>
      <c r="S636" s="358"/>
      <c r="T636" s="358"/>
      <c r="U636" s="358"/>
      <c r="V636" s="358"/>
      <c r="W636" s="358"/>
      <c r="X636" s="358"/>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1:49" ht="13.5" customHeight="1">
      <c r="A637" s="1"/>
      <c r="B637" s="358"/>
      <c r="C637" s="358"/>
      <c r="D637" s="358"/>
      <c r="E637" s="358"/>
      <c r="F637" s="358"/>
      <c r="G637" s="358"/>
      <c r="H637" s="358"/>
      <c r="I637" s="358"/>
      <c r="J637" s="358"/>
      <c r="K637" s="358"/>
      <c r="L637" s="358"/>
      <c r="M637" s="358"/>
      <c r="N637" s="358"/>
      <c r="O637" s="358"/>
      <c r="P637" s="358"/>
      <c r="Q637" s="358"/>
      <c r="R637" s="358"/>
      <c r="S637" s="358"/>
      <c r="T637" s="358"/>
      <c r="U637" s="358"/>
      <c r="V637" s="358"/>
      <c r="W637" s="358"/>
      <c r="X637" s="358"/>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1:49" ht="13.5" customHeight="1">
      <c r="A638" s="1"/>
      <c r="B638" s="358"/>
      <c r="C638" s="358"/>
      <c r="D638" s="358"/>
      <c r="E638" s="358"/>
      <c r="F638" s="358"/>
      <c r="G638" s="358"/>
      <c r="H638" s="358"/>
      <c r="I638" s="358"/>
      <c r="J638" s="358"/>
      <c r="K638" s="358"/>
      <c r="L638" s="358"/>
      <c r="M638" s="358"/>
      <c r="N638" s="358"/>
      <c r="O638" s="358"/>
      <c r="P638" s="358"/>
      <c r="Q638" s="358"/>
      <c r="R638" s="358"/>
      <c r="S638" s="358"/>
      <c r="T638" s="358"/>
      <c r="U638" s="358"/>
      <c r="V638" s="358"/>
      <c r="W638" s="358"/>
      <c r="X638" s="358"/>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1:49" ht="13.5" customHeight="1">
      <c r="A639" s="1"/>
      <c r="B639" s="358"/>
      <c r="C639" s="358"/>
      <c r="D639" s="358"/>
      <c r="E639" s="358"/>
      <c r="F639" s="358"/>
      <c r="G639" s="358"/>
      <c r="H639" s="358"/>
      <c r="I639" s="358"/>
      <c r="J639" s="358"/>
      <c r="K639" s="358"/>
      <c r="L639" s="358"/>
      <c r="M639" s="358"/>
      <c r="N639" s="358"/>
      <c r="O639" s="358"/>
      <c r="P639" s="358"/>
      <c r="Q639" s="358"/>
      <c r="R639" s="358"/>
      <c r="S639" s="358"/>
      <c r="T639" s="358"/>
      <c r="U639" s="358"/>
      <c r="V639" s="358"/>
      <c r="W639" s="358"/>
      <c r="X639" s="358"/>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1:49" ht="13.5" customHeight="1">
      <c r="A640" s="1"/>
      <c r="B640" s="358"/>
      <c r="C640" s="358"/>
      <c r="D640" s="358"/>
      <c r="E640" s="358"/>
      <c r="F640" s="358"/>
      <c r="G640" s="358"/>
      <c r="H640" s="358"/>
      <c r="I640" s="358"/>
      <c r="J640" s="358"/>
      <c r="K640" s="358"/>
      <c r="L640" s="358"/>
      <c r="M640" s="358"/>
      <c r="N640" s="358"/>
      <c r="O640" s="358"/>
      <c r="P640" s="358"/>
      <c r="Q640" s="358"/>
      <c r="R640" s="358"/>
      <c r="S640" s="358"/>
      <c r="T640" s="358"/>
      <c r="U640" s="358"/>
      <c r="V640" s="358"/>
      <c r="W640" s="358"/>
      <c r="X640" s="358"/>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1:49" ht="13.5" customHeight="1">
      <c r="A641" s="1"/>
      <c r="B641" s="358"/>
      <c r="C641" s="358"/>
      <c r="D641" s="358"/>
      <c r="E641" s="358"/>
      <c r="F641" s="358"/>
      <c r="G641" s="358"/>
      <c r="H641" s="358"/>
      <c r="I641" s="358"/>
      <c r="J641" s="358"/>
      <c r="K641" s="358"/>
      <c r="L641" s="358"/>
      <c r="M641" s="358"/>
      <c r="N641" s="358"/>
      <c r="O641" s="358"/>
      <c r="P641" s="358"/>
      <c r="Q641" s="358"/>
      <c r="R641" s="358"/>
      <c r="S641" s="358"/>
      <c r="T641" s="358"/>
      <c r="U641" s="358"/>
      <c r="V641" s="358"/>
      <c r="W641" s="358"/>
      <c r="X641" s="358"/>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1:49" ht="13.5" customHeight="1">
      <c r="A642" s="1"/>
      <c r="B642" s="358"/>
      <c r="C642" s="358"/>
      <c r="D642" s="358"/>
      <c r="E642" s="358"/>
      <c r="F642" s="358"/>
      <c r="G642" s="358"/>
      <c r="H642" s="358"/>
      <c r="I642" s="358"/>
      <c r="J642" s="358"/>
      <c r="K642" s="358"/>
      <c r="L642" s="358"/>
      <c r="M642" s="358"/>
      <c r="N642" s="358"/>
      <c r="O642" s="358"/>
      <c r="P642" s="358"/>
      <c r="Q642" s="358"/>
      <c r="R642" s="358"/>
      <c r="S642" s="358"/>
      <c r="T642" s="358"/>
      <c r="U642" s="358"/>
      <c r="V642" s="358"/>
      <c r="W642" s="358"/>
      <c r="X642" s="358"/>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1:49" ht="13.5" customHeight="1">
      <c r="A643" s="1"/>
      <c r="B643" s="358"/>
      <c r="C643" s="358"/>
      <c r="D643" s="358"/>
      <c r="E643" s="358"/>
      <c r="F643" s="358"/>
      <c r="G643" s="358"/>
      <c r="H643" s="358"/>
      <c r="I643" s="358"/>
      <c r="J643" s="358"/>
      <c r="K643" s="358"/>
      <c r="L643" s="358"/>
      <c r="M643" s="358"/>
      <c r="N643" s="358"/>
      <c r="O643" s="358"/>
      <c r="P643" s="358"/>
      <c r="Q643" s="358"/>
      <c r="R643" s="358"/>
      <c r="S643" s="358"/>
      <c r="T643" s="358"/>
      <c r="U643" s="358"/>
      <c r="V643" s="358"/>
      <c r="W643" s="358"/>
      <c r="X643" s="358"/>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1:49" ht="13.5" customHeight="1">
      <c r="A644" s="1"/>
      <c r="B644" s="358"/>
      <c r="C644" s="358"/>
      <c r="D644" s="358"/>
      <c r="E644" s="358"/>
      <c r="F644" s="358"/>
      <c r="G644" s="358"/>
      <c r="H644" s="358"/>
      <c r="I644" s="358"/>
      <c r="J644" s="358"/>
      <c r="K644" s="358"/>
      <c r="L644" s="358"/>
      <c r="M644" s="358"/>
      <c r="N644" s="358"/>
      <c r="O644" s="358"/>
      <c r="P644" s="358"/>
      <c r="Q644" s="358"/>
      <c r="R644" s="358"/>
      <c r="S644" s="358"/>
      <c r="T644" s="358"/>
      <c r="U644" s="358"/>
      <c r="V644" s="358"/>
      <c r="W644" s="358"/>
      <c r="X644" s="358"/>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1:49" ht="13.5" customHeight="1">
      <c r="A645" s="1"/>
      <c r="B645" s="358"/>
      <c r="C645" s="358"/>
      <c r="D645" s="358"/>
      <c r="E645" s="358"/>
      <c r="F645" s="358"/>
      <c r="G645" s="358"/>
      <c r="H645" s="358"/>
      <c r="I645" s="358"/>
      <c r="J645" s="358"/>
      <c r="K645" s="358"/>
      <c r="L645" s="358"/>
      <c r="M645" s="358"/>
      <c r="N645" s="358"/>
      <c r="O645" s="358"/>
      <c r="P645" s="358"/>
      <c r="Q645" s="358"/>
      <c r="R645" s="358"/>
      <c r="S645" s="358"/>
      <c r="T645" s="358"/>
      <c r="U645" s="358"/>
      <c r="V645" s="358"/>
      <c r="W645" s="358"/>
      <c r="X645" s="358"/>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1:49" ht="13.5" customHeight="1">
      <c r="A646" s="1"/>
      <c r="B646" s="358"/>
      <c r="C646" s="358"/>
      <c r="D646" s="358"/>
      <c r="E646" s="358"/>
      <c r="F646" s="358"/>
      <c r="G646" s="358"/>
      <c r="H646" s="358"/>
      <c r="I646" s="358"/>
      <c r="J646" s="358"/>
      <c r="K646" s="358"/>
      <c r="L646" s="358"/>
      <c r="M646" s="358"/>
      <c r="N646" s="358"/>
      <c r="O646" s="358"/>
      <c r="P646" s="358"/>
      <c r="Q646" s="358"/>
      <c r="R646" s="358"/>
      <c r="S646" s="358"/>
      <c r="T646" s="358"/>
      <c r="U646" s="358"/>
      <c r="V646" s="358"/>
      <c r="W646" s="358"/>
      <c r="X646" s="358"/>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1:49" ht="13.5" customHeight="1">
      <c r="A647" s="1"/>
      <c r="B647" s="358"/>
      <c r="C647" s="358"/>
      <c r="D647" s="358"/>
      <c r="E647" s="358"/>
      <c r="F647" s="358"/>
      <c r="G647" s="358"/>
      <c r="H647" s="358"/>
      <c r="I647" s="358"/>
      <c r="J647" s="358"/>
      <c r="K647" s="358"/>
      <c r="L647" s="358"/>
      <c r="M647" s="358"/>
      <c r="N647" s="358"/>
      <c r="O647" s="358"/>
      <c r="P647" s="358"/>
      <c r="Q647" s="358"/>
      <c r="R647" s="358"/>
      <c r="S647" s="358"/>
      <c r="T647" s="358"/>
      <c r="U647" s="358"/>
      <c r="V647" s="358"/>
      <c r="W647" s="358"/>
      <c r="X647" s="358"/>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1:49" ht="13.5" customHeight="1">
      <c r="A648" s="1"/>
      <c r="B648" s="358"/>
      <c r="C648" s="358"/>
      <c r="D648" s="358"/>
      <c r="E648" s="358"/>
      <c r="F648" s="358"/>
      <c r="G648" s="358"/>
      <c r="H648" s="358"/>
      <c r="I648" s="358"/>
      <c r="J648" s="358"/>
      <c r="K648" s="358"/>
      <c r="L648" s="358"/>
      <c r="M648" s="358"/>
      <c r="N648" s="358"/>
      <c r="O648" s="358"/>
      <c r="P648" s="358"/>
      <c r="Q648" s="358"/>
      <c r="R648" s="358"/>
      <c r="S648" s="358"/>
      <c r="T648" s="358"/>
      <c r="U648" s="358"/>
      <c r="V648" s="358"/>
      <c r="W648" s="358"/>
      <c r="X648" s="358"/>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1:49" ht="13.5" customHeight="1">
      <c r="A649" s="1"/>
      <c r="B649" s="358"/>
      <c r="C649" s="358"/>
      <c r="D649" s="358"/>
      <c r="E649" s="358"/>
      <c r="F649" s="358"/>
      <c r="G649" s="358"/>
      <c r="H649" s="358"/>
      <c r="I649" s="358"/>
      <c r="J649" s="358"/>
      <c r="K649" s="358"/>
      <c r="L649" s="358"/>
      <c r="M649" s="358"/>
      <c r="N649" s="358"/>
      <c r="O649" s="358"/>
      <c r="P649" s="358"/>
      <c r="Q649" s="358"/>
      <c r="R649" s="358"/>
      <c r="S649" s="358"/>
      <c r="T649" s="358"/>
      <c r="U649" s="358"/>
      <c r="V649" s="358"/>
      <c r="W649" s="358"/>
      <c r="X649" s="358"/>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1:49" ht="13.5" customHeight="1">
      <c r="A650" s="1"/>
      <c r="B650" s="358"/>
      <c r="C650" s="358"/>
      <c r="D650" s="358"/>
      <c r="E650" s="358"/>
      <c r="F650" s="358"/>
      <c r="G650" s="358"/>
      <c r="H650" s="358"/>
      <c r="I650" s="358"/>
      <c r="J650" s="358"/>
      <c r="K650" s="358"/>
      <c r="L650" s="358"/>
      <c r="M650" s="358"/>
      <c r="N650" s="358"/>
      <c r="O650" s="358"/>
      <c r="P650" s="358"/>
      <c r="Q650" s="358"/>
      <c r="R650" s="358"/>
      <c r="S650" s="358"/>
      <c r="T650" s="358"/>
      <c r="U650" s="358"/>
      <c r="V650" s="358"/>
      <c r="W650" s="358"/>
      <c r="X650" s="358"/>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1:49" ht="13.5" customHeight="1">
      <c r="A651" s="1"/>
      <c r="B651" s="358"/>
      <c r="C651" s="358"/>
      <c r="D651" s="358"/>
      <c r="E651" s="358"/>
      <c r="F651" s="358"/>
      <c r="G651" s="358"/>
      <c r="H651" s="358"/>
      <c r="I651" s="358"/>
      <c r="J651" s="358"/>
      <c r="K651" s="358"/>
      <c r="L651" s="358"/>
      <c r="M651" s="358"/>
      <c r="N651" s="358"/>
      <c r="O651" s="358"/>
      <c r="P651" s="358"/>
      <c r="Q651" s="358"/>
      <c r="R651" s="358"/>
      <c r="S651" s="358"/>
      <c r="T651" s="358"/>
      <c r="U651" s="358"/>
      <c r="V651" s="358"/>
      <c r="W651" s="358"/>
      <c r="X651" s="358"/>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1:49" ht="13.5" customHeight="1">
      <c r="A652" s="1"/>
      <c r="B652" s="358"/>
      <c r="C652" s="358"/>
      <c r="D652" s="358"/>
      <c r="E652" s="358"/>
      <c r="F652" s="358"/>
      <c r="G652" s="358"/>
      <c r="H652" s="358"/>
      <c r="I652" s="358"/>
      <c r="J652" s="358"/>
      <c r="K652" s="358"/>
      <c r="L652" s="358"/>
      <c r="M652" s="358"/>
      <c r="N652" s="358"/>
      <c r="O652" s="358"/>
      <c r="P652" s="358"/>
      <c r="Q652" s="358"/>
      <c r="R652" s="358"/>
      <c r="S652" s="358"/>
      <c r="T652" s="358"/>
      <c r="U652" s="358"/>
      <c r="V652" s="358"/>
      <c r="W652" s="358"/>
      <c r="X652" s="358"/>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1:49" ht="13.5" customHeight="1">
      <c r="A653" s="1"/>
      <c r="B653" s="358"/>
      <c r="C653" s="358"/>
      <c r="D653" s="358"/>
      <c r="E653" s="358"/>
      <c r="F653" s="358"/>
      <c r="G653" s="358"/>
      <c r="H653" s="358"/>
      <c r="I653" s="358"/>
      <c r="J653" s="358"/>
      <c r="K653" s="358"/>
      <c r="L653" s="358"/>
      <c r="M653" s="358"/>
      <c r="N653" s="358"/>
      <c r="O653" s="358"/>
      <c r="P653" s="358"/>
      <c r="Q653" s="358"/>
      <c r="R653" s="358"/>
      <c r="S653" s="358"/>
      <c r="T653" s="358"/>
      <c r="U653" s="358"/>
      <c r="V653" s="358"/>
      <c r="W653" s="358"/>
      <c r="X653" s="358"/>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1:49" ht="13.5" customHeight="1">
      <c r="A654" s="1"/>
      <c r="B654" s="358"/>
      <c r="C654" s="358"/>
      <c r="D654" s="358"/>
      <c r="E654" s="358"/>
      <c r="F654" s="358"/>
      <c r="G654" s="358"/>
      <c r="H654" s="358"/>
      <c r="I654" s="358"/>
      <c r="J654" s="358"/>
      <c r="K654" s="358"/>
      <c r="L654" s="358"/>
      <c r="M654" s="358"/>
      <c r="N654" s="358"/>
      <c r="O654" s="358"/>
      <c r="P654" s="358"/>
      <c r="Q654" s="358"/>
      <c r="R654" s="358"/>
      <c r="S654" s="358"/>
      <c r="T654" s="358"/>
      <c r="U654" s="358"/>
      <c r="V654" s="358"/>
      <c r="W654" s="358"/>
      <c r="X654" s="358"/>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1:49" ht="13.5" customHeight="1">
      <c r="A655" s="1"/>
      <c r="B655" s="358"/>
      <c r="C655" s="358"/>
      <c r="D655" s="358"/>
      <c r="E655" s="358"/>
      <c r="F655" s="358"/>
      <c r="G655" s="358"/>
      <c r="H655" s="358"/>
      <c r="I655" s="358"/>
      <c r="J655" s="358"/>
      <c r="K655" s="358"/>
      <c r="L655" s="358"/>
      <c r="M655" s="358"/>
      <c r="N655" s="358"/>
      <c r="O655" s="358"/>
      <c r="P655" s="358"/>
      <c r="Q655" s="358"/>
      <c r="R655" s="358"/>
      <c r="S655" s="358"/>
      <c r="T655" s="358"/>
      <c r="U655" s="358"/>
      <c r="V655" s="358"/>
      <c r="W655" s="358"/>
      <c r="X655" s="358"/>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1:49" ht="13.5" customHeight="1">
      <c r="A656" s="1"/>
      <c r="B656" s="358"/>
      <c r="C656" s="358"/>
      <c r="D656" s="358"/>
      <c r="E656" s="358"/>
      <c r="F656" s="358"/>
      <c r="G656" s="358"/>
      <c r="H656" s="358"/>
      <c r="I656" s="358"/>
      <c r="J656" s="358"/>
      <c r="K656" s="358"/>
      <c r="L656" s="358"/>
      <c r="M656" s="358"/>
      <c r="N656" s="358"/>
      <c r="O656" s="358"/>
      <c r="P656" s="358"/>
      <c r="Q656" s="358"/>
      <c r="R656" s="358"/>
      <c r="S656" s="358"/>
      <c r="T656" s="358"/>
      <c r="U656" s="358"/>
      <c r="V656" s="358"/>
      <c r="W656" s="358"/>
      <c r="X656" s="358"/>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1:49" ht="13.5" customHeight="1">
      <c r="A657" s="1"/>
      <c r="B657" s="358"/>
      <c r="C657" s="358"/>
      <c r="D657" s="358"/>
      <c r="E657" s="358"/>
      <c r="F657" s="358"/>
      <c r="G657" s="358"/>
      <c r="H657" s="358"/>
      <c r="I657" s="358"/>
      <c r="J657" s="358"/>
      <c r="K657" s="358"/>
      <c r="L657" s="358"/>
      <c r="M657" s="358"/>
      <c r="N657" s="358"/>
      <c r="O657" s="358"/>
      <c r="P657" s="358"/>
      <c r="Q657" s="358"/>
      <c r="R657" s="358"/>
      <c r="S657" s="358"/>
      <c r="T657" s="358"/>
      <c r="U657" s="358"/>
      <c r="V657" s="358"/>
      <c r="W657" s="358"/>
      <c r="X657" s="358"/>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1:49" ht="13.5" customHeight="1">
      <c r="A658" s="1"/>
      <c r="B658" s="358"/>
      <c r="C658" s="358"/>
      <c r="D658" s="358"/>
      <c r="E658" s="358"/>
      <c r="F658" s="358"/>
      <c r="G658" s="358"/>
      <c r="H658" s="358"/>
      <c r="I658" s="358"/>
      <c r="J658" s="358"/>
      <c r="K658" s="358"/>
      <c r="L658" s="358"/>
      <c r="M658" s="358"/>
      <c r="N658" s="358"/>
      <c r="O658" s="358"/>
      <c r="P658" s="358"/>
      <c r="Q658" s="358"/>
      <c r="R658" s="358"/>
      <c r="S658" s="358"/>
      <c r="T658" s="358"/>
      <c r="U658" s="358"/>
      <c r="V658" s="358"/>
      <c r="W658" s="358"/>
      <c r="X658" s="358"/>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1:49" ht="13.5" customHeight="1">
      <c r="A659" s="1"/>
      <c r="B659" s="358"/>
      <c r="C659" s="358"/>
      <c r="D659" s="358"/>
      <c r="E659" s="358"/>
      <c r="F659" s="358"/>
      <c r="G659" s="358"/>
      <c r="H659" s="358"/>
      <c r="I659" s="358"/>
      <c r="J659" s="358"/>
      <c r="K659" s="358"/>
      <c r="L659" s="358"/>
      <c r="M659" s="358"/>
      <c r="N659" s="358"/>
      <c r="O659" s="358"/>
      <c r="P659" s="358"/>
      <c r="Q659" s="358"/>
      <c r="R659" s="358"/>
      <c r="S659" s="358"/>
      <c r="T659" s="358"/>
      <c r="U659" s="358"/>
      <c r="V659" s="358"/>
      <c r="W659" s="358"/>
      <c r="X659" s="358"/>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1:49" ht="13.5" customHeight="1">
      <c r="A660" s="1"/>
      <c r="B660" s="358"/>
      <c r="C660" s="358"/>
      <c r="D660" s="358"/>
      <c r="E660" s="358"/>
      <c r="F660" s="358"/>
      <c r="G660" s="358"/>
      <c r="H660" s="358"/>
      <c r="I660" s="358"/>
      <c r="J660" s="358"/>
      <c r="K660" s="358"/>
      <c r="L660" s="358"/>
      <c r="M660" s="358"/>
      <c r="N660" s="358"/>
      <c r="O660" s="358"/>
      <c r="P660" s="358"/>
      <c r="Q660" s="358"/>
      <c r="R660" s="358"/>
      <c r="S660" s="358"/>
      <c r="T660" s="358"/>
      <c r="U660" s="358"/>
      <c r="V660" s="358"/>
      <c r="W660" s="358"/>
      <c r="X660" s="358"/>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row>
    <row r="661" spans="1:49" ht="13.5" customHeight="1">
      <c r="A661" s="1"/>
      <c r="B661" s="358"/>
      <c r="C661" s="358"/>
      <c r="D661" s="358"/>
      <c r="E661" s="358"/>
      <c r="F661" s="358"/>
      <c r="G661" s="358"/>
      <c r="H661" s="358"/>
      <c r="I661" s="358"/>
      <c r="J661" s="358"/>
      <c r="K661" s="358"/>
      <c r="L661" s="358"/>
      <c r="M661" s="358"/>
      <c r="N661" s="358"/>
      <c r="O661" s="358"/>
      <c r="P661" s="358"/>
      <c r="Q661" s="358"/>
      <c r="R661" s="358"/>
      <c r="S661" s="358"/>
      <c r="T661" s="358"/>
      <c r="U661" s="358"/>
      <c r="V661" s="358"/>
      <c r="W661" s="358"/>
      <c r="X661" s="358"/>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row>
    <row r="662" spans="1:49" ht="13.5" customHeight="1">
      <c r="A662" s="1"/>
      <c r="B662" s="358"/>
      <c r="C662" s="358"/>
      <c r="D662" s="358"/>
      <c r="E662" s="358"/>
      <c r="F662" s="358"/>
      <c r="G662" s="358"/>
      <c r="H662" s="358"/>
      <c r="I662" s="358"/>
      <c r="J662" s="358"/>
      <c r="K662" s="358"/>
      <c r="L662" s="358"/>
      <c r="M662" s="358"/>
      <c r="N662" s="358"/>
      <c r="O662" s="358"/>
      <c r="P662" s="358"/>
      <c r="Q662" s="358"/>
      <c r="R662" s="358"/>
      <c r="S662" s="358"/>
      <c r="T662" s="358"/>
      <c r="U662" s="358"/>
      <c r="V662" s="358"/>
      <c r="W662" s="358"/>
      <c r="X662" s="358"/>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row>
    <row r="663" spans="1:49" ht="13.5" customHeight="1">
      <c r="A663" s="1"/>
      <c r="B663" s="358"/>
      <c r="C663" s="358"/>
      <c r="D663" s="358"/>
      <c r="E663" s="358"/>
      <c r="F663" s="358"/>
      <c r="G663" s="358"/>
      <c r="H663" s="358"/>
      <c r="I663" s="358"/>
      <c r="J663" s="358"/>
      <c r="K663" s="358"/>
      <c r="L663" s="358"/>
      <c r="M663" s="358"/>
      <c r="N663" s="358"/>
      <c r="O663" s="358"/>
      <c r="P663" s="358"/>
      <c r="Q663" s="358"/>
      <c r="R663" s="358"/>
      <c r="S663" s="358"/>
      <c r="T663" s="358"/>
      <c r="U663" s="358"/>
      <c r="V663" s="358"/>
      <c r="W663" s="358"/>
      <c r="X663" s="358"/>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row>
    <row r="664" spans="1:49" ht="13.5" customHeight="1">
      <c r="A664" s="1"/>
      <c r="B664" s="358"/>
      <c r="C664" s="358"/>
      <c r="D664" s="358"/>
      <c r="E664" s="358"/>
      <c r="F664" s="358"/>
      <c r="G664" s="358"/>
      <c r="H664" s="358"/>
      <c r="I664" s="358"/>
      <c r="J664" s="358"/>
      <c r="K664" s="358"/>
      <c r="L664" s="358"/>
      <c r="M664" s="358"/>
      <c r="N664" s="358"/>
      <c r="O664" s="358"/>
      <c r="P664" s="358"/>
      <c r="Q664" s="358"/>
      <c r="R664" s="358"/>
      <c r="S664" s="358"/>
      <c r="T664" s="358"/>
      <c r="U664" s="358"/>
      <c r="V664" s="358"/>
      <c r="W664" s="358"/>
      <c r="X664" s="358"/>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row>
    <row r="665" spans="1:49" ht="13.5" customHeight="1">
      <c r="A665" s="1"/>
      <c r="B665" s="358"/>
      <c r="C665" s="358"/>
      <c r="D665" s="358"/>
      <c r="E665" s="358"/>
      <c r="F665" s="358"/>
      <c r="G665" s="358"/>
      <c r="H665" s="358"/>
      <c r="I665" s="358"/>
      <c r="J665" s="358"/>
      <c r="K665" s="358"/>
      <c r="L665" s="358"/>
      <c r="M665" s="358"/>
      <c r="N665" s="358"/>
      <c r="O665" s="358"/>
      <c r="P665" s="358"/>
      <c r="Q665" s="358"/>
      <c r="R665" s="358"/>
      <c r="S665" s="358"/>
      <c r="T665" s="358"/>
      <c r="U665" s="358"/>
      <c r="V665" s="358"/>
      <c r="W665" s="358"/>
      <c r="X665" s="358"/>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row>
    <row r="666" spans="1:49" ht="13.5" customHeight="1">
      <c r="A666" s="1"/>
      <c r="B666" s="358"/>
      <c r="C666" s="358"/>
      <c r="D666" s="358"/>
      <c r="E666" s="358"/>
      <c r="F666" s="358"/>
      <c r="G666" s="358"/>
      <c r="H666" s="358"/>
      <c r="I666" s="358"/>
      <c r="J666" s="358"/>
      <c r="K666" s="358"/>
      <c r="L666" s="358"/>
      <c r="M666" s="358"/>
      <c r="N666" s="358"/>
      <c r="O666" s="358"/>
      <c r="P666" s="358"/>
      <c r="Q666" s="358"/>
      <c r="R666" s="358"/>
      <c r="S666" s="358"/>
      <c r="T666" s="358"/>
      <c r="U666" s="358"/>
      <c r="V666" s="358"/>
      <c r="W666" s="358"/>
      <c r="X666" s="358"/>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row>
    <row r="667" spans="1:49" ht="13.5" customHeight="1">
      <c r="A667" s="1"/>
      <c r="B667" s="358"/>
      <c r="C667" s="358"/>
      <c r="D667" s="358"/>
      <c r="E667" s="358"/>
      <c r="F667" s="358"/>
      <c r="G667" s="358"/>
      <c r="H667" s="358"/>
      <c r="I667" s="358"/>
      <c r="J667" s="358"/>
      <c r="K667" s="358"/>
      <c r="L667" s="358"/>
      <c r="M667" s="358"/>
      <c r="N667" s="358"/>
      <c r="O667" s="358"/>
      <c r="P667" s="358"/>
      <c r="Q667" s="358"/>
      <c r="R667" s="358"/>
      <c r="S667" s="358"/>
      <c r="T667" s="358"/>
      <c r="U667" s="358"/>
      <c r="V667" s="358"/>
      <c r="W667" s="358"/>
      <c r="X667" s="358"/>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row>
    <row r="668" spans="1:49" ht="13.5" customHeight="1">
      <c r="A668" s="1"/>
      <c r="B668" s="358"/>
      <c r="C668" s="358"/>
      <c r="D668" s="358"/>
      <c r="E668" s="358"/>
      <c r="F668" s="358"/>
      <c r="G668" s="358"/>
      <c r="H668" s="358"/>
      <c r="I668" s="358"/>
      <c r="J668" s="358"/>
      <c r="K668" s="358"/>
      <c r="L668" s="358"/>
      <c r="M668" s="358"/>
      <c r="N668" s="358"/>
      <c r="O668" s="358"/>
      <c r="P668" s="358"/>
      <c r="Q668" s="358"/>
      <c r="R668" s="358"/>
      <c r="S668" s="358"/>
      <c r="T668" s="358"/>
      <c r="U668" s="358"/>
      <c r="V668" s="358"/>
      <c r="W668" s="358"/>
      <c r="X668" s="358"/>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row>
    <row r="669" spans="1:49" ht="13.5" customHeight="1">
      <c r="A669" s="1"/>
      <c r="B669" s="358"/>
      <c r="C669" s="358"/>
      <c r="D669" s="358"/>
      <c r="E669" s="358"/>
      <c r="F669" s="358"/>
      <c r="G669" s="358"/>
      <c r="H669" s="358"/>
      <c r="I669" s="358"/>
      <c r="J669" s="358"/>
      <c r="K669" s="358"/>
      <c r="L669" s="358"/>
      <c r="M669" s="358"/>
      <c r="N669" s="358"/>
      <c r="O669" s="358"/>
      <c r="P669" s="358"/>
      <c r="Q669" s="358"/>
      <c r="R669" s="358"/>
      <c r="S669" s="358"/>
      <c r="T669" s="358"/>
      <c r="U669" s="358"/>
      <c r="V669" s="358"/>
      <c r="W669" s="358"/>
      <c r="X669" s="358"/>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row>
    <row r="670" spans="1:49" ht="13.5" customHeight="1">
      <c r="A670" s="1"/>
      <c r="B670" s="358"/>
      <c r="C670" s="358"/>
      <c r="D670" s="358"/>
      <c r="E670" s="358"/>
      <c r="F670" s="358"/>
      <c r="G670" s="358"/>
      <c r="H670" s="358"/>
      <c r="I670" s="358"/>
      <c r="J670" s="358"/>
      <c r="K670" s="358"/>
      <c r="L670" s="358"/>
      <c r="M670" s="358"/>
      <c r="N670" s="358"/>
      <c r="O670" s="358"/>
      <c r="P670" s="358"/>
      <c r="Q670" s="358"/>
      <c r="R670" s="358"/>
      <c r="S670" s="358"/>
      <c r="T670" s="358"/>
      <c r="U670" s="358"/>
      <c r="V670" s="358"/>
      <c r="W670" s="358"/>
      <c r="X670" s="358"/>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row>
    <row r="671" spans="1:49" ht="13.5" customHeight="1">
      <c r="A671" s="1"/>
      <c r="B671" s="358"/>
      <c r="C671" s="358"/>
      <c r="D671" s="358"/>
      <c r="E671" s="358"/>
      <c r="F671" s="358"/>
      <c r="G671" s="358"/>
      <c r="H671" s="358"/>
      <c r="I671" s="358"/>
      <c r="J671" s="358"/>
      <c r="K671" s="358"/>
      <c r="L671" s="358"/>
      <c r="M671" s="358"/>
      <c r="N671" s="358"/>
      <c r="O671" s="358"/>
      <c r="P671" s="358"/>
      <c r="Q671" s="358"/>
      <c r="R671" s="358"/>
      <c r="S671" s="358"/>
      <c r="T671" s="358"/>
      <c r="U671" s="358"/>
      <c r="V671" s="358"/>
      <c r="W671" s="358"/>
      <c r="X671" s="358"/>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row>
    <row r="672" spans="1:49" ht="13.5" customHeight="1">
      <c r="A672" s="1"/>
      <c r="B672" s="358"/>
      <c r="C672" s="358"/>
      <c r="D672" s="358"/>
      <c r="E672" s="358"/>
      <c r="F672" s="358"/>
      <c r="G672" s="358"/>
      <c r="H672" s="358"/>
      <c r="I672" s="358"/>
      <c r="J672" s="358"/>
      <c r="K672" s="358"/>
      <c r="L672" s="358"/>
      <c r="M672" s="358"/>
      <c r="N672" s="358"/>
      <c r="O672" s="358"/>
      <c r="P672" s="358"/>
      <c r="Q672" s="358"/>
      <c r="R672" s="358"/>
      <c r="S672" s="358"/>
      <c r="T672" s="358"/>
      <c r="U672" s="358"/>
      <c r="V672" s="358"/>
      <c r="W672" s="358"/>
      <c r="X672" s="358"/>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row>
    <row r="673" spans="1:49" ht="13.5" customHeight="1">
      <c r="A673" s="1"/>
      <c r="B673" s="358"/>
      <c r="C673" s="358"/>
      <c r="D673" s="358"/>
      <c r="E673" s="358"/>
      <c r="F673" s="358"/>
      <c r="G673" s="358"/>
      <c r="H673" s="358"/>
      <c r="I673" s="358"/>
      <c r="J673" s="358"/>
      <c r="K673" s="358"/>
      <c r="L673" s="358"/>
      <c r="M673" s="358"/>
      <c r="N673" s="358"/>
      <c r="O673" s="358"/>
      <c r="P673" s="358"/>
      <c r="Q673" s="358"/>
      <c r="R673" s="358"/>
      <c r="S673" s="358"/>
      <c r="T673" s="358"/>
      <c r="U673" s="358"/>
      <c r="V673" s="358"/>
      <c r="W673" s="358"/>
      <c r="X673" s="358"/>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row>
    <row r="674" spans="1:49" ht="13.5" customHeight="1">
      <c r="A674" s="1"/>
      <c r="B674" s="358"/>
      <c r="C674" s="358"/>
      <c r="D674" s="358"/>
      <c r="E674" s="358"/>
      <c r="F674" s="358"/>
      <c r="G674" s="358"/>
      <c r="H674" s="358"/>
      <c r="I674" s="358"/>
      <c r="J674" s="358"/>
      <c r="K674" s="358"/>
      <c r="L674" s="358"/>
      <c r="M674" s="358"/>
      <c r="N674" s="358"/>
      <c r="O674" s="358"/>
      <c r="P674" s="358"/>
      <c r="Q674" s="358"/>
      <c r="R674" s="358"/>
      <c r="S674" s="358"/>
      <c r="T674" s="358"/>
      <c r="U674" s="358"/>
      <c r="V674" s="358"/>
      <c r="W674" s="358"/>
      <c r="X674" s="358"/>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row>
    <row r="675" spans="1:49" ht="13.5" customHeight="1">
      <c r="A675" s="1"/>
      <c r="B675" s="358"/>
      <c r="C675" s="358"/>
      <c r="D675" s="358"/>
      <c r="E675" s="358"/>
      <c r="F675" s="358"/>
      <c r="G675" s="358"/>
      <c r="H675" s="358"/>
      <c r="I675" s="358"/>
      <c r="J675" s="358"/>
      <c r="K675" s="358"/>
      <c r="L675" s="358"/>
      <c r="M675" s="358"/>
      <c r="N675" s="358"/>
      <c r="O675" s="358"/>
      <c r="P675" s="358"/>
      <c r="Q675" s="358"/>
      <c r="R675" s="358"/>
      <c r="S675" s="358"/>
      <c r="T675" s="358"/>
      <c r="U675" s="358"/>
      <c r="V675" s="358"/>
      <c r="W675" s="358"/>
      <c r="X675" s="358"/>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row>
    <row r="676" spans="1:49" ht="13.5" customHeight="1">
      <c r="A676" s="1"/>
      <c r="B676" s="358"/>
      <c r="C676" s="358"/>
      <c r="D676" s="358"/>
      <c r="E676" s="358"/>
      <c r="F676" s="358"/>
      <c r="G676" s="358"/>
      <c r="H676" s="358"/>
      <c r="I676" s="358"/>
      <c r="J676" s="358"/>
      <c r="K676" s="358"/>
      <c r="L676" s="358"/>
      <c r="M676" s="358"/>
      <c r="N676" s="358"/>
      <c r="O676" s="358"/>
      <c r="P676" s="358"/>
      <c r="Q676" s="358"/>
      <c r="R676" s="358"/>
      <c r="S676" s="358"/>
      <c r="T676" s="358"/>
      <c r="U676" s="358"/>
      <c r="V676" s="358"/>
      <c r="W676" s="358"/>
      <c r="X676" s="358"/>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row>
    <row r="677" spans="1:49" ht="13.5" customHeight="1">
      <c r="A677" s="1"/>
      <c r="B677" s="358"/>
      <c r="C677" s="358"/>
      <c r="D677" s="358"/>
      <c r="E677" s="358"/>
      <c r="F677" s="358"/>
      <c r="G677" s="358"/>
      <c r="H677" s="358"/>
      <c r="I677" s="358"/>
      <c r="J677" s="358"/>
      <c r="K677" s="358"/>
      <c r="L677" s="358"/>
      <c r="M677" s="358"/>
      <c r="N677" s="358"/>
      <c r="O677" s="358"/>
      <c r="P677" s="358"/>
      <c r="Q677" s="358"/>
      <c r="R677" s="358"/>
      <c r="S677" s="358"/>
      <c r="T677" s="358"/>
      <c r="U677" s="358"/>
      <c r="V677" s="358"/>
      <c r="W677" s="358"/>
      <c r="X677" s="358"/>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row>
    <row r="678" spans="1:49" ht="13.5" customHeight="1">
      <c r="A678" s="1"/>
      <c r="B678" s="358"/>
      <c r="C678" s="358"/>
      <c r="D678" s="358"/>
      <c r="E678" s="358"/>
      <c r="F678" s="358"/>
      <c r="G678" s="358"/>
      <c r="H678" s="358"/>
      <c r="I678" s="358"/>
      <c r="J678" s="358"/>
      <c r="K678" s="358"/>
      <c r="L678" s="358"/>
      <c r="M678" s="358"/>
      <c r="N678" s="358"/>
      <c r="O678" s="358"/>
      <c r="P678" s="358"/>
      <c r="Q678" s="358"/>
      <c r="R678" s="358"/>
      <c r="S678" s="358"/>
      <c r="T678" s="358"/>
      <c r="U678" s="358"/>
      <c r="V678" s="358"/>
      <c r="W678" s="358"/>
      <c r="X678" s="358"/>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row>
    <row r="679" spans="1:49" ht="13.5" customHeight="1">
      <c r="A679" s="1"/>
      <c r="B679" s="358"/>
      <c r="C679" s="358"/>
      <c r="D679" s="358"/>
      <c r="E679" s="358"/>
      <c r="F679" s="358"/>
      <c r="G679" s="358"/>
      <c r="H679" s="358"/>
      <c r="I679" s="358"/>
      <c r="J679" s="358"/>
      <c r="K679" s="358"/>
      <c r="L679" s="358"/>
      <c r="M679" s="358"/>
      <c r="N679" s="358"/>
      <c r="O679" s="358"/>
      <c r="P679" s="358"/>
      <c r="Q679" s="358"/>
      <c r="R679" s="358"/>
      <c r="S679" s="358"/>
      <c r="T679" s="358"/>
      <c r="U679" s="358"/>
      <c r="V679" s="358"/>
      <c r="W679" s="358"/>
      <c r="X679" s="358"/>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row>
    <row r="680" spans="1:49" ht="13.5" customHeight="1">
      <c r="A680" s="1"/>
      <c r="B680" s="358"/>
      <c r="C680" s="358"/>
      <c r="D680" s="358"/>
      <c r="E680" s="358"/>
      <c r="F680" s="358"/>
      <c r="G680" s="358"/>
      <c r="H680" s="358"/>
      <c r="I680" s="358"/>
      <c r="J680" s="358"/>
      <c r="K680" s="358"/>
      <c r="L680" s="358"/>
      <c r="M680" s="358"/>
      <c r="N680" s="358"/>
      <c r="O680" s="358"/>
      <c r="P680" s="358"/>
      <c r="Q680" s="358"/>
      <c r="R680" s="358"/>
      <c r="S680" s="358"/>
      <c r="T680" s="358"/>
      <c r="U680" s="358"/>
      <c r="V680" s="358"/>
      <c r="W680" s="358"/>
      <c r="X680" s="358"/>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row>
    <row r="681" spans="1:49" ht="13.5" customHeight="1">
      <c r="A681" s="1"/>
      <c r="B681" s="358"/>
      <c r="C681" s="358"/>
      <c r="D681" s="358"/>
      <c r="E681" s="358"/>
      <c r="F681" s="358"/>
      <c r="G681" s="358"/>
      <c r="H681" s="358"/>
      <c r="I681" s="358"/>
      <c r="J681" s="358"/>
      <c r="K681" s="358"/>
      <c r="L681" s="358"/>
      <c r="M681" s="358"/>
      <c r="N681" s="358"/>
      <c r="O681" s="358"/>
      <c r="P681" s="358"/>
      <c r="Q681" s="358"/>
      <c r="R681" s="358"/>
      <c r="S681" s="358"/>
      <c r="T681" s="358"/>
      <c r="U681" s="358"/>
      <c r="V681" s="358"/>
      <c r="W681" s="358"/>
      <c r="X681" s="358"/>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row>
    <row r="682" spans="1:49" ht="13.5" customHeight="1">
      <c r="A682" s="1"/>
      <c r="B682" s="358"/>
      <c r="C682" s="358"/>
      <c r="D682" s="358"/>
      <c r="E682" s="358"/>
      <c r="F682" s="358"/>
      <c r="G682" s="358"/>
      <c r="H682" s="358"/>
      <c r="I682" s="358"/>
      <c r="J682" s="358"/>
      <c r="K682" s="358"/>
      <c r="L682" s="358"/>
      <c r="M682" s="358"/>
      <c r="N682" s="358"/>
      <c r="O682" s="358"/>
      <c r="P682" s="358"/>
      <c r="Q682" s="358"/>
      <c r="R682" s="358"/>
      <c r="S682" s="358"/>
      <c r="T682" s="358"/>
      <c r="U682" s="358"/>
      <c r="V682" s="358"/>
      <c r="W682" s="358"/>
      <c r="X682" s="358"/>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row>
    <row r="683" spans="1:49" ht="13.5" customHeight="1">
      <c r="A683" s="1"/>
      <c r="B683" s="358"/>
      <c r="C683" s="358"/>
      <c r="D683" s="358"/>
      <c r="E683" s="358"/>
      <c r="F683" s="358"/>
      <c r="G683" s="358"/>
      <c r="H683" s="358"/>
      <c r="I683" s="358"/>
      <c r="J683" s="358"/>
      <c r="K683" s="358"/>
      <c r="L683" s="358"/>
      <c r="M683" s="358"/>
      <c r="N683" s="358"/>
      <c r="O683" s="358"/>
      <c r="P683" s="358"/>
      <c r="Q683" s="358"/>
      <c r="R683" s="358"/>
      <c r="S683" s="358"/>
      <c r="T683" s="358"/>
      <c r="U683" s="358"/>
      <c r="V683" s="358"/>
      <c r="W683" s="358"/>
      <c r="X683" s="358"/>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row>
    <row r="684" spans="1:49" ht="13.5" customHeight="1">
      <c r="A684" s="1"/>
      <c r="B684" s="358"/>
      <c r="C684" s="358"/>
      <c r="D684" s="358"/>
      <c r="E684" s="358"/>
      <c r="F684" s="358"/>
      <c r="G684" s="358"/>
      <c r="H684" s="358"/>
      <c r="I684" s="358"/>
      <c r="J684" s="358"/>
      <c r="K684" s="358"/>
      <c r="L684" s="358"/>
      <c r="M684" s="358"/>
      <c r="N684" s="358"/>
      <c r="O684" s="358"/>
      <c r="P684" s="358"/>
      <c r="Q684" s="358"/>
      <c r="R684" s="358"/>
      <c r="S684" s="358"/>
      <c r="T684" s="358"/>
      <c r="U684" s="358"/>
      <c r="V684" s="358"/>
      <c r="W684" s="358"/>
      <c r="X684" s="358"/>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row>
    <row r="685" spans="1:49" ht="13.5" customHeight="1">
      <c r="A685" s="1"/>
      <c r="B685" s="358"/>
      <c r="C685" s="358"/>
      <c r="D685" s="358"/>
      <c r="E685" s="358"/>
      <c r="F685" s="358"/>
      <c r="G685" s="358"/>
      <c r="H685" s="358"/>
      <c r="I685" s="358"/>
      <c r="J685" s="358"/>
      <c r="K685" s="358"/>
      <c r="L685" s="358"/>
      <c r="M685" s="358"/>
      <c r="N685" s="358"/>
      <c r="O685" s="358"/>
      <c r="P685" s="358"/>
      <c r="Q685" s="358"/>
      <c r="R685" s="358"/>
      <c r="S685" s="358"/>
      <c r="T685" s="358"/>
      <c r="U685" s="358"/>
      <c r="V685" s="358"/>
      <c r="W685" s="358"/>
      <c r="X685" s="358"/>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row>
    <row r="686" spans="1:49" ht="13.5" customHeight="1">
      <c r="A686" s="1"/>
      <c r="B686" s="358"/>
      <c r="C686" s="358"/>
      <c r="D686" s="358"/>
      <c r="E686" s="358"/>
      <c r="F686" s="358"/>
      <c r="G686" s="358"/>
      <c r="H686" s="358"/>
      <c r="I686" s="358"/>
      <c r="J686" s="358"/>
      <c r="K686" s="358"/>
      <c r="L686" s="358"/>
      <c r="M686" s="358"/>
      <c r="N686" s="358"/>
      <c r="O686" s="358"/>
      <c r="P686" s="358"/>
      <c r="Q686" s="358"/>
      <c r="R686" s="358"/>
      <c r="S686" s="358"/>
      <c r="T686" s="358"/>
      <c r="U686" s="358"/>
      <c r="V686" s="358"/>
      <c r="W686" s="358"/>
      <c r="X686" s="358"/>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row>
    <row r="687" spans="1:49" ht="13.5" customHeight="1">
      <c r="A687" s="1"/>
      <c r="B687" s="358"/>
      <c r="C687" s="358"/>
      <c r="D687" s="358"/>
      <c r="E687" s="358"/>
      <c r="F687" s="358"/>
      <c r="G687" s="358"/>
      <c r="H687" s="358"/>
      <c r="I687" s="358"/>
      <c r="J687" s="358"/>
      <c r="K687" s="358"/>
      <c r="L687" s="358"/>
      <c r="M687" s="358"/>
      <c r="N687" s="358"/>
      <c r="O687" s="358"/>
      <c r="P687" s="358"/>
      <c r="Q687" s="358"/>
      <c r="R687" s="358"/>
      <c r="S687" s="358"/>
      <c r="T687" s="358"/>
      <c r="U687" s="358"/>
      <c r="V687" s="358"/>
      <c r="W687" s="358"/>
      <c r="X687" s="358"/>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row>
    <row r="688" spans="1:49" ht="13.5" customHeight="1">
      <c r="A688" s="1"/>
      <c r="B688" s="358"/>
      <c r="C688" s="358"/>
      <c r="D688" s="358"/>
      <c r="E688" s="358"/>
      <c r="F688" s="358"/>
      <c r="G688" s="358"/>
      <c r="H688" s="358"/>
      <c r="I688" s="358"/>
      <c r="J688" s="358"/>
      <c r="K688" s="358"/>
      <c r="L688" s="358"/>
      <c r="M688" s="358"/>
      <c r="N688" s="358"/>
      <c r="O688" s="358"/>
      <c r="P688" s="358"/>
      <c r="Q688" s="358"/>
      <c r="R688" s="358"/>
      <c r="S688" s="358"/>
      <c r="T688" s="358"/>
      <c r="U688" s="358"/>
      <c r="V688" s="358"/>
      <c r="W688" s="358"/>
      <c r="X688" s="358"/>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row>
    <row r="689" spans="1:49" ht="13.5" customHeight="1">
      <c r="A689" s="1"/>
      <c r="B689" s="358"/>
      <c r="C689" s="358"/>
      <c r="D689" s="358"/>
      <c r="E689" s="358"/>
      <c r="F689" s="358"/>
      <c r="G689" s="358"/>
      <c r="H689" s="358"/>
      <c r="I689" s="358"/>
      <c r="J689" s="358"/>
      <c r="K689" s="358"/>
      <c r="L689" s="358"/>
      <c r="M689" s="358"/>
      <c r="N689" s="358"/>
      <c r="O689" s="358"/>
      <c r="P689" s="358"/>
      <c r="Q689" s="358"/>
      <c r="R689" s="358"/>
      <c r="S689" s="358"/>
      <c r="T689" s="358"/>
      <c r="U689" s="358"/>
      <c r="V689" s="358"/>
      <c r="W689" s="358"/>
      <c r="X689" s="358"/>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row>
    <row r="690" spans="1:49" ht="13.5" customHeight="1">
      <c r="A690" s="1"/>
      <c r="B690" s="358"/>
      <c r="C690" s="358"/>
      <c r="D690" s="358"/>
      <c r="E690" s="358"/>
      <c r="F690" s="358"/>
      <c r="G690" s="358"/>
      <c r="H690" s="358"/>
      <c r="I690" s="358"/>
      <c r="J690" s="358"/>
      <c r="K690" s="358"/>
      <c r="L690" s="358"/>
      <c r="M690" s="358"/>
      <c r="N690" s="358"/>
      <c r="O690" s="358"/>
      <c r="P690" s="358"/>
      <c r="Q690" s="358"/>
      <c r="R690" s="358"/>
      <c r="S690" s="358"/>
      <c r="T690" s="358"/>
      <c r="U690" s="358"/>
      <c r="V690" s="358"/>
      <c r="W690" s="358"/>
      <c r="X690" s="358"/>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row>
    <row r="691" spans="1:49" ht="13.5" customHeight="1">
      <c r="A691" s="1"/>
      <c r="B691" s="358"/>
      <c r="C691" s="358"/>
      <c r="D691" s="358"/>
      <c r="E691" s="358"/>
      <c r="F691" s="358"/>
      <c r="G691" s="358"/>
      <c r="H691" s="358"/>
      <c r="I691" s="358"/>
      <c r="J691" s="358"/>
      <c r="K691" s="358"/>
      <c r="L691" s="358"/>
      <c r="M691" s="358"/>
      <c r="N691" s="358"/>
      <c r="O691" s="358"/>
      <c r="P691" s="358"/>
      <c r="Q691" s="358"/>
      <c r="R691" s="358"/>
      <c r="S691" s="358"/>
      <c r="T691" s="358"/>
      <c r="U691" s="358"/>
      <c r="V691" s="358"/>
      <c r="W691" s="358"/>
      <c r="X691" s="358"/>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row>
    <row r="692" spans="1:49" ht="13.5" customHeight="1">
      <c r="A692" s="1"/>
      <c r="B692" s="358"/>
      <c r="C692" s="358"/>
      <c r="D692" s="358"/>
      <c r="E692" s="358"/>
      <c r="F692" s="358"/>
      <c r="G692" s="358"/>
      <c r="H692" s="358"/>
      <c r="I692" s="358"/>
      <c r="J692" s="358"/>
      <c r="K692" s="358"/>
      <c r="L692" s="358"/>
      <c r="M692" s="358"/>
      <c r="N692" s="358"/>
      <c r="O692" s="358"/>
      <c r="P692" s="358"/>
      <c r="Q692" s="358"/>
      <c r="R692" s="358"/>
      <c r="S692" s="358"/>
      <c r="T692" s="358"/>
      <c r="U692" s="358"/>
      <c r="V692" s="358"/>
      <c r="W692" s="358"/>
      <c r="X692" s="358"/>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row>
    <row r="693" spans="1:49" ht="13.5" customHeight="1">
      <c r="A693" s="1"/>
      <c r="B693" s="358"/>
      <c r="C693" s="358"/>
      <c r="D693" s="358"/>
      <c r="E693" s="358"/>
      <c r="F693" s="358"/>
      <c r="G693" s="358"/>
      <c r="H693" s="358"/>
      <c r="I693" s="358"/>
      <c r="J693" s="358"/>
      <c r="K693" s="358"/>
      <c r="L693" s="358"/>
      <c r="M693" s="358"/>
      <c r="N693" s="358"/>
      <c r="O693" s="358"/>
      <c r="P693" s="358"/>
      <c r="Q693" s="358"/>
      <c r="R693" s="358"/>
      <c r="S693" s="358"/>
      <c r="T693" s="358"/>
      <c r="U693" s="358"/>
      <c r="V693" s="358"/>
      <c r="W693" s="358"/>
      <c r="X693" s="358"/>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row>
    <row r="694" spans="1:49" ht="13.5" customHeight="1">
      <c r="A694" s="1"/>
      <c r="B694" s="358"/>
      <c r="C694" s="358"/>
      <c r="D694" s="358"/>
      <c r="E694" s="358"/>
      <c r="F694" s="358"/>
      <c r="G694" s="358"/>
      <c r="H694" s="358"/>
      <c r="I694" s="358"/>
      <c r="J694" s="358"/>
      <c r="K694" s="358"/>
      <c r="L694" s="358"/>
      <c r="M694" s="358"/>
      <c r="N694" s="358"/>
      <c r="O694" s="358"/>
      <c r="P694" s="358"/>
      <c r="Q694" s="358"/>
      <c r="R694" s="358"/>
      <c r="S694" s="358"/>
      <c r="T694" s="358"/>
      <c r="U694" s="358"/>
      <c r="V694" s="358"/>
      <c r="W694" s="358"/>
      <c r="X694" s="358"/>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row>
    <row r="695" spans="1:49" ht="13.5" customHeight="1">
      <c r="A695" s="1"/>
      <c r="B695" s="358"/>
      <c r="C695" s="358"/>
      <c r="D695" s="358"/>
      <c r="E695" s="358"/>
      <c r="F695" s="358"/>
      <c r="G695" s="358"/>
      <c r="H695" s="358"/>
      <c r="I695" s="358"/>
      <c r="J695" s="358"/>
      <c r="K695" s="358"/>
      <c r="L695" s="358"/>
      <c r="M695" s="358"/>
      <c r="N695" s="358"/>
      <c r="O695" s="358"/>
      <c r="P695" s="358"/>
      <c r="Q695" s="358"/>
      <c r="R695" s="358"/>
      <c r="S695" s="358"/>
      <c r="T695" s="358"/>
      <c r="U695" s="358"/>
      <c r="V695" s="358"/>
      <c r="W695" s="358"/>
      <c r="X695" s="358"/>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row>
    <row r="696" spans="1:49" ht="13.5" customHeight="1">
      <c r="A696" s="1"/>
      <c r="B696" s="358"/>
      <c r="C696" s="358"/>
      <c r="D696" s="358"/>
      <c r="E696" s="358"/>
      <c r="F696" s="358"/>
      <c r="G696" s="358"/>
      <c r="H696" s="358"/>
      <c r="I696" s="358"/>
      <c r="J696" s="358"/>
      <c r="K696" s="358"/>
      <c r="L696" s="358"/>
      <c r="M696" s="358"/>
      <c r="N696" s="358"/>
      <c r="O696" s="358"/>
      <c r="P696" s="358"/>
      <c r="Q696" s="358"/>
      <c r="R696" s="358"/>
      <c r="S696" s="358"/>
      <c r="T696" s="358"/>
      <c r="U696" s="358"/>
      <c r="V696" s="358"/>
      <c r="W696" s="358"/>
      <c r="X696" s="358"/>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row>
    <row r="697" spans="1:49" ht="13.5" customHeight="1">
      <c r="A697" s="1"/>
      <c r="B697" s="358"/>
      <c r="C697" s="358"/>
      <c r="D697" s="358"/>
      <c r="E697" s="358"/>
      <c r="F697" s="358"/>
      <c r="G697" s="358"/>
      <c r="H697" s="358"/>
      <c r="I697" s="358"/>
      <c r="J697" s="358"/>
      <c r="K697" s="358"/>
      <c r="L697" s="358"/>
      <c r="M697" s="358"/>
      <c r="N697" s="358"/>
      <c r="O697" s="358"/>
      <c r="P697" s="358"/>
      <c r="Q697" s="358"/>
      <c r="R697" s="358"/>
      <c r="S697" s="358"/>
      <c r="T697" s="358"/>
      <c r="U697" s="358"/>
      <c r="V697" s="358"/>
      <c r="W697" s="358"/>
      <c r="X697" s="358"/>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row>
    <row r="698" spans="1:49" ht="13.5" customHeight="1">
      <c r="A698" s="1"/>
      <c r="B698" s="358"/>
      <c r="C698" s="358"/>
      <c r="D698" s="358"/>
      <c r="E698" s="358"/>
      <c r="F698" s="358"/>
      <c r="G698" s="358"/>
      <c r="H698" s="358"/>
      <c r="I698" s="358"/>
      <c r="J698" s="358"/>
      <c r="K698" s="358"/>
      <c r="L698" s="358"/>
      <c r="M698" s="358"/>
      <c r="N698" s="358"/>
      <c r="O698" s="358"/>
      <c r="P698" s="358"/>
      <c r="Q698" s="358"/>
      <c r="R698" s="358"/>
      <c r="S698" s="358"/>
      <c r="T698" s="358"/>
      <c r="U698" s="358"/>
      <c r="V698" s="358"/>
      <c r="W698" s="358"/>
      <c r="X698" s="358"/>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row>
    <row r="699" spans="1:49" ht="13.5" customHeight="1">
      <c r="A699" s="1"/>
      <c r="B699" s="358"/>
      <c r="C699" s="358"/>
      <c r="D699" s="358"/>
      <c r="E699" s="358"/>
      <c r="F699" s="358"/>
      <c r="G699" s="358"/>
      <c r="H699" s="358"/>
      <c r="I699" s="358"/>
      <c r="J699" s="358"/>
      <c r="K699" s="358"/>
      <c r="L699" s="358"/>
      <c r="M699" s="358"/>
      <c r="N699" s="358"/>
      <c r="O699" s="358"/>
      <c r="P699" s="358"/>
      <c r="Q699" s="358"/>
      <c r="R699" s="358"/>
      <c r="S699" s="358"/>
      <c r="T699" s="358"/>
      <c r="U699" s="358"/>
      <c r="V699" s="358"/>
      <c r="W699" s="358"/>
      <c r="X699" s="358"/>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row>
    <row r="700" spans="1:49" ht="13.5" customHeight="1">
      <c r="A700" s="1"/>
      <c r="B700" s="358"/>
      <c r="C700" s="358"/>
      <c r="D700" s="358"/>
      <c r="E700" s="358"/>
      <c r="F700" s="358"/>
      <c r="G700" s="358"/>
      <c r="H700" s="358"/>
      <c r="I700" s="358"/>
      <c r="J700" s="358"/>
      <c r="K700" s="358"/>
      <c r="L700" s="358"/>
      <c r="M700" s="358"/>
      <c r="N700" s="358"/>
      <c r="O700" s="358"/>
      <c r="P700" s="358"/>
      <c r="Q700" s="358"/>
      <c r="R700" s="358"/>
      <c r="S700" s="358"/>
      <c r="T700" s="358"/>
      <c r="U700" s="358"/>
      <c r="V700" s="358"/>
      <c r="W700" s="358"/>
      <c r="X700" s="358"/>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row>
    <row r="701" spans="1:49" ht="13.5" customHeight="1">
      <c r="A701" s="1"/>
      <c r="B701" s="358"/>
      <c r="C701" s="358"/>
      <c r="D701" s="358"/>
      <c r="E701" s="358"/>
      <c r="F701" s="358"/>
      <c r="G701" s="358"/>
      <c r="H701" s="358"/>
      <c r="I701" s="358"/>
      <c r="J701" s="358"/>
      <c r="K701" s="358"/>
      <c r="L701" s="358"/>
      <c r="M701" s="358"/>
      <c r="N701" s="358"/>
      <c r="O701" s="358"/>
      <c r="P701" s="358"/>
      <c r="Q701" s="358"/>
      <c r="R701" s="358"/>
      <c r="S701" s="358"/>
      <c r="T701" s="358"/>
      <c r="U701" s="358"/>
      <c r="V701" s="358"/>
      <c r="W701" s="358"/>
      <c r="X701" s="358"/>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row>
    <row r="702" spans="1:49" ht="13.5" customHeight="1">
      <c r="A702" s="1"/>
      <c r="B702" s="358"/>
      <c r="C702" s="358"/>
      <c r="D702" s="358"/>
      <c r="E702" s="358"/>
      <c r="F702" s="358"/>
      <c r="G702" s="358"/>
      <c r="H702" s="358"/>
      <c r="I702" s="358"/>
      <c r="J702" s="358"/>
      <c r="K702" s="358"/>
      <c r="L702" s="358"/>
      <c r="M702" s="358"/>
      <c r="N702" s="358"/>
      <c r="O702" s="358"/>
      <c r="P702" s="358"/>
      <c r="Q702" s="358"/>
      <c r="R702" s="358"/>
      <c r="S702" s="358"/>
      <c r="T702" s="358"/>
      <c r="U702" s="358"/>
      <c r="V702" s="358"/>
      <c r="W702" s="358"/>
      <c r="X702" s="358"/>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row>
    <row r="703" spans="1:49" ht="13.5" customHeight="1">
      <c r="A703" s="1"/>
      <c r="B703" s="358"/>
      <c r="C703" s="358"/>
      <c r="D703" s="358"/>
      <c r="E703" s="358"/>
      <c r="F703" s="358"/>
      <c r="G703" s="358"/>
      <c r="H703" s="358"/>
      <c r="I703" s="358"/>
      <c r="J703" s="358"/>
      <c r="K703" s="358"/>
      <c r="L703" s="358"/>
      <c r="M703" s="358"/>
      <c r="N703" s="358"/>
      <c r="O703" s="358"/>
      <c r="P703" s="358"/>
      <c r="Q703" s="358"/>
      <c r="R703" s="358"/>
      <c r="S703" s="358"/>
      <c r="T703" s="358"/>
      <c r="U703" s="358"/>
      <c r="V703" s="358"/>
      <c r="W703" s="358"/>
      <c r="X703" s="358"/>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row>
    <row r="704" spans="1:49" ht="13.5" customHeight="1">
      <c r="A704" s="1"/>
      <c r="B704" s="358"/>
      <c r="C704" s="358"/>
      <c r="D704" s="358"/>
      <c r="E704" s="358"/>
      <c r="F704" s="358"/>
      <c r="G704" s="358"/>
      <c r="H704" s="358"/>
      <c r="I704" s="358"/>
      <c r="J704" s="358"/>
      <c r="K704" s="358"/>
      <c r="L704" s="358"/>
      <c r="M704" s="358"/>
      <c r="N704" s="358"/>
      <c r="O704" s="358"/>
      <c r="P704" s="358"/>
      <c r="Q704" s="358"/>
      <c r="R704" s="358"/>
      <c r="S704" s="358"/>
      <c r="T704" s="358"/>
      <c r="U704" s="358"/>
      <c r="V704" s="358"/>
      <c r="W704" s="358"/>
      <c r="X704" s="358"/>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row>
    <row r="705" spans="1:49" ht="13.5" customHeight="1">
      <c r="A705" s="1"/>
      <c r="B705" s="358"/>
      <c r="C705" s="358"/>
      <c r="D705" s="358"/>
      <c r="E705" s="358"/>
      <c r="F705" s="358"/>
      <c r="G705" s="358"/>
      <c r="H705" s="358"/>
      <c r="I705" s="358"/>
      <c r="J705" s="358"/>
      <c r="K705" s="358"/>
      <c r="L705" s="358"/>
      <c r="M705" s="358"/>
      <c r="N705" s="358"/>
      <c r="O705" s="358"/>
      <c r="P705" s="358"/>
      <c r="Q705" s="358"/>
      <c r="R705" s="358"/>
      <c r="S705" s="358"/>
      <c r="T705" s="358"/>
      <c r="U705" s="358"/>
      <c r="V705" s="358"/>
      <c r="W705" s="358"/>
      <c r="X705" s="358"/>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row>
    <row r="706" spans="1:49" ht="13.5" customHeight="1">
      <c r="A706" s="1"/>
      <c r="B706" s="358"/>
      <c r="C706" s="358"/>
      <c r="D706" s="358"/>
      <c r="E706" s="358"/>
      <c r="F706" s="358"/>
      <c r="G706" s="358"/>
      <c r="H706" s="358"/>
      <c r="I706" s="358"/>
      <c r="J706" s="358"/>
      <c r="K706" s="358"/>
      <c r="L706" s="358"/>
      <c r="M706" s="358"/>
      <c r="N706" s="358"/>
      <c r="O706" s="358"/>
      <c r="P706" s="358"/>
      <c r="Q706" s="358"/>
      <c r="R706" s="358"/>
      <c r="S706" s="358"/>
      <c r="T706" s="358"/>
      <c r="U706" s="358"/>
      <c r="V706" s="358"/>
      <c r="W706" s="358"/>
      <c r="X706" s="358"/>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row>
    <row r="707" spans="1:49" ht="13.5" customHeight="1">
      <c r="A707" s="1"/>
      <c r="B707" s="358"/>
      <c r="C707" s="358"/>
      <c r="D707" s="358"/>
      <c r="E707" s="358"/>
      <c r="F707" s="358"/>
      <c r="G707" s="358"/>
      <c r="H707" s="358"/>
      <c r="I707" s="358"/>
      <c r="J707" s="358"/>
      <c r="K707" s="358"/>
      <c r="L707" s="358"/>
      <c r="M707" s="358"/>
      <c r="N707" s="358"/>
      <c r="O707" s="358"/>
      <c r="P707" s="358"/>
      <c r="Q707" s="358"/>
      <c r="R707" s="358"/>
      <c r="S707" s="358"/>
      <c r="T707" s="358"/>
      <c r="U707" s="358"/>
      <c r="V707" s="358"/>
      <c r="W707" s="358"/>
      <c r="X707" s="358"/>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row>
    <row r="708" spans="1:49" ht="13.5" customHeight="1">
      <c r="A708" s="1"/>
      <c r="B708" s="358"/>
      <c r="C708" s="358"/>
      <c r="D708" s="358"/>
      <c r="E708" s="358"/>
      <c r="F708" s="358"/>
      <c r="G708" s="358"/>
      <c r="H708" s="358"/>
      <c r="I708" s="358"/>
      <c r="J708" s="358"/>
      <c r="K708" s="358"/>
      <c r="L708" s="358"/>
      <c r="M708" s="358"/>
      <c r="N708" s="358"/>
      <c r="O708" s="358"/>
      <c r="P708" s="358"/>
      <c r="Q708" s="358"/>
      <c r="R708" s="358"/>
      <c r="S708" s="358"/>
      <c r="T708" s="358"/>
      <c r="U708" s="358"/>
      <c r="V708" s="358"/>
      <c r="W708" s="358"/>
      <c r="X708" s="358"/>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row>
    <row r="709" spans="1:49" ht="13.5" customHeight="1">
      <c r="A709" s="1"/>
      <c r="B709" s="358"/>
      <c r="C709" s="358"/>
      <c r="D709" s="358"/>
      <c r="E709" s="358"/>
      <c r="F709" s="358"/>
      <c r="G709" s="358"/>
      <c r="H709" s="358"/>
      <c r="I709" s="358"/>
      <c r="J709" s="358"/>
      <c r="K709" s="358"/>
      <c r="L709" s="358"/>
      <c r="M709" s="358"/>
      <c r="N709" s="358"/>
      <c r="O709" s="358"/>
      <c r="P709" s="358"/>
      <c r="Q709" s="358"/>
      <c r="R709" s="358"/>
      <c r="S709" s="358"/>
      <c r="T709" s="358"/>
      <c r="U709" s="358"/>
      <c r="V709" s="358"/>
      <c r="W709" s="358"/>
      <c r="X709" s="358"/>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row>
    <row r="710" spans="1:49" ht="13.5" customHeight="1">
      <c r="A710" s="1"/>
      <c r="B710" s="358"/>
      <c r="C710" s="358"/>
      <c r="D710" s="358"/>
      <c r="E710" s="358"/>
      <c r="F710" s="358"/>
      <c r="G710" s="358"/>
      <c r="H710" s="358"/>
      <c r="I710" s="358"/>
      <c r="J710" s="358"/>
      <c r="K710" s="358"/>
      <c r="L710" s="358"/>
      <c r="M710" s="358"/>
      <c r="N710" s="358"/>
      <c r="O710" s="358"/>
      <c r="P710" s="358"/>
      <c r="Q710" s="358"/>
      <c r="R710" s="358"/>
      <c r="S710" s="358"/>
      <c r="T710" s="358"/>
      <c r="U710" s="358"/>
      <c r="V710" s="358"/>
      <c r="W710" s="358"/>
      <c r="X710" s="358"/>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row>
    <row r="711" spans="1:49" ht="13.5" customHeight="1">
      <c r="A711" s="1"/>
      <c r="B711" s="358"/>
      <c r="C711" s="358"/>
      <c r="D711" s="358"/>
      <c r="E711" s="358"/>
      <c r="F711" s="358"/>
      <c r="G711" s="358"/>
      <c r="H711" s="358"/>
      <c r="I711" s="358"/>
      <c r="J711" s="358"/>
      <c r="K711" s="358"/>
      <c r="L711" s="358"/>
      <c r="M711" s="358"/>
      <c r="N711" s="358"/>
      <c r="O711" s="358"/>
      <c r="P711" s="358"/>
      <c r="Q711" s="358"/>
      <c r="R711" s="358"/>
      <c r="S711" s="358"/>
      <c r="T711" s="358"/>
      <c r="U711" s="358"/>
      <c r="V711" s="358"/>
      <c r="W711" s="358"/>
      <c r="X711" s="358"/>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row>
    <row r="712" spans="1:49" ht="13.5" customHeight="1">
      <c r="A712" s="1"/>
      <c r="B712" s="358"/>
      <c r="C712" s="358"/>
      <c r="D712" s="358"/>
      <c r="E712" s="358"/>
      <c r="F712" s="358"/>
      <c r="G712" s="358"/>
      <c r="H712" s="358"/>
      <c r="I712" s="358"/>
      <c r="J712" s="358"/>
      <c r="K712" s="358"/>
      <c r="L712" s="358"/>
      <c r="M712" s="358"/>
      <c r="N712" s="358"/>
      <c r="O712" s="358"/>
      <c r="P712" s="358"/>
      <c r="Q712" s="358"/>
      <c r="R712" s="358"/>
      <c r="S712" s="358"/>
      <c r="T712" s="358"/>
      <c r="U712" s="358"/>
      <c r="V712" s="358"/>
      <c r="W712" s="358"/>
      <c r="X712" s="358"/>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row>
    <row r="713" spans="1:49" ht="13.5" customHeight="1">
      <c r="A713" s="1"/>
      <c r="B713" s="358"/>
      <c r="C713" s="358"/>
      <c r="D713" s="358"/>
      <c r="E713" s="358"/>
      <c r="F713" s="358"/>
      <c r="G713" s="358"/>
      <c r="H713" s="358"/>
      <c r="I713" s="358"/>
      <c r="J713" s="358"/>
      <c r="K713" s="358"/>
      <c r="L713" s="358"/>
      <c r="M713" s="358"/>
      <c r="N713" s="358"/>
      <c r="O713" s="358"/>
      <c r="P713" s="358"/>
      <c r="Q713" s="358"/>
      <c r="R713" s="358"/>
      <c r="S713" s="358"/>
      <c r="T713" s="358"/>
      <c r="U713" s="358"/>
      <c r="V713" s="358"/>
      <c r="W713" s="358"/>
      <c r="X713" s="358"/>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row>
    <row r="714" spans="1:49" ht="13.5" customHeight="1">
      <c r="A714" s="1"/>
      <c r="B714" s="358"/>
      <c r="C714" s="358"/>
      <c r="D714" s="358"/>
      <c r="E714" s="358"/>
      <c r="F714" s="358"/>
      <c r="G714" s="358"/>
      <c r="H714" s="358"/>
      <c r="I714" s="358"/>
      <c r="J714" s="358"/>
      <c r="K714" s="358"/>
      <c r="L714" s="358"/>
      <c r="M714" s="358"/>
      <c r="N714" s="358"/>
      <c r="O714" s="358"/>
      <c r="P714" s="358"/>
      <c r="Q714" s="358"/>
      <c r="R714" s="358"/>
      <c r="S714" s="358"/>
      <c r="T714" s="358"/>
      <c r="U714" s="358"/>
      <c r="V714" s="358"/>
      <c r="W714" s="358"/>
      <c r="X714" s="358"/>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row>
    <row r="715" spans="1:49" ht="13.5" customHeight="1">
      <c r="A715" s="1"/>
      <c r="B715" s="358"/>
      <c r="C715" s="358"/>
      <c r="D715" s="358"/>
      <c r="E715" s="358"/>
      <c r="F715" s="358"/>
      <c r="G715" s="358"/>
      <c r="H715" s="358"/>
      <c r="I715" s="358"/>
      <c r="J715" s="358"/>
      <c r="K715" s="358"/>
      <c r="L715" s="358"/>
      <c r="M715" s="358"/>
      <c r="N715" s="358"/>
      <c r="O715" s="358"/>
      <c r="P715" s="358"/>
      <c r="Q715" s="358"/>
      <c r="R715" s="358"/>
      <c r="S715" s="358"/>
      <c r="T715" s="358"/>
      <c r="U715" s="358"/>
      <c r="V715" s="358"/>
      <c r="W715" s="358"/>
      <c r="X715" s="358"/>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row>
    <row r="716" spans="1:49" ht="13.5" customHeight="1">
      <c r="A716" s="1"/>
      <c r="B716" s="358"/>
      <c r="C716" s="358"/>
      <c r="D716" s="358"/>
      <c r="E716" s="358"/>
      <c r="F716" s="358"/>
      <c r="G716" s="358"/>
      <c r="H716" s="358"/>
      <c r="I716" s="358"/>
      <c r="J716" s="358"/>
      <c r="K716" s="358"/>
      <c r="L716" s="358"/>
      <c r="M716" s="358"/>
      <c r="N716" s="358"/>
      <c r="O716" s="358"/>
      <c r="P716" s="358"/>
      <c r="Q716" s="358"/>
      <c r="R716" s="358"/>
      <c r="S716" s="358"/>
      <c r="T716" s="358"/>
      <c r="U716" s="358"/>
      <c r="V716" s="358"/>
      <c r="W716" s="358"/>
      <c r="X716" s="358"/>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row>
    <row r="717" spans="1:49" ht="13.5" customHeight="1">
      <c r="A717" s="1"/>
      <c r="B717" s="358"/>
      <c r="C717" s="358"/>
      <c r="D717" s="358"/>
      <c r="E717" s="358"/>
      <c r="F717" s="358"/>
      <c r="G717" s="358"/>
      <c r="H717" s="358"/>
      <c r="I717" s="358"/>
      <c r="J717" s="358"/>
      <c r="K717" s="358"/>
      <c r="L717" s="358"/>
      <c r="M717" s="358"/>
      <c r="N717" s="358"/>
      <c r="O717" s="358"/>
      <c r="P717" s="358"/>
      <c r="Q717" s="358"/>
      <c r="R717" s="358"/>
      <c r="S717" s="358"/>
      <c r="T717" s="358"/>
      <c r="U717" s="358"/>
      <c r="V717" s="358"/>
      <c r="W717" s="358"/>
      <c r="X717" s="358"/>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row>
    <row r="718" spans="1:49" ht="13.5" customHeight="1">
      <c r="A718" s="1"/>
      <c r="B718" s="358"/>
      <c r="C718" s="358"/>
      <c r="D718" s="358"/>
      <c r="E718" s="358"/>
      <c r="F718" s="358"/>
      <c r="G718" s="358"/>
      <c r="H718" s="358"/>
      <c r="I718" s="358"/>
      <c r="J718" s="358"/>
      <c r="K718" s="358"/>
      <c r="L718" s="358"/>
      <c r="M718" s="358"/>
      <c r="N718" s="358"/>
      <c r="O718" s="358"/>
      <c r="P718" s="358"/>
      <c r="Q718" s="358"/>
      <c r="R718" s="358"/>
      <c r="S718" s="358"/>
      <c r="T718" s="358"/>
      <c r="U718" s="358"/>
      <c r="V718" s="358"/>
      <c r="W718" s="358"/>
      <c r="X718" s="358"/>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row>
    <row r="719" spans="1:49" ht="13.5" customHeight="1">
      <c r="A719" s="1"/>
      <c r="B719" s="358"/>
      <c r="C719" s="358"/>
      <c r="D719" s="358"/>
      <c r="E719" s="358"/>
      <c r="F719" s="358"/>
      <c r="G719" s="358"/>
      <c r="H719" s="358"/>
      <c r="I719" s="358"/>
      <c r="J719" s="358"/>
      <c r="K719" s="358"/>
      <c r="L719" s="358"/>
      <c r="M719" s="358"/>
      <c r="N719" s="358"/>
      <c r="O719" s="358"/>
      <c r="P719" s="358"/>
      <c r="Q719" s="358"/>
      <c r="R719" s="358"/>
      <c r="S719" s="358"/>
      <c r="T719" s="358"/>
      <c r="U719" s="358"/>
      <c r="V719" s="358"/>
      <c r="W719" s="358"/>
      <c r="X719" s="358"/>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row>
    <row r="720" spans="1:49" ht="13.5" customHeight="1">
      <c r="A720" s="1"/>
      <c r="B720" s="358"/>
      <c r="C720" s="358"/>
      <c r="D720" s="358"/>
      <c r="E720" s="358"/>
      <c r="F720" s="358"/>
      <c r="G720" s="358"/>
      <c r="H720" s="358"/>
      <c r="I720" s="358"/>
      <c r="J720" s="358"/>
      <c r="K720" s="358"/>
      <c r="L720" s="358"/>
      <c r="M720" s="358"/>
      <c r="N720" s="358"/>
      <c r="O720" s="358"/>
      <c r="P720" s="358"/>
      <c r="Q720" s="358"/>
      <c r="R720" s="358"/>
      <c r="S720" s="358"/>
      <c r="T720" s="358"/>
      <c r="U720" s="358"/>
      <c r="V720" s="358"/>
      <c r="W720" s="358"/>
      <c r="X720" s="358"/>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row>
    <row r="721" spans="1:49" ht="13.5" customHeight="1">
      <c r="A721" s="1"/>
      <c r="B721" s="358"/>
      <c r="C721" s="358"/>
      <c r="D721" s="358"/>
      <c r="E721" s="358"/>
      <c r="F721" s="358"/>
      <c r="G721" s="358"/>
      <c r="H721" s="358"/>
      <c r="I721" s="358"/>
      <c r="J721" s="358"/>
      <c r="K721" s="358"/>
      <c r="L721" s="358"/>
      <c r="M721" s="358"/>
      <c r="N721" s="358"/>
      <c r="O721" s="358"/>
      <c r="P721" s="358"/>
      <c r="Q721" s="358"/>
      <c r="R721" s="358"/>
      <c r="S721" s="358"/>
      <c r="T721" s="358"/>
      <c r="U721" s="358"/>
      <c r="V721" s="358"/>
      <c r="W721" s="358"/>
      <c r="X721" s="358"/>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row>
    <row r="722" spans="1:49" ht="13.5" customHeight="1">
      <c r="A722" s="1"/>
      <c r="B722" s="358"/>
      <c r="C722" s="358"/>
      <c r="D722" s="358"/>
      <c r="E722" s="358"/>
      <c r="F722" s="358"/>
      <c r="G722" s="358"/>
      <c r="H722" s="358"/>
      <c r="I722" s="358"/>
      <c r="J722" s="358"/>
      <c r="K722" s="358"/>
      <c r="L722" s="358"/>
      <c r="M722" s="358"/>
      <c r="N722" s="358"/>
      <c r="O722" s="358"/>
      <c r="P722" s="358"/>
      <c r="Q722" s="358"/>
      <c r="R722" s="358"/>
      <c r="S722" s="358"/>
      <c r="T722" s="358"/>
      <c r="U722" s="358"/>
      <c r="V722" s="358"/>
      <c r="W722" s="358"/>
      <c r="X722" s="358"/>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row>
    <row r="723" spans="1:49" ht="13.5" customHeight="1">
      <c r="A723" s="1"/>
      <c r="B723" s="358"/>
      <c r="C723" s="358"/>
      <c r="D723" s="358"/>
      <c r="E723" s="358"/>
      <c r="F723" s="358"/>
      <c r="G723" s="358"/>
      <c r="H723" s="358"/>
      <c r="I723" s="358"/>
      <c r="J723" s="358"/>
      <c r="K723" s="358"/>
      <c r="L723" s="358"/>
      <c r="M723" s="358"/>
      <c r="N723" s="358"/>
      <c r="O723" s="358"/>
      <c r="P723" s="358"/>
      <c r="Q723" s="358"/>
      <c r="R723" s="358"/>
      <c r="S723" s="358"/>
      <c r="T723" s="358"/>
      <c r="U723" s="358"/>
      <c r="V723" s="358"/>
      <c r="W723" s="358"/>
      <c r="X723" s="358"/>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row>
    <row r="724" spans="1:49" ht="13.5" customHeight="1">
      <c r="A724" s="1"/>
      <c r="B724" s="358"/>
      <c r="C724" s="358"/>
      <c r="D724" s="358"/>
      <c r="E724" s="358"/>
      <c r="F724" s="358"/>
      <c r="G724" s="358"/>
      <c r="H724" s="358"/>
      <c r="I724" s="358"/>
      <c r="J724" s="358"/>
      <c r="K724" s="358"/>
      <c r="L724" s="358"/>
      <c r="M724" s="358"/>
      <c r="N724" s="358"/>
      <c r="O724" s="358"/>
      <c r="P724" s="358"/>
      <c r="Q724" s="358"/>
      <c r="R724" s="358"/>
      <c r="S724" s="358"/>
      <c r="T724" s="358"/>
      <c r="U724" s="358"/>
      <c r="V724" s="358"/>
      <c r="W724" s="358"/>
      <c r="X724" s="358"/>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row>
    <row r="725" spans="1:49" ht="13.5" customHeight="1">
      <c r="A725" s="1"/>
      <c r="B725" s="358"/>
      <c r="C725" s="358"/>
      <c r="D725" s="358"/>
      <c r="E725" s="358"/>
      <c r="F725" s="358"/>
      <c r="G725" s="358"/>
      <c r="H725" s="358"/>
      <c r="I725" s="358"/>
      <c r="J725" s="358"/>
      <c r="K725" s="358"/>
      <c r="L725" s="358"/>
      <c r="M725" s="358"/>
      <c r="N725" s="358"/>
      <c r="O725" s="358"/>
      <c r="P725" s="358"/>
      <c r="Q725" s="358"/>
      <c r="R725" s="358"/>
      <c r="S725" s="358"/>
      <c r="T725" s="358"/>
      <c r="U725" s="358"/>
      <c r="V725" s="358"/>
      <c r="W725" s="358"/>
      <c r="X725" s="358"/>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row>
    <row r="726" spans="1:49" ht="13.5" customHeight="1">
      <c r="A726" s="1"/>
      <c r="B726" s="358"/>
      <c r="C726" s="358"/>
      <c r="D726" s="358"/>
      <c r="E726" s="358"/>
      <c r="F726" s="358"/>
      <c r="G726" s="358"/>
      <c r="H726" s="358"/>
      <c r="I726" s="358"/>
      <c r="J726" s="358"/>
      <c r="K726" s="358"/>
      <c r="L726" s="358"/>
      <c r="M726" s="358"/>
      <c r="N726" s="358"/>
      <c r="O726" s="358"/>
      <c r="P726" s="358"/>
      <c r="Q726" s="358"/>
      <c r="R726" s="358"/>
      <c r="S726" s="358"/>
      <c r="T726" s="358"/>
      <c r="U726" s="358"/>
      <c r="V726" s="358"/>
      <c r="W726" s="358"/>
      <c r="X726" s="358"/>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row>
    <row r="727" spans="1:49" ht="13.5" customHeight="1">
      <c r="A727" s="1"/>
      <c r="B727" s="358"/>
      <c r="C727" s="358"/>
      <c r="D727" s="358"/>
      <c r="E727" s="358"/>
      <c r="F727" s="358"/>
      <c r="G727" s="358"/>
      <c r="H727" s="358"/>
      <c r="I727" s="358"/>
      <c r="J727" s="358"/>
      <c r="K727" s="358"/>
      <c r="L727" s="358"/>
      <c r="M727" s="358"/>
      <c r="N727" s="358"/>
      <c r="O727" s="358"/>
      <c r="P727" s="358"/>
      <c r="Q727" s="358"/>
      <c r="R727" s="358"/>
      <c r="S727" s="358"/>
      <c r="T727" s="358"/>
      <c r="U727" s="358"/>
      <c r="V727" s="358"/>
      <c r="W727" s="358"/>
      <c r="X727" s="358"/>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row>
    <row r="728" spans="1:49" ht="13.5" customHeight="1">
      <c r="A728" s="1"/>
      <c r="B728" s="358"/>
      <c r="C728" s="358"/>
      <c r="D728" s="358"/>
      <c r="E728" s="358"/>
      <c r="F728" s="358"/>
      <c r="G728" s="358"/>
      <c r="H728" s="358"/>
      <c r="I728" s="358"/>
      <c r="J728" s="358"/>
      <c r="K728" s="358"/>
      <c r="L728" s="358"/>
      <c r="M728" s="358"/>
      <c r="N728" s="358"/>
      <c r="O728" s="358"/>
      <c r="P728" s="358"/>
      <c r="Q728" s="358"/>
      <c r="R728" s="358"/>
      <c r="S728" s="358"/>
      <c r="T728" s="358"/>
      <c r="U728" s="358"/>
      <c r="V728" s="358"/>
      <c r="W728" s="358"/>
      <c r="X728" s="358"/>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row>
    <row r="729" spans="1:49" ht="13.5" customHeight="1">
      <c r="A729" s="1"/>
      <c r="B729" s="358"/>
      <c r="C729" s="358"/>
      <c r="D729" s="358"/>
      <c r="E729" s="358"/>
      <c r="F729" s="358"/>
      <c r="G729" s="358"/>
      <c r="H729" s="358"/>
      <c r="I729" s="358"/>
      <c r="J729" s="358"/>
      <c r="K729" s="358"/>
      <c r="L729" s="358"/>
      <c r="M729" s="358"/>
      <c r="N729" s="358"/>
      <c r="O729" s="358"/>
      <c r="P729" s="358"/>
      <c r="Q729" s="358"/>
      <c r="R729" s="358"/>
      <c r="S729" s="358"/>
      <c r="T729" s="358"/>
      <c r="U729" s="358"/>
      <c r="V729" s="358"/>
      <c r="W729" s="358"/>
      <c r="X729" s="358"/>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row>
    <row r="730" spans="1:49" ht="13.5" customHeight="1">
      <c r="A730" s="1"/>
      <c r="B730" s="358"/>
      <c r="C730" s="358"/>
      <c r="D730" s="358"/>
      <c r="E730" s="358"/>
      <c r="F730" s="358"/>
      <c r="G730" s="358"/>
      <c r="H730" s="358"/>
      <c r="I730" s="358"/>
      <c r="J730" s="358"/>
      <c r="K730" s="358"/>
      <c r="L730" s="358"/>
      <c r="M730" s="358"/>
      <c r="N730" s="358"/>
      <c r="O730" s="358"/>
      <c r="P730" s="358"/>
      <c r="Q730" s="358"/>
      <c r="R730" s="358"/>
      <c r="S730" s="358"/>
      <c r="T730" s="358"/>
      <c r="U730" s="358"/>
      <c r="V730" s="358"/>
      <c r="W730" s="358"/>
      <c r="X730" s="358"/>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row>
    <row r="731" spans="1:49" ht="13.5" customHeight="1">
      <c r="A731" s="1"/>
      <c r="B731" s="358"/>
      <c r="C731" s="358"/>
      <c r="D731" s="358"/>
      <c r="E731" s="358"/>
      <c r="F731" s="358"/>
      <c r="G731" s="358"/>
      <c r="H731" s="358"/>
      <c r="I731" s="358"/>
      <c r="J731" s="358"/>
      <c r="K731" s="358"/>
      <c r="L731" s="358"/>
      <c r="M731" s="358"/>
      <c r="N731" s="358"/>
      <c r="O731" s="358"/>
      <c r="P731" s="358"/>
      <c r="Q731" s="358"/>
      <c r="R731" s="358"/>
      <c r="S731" s="358"/>
      <c r="T731" s="358"/>
      <c r="U731" s="358"/>
      <c r="V731" s="358"/>
      <c r="W731" s="358"/>
      <c r="X731" s="358"/>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row>
    <row r="732" spans="1:49" ht="13.5" customHeight="1">
      <c r="A732" s="1"/>
      <c r="B732" s="358"/>
      <c r="C732" s="358"/>
      <c r="D732" s="358"/>
      <c r="E732" s="358"/>
      <c r="F732" s="358"/>
      <c r="G732" s="358"/>
      <c r="H732" s="358"/>
      <c r="I732" s="358"/>
      <c r="J732" s="358"/>
      <c r="K732" s="358"/>
      <c r="L732" s="358"/>
      <c r="M732" s="358"/>
      <c r="N732" s="358"/>
      <c r="O732" s="358"/>
      <c r="P732" s="358"/>
      <c r="Q732" s="358"/>
      <c r="R732" s="358"/>
      <c r="S732" s="358"/>
      <c r="T732" s="358"/>
      <c r="U732" s="358"/>
      <c r="V732" s="358"/>
      <c r="W732" s="358"/>
      <c r="X732" s="358"/>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row>
    <row r="733" spans="1:49" ht="13.5" customHeight="1">
      <c r="A733" s="1"/>
      <c r="B733" s="358"/>
      <c r="C733" s="358"/>
      <c r="D733" s="358"/>
      <c r="E733" s="358"/>
      <c r="F733" s="358"/>
      <c r="G733" s="358"/>
      <c r="H733" s="358"/>
      <c r="I733" s="358"/>
      <c r="J733" s="358"/>
      <c r="K733" s="358"/>
      <c r="L733" s="358"/>
      <c r="M733" s="358"/>
      <c r="N733" s="358"/>
      <c r="O733" s="358"/>
      <c r="P733" s="358"/>
      <c r="Q733" s="358"/>
      <c r="R733" s="358"/>
      <c r="S733" s="358"/>
      <c r="T733" s="358"/>
      <c r="U733" s="358"/>
      <c r="V733" s="358"/>
      <c r="W733" s="358"/>
      <c r="X733" s="358"/>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row>
    <row r="734" spans="1:49" ht="13.5" customHeight="1">
      <c r="A734" s="1"/>
      <c r="B734" s="358"/>
      <c r="C734" s="358"/>
      <c r="D734" s="358"/>
      <c r="E734" s="358"/>
      <c r="F734" s="358"/>
      <c r="G734" s="358"/>
      <c r="H734" s="358"/>
      <c r="I734" s="358"/>
      <c r="J734" s="358"/>
      <c r="K734" s="358"/>
      <c r="L734" s="358"/>
      <c r="M734" s="358"/>
      <c r="N734" s="358"/>
      <c r="O734" s="358"/>
      <c r="P734" s="358"/>
      <c r="Q734" s="358"/>
      <c r="R734" s="358"/>
      <c r="S734" s="358"/>
      <c r="T734" s="358"/>
      <c r="U734" s="358"/>
      <c r="V734" s="358"/>
      <c r="W734" s="358"/>
      <c r="X734" s="358"/>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row>
    <row r="735" spans="1:49" ht="13.5" customHeight="1">
      <c r="A735" s="1"/>
      <c r="B735" s="358"/>
      <c r="C735" s="358"/>
      <c r="D735" s="358"/>
      <c r="E735" s="358"/>
      <c r="F735" s="358"/>
      <c r="G735" s="358"/>
      <c r="H735" s="358"/>
      <c r="I735" s="358"/>
      <c r="J735" s="358"/>
      <c r="K735" s="358"/>
      <c r="L735" s="358"/>
      <c r="M735" s="358"/>
      <c r="N735" s="358"/>
      <c r="O735" s="358"/>
      <c r="P735" s="358"/>
      <c r="Q735" s="358"/>
      <c r="R735" s="358"/>
      <c r="S735" s="358"/>
      <c r="T735" s="358"/>
      <c r="U735" s="358"/>
      <c r="V735" s="358"/>
      <c r="W735" s="358"/>
      <c r="X735" s="358"/>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row>
    <row r="736" spans="1:49" ht="13.5" customHeight="1">
      <c r="A736" s="1"/>
      <c r="B736" s="358"/>
      <c r="C736" s="358"/>
      <c r="D736" s="358"/>
      <c r="E736" s="358"/>
      <c r="F736" s="358"/>
      <c r="G736" s="358"/>
      <c r="H736" s="358"/>
      <c r="I736" s="358"/>
      <c r="J736" s="358"/>
      <c r="K736" s="358"/>
      <c r="L736" s="358"/>
      <c r="M736" s="358"/>
      <c r="N736" s="358"/>
      <c r="O736" s="358"/>
      <c r="P736" s="358"/>
      <c r="Q736" s="358"/>
      <c r="R736" s="358"/>
      <c r="S736" s="358"/>
      <c r="T736" s="358"/>
      <c r="U736" s="358"/>
      <c r="V736" s="358"/>
      <c r="W736" s="358"/>
      <c r="X736" s="358"/>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row>
    <row r="737" spans="1:49" ht="13.5" customHeight="1">
      <c r="A737" s="1"/>
      <c r="B737" s="358"/>
      <c r="C737" s="358"/>
      <c r="D737" s="358"/>
      <c r="E737" s="358"/>
      <c r="F737" s="358"/>
      <c r="G737" s="358"/>
      <c r="H737" s="358"/>
      <c r="I737" s="358"/>
      <c r="J737" s="358"/>
      <c r="K737" s="358"/>
      <c r="L737" s="358"/>
      <c r="M737" s="358"/>
      <c r="N737" s="358"/>
      <c r="O737" s="358"/>
      <c r="P737" s="358"/>
      <c r="Q737" s="358"/>
      <c r="R737" s="358"/>
      <c r="S737" s="358"/>
      <c r="T737" s="358"/>
      <c r="U737" s="358"/>
      <c r="V737" s="358"/>
      <c r="W737" s="358"/>
      <c r="X737" s="358"/>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row>
    <row r="738" spans="1:49" ht="13.5" customHeight="1">
      <c r="A738" s="1"/>
      <c r="B738" s="358"/>
      <c r="C738" s="358"/>
      <c r="D738" s="358"/>
      <c r="E738" s="358"/>
      <c r="F738" s="358"/>
      <c r="G738" s="358"/>
      <c r="H738" s="358"/>
      <c r="I738" s="358"/>
      <c r="J738" s="358"/>
      <c r="K738" s="358"/>
      <c r="L738" s="358"/>
      <c r="M738" s="358"/>
      <c r="N738" s="358"/>
      <c r="O738" s="358"/>
      <c r="P738" s="358"/>
      <c r="Q738" s="358"/>
      <c r="R738" s="358"/>
      <c r="S738" s="358"/>
      <c r="T738" s="358"/>
      <c r="U738" s="358"/>
      <c r="V738" s="358"/>
      <c r="W738" s="358"/>
      <c r="X738" s="358"/>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row>
    <row r="739" spans="1:49" ht="13.5" customHeight="1">
      <c r="A739" s="1"/>
      <c r="B739" s="358"/>
      <c r="C739" s="358"/>
      <c r="D739" s="358"/>
      <c r="E739" s="358"/>
      <c r="F739" s="358"/>
      <c r="G739" s="358"/>
      <c r="H739" s="358"/>
      <c r="I739" s="358"/>
      <c r="J739" s="358"/>
      <c r="K739" s="358"/>
      <c r="L739" s="358"/>
      <c r="M739" s="358"/>
      <c r="N739" s="358"/>
      <c r="O739" s="358"/>
      <c r="P739" s="358"/>
      <c r="Q739" s="358"/>
      <c r="R739" s="358"/>
      <c r="S739" s="358"/>
      <c r="T739" s="358"/>
      <c r="U739" s="358"/>
      <c r="V739" s="358"/>
      <c r="W739" s="358"/>
      <c r="X739" s="358"/>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row>
    <row r="740" spans="1:49" ht="13.5" customHeight="1">
      <c r="A740" s="1"/>
      <c r="B740" s="358"/>
      <c r="C740" s="358"/>
      <c r="D740" s="358"/>
      <c r="E740" s="358"/>
      <c r="F740" s="358"/>
      <c r="G740" s="358"/>
      <c r="H740" s="358"/>
      <c r="I740" s="358"/>
      <c r="J740" s="358"/>
      <c r="K740" s="358"/>
      <c r="L740" s="358"/>
      <c r="M740" s="358"/>
      <c r="N740" s="358"/>
      <c r="O740" s="358"/>
      <c r="P740" s="358"/>
      <c r="Q740" s="358"/>
      <c r="R740" s="358"/>
      <c r="S740" s="358"/>
      <c r="T740" s="358"/>
      <c r="U740" s="358"/>
      <c r="V740" s="358"/>
      <c r="W740" s="358"/>
      <c r="X740" s="358"/>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row>
    <row r="741" spans="1:49" ht="13.5" customHeight="1">
      <c r="A741" s="1"/>
      <c r="B741" s="358"/>
      <c r="C741" s="358"/>
      <c r="D741" s="358"/>
      <c r="E741" s="358"/>
      <c r="F741" s="358"/>
      <c r="G741" s="358"/>
      <c r="H741" s="358"/>
      <c r="I741" s="358"/>
      <c r="J741" s="358"/>
      <c r="K741" s="358"/>
      <c r="L741" s="358"/>
      <c r="M741" s="358"/>
      <c r="N741" s="358"/>
      <c r="O741" s="358"/>
      <c r="P741" s="358"/>
      <c r="Q741" s="358"/>
      <c r="R741" s="358"/>
      <c r="S741" s="358"/>
      <c r="T741" s="358"/>
      <c r="U741" s="358"/>
      <c r="V741" s="358"/>
      <c r="W741" s="358"/>
      <c r="X741" s="358"/>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row>
    <row r="742" spans="1:49" ht="13.5" customHeight="1">
      <c r="A742" s="1"/>
      <c r="B742" s="358"/>
      <c r="C742" s="358"/>
      <c r="D742" s="358"/>
      <c r="E742" s="358"/>
      <c r="F742" s="358"/>
      <c r="G742" s="358"/>
      <c r="H742" s="358"/>
      <c r="I742" s="358"/>
      <c r="J742" s="358"/>
      <c r="K742" s="358"/>
      <c r="L742" s="358"/>
      <c r="M742" s="358"/>
      <c r="N742" s="358"/>
      <c r="O742" s="358"/>
      <c r="P742" s="358"/>
      <c r="Q742" s="358"/>
      <c r="R742" s="358"/>
      <c r="S742" s="358"/>
      <c r="T742" s="358"/>
      <c r="U742" s="358"/>
      <c r="V742" s="358"/>
      <c r="W742" s="358"/>
      <c r="X742" s="358"/>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row>
    <row r="743" spans="1:49" ht="13.5" customHeight="1">
      <c r="A743" s="1"/>
      <c r="B743" s="358"/>
      <c r="C743" s="358"/>
      <c r="D743" s="358"/>
      <c r="E743" s="358"/>
      <c r="F743" s="358"/>
      <c r="G743" s="358"/>
      <c r="H743" s="358"/>
      <c r="I743" s="358"/>
      <c r="J743" s="358"/>
      <c r="K743" s="358"/>
      <c r="L743" s="358"/>
      <c r="M743" s="358"/>
      <c r="N743" s="358"/>
      <c r="O743" s="358"/>
      <c r="P743" s="358"/>
      <c r="Q743" s="358"/>
      <c r="R743" s="358"/>
      <c r="S743" s="358"/>
      <c r="T743" s="358"/>
      <c r="U743" s="358"/>
      <c r="V743" s="358"/>
      <c r="W743" s="358"/>
      <c r="X743" s="358"/>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row>
    <row r="744" spans="1:49" ht="13.5" customHeight="1">
      <c r="A744" s="1"/>
      <c r="B744" s="358"/>
      <c r="C744" s="358"/>
      <c r="D744" s="358"/>
      <c r="E744" s="358"/>
      <c r="F744" s="358"/>
      <c r="G744" s="358"/>
      <c r="H744" s="358"/>
      <c r="I744" s="358"/>
      <c r="J744" s="358"/>
      <c r="K744" s="358"/>
      <c r="L744" s="358"/>
      <c r="M744" s="358"/>
      <c r="N744" s="358"/>
      <c r="O744" s="358"/>
      <c r="P744" s="358"/>
      <c r="Q744" s="358"/>
      <c r="R744" s="358"/>
      <c r="S744" s="358"/>
      <c r="T744" s="358"/>
      <c r="U744" s="358"/>
      <c r="V744" s="358"/>
      <c r="W744" s="358"/>
      <c r="X744" s="358"/>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row>
    <row r="745" spans="1:49" ht="13.5" customHeight="1">
      <c r="A745" s="1"/>
      <c r="B745" s="358"/>
      <c r="C745" s="358"/>
      <c r="D745" s="358"/>
      <c r="E745" s="358"/>
      <c r="F745" s="358"/>
      <c r="G745" s="358"/>
      <c r="H745" s="358"/>
      <c r="I745" s="358"/>
      <c r="J745" s="358"/>
      <c r="K745" s="358"/>
      <c r="L745" s="358"/>
      <c r="M745" s="358"/>
      <c r="N745" s="358"/>
      <c r="O745" s="358"/>
      <c r="P745" s="358"/>
      <c r="Q745" s="358"/>
      <c r="R745" s="358"/>
      <c r="S745" s="358"/>
      <c r="T745" s="358"/>
      <c r="U745" s="358"/>
      <c r="V745" s="358"/>
      <c r="W745" s="358"/>
      <c r="X745" s="358"/>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row>
    <row r="746" spans="1:49" ht="13.5" customHeight="1">
      <c r="A746" s="1"/>
      <c r="B746" s="358"/>
      <c r="C746" s="358"/>
      <c r="D746" s="358"/>
      <c r="E746" s="358"/>
      <c r="F746" s="358"/>
      <c r="G746" s="358"/>
      <c r="H746" s="358"/>
      <c r="I746" s="358"/>
      <c r="J746" s="358"/>
      <c r="K746" s="358"/>
      <c r="L746" s="358"/>
      <c r="M746" s="358"/>
      <c r="N746" s="358"/>
      <c r="O746" s="358"/>
      <c r="P746" s="358"/>
      <c r="Q746" s="358"/>
      <c r="R746" s="358"/>
      <c r="S746" s="358"/>
      <c r="T746" s="358"/>
      <c r="U746" s="358"/>
      <c r="V746" s="358"/>
      <c r="W746" s="358"/>
      <c r="X746" s="358"/>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row>
    <row r="747" spans="1:49" ht="13.5" customHeight="1">
      <c r="A747" s="1"/>
      <c r="B747" s="358"/>
      <c r="C747" s="358"/>
      <c r="D747" s="358"/>
      <c r="E747" s="358"/>
      <c r="F747" s="358"/>
      <c r="G747" s="358"/>
      <c r="H747" s="358"/>
      <c r="I747" s="358"/>
      <c r="J747" s="358"/>
      <c r="K747" s="358"/>
      <c r="L747" s="358"/>
      <c r="M747" s="358"/>
      <c r="N747" s="358"/>
      <c r="O747" s="358"/>
      <c r="P747" s="358"/>
      <c r="Q747" s="358"/>
      <c r="R747" s="358"/>
      <c r="S747" s="358"/>
      <c r="T747" s="358"/>
      <c r="U747" s="358"/>
      <c r="V747" s="358"/>
      <c r="W747" s="358"/>
      <c r="X747" s="358"/>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row>
    <row r="748" spans="1:49" ht="13.5" customHeight="1">
      <c r="A748" s="1"/>
      <c r="B748" s="358"/>
      <c r="C748" s="358"/>
      <c r="D748" s="358"/>
      <c r="E748" s="358"/>
      <c r="F748" s="358"/>
      <c r="G748" s="358"/>
      <c r="H748" s="358"/>
      <c r="I748" s="358"/>
      <c r="J748" s="358"/>
      <c r="K748" s="358"/>
      <c r="L748" s="358"/>
      <c r="M748" s="358"/>
      <c r="N748" s="358"/>
      <c r="O748" s="358"/>
      <c r="P748" s="358"/>
      <c r="Q748" s="358"/>
      <c r="R748" s="358"/>
      <c r="S748" s="358"/>
      <c r="T748" s="358"/>
      <c r="U748" s="358"/>
      <c r="V748" s="358"/>
      <c r="W748" s="358"/>
      <c r="X748" s="358"/>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row>
    <row r="749" spans="1:49" ht="13.5" customHeight="1">
      <c r="A749" s="1"/>
      <c r="B749" s="358"/>
      <c r="C749" s="358"/>
      <c r="D749" s="358"/>
      <c r="E749" s="358"/>
      <c r="F749" s="358"/>
      <c r="G749" s="358"/>
      <c r="H749" s="358"/>
      <c r="I749" s="358"/>
      <c r="J749" s="358"/>
      <c r="K749" s="358"/>
      <c r="L749" s="358"/>
      <c r="M749" s="358"/>
      <c r="N749" s="358"/>
      <c r="O749" s="358"/>
      <c r="P749" s="358"/>
      <c r="Q749" s="358"/>
      <c r="R749" s="358"/>
      <c r="S749" s="358"/>
      <c r="T749" s="358"/>
      <c r="U749" s="358"/>
      <c r="V749" s="358"/>
      <c r="W749" s="358"/>
      <c r="X749" s="358"/>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row>
    <row r="750" spans="1:49" ht="13.5" customHeight="1">
      <c r="A750" s="1"/>
      <c r="B750" s="358"/>
      <c r="C750" s="358"/>
      <c r="D750" s="358"/>
      <c r="E750" s="358"/>
      <c r="F750" s="358"/>
      <c r="G750" s="358"/>
      <c r="H750" s="358"/>
      <c r="I750" s="358"/>
      <c r="J750" s="358"/>
      <c r="K750" s="358"/>
      <c r="L750" s="358"/>
      <c r="M750" s="358"/>
      <c r="N750" s="358"/>
      <c r="O750" s="358"/>
      <c r="P750" s="358"/>
      <c r="Q750" s="358"/>
      <c r="R750" s="358"/>
      <c r="S750" s="358"/>
      <c r="T750" s="358"/>
      <c r="U750" s="358"/>
      <c r="V750" s="358"/>
      <c r="W750" s="358"/>
      <c r="X750" s="358"/>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row>
    <row r="751" spans="1:49" ht="13.5" customHeight="1">
      <c r="A751" s="1"/>
      <c r="B751" s="358"/>
      <c r="C751" s="358"/>
      <c r="D751" s="358"/>
      <c r="E751" s="358"/>
      <c r="F751" s="358"/>
      <c r="G751" s="358"/>
      <c r="H751" s="358"/>
      <c r="I751" s="358"/>
      <c r="J751" s="358"/>
      <c r="K751" s="358"/>
      <c r="L751" s="358"/>
      <c r="M751" s="358"/>
      <c r="N751" s="358"/>
      <c r="O751" s="358"/>
      <c r="P751" s="358"/>
      <c r="Q751" s="358"/>
      <c r="R751" s="358"/>
      <c r="S751" s="358"/>
      <c r="T751" s="358"/>
      <c r="U751" s="358"/>
      <c r="V751" s="358"/>
      <c r="W751" s="358"/>
      <c r="X751" s="358"/>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row>
    <row r="752" spans="1:49" ht="13.5" customHeight="1">
      <c r="A752" s="1"/>
      <c r="B752" s="358"/>
      <c r="C752" s="358"/>
      <c r="D752" s="358"/>
      <c r="E752" s="358"/>
      <c r="F752" s="358"/>
      <c r="G752" s="358"/>
      <c r="H752" s="358"/>
      <c r="I752" s="358"/>
      <c r="J752" s="358"/>
      <c r="K752" s="358"/>
      <c r="L752" s="358"/>
      <c r="M752" s="358"/>
      <c r="N752" s="358"/>
      <c r="O752" s="358"/>
      <c r="P752" s="358"/>
      <c r="Q752" s="358"/>
      <c r="R752" s="358"/>
      <c r="S752" s="358"/>
      <c r="T752" s="358"/>
      <c r="U752" s="358"/>
      <c r="V752" s="358"/>
      <c r="W752" s="358"/>
      <c r="X752" s="358"/>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row>
    <row r="753" spans="1:49" ht="13.5" customHeight="1">
      <c r="A753" s="1"/>
      <c r="B753" s="358"/>
      <c r="C753" s="358"/>
      <c r="D753" s="358"/>
      <c r="E753" s="358"/>
      <c r="F753" s="358"/>
      <c r="G753" s="358"/>
      <c r="H753" s="358"/>
      <c r="I753" s="358"/>
      <c r="J753" s="358"/>
      <c r="K753" s="358"/>
      <c r="L753" s="358"/>
      <c r="M753" s="358"/>
      <c r="N753" s="358"/>
      <c r="O753" s="358"/>
      <c r="P753" s="358"/>
      <c r="Q753" s="358"/>
      <c r="R753" s="358"/>
      <c r="S753" s="358"/>
      <c r="T753" s="358"/>
      <c r="U753" s="358"/>
      <c r="V753" s="358"/>
      <c r="W753" s="358"/>
      <c r="X753" s="358"/>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row>
    <row r="754" spans="1:49" ht="13.5" customHeight="1">
      <c r="A754" s="1"/>
      <c r="B754" s="358"/>
      <c r="C754" s="358"/>
      <c r="D754" s="358"/>
      <c r="E754" s="358"/>
      <c r="F754" s="358"/>
      <c r="G754" s="358"/>
      <c r="H754" s="358"/>
      <c r="I754" s="358"/>
      <c r="J754" s="358"/>
      <c r="K754" s="358"/>
      <c r="L754" s="358"/>
      <c r="M754" s="358"/>
      <c r="N754" s="358"/>
      <c r="O754" s="358"/>
      <c r="P754" s="358"/>
      <c r="Q754" s="358"/>
      <c r="R754" s="358"/>
      <c r="S754" s="358"/>
      <c r="T754" s="358"/>
      <c r="U754" s="358"/>
      <c r="V754" s="358"/>
      <c r="W754" s="358"/>
      <c r="X754" s="358"/>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row>
    <row r="755" spans="1:49" ht="13.5" customHeight="1">
      <c r="A755" s="1"/>
      <c r="B755" s="358"/>
      <c r="C755" s="358"/>
      <c r="D755" s="358"/>
      <c r="E755" s="358"/>
      <c r="F755" s="358"/>
      <c r="G755" s="358"/>
      <c r="H755" s="358"/>
      <c r="I755" s="358"/>
      <c r="J755" s="358"/>
      <c r="K755" s="358"/>
      <c r="L755" s="358"/>
      <c r="M755" s="358"/>
      <c r="N755" s="358"/>
      <c r="O755" s="358"/>
      <c r="P755" s="358"/>
      <c r="Q755" s="358"/>
      <c r="R755" s="358"/>
      <c r="S755" s="358"/>
      <c r="T755" s="358"/>
      <c r="U755" s="358"/>
      <c r="V755" s="358"/>
      <c r="W755" s="358"/>
      <c r="X755" s="358"/>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row>
    <row r="756" spans="1:49" ht="13.5" customHeight="1">
      <c r="A756" s="1"/>
      <c r="B756" s="358"/>
      <c r="C756" s="358"/>
      <c r="D756" s="358"/>
      <c r="E756" s="358"/>
      <c r="F756" s="358"/>
      <c r="G756" s="358"/>
      <c r="H756" s="358"/>
      <c r="I756" s="358"/>
      <c r="J756" s="358"/>
      <c r="K756" s="358"/>
      <c r="L756" s="358"/>
      <c r="M756" s="358"/>
      <c r="N756" s="358"/>
      <c r="O756" s="358"/>
      <c r="P756" s="358"/>
      <c r="Q756" s="358"/>
      <c r="R756" s="358"/>
      <c r="S756" s="358"/>
      <c r="T756" s="358"/>
      <c r="U756" s="358"/>
      <c r="V756" s="358"/>
      <c r="W756" s="358"/>
      <c r="X756" s="358"/>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row>
    <row r="757" spans="1:49" ht="13.5" customHeight="1">
      <c r="A757" s="1"/>
      <c r="B757" s="358"/>
      <c r="C757" s="358"/>
      <c r="D757" s="358"/>
      <c r="E757" s="358"/>
      <c r="F757" s="358"/>
      <c r="G757" s="358"/>
      <c r="H757" s="358"/>
      <c r="I757" s="358"/>
      <c r="J757" s="358"/>
      <c r="K757" s="358"/>
      <c r="L757" s="358"/>
      <c r="M757" s="358"/>
      <c r="N757" s="358"/>
      <c r="O757" s="358"/>
      <c r="P757" s="358"/>
      <c r="Q757" s="358"/>
      <c r="R757" s="358"/>
      <c r="S757" s="358"/>
      <c r="T757" s="358"/>
      <c r="U757" s="358"/>
      <c r="V757" s="358"/>
      <c r="W757" s="358"/>
      <c r="X757" s="358"/>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row>
    <row r="758" spans="1:49" ht="13.5" customHeight="1">
      <c r="A758" s="1"/>
      <c r="B758" s="358"/>
      <c r="C758" s="358"/>
      <c r="D758" s="358"/>
      <c r="E758" s="358"/>
      <c r="F758" s="358"/>
      <c r="G758" s="358"/>
      <c r="H758" s="358"/>
      <c r="I758" s="358"/>
      <c r="J758" s="358"/>
      <c r="K758" s="358"/>
      <c r="L758" s="358"/>
      <c r="M758" s="358"/>
      <c r="N758" s="358"/>
      <c r="O758" s="358"/>
      <c r="P758" s="358"/>
      <c r="Q758" s="358"/>
      <c r="R758" s="358"/>
      <c r="S758" s="358"/>
      <c r="T758" s="358"/>
      <c r="U758" s="358"/>
      <c r="V758" s="358"/>
      <c r="W758" s="358"/>
      <c r="X758" s="358"/>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row>
    <row r="759" spans="1:49" ht="13.5" customHeight="1">
      <c r="A759" s="1"/>
      <c r="B759" s="358"/>
      <c r="C759" s="358"/>
      <c r="D759" s="358"/>
      <c r="E759" s="358"/>
      <c r="F759" s="358"/>
      <c r="G759" s="358"/>
      <c r="H759" s="358"/>
      <c r="I759" s="358"/>
      <c r="J759" s="358"/>
      <c r="K759" s="358"/>
      <c r="L759" s="358"/>
      <c r="M759" s="358"/>
      <c r="N759" s="358"/>
      <c r="O759" s="358"/>
      <c r="P759" s="358"/>
      <c r="Q759" s="358"/>
      <c r="R759" s="358"/>
      <c r="S759" s="358"/>
      <c r="T759" s="358"/>
      <c r="U759" s="358"/>
      <c r="V759" s="358"/>
      <c r="W759" s="358"/>
      <c r="X759" s="358"/>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row>
    <row r="760" spans="1:49" ht="13.5" customHeight="1">
      <c r="A760" s="1"/>
      <c r="B760" s="358"/>
      <c r="C760" s="358"/>
      <c r="D760" s="358"/>
      <c r="E760" s="358"/>
      <c r="F760" s="358"/>
      <c r="G760" s="358"/>
      <c r="H760" s="358"/>
      <c r="I760" s="358"/>
      <c r="J760" s="358"/>
      <c r="K760" s="358"/>
      <c r="L760" s="358"/>
      <c r="M760" s="358"/>
      <c r="N760" s="358"/>
      <c r="O760" s="358"/>
      <c r="P760" s="358"/>
      <c r="Q760" s="358"/>
      <c r="R760" s="358"/>
      <c r="S760" s="358"/>
      <c r="T760" s="358"/>
      <c r="U760" s="358"/>
      <c r="V760" s="358"/>
      <c r="W760" s="358"/>
      <c r="X760" s="358"/>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row>
    <row r="761" spans="1:49" ht="13.5" customHeight="1">
      <c r="A761" s="1"/>
      <c r="B761" s="358"/>
      <c r="C761" s="358"/>
      <c r="D761" s="358"/>
      <c r="E761" s="358"/>
      <c r="F761" s="358"/>
      <c r="G761" s="358"/>
      <c r="H761" s="358"/>
      <c r="I761" s="358"/>
      <c r="J761" s="358"/>
      <c r="K761" s="358"/>
      <c r="L761" s="358"/>
      <c r="M761" s="358"/>
      <c r="N761" s="358"/>
      <c r="O761" s="358"/>
      <c r="P761" s="358"/>
      <c r="Q761" s="358"/>
      <c r="R761" s="358"/>
      <c r="S761" s="358"/>
      <c r="T761" s="358"/>
      <c r="U761" s="358"/>
      <c r="V761" s="358"/>
      <c r="W761" s="358"/>
      <c r="X761" s="358"/>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row>
    <row r="762" spans="1:49" ht="13.5" customHeight="1">
      <c r="A762" s="1"/>
      <c r="B762" s="358"/>
      <c r="C762" s="358"/>
      <c r="D762" s="358"/>
      <c r="E762" s="358"/>
      <c r="F762" s="358"/>
      <c r="G762" s="358"/>
      <c r="H762" s="358"/>
      <c r="I762" s="358"/>
      <c r="J762" s="358"/>
      <c r="K762" s="358"/>
      <c r="L762" s="358"/>
      <c r="M762" s="358"/>
      <c r="N762" s="358"/>
      <c r="O762" s="358"/>
      <c r="P762" s="358"/>
      <c r="Q762" s="358"/>
      <c r="R762" s="358"/>
      <c r="S762" s="358"/>
      <c r="T762" s="358"/>
      <c r="U762" s="358"/>
      <c r="V762" s="358"/>
      <c r="W762" s="358"/>
      <c r="X762" s="358"/>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row>
    <row r="763" spans="1:49" ht="13.5" customHeight="1">
      <c r="A763" s="1"/>
      <c r="B763" s="358"/>
      <c r="C763" s="358"/>
      <c r="D763" s="358"/>
      <c r="E763" s="358"/>
      <c r="F763" s="358"/>
      <c r="G763" s="358"/>
      <c r="H763" s="358"/>
      <c r="I763" s="358"/>
      <c r="J763" s="358"/>
      <c r="K763" s="358"/>
      <c r="L763" s="358"/>
      <c r="M763" s="358"/>
      <c r="N763" s="358"/>
      <c r="O763" s="358"/>
      <c r="P763" s="358"/>
      <c r="Q763" s="358"/>
      <c r="R763" s="358"/>
      <c r="S763" s="358"/>
      <c r="T763" s="358"/>
      <c r="U763" s="358"/>
      <c r="V763" s="358"/>
      <c r="W763" s="358"/>
      <c r="X763" s="358"/>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row>
    <row r="764" spans="1:49" ht="13.5" customHeight="1">
      <c r="A764" s="1"/>
      <c r="B764" s="358"/>
      <c r="C764" s="358"/>
      <c r="D764" s="358"/>
      <c r="E764" s="358"/>
      <c r="F764" s="358"/>
      <c r="G764" s="358"/>
      <c r="H764" s="358"/>
      <c r="I764" s="358"/>
      <c r="J764" s="358"/>
      <c r="K764" s="358"/>
      <c r="L764" s="358"/>
      <c r="M764" s="358"/>
      <c r="N764" s="358"/>
      <c r="O764" s="358"/>
      <c r="P764" s="358"/>
      <c r="Q764" s="358"/>
      <c r="R764" s="358"/>
      <c r="S764" s="358"/>
      <c r="T764" s="358"/>
      <c r="U764" s="358"/>
      <c r="V764" s="358"/>
      <c r="W764" s="358"/>
      <c r="X764" s="358"/>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row>
    <row r="765" spans="1:49" ht="13.5" customHeight="1">
      <c r="A765" s="1"/>
      <c r="B765" s="358"/>
      <c r="C765" s="358"/>
      <c r="D765" s="358"/>
      <c r="E765" s="358"/>
      <c r="F765" s="358"/>
      <c r="G765" s="358"/>
      <c r="H765" s="358"/>
      <c r="I765" s="358"/>
      <c r="J765" s="358"/>
      <c r="K765" s="358"/>
      <c r="L765" s="358"/>
      <c r="M765" s="358"/>
      <c r="N765" s="358"/>
      <c r="O765" s="358"/>
      <c r="P765" s="358"/>
      <c r="Q765" s="358"/>
      <c r="R765" s="358"/>
      <c r="S765" s="358"/>
      <c r="T765" s="358"/>
      <c r="U765" s="358"/>
      <c r="V765" s="358"/>
      <c r="W765" s="358"/>
      <c r="X765" s="358"/>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row>
    <row r="766" spans="1:49" ht="13.5" customHeight="1">
      <c r="A766" s="1"/>
      <c r="B766" s="358"/>
      <c r="C766" s="358"/>
      <c r="D766" s="358"/>
      <c r="E766" s="358"/>
      <c r="F766" s="358"/>
      <c r="G766" s="358"/>
      <c r="H766" s="358"/>
      <c r="I766" s="358"/>
      <c r="J766" s="358"/>
      <c r="K766" s="358"/>
      <c r="L766" s="358"/>
      <c r="M766" s="358"/>
      <c r="N766" s="358"/>
      <c r="O766" s="358"/>
      <c r="P766" s="358"/>
      <c r="Q766" s="358"/>
      <c r="R766" s="358"/>
      <c r="S766" s="358"/>
      <c r="T766" s="358"/>
      <c r="U766" s="358"/>
      <c r="V766" s="358"/>
      <c r="W766" s="358"/>
      <c r="X766" s="358"/>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row>
    <row r="767" spans="1:49" ht="13.5" customHeight="1">
      <c r="A767" s="1"/>
      <c r="B767" s="358"/>
      <c r="C767" s="358"/>
      <c r="D767" s="358"/>
      <c r="E767" s="358"/>
      <c r="F767" s="358"/>
      <c r="G767" s="358"/>
      <c r="H767" s="358"/>
      <c r="I767" s="358"/>
      <c r="J767" s="358"/>
      <c r="K767" s="358"/>
      <c r="L767" s="358"/>
      <c r="M767" s="358"/>
      <c r="N767" s="358"/>
      <c r="O767" s="358"/>
      <c r="P767" s="358"/>
      <c r="Q767" s="358"/>
      <c r="R767" s="358"/>
      <c r="S767" s="358"/>
      <c r="T767" s="358"/>
      <c r="U767" s="358"/>
      <c r="V767" s="358"/>
      <c r="W767" s="358"/>
      <c r="X767" s="358"/>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row>
    <row r="768" spans="1:49" ht="13.5" customHeight="1">
      <c r="A768" s="1"/>
      <c r="B768" s="358"/>
      <c r="C768" s="358"/>
      <c r="D768" s="358"/>
      <c r="E768" s="358"/>
      <c r="F768" s="358"/>
      <c r="G768" s="358"/>
      <c r="H768" s="358"/>
      <c r="I768" s="358"/>
      <c r="J768" s="358"/>
      <c r="K768" s="358"/>
      <c r="L768" s="358"/>
      <c r="M768" s="358"/>
      <c r="N768" s="358"/>
      <c r="O768" s="358"/>
      <c r="P768" s="358"/>
      <c r="Q768" s="358"/>
      <c r="R768" s="358"/>
      <c r="S768" s="358"/>
      <c r="T768" s="358"/>
      <c r="U768" s="358"/>
      <c r="V768" s="358"/>
      <c r="W768" s="358"/>
      <c r="X768" s="358"/>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row>
    <row r="769" spans="1:49" ht="13.5" customHeight="1">
      <c r="A769" s="1"/>
      <c r="B769" s="358"/>
      <c r="C769" s="358"/>
      <c r="D769" s="358"/>
      <c r="E769" s="358"/>
      <c r="F769" s="358"/>
      <c r="G769" s="358"/>
      <c r="H769" s="358"/>
      <c r="I769" s="358"/>
      <c r="J769" s="358"/>
      <c r="K769" s="358"/>
      <c r="L769" s="358"/>
      <c r="M769" s="358"/>
      <c r="N769" s="358"/>
      <c r="O769" s="358"/>
      <c r="P769" s="358"/>
      <c r="Q769" s="358"/>
      <c r="R769" s="358"/>
      <c r="S769" s="358"/>
      <c r="T769" s="358"/>
      <c r="U769" s="358"/>
      <c r="V769" s="358"/>
      <c r="W769" s="358"/>
      <c r="X769" s="358"/>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row>
    <row r="770" spans="1:49" ht="13.5" customHeight="1">
      <c r="A770" s="1"/>
      <c r="B770" s="358"/>
      <c r="C770" s="358"/>
      <c r="D770" s="358"/>
      <c r="E770" s="358"/>
      <c r="F770" s="358"/>
      <c r="G770" s="358"/>
      <c r="H770" s="358"/>
      <c r="I770" s="358"/>
      <c r="J770" s="358"/>
      <c r="K770" s="358"/>
      <c r="L770" s="358"/>
      <c r="M770" s="358"/>
      <c r="N770" s="358"/>
      <c r="O770" s="358"/>
      <c r="P770" s="358"/>
      <c r="Q770" s="358"/>
      <c r="R770" s="358"/>
      <c r="S770" s="358"/>
      <c r="T770" s="358"/>
      <c r="U770" s="358"/>
      <c r="V770" s="358"/>
      <c r="W770" s="358"/>
      <c r="X770" s="358"/>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row>
    <row r="771" spans="1:49" ht="13.5" customHeight="1">
      <c r="A771" s="1"/>
      <c r="B771" s="358"/>
      <c r="C771" s="358"/>
      <c r="D771" s="358"/>
      <c r="E771" s="358"/>
      <c r="F771" s="358"/>
      <c r="G771" s="358"/>
      <c r="H771" s="358"/>
      <c r="I771" s="358"/>
      <c r="J771" s="358"/>
      <c r="K771" s="358"/>
      <c r="L771" s="358"/>
      <c r="M771" s="358"/>
      <c r="N771" s="358"/>
      <c r="O771" s="358"/>
      <c r="P771" s="358"/>
      <c r="Q771" s="358"/>
      <c r="R771" s="358"/>
      <c r="S771" s="358"/>
      <c r="T771" s="358"/>
      <c r="U771" s="358"/>
      <c r="V771" s="358"/>
      <c r="W771" s="358"/>
      <c r="X771" s="358"/>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row>
    <row r="772" spans="1:49" ht="13.5" customHeight="1">
      <c r="A772" s="1"/>
      <c r="B772" s="358"/>
      <c r="C772" s="358"/>
      <c r="D772" s="358"/>
      <c r="E772" s="358"/>
      <c r="F772" s="358"/>
      <c r="G772" s="358"/>
      <c r="H772" s="358"/>
      <c r="I772" s="358"/>
      <c r="J772" s="358"/>
      <c r="K772" s="358"/>
      <c r="L772" s="358"/>
      <c r="M772" s="358"/>
      <c r="N772" s="358"/>
      <c r="O772" s="358"/>
      <c r="P772" s="358"/>
      <c r="Q772" s="358"/>
      <c r="R772" s="358"/>
      <c r="S772" s="358"/>
      <c r="T772" s="358"/>
      <c r="U772" s="358"/>
      <c r="V772" s="358"/>
      <c r="W772" s="358"/>
      <c r="X772" s="358"/>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row>
    <row r="773" spans="1:49" ht="13.5" customHeight="1">
      <c r="A773" s="1"/>
      <c r="B773" s="358"/>
      <c r="C773" s="358"/>
      <c r="D773" s="358"/>
      <c r="E773" s="358"/>
      <c r="F773" s="358"/>
      <c r="G773" s="358"/>
      <c r="H773" s="358"/>
      <c r="I773" s="358"/>
      <c r="J773" s="358"/>
      <c r="K773" s="358"/>
      <c r="L773" s="358"/>
      <c r="M773" s="358"/>
      <c r="N773" s="358"/>
      <c r="O773" s="358"/>
      <c r="P773" s="358"/>
      <c r="Q773" s="358"/>
      <c r="R773" s="358"/>
      <c r="S773" s="358"/>
      <c r="T773" s="358"/>
      <c r="U773" s="358"/>
      <c r="V773" s="358"/>
      <c r="W773" s="358"/>
      <c r="X773" s="358"/>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row>
    <row r="774" spans="1:49" ht="13.5" customHeight="1">
      <c r="A774" s="1"/>
      <c r="B774" s="358"/>
      <c r="C774" s="358"/>
      <c r="D774" s="358"/>
      <c r="E774" s="358"/>
      <c r="F774" s="358"/>
      <c r="G774" s="358"/>
      <c r="H774" s="358"/>
      <c r="I774" s="358"/>
      <c r="J774" s="358"/>
      <c r="K774" s="358"/>
      <c r="L774" s="358"/>
      <c r="M774" s="358"/>
      <c r="N774" s="358"/>
      <c r="O774" s="358"/>
      <c r="P774" s="358"/>
      <c r="Q774" s="358"/>
      <c r="R774" s="358"/>
      <c r="S774" s="358"/>
      <c r="T774" s="358"/>
      <c r="U774" s="358"/>
      <c r="V774" s="358"/>
      <c r="W774" s="358"/>
      <c r="X774" s="358"/>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row>
    <row r="775" spans="1:49" ht="13.5" customHeight="1">
      <c r="A775" s="1"/>
      <c r="B775" s="358"/>
      <c r="C775" s="358"/>
      <c r="D775" s="358"/>
      <c r="E775" s="358"/>
      <c r="F775" s="358"/>
      <c r="G775" s="358"/>
      <c r="H775" s="358"/>
      <c r="I775" s="358"/>
      <c r="J775" s="358"/>
      <c r="K775" s="358"/>
      <c r="L775" s="358"/>
      <c r="M775" s="358"/>
      <c r="N775" s="358"/>
      <c r="O775" s="358"/>
      <c r="P775" s="358"/>
      <c r="Q775" s="358"/>
      <c r="R775" s="358"/>
      <c r="S775" s="358"/>
      <c r="T775" s="358"/>
      <c r="U775" s="358"/>
      <c r="V775" s="358"/>
      <c r="W775" s="358"/>
      <c r="X775" s="358"/>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row>
    <row r="776" spans="1:49" ht="13.5" customHeight="1">
      <c r="A776" s="1"/>
      <c r="B776" s="358"/>
      <c r="C776" s="358"/>
      <c r="D776" s="358"/>
      <c r="E776" s="358"/>
      <c r="F776" s="358"/>
      <c r="G776" s="358"/>
      <c r="H776" s="358"/>
      <c r="I776" s="358"/>
      <c r="J776" s="358"/>
      <c r="K776" s="358"/>
      <c r="L776" s="358"/>
      <c r="M776" s="358"/>
      <c r="N776" s="358"/>
      <c r="O776" s="358"/>
      <c r="P776" s="358"/>
      <c r="Q776" s="358"/>
      <c r="R776" s="358"/>
      <c r="S776" s="358"/>
      <c r="T776" s="358"/>
      <c r="U776" s="358"/>
      <c r="V776" s="358"/>
      <c r="W776" s="358"/>
      <c r="X776" s="358"/>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row>
    <row r="777" spans="1:49" ht="13.5" customHeight="1">
      <c r="A777" s="1"/>
      <c r="B777" s="358"/>
      <c r="C777" s="358"/>
      <c r="D777" s="358"/>
      <c r="E777" s="358"/>
      <c r="F777" s="358"/>
      <c r="G777" s="358"/>
      <c r="H777" s="358"/>
      <c r="I777" s="358"/>
      <c r="J777" s="358"/>
      <c r="K777" s="358"/>
      <c r="L777" s="358"/>
      <c r="M777" s="358"/>
      <c r="N777" s="358"/>
      <c r="O777" s="358"/>
      <c r="P777" s="358"/>
      <c r="Q777" s="358"/>
      <c r="R777" s="358"/>
      <c r="S777" s="358"/>
      <c r="T777" s="358"/>
      <c r="U777" s="358"/>
      <c r="V777" s="358"/>
      <c r="W777" s="358"/>
      <c r="X777" s="358"/>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row>
    <row r="778" spans="1:49" ht="13.5" customHeight="1">
      <c r="A778" s="1"/>
      <c r="B778" s="358"/>
      <c r="C778" s="358"/>
      <c r="D778" s="358"/>
      <c r="E778" s="358"/>
      <c r="F778" s="358"/>
      <c r="G778" s="358"/>
      <c r="H778" s="358"/>
      <c r="I778" s="358"/>
      <c r="J778" s="358"/>
      <c r="K778" s="358"/>
      <c r="L778" s="358"/>
      <c r="M778" s="358"/>
      <c r="N778" s="358"/>
      <c r="O778" s="358"/>
      <c r="P778" s="358"/>
      <c r="Q778" s="358"/>
      <c r="R778" s="358"/>
      <c r="S778" s="358"/>
      <c r="T778" s="358"/>
      <c r="U778" s="358"/>
      <c r="V778" s="358"/>
      <c r="W778" s="358"/>
      <c r="X778" s="358"/>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row>
    <row r="779" spans="1:49" ht="13.5" customHeight="1">
      <c r="A779" s="1"/>
      <c r="B779" s="358"/>
      <c r="C779" s="358"/>
      <c r="D779" s="358"/>
      <c r="E779" s="358"/>
      <c r="F779" s="358"/>
      <c r="G779" s="358"/>
      <c r="H779" s="358"/>
      <c r="I779" s="358"/>
      <c r="J779" s="358"/>
      <c r="K779" s="358"/>
      <c r="L779" s="358"/>
      <c r="M779" s="358"/>
      <c r="N779" s="358"/>
      <c r="O779" s="358"/>
      <c r="P779" s="358"/>
      <c r="Q779" s="358"/>
      <c r="R779" s="358"/>
      <c r="S779" s="358"/>
      <c r="T779" s="358"/>
      <c r="U779" s="358"/>
      <c r="V779" s="358"/>
      <c r="W779" s="358"/>
      <c r="X779" s="358"/>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row>
    <row r="780" spans="1:49" ht="13.5" customHeight="1">
      <c r="A780" s="1"/>
      <c r="B780" s="358"/>
      <c r="C780" s="358"/>
      <c r="D780" s="358"/>
      <c r="E780" s="358"/>
      <c r="F780" s="358"/>
      <c r="G780" s="358"/>
      <c r="H780" s="358"/>
      <c r="I780" s="358"/>
      <c r="J780" s="358"/>
      <c r="K780" s="358"/>
      <c r="L780" s="358"/>
      <c r="M780" s="358"/>
      <c r="N780" s="358"/>
      <c r="O780" s="358"/>
      <c r="P780" s="358"/>
      <c r="Q780" s="358"/>
      <c r="R780" s="358"/>
      <c r="S780" s="358"/>
      <c r="T780" s="358"/>
      <c r="U780" s="358"/>
      <c r="V780" s="358"/>
      <c r="W780" s="358"/>
      <c r="X780" s="358"/>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row>
    <row r="781" spans="1:49" ht="13.5" customHeight="1">
      <c r="A781" s="1"/>
      <c r="B781" s="358"/>
      <c r="C781" s="358"/>
      <c r="D781" s="358"/>
      <c r="E781" s="358"/>
      <c r="F781" s="358"/>
      <c r="G781" s="358"/>
      <c r="H781" s="358"/>
      <c r="I781" s="358"/>
      <c r="J781" s="358"/>
      <c r="K781" s="358"/>
      <c r="L781" s="358"/>
      <c r="M781" s="358"/>
      <c r="N781" s="358"/>
      <c r="O781" s="358"/>
      <c r="P781" s="358"/>
      <c r="Q781" s="358"/>
      <c r="R781" s="358"/>
      <c r="S781" s="358"/>
      <c r="T781" s="358"/>
      <c r="U781" s="358"/>
      <c r="V781" s="358"/>
      <c r="W781" s="358"/>
      <c r="X781" s="358"/>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row>
    <row r="782" spans="1:49" ht="13.5" customHeight="1">
      <c r="A782" s="1"/>
      <c r="B782" s="358"/>
      <c r="C782" s="358"/>
      <c r="D782" s="358"/>
      <c r="E782" s="358"/>
      <c r="F782" s="358"/>
      <c r="G782" s="358"/>
      <c r="H782" s="358"/>
      <c r="I782" s="358"/>
      <c r="J782" s="358"/>
      <c r="K782" s="358"/>
      <c r="L782" s="358"/>
      <c r="M782" s="358"/>
      <c r="N782" s="358"/>
      <c r="O782" s="358"/>
      <c r="P782" s="358"/>
      <c r="Q782" s="358"/>
      <c r="R782" s="358"/>
      <c r="S782" s="358"/>
      <c r="T782" s="358"/>
      <c r="U782" s="358"/>
      <c r="V782" s="358"/>
      <c r="W782" s="358"/>
      <c r="X782" s="358"/>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row>
    <row r="783" spans="1:49" ht="13.5" customHeight="1">
      <c r="A783" s="1"/>
      <c r="B783" s="358"/>
      <c r="C783" s="358"/>
      <c r="D783" s="358"/>
      <c r="E783" s="358"/>
      <c r="F783" s="358"/>
      <c r="G783" s="358"/>
      <c r="H783" s="358"/>
      <c r="I783" s="358"/>
      <c r="J783" s="358"/>
      <c r="K783" s="358"/>
      <c r="L783" s="358"/>
      <c r="M783" s="358"/>
      <c r="N783" s="358"/>
      <c r="O783" s="358"/>
      <c r="P783" s="358"/>
      <c r="Q783" s="358"/>
      <c r="R783" s="358"/>
      <c r="S783" s="358"/>
      <c r="T783" s="358"/>
      <c r="U783" s="358"/>
      <c r="V783" s="358"/>
      <c r="W783" s="358"/>
      <c r="X783" s="358"/>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row>
    <row r="784" spans="1:49" ht="13.5" customHeight="1">
      <c r="A784" s="1"/>
      <c r="B784" s="358"/>
      <c r="C784" s="358"/>
      <c r="D784" s="358"/>
      <c r="E784" s="358"/>
      <c r="F784" s="358"/>
      <c r="G784" s="358"/>
      <c r="H784" s="358"/>
      <c r="I784" s="358"/>
      <c r="J784" s="358"/>
      <c r="K784" s="358"/>
      <c r="L784" s="358"/>
      <c r="M784" s="358"/>
      <c r="N784" s="358"/>
      <c r="O784" s="358"/>
      <c r="P784" s="358"/>
      <c r="Q784" s="358"/>
      <c r="R784" s="358"/>
      <c r="S784" s="358"/>
      <c r="T784" s="358"/>
      <c r="U784" s="358"/>
      <c r="V784" s="358"/>
      <c r="W784" s="358"/>
      <c r="X784" s="358"/>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row>
    <row r="785" spans="1:49" ht="13.5" customHeight="1">
      <c r="A785" s="1"/>
      <c r="B785" s="358"/>
      <c r="C785" s="358"/>
      <c r="D785" s="358"/>
      <c r="E785" s="358"/>
      <c r="F785" s="358"/>
      <c r="G785" s="358"/>
      <c r="H785" s="358"/>
      <c r="I785" s="358"/>
      <c r="J785" s="358"/>
      <c r="K785" s="358"/>
      <c r="L785" s="358"/>
      <c r="M785" s="358"/>
      <c r="N785" s="358"/>
      <c r="O785" s="358"/>
      <c r="P785" s="358"/>
      <c r="Q785" s="358"/>
      <c r="R785" s="358"/>
      <c r="S785" s="358"/>
      <c r="T785" s="358"/>
      <c r="U785" s="358"/>
      <c r="V785" s="358"/>
      <c r="W785" s="358"/>
      <c r="X785" s="358"/>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row>
    <row r="786" spans="1:49" ht="13.5" customHeight="1">
      <c r="A786" s="1"/>
      <c r="B786" s="358"/>
      <c r="C786" s="358"/>
      <c r="D786" s="358"/>
      <c r="E786" s="358"/>
      <c r="F786" s="358"/>
      <c r="G786" s="358"/>
      <c r="H786" s="358"/>
      <c r="I786" s="358"/>
      <c r="J786" s="358"/>
      <c r="K786" s="358"/>
      <c r="L786" s="358"/>
      <c r="M786" s="358"/>
      <c r="N786" s="358"/>
      <c r="O786" s="358"/>
      <c r="P786" s="358"/>
      <c r="Q786" s="358"/>
      <c r="R786" s="358"/>
      <c r="S786" s="358"/>
      <c r="T786" s="358"/>
      <c r="U786" s="358"/>
      <c r="V786" s="358"/>
      <c r="W786" s="358"/>
      <c r="X786" s="358"/>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row>
    <row r="787" spans="1:49" ht="13.5" customHeight="1">
      <c r="A787" s="1"/>
      <c r="B787" s="358"/>
      <c r="C787" s="358"/>
      <c r="D787" s="358"/>
      <c r="E787" s="358"/>
      <c r="F787" s="358"/>
      <c r="G787" s="358"/>
      <c r="H787" s="358"/>
      <c r="I787" s="358"/>
      <c r="J787" s="358"/>
      <c r="K787" s="358"/>
      <c r="L787" s="358"/>
      <c r="M787" s="358"/>
      <c r="N787" s="358"/>
      <c r="O787" s="358"/>
      <c r="P787" s="358"/>
      <c r="Q787" s="358"/>
      <c r="R787" s="358"/>
      <c r="S787" s="358"/>
      <c r="T787" s="358"/>
      <c r="U787" s="358"/>
      <c r="V787" s="358"/>
      <c r="W787" s="358"/>
      <c r="X787" s="358"/>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row>
    <row r="788" spans="1:49" ht="13.5" customHeight="1">
      <c r="A788" s="1"/>
      <c r="B788" s="358"/>
      <c r="C788" s="358"/>
      <c r="D788" s="358"/>
      <c r="E788" s="358"/>
      <c r="F788" s="358"/>
      <c r="G788" s="358"/>
      <c r="H788" s="358"/>
      <c r="I788" s="358"/>
      <c r="J788" s="358"/>
      <c r="K788" s="358"/>
      <c r="L788" s="358"/>
      <c r="M788" s="358"/>
      <c r="N788" s="358"/>
      <c r="O788" s="358"/>
      <c r="P788" s="358"/>
      <c r="Q788" s="358"/>
      <c r="R788" s="358"/>
      <c r="S788" s="358"/>
      <c r="T788" s="358"/>
      <c r="U788" s="358"/>
      <c r="V788" s="358"/>
      <c r="W788" s="358"/>
      <c r="X788" s="358"/>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row>
    <row r="789" spans="1:49" ht="13.5" customHeight="1">
      <c r="A789" s="1"/>
      <c r="B789" s="358"/>
      <c r="C789" s="358"/>
      <c r="D789" s="358"/>
      <c r="E789" s="358"/>
      <c r="F789" s="358"/>
      <c r="G789" s="358"/>
      <c r="H789" s="358"/>
      <c r="I789" s="358"/>
      <c r="J789" s="358"/>
      <c r="K789" s="358"/>
      <c r="L789" s="358"/>
      <c r="M789" s="358"/>
      <c r="N789" s="358"/>
      <c r="O789" s="358"/>
      <c r="P789" s="358"/>
      <c r="Q789" s="358"/>
      <c r="R789" s="358"/>
      <c r="S789" s="358"/>
      <c r="T789" s="358"/>
      <c r="U789" s="358"/>
      <c r="V789" s="358"/>
      <c r="W789" s="358"/>
      <c r="X789" s="358"/>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row>
    <row r="790" spans="1:49" ht="13.5" customHeight="1">
      <c r="A790" s="1"/>
      <c r="B790" s="358"/>
      <c r="C790" s="358"/>
      <c r="D790" s="358"/>
      <c r="E790" s="358"/>
      <c r="F790" s="358"/>
      <c r="G790" s="358"/>
      <c r="H790" s="358"/>
      <c r="I790" s="358"/>
      <c r="J790" s="358"/>
      <c r="K790" s="358"/>
      <c r="L790" s="358"/>
      <c r="M790" s="358"/>
      <c r="N790" s="358"/>
      <c r="O790" s="358"/>
      <c r="P790" s="358"/>
      <c r="Q790" s="358"/>
      <c r="R790" s="358"/>
      <c r="S790" s="358"/>
      <c r="T790" s="358"/>
      <c r="U790" s="358"/>
      <c r="V790" s="358"/>
      <c r="W790" s="358"/>
      <c r="X790" s="358"/>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row>
    <row r="791" spans="1:49" ht="13.5" customHeight="1">
      <c r="A791" s="1"/>
      <c r="B791" s="358"/>
      <c r="C791" s="358"/>
      <c r="D791" s="358"/>
      <c r="E791" s="358"/>
      <c r="F791" s="358"/>
      <c r="G791" s="358"/>
      <c r="H791" s="358"/>
      <c r="I791" s="358"/>
      <c r="J791" s="358"/>
      <c r="K791" s="358"/>
      <c r="L791" s="358"/>
      <c r="M791" s="358"/>
      <c r="N791" s="358"/>
      <c r="O791" s="358"/>
      <c r="P791" s="358"/>
      <c r="Q791" s="358"/>
      <c r="R791" s="358"/>
      <c r="S791" s="358"/>
      <c r="T791" s="358"/>
      <c r="U791" s="358"/>
      <c r="V791" s="358"/>
      <c r="W791" s="358"/>
      <c r="X791" s="358"/>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row>
    <row r="792" spans="1:49" ht="13.5" customHeight="1">
      <c r="A792" s="1"/>
      <c r="B792" s="358"/>
      <c r="C792" s="358"/>
      <c r="D792" s="358"/>
      <c r="E792" s="358"/>
      <c r="F792" s="358"/>
      <c r="G792" s="358"/>
      <c r="H792" s="358"/>
      <c r="I792" s="358"/>
      <c r="J792" s="358"/>
      <c r="K792" s="358"/>
      <c r="L792" s="358"/>
      <c r="M792" s="358"/>
      <c r="N792" s="358"/>
      <c r="O792" s="358"/>
      <c r="P792" s="358"/>
      <c r="Q792" s="358"/>
      <c r="R792" s="358"/>
      <c r="S792" s="358"/>
      <c r="T792" s="358"/>
      <c r="U792" s="358"/>
      <c r="V792" s="358"/>
      <c r="W792" s="358"/>
      <c r="X792" s="358"/>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row>
    <row r="793" spans="1:49" ht="13.5" customHeight="1">
      <c r="A793" s="1"/>
      <c r="B793" s="358"/>
      <c r="C793" s="358"/>
      <c r="D793" s="358"/>
      <c r="E793" s="358"/>
      <c r="F793" s="358"/>
      <c r="G793" s="358"/>
      <c r="H793" s="358"/>
      <c r="I793" s="358"/>
      <c r="J793" s="358"/>
      <c r="K793" s="358"/>
      <c r="L793" s="358"/>
      <c r="M793" s="358"/>
      <c r="N793" s="358"/>
      <c r="O793" s="358"/>
      <c r="P793" s="358"/>
      <c r="Q793" s="358"/>
      <c r="R793" s="358"/>
      <c r="S793" s="358"/>
      <c r="T793" s="358"/>
      <c r="U793" s="358"/>
      <c r="V793" s="358"/>
      <c r="W793" s="358"/>
      <c r="X793" s="358"/>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row>
    <row r="794" spans="1:49" ht="13.5" customHeight="1">
      <c r="A794" s="1"/>
      <c r="B794" s="358"/>
      <c r="C794" s="358"/>
      <c r="D794" s="358"/>
      <c r="E794" s="358"/>
      <c r="F794" s="358"/>
      <c r="G794" s="358"/>
      <c r="H794" s="358"/>
      <c r="I794" s="358"/>
      <c r="J794" s="358"/>
      <c r="K794" s="358"/>
      <c r="L794" s="358"/>
      <c r="M794" s="358"/>
      <c r="N794" s="358"/>
      <c r="O794" s="358"/>
      <c r="P794" s="358"/>
      <c r="Q794" s="358"/>
      <c r="R794" s="358"/>
      <c r="S794" s="358"/>
      <c r="T794" s="358"/>
      <c r="U794" s="358"/>
      <c r="V794" s="358"/>
      <c r="W794" s="358"/>
      <c r="X794" s="358"/>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row>
    <row r="795" spans="1:49" ht="13.5" customHeight="1">
      <c r="A795" s="1"/>
      <c r="B795" s="358"/>
      <c r="C795" s="358"/>
      <c r="D795" s="358"/>
      <c r="E795" s="358"/>
      <c r="F795" s="358"/>
      <c r="G795" s="358"/>
      <c r="H795" s="358"/>
      <c r="I795" s="358"/>
      <c r="J795" s="358"/>
      <c r="K795" s="358"/>
      <c r="L795" s="358"/>
      <c r="M795" s="358"/>
      <c r="N795" s="358"/>
      <c r="O795" s="358"/>
      <c r="P795" s="358"/>
      <c r="Q795" s="358"/>
      <c r="R795" s="358"/>
      <c r="S795" s="358"/>
      <c r="T795" s="358"/>
      <c r="U795" s="358"/>
      <c r="V795" s="358"/>
      <c r="W795" s="358"/>
      <c r="X795" s="358"/>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row>
    <row r="796" spans="1:49" ht="13.5" customHeight="1">
      <c r="A796" s="1"/>
      <c r="B796" s="358"/>
      <c r="C796" s="358"/>
      <c r="D796" s="358"/>
      <c r="E796" s="358"/>
      <c r="F796" s="358"/>
      <c r="G796" s="358"/>
      <c r="H796" s="358"/>
      <c r="I796" s="358"/>
      <c r="J796" s="358"/>
      <c r="K796" s="358"/>
      <c r="L796" s="358"/>
      <c r="M796" s="358"/>
      <c r="N796" s="358"/>
      <c r="O796" s="358"/>
      <c r="P796" s="358"/>
      <c r="Q796" s="358"/>
      <c r="R796" s="358"/>
      <c r="S796" s="358"/>
      <c r="T796" s="358"/>
      <c r="U796" s="358"/>
      <c r="V796" s="358"/>
      <c r="W796" s="358"/>
      <c r="X796" s="358"/>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row>
    <row r="797" spans="1:49" ht="13.5" customHeight="1">
      <c r="A797" s="1"/>
      <c r="B797" s="358"/>
      <c r="C797" s="358"/>
      <c r="D797" s="358"/>
      <c r="E797" s="358"/>
      <c r="F797" s="358"/>
      <c r="G797" s="358"/>
      <c r="H797" s="358"/>
      <c r="I797" s="358"/>
      <c r="J797" s="358"/>
      <c r="K797" s="358"/>
      <c r="L797" s="358"/>
      <c r="M797" s="358"/>
      <c r="N797" s="358"/>
      <c r="O797" s="358"/>
      <c r="P797" s="358"/>
      <c r="Q797" s="358"/>
      <c r="R797" s="358"/>
      <c r="S797" s="358"/>
      <c r="T797" s="358"/>
      <c r="U797" s="358"/>
      <c r="V797" s="358"/>
      <c r="W797" s="358"/>
      <c r="X797" s="358"/>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row>
    <row r="798" spans="1:49" ht="13.5" customHeight="1">
      <c r="A798" s="1"/>
      <c r="B798" s="358"/>
      <c r="C798" s="358"/>
      <c r="D798" s="358"/>
      <c r="E798" s="358"/>
      <c r="F798" s="358"/>
      <c r="G798" s="358"/>
      <c r="H798" s="358"/>
      <c r="I798" s="358"/>
      <c r="J798" s="358"/>
      <c r="K798" s="358"/>
      <c r="L798" s="358"/>
      <c r="M798" s="358"/>
      <c r="N798" s="358"/>
      <c r="O798" s="358"/>
      <c r="P798" s="358"/>
      <c r="Q798" s="358"/>
      <c r="R798" s="358"/>
      <c r="S798" s="358"/>
      <c r="T798" s="358"/>
      <c r="U798" s="358"/>
      <c r="V798" s="358"/>
      <c r="W798" s="358"/>
      <c r="X798" s="358"/>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row>
    <row r="799" spans="1:49" ht="13.5" customHeight="1">
      <c r="A799" s="1"/>
      <c r="B799" s="358"/>
      <c r="C799" s="358"/>
      <c r="D799" s="358"/>
      <c r="E799" s="358"/>
      <c r="F799" s="358"/>
      <c r="G799" s="358"/>
      <c r="H799" s="358"/>
      <c r="I799" s="358"/>
      <c r="J799" s="358"/>
      <c r="K799" s="358"/>
      <c r="L799" s="358"/>
      <c r="M799" s="358"/>
      <c r="N799" s="358"/>
      <c r="O799" s="358"/>
      <c r="P799" s="358"/>
      <c r="Q799" s="358"/>
      <c r="R799" s="358"/>
      <c r="S799" s="358"/>
      <c r="T799" s="358"/>
      <c r="U799" s="358"/>
      <c r="V799" s="358"/>
      <c r="W799" s="358"/>
      <c r="X799" s="358"/>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row>
    <row r="800" spans="1:49" ht="13.5" customHeight="1">
      <c r="A800" s="1"/>
      <c r="B800" s="358"/>
      <c r="C800" s="358"/>
      <c r="D800" s="358"/>
      <c r="E800" s="358"/>
      <c r="F800" s="358"/>
      <c r="G800" s="358"/>
      <c r="H800" s="358"/>
      <c r="I800" s="358"/>
      <c r="J800" s="358"/>
      <c r="K800" s="358"/>
      <c r="L800" s="358"/>
      <c r="M800" s="358"/>
      <c r="N800" s="358"/>
      <c r="O800" s="358"/>
      <c r="P800" s="358"/>
      <c r="Q800" s="358"/>
      <c r="R800" s="358"/>
      <c r="S800" s="358"/>
      <c r="T800" s="358"/>
      <c r="U800" s="358"/>
      <c r="V800" s="358"/>
      <c r="W800" s="358"/>
      <c r="X800" s="358"/>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row>
    <row r="801" spans="1:49" ht="13.5" customHeight="1">
      <c r="A801" s="1"/>
      <c r="B801" s="358"/>
      <c r="C801" s="358"/>
      <c r="D801" s="358"/>
      <c r="E801" s="358"/>
      <c r="F801" s="358"/>
      <c r="G801" s="358"/>
      <c r="H801" s="358"/>
      <c r="I801" s="358"/>
      <c r="J801" s="358"/>
      <c r="K801" s="358"/>
      <c r="L801" s="358"/>
      <c r="M801" s="358"/>
      <c r="N801" s="358"/>
      <c r="O801" s="358"/>
      <c r="P801" s="358"/>
      <c r="Q801" s="358"/>
      <c r="R801" s="358"/>
      <c r="S801" s="358"/>
      <c r="T801" s="358"/>
      <c r="U801" s="358"/>
      <c r="V801" s="358"/>
      <c r="W801" s="358"/>
      <c r="X801" s="358"/>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row>
    <row r="802" spans="1:49" ht="13.5" customHeight="1">
      <c r="A802" s="1"/>
      <c r="B802" s="358"/>
      <c r="C802" s="358"/>
      <c r="D802" s="358"/>
      <c r="E802" s="358"/>
      <c r="F802" s="358"/>
      <c r="G802" s="358"/>
      <c r="H802" s="358"/>
      <c r="I802" s="358"/>
      <c r="J802" s="358"/>
      <c r="K802" s="358"/>
      <c r="L802" s="358"/>
      <c r="M802" s="358"/>
      <c r="N802" s="358"/>
      <c r="O802" s="358"/>
      <c r="P802" s="358"/>
      <c r="Q802" s="358"/>
      <c r="R802" s="358"/>
      <c r="S802" s="358"/>
      <c r="T802" s="358"/>
      <c r="U802" s="358"/>
      <c r="V802" s="358"/>
      <c r="W802" s="358"/>
      <c r="X802" s="358"/>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row>
    <row r="803" spans="1:49" ht="13.5" customHeight="1">
      <c r="A803" s="1"/>
      <c r="B803" s="358"/>
      <c r="C803" s="358"/>
      <c r="D803" s="358"/>
      <c r="E803" s="358"/>
      <c r="F803" s="358"/>
      <c r="G803" s="358"/>
      <c r="H803" s="358"/>
      <c r="I803" s="358"/>
      <c r="J803" s="358"/>
      <c r="K803" s="358"/>
      <c r="L803" s="358"/>
      <c r="M803" s="358"/>
      <c r="N803" s="358"/>
      <c r="O803" s="358"/>
      <c r="P803" s="358"/>
      <c r="Q803" s="358"/>
      <c r="R803" s="358"/>
      <c r="S803" s="358"/>
      <c r="T803" s="358"/>
      <c r="U803" s="358"/>
      <c r="V803" s="358"/>
      <c r="W803" s="358"/>
      <c r="X803" s="358"/>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row>
    <row r="804" spans="1:49" ht="13.5" customHeight="1">
      <c r="A804" s="1"/>
      <c r="B804" s="358"/>
      <c r="C804" s="358"/>
      <c r="D804" s="358"/>
      <c r="E804" s="358"/>
      <c r="F804" s="358"/>
      <c r="G804" s="358"/>
      <c r="H804" s="358"/>
      <c r="I804" s="358"/>
      <c r="J804" s="358"/>
      <c r="K804" s="358"/>
      <c r="L804" s="358"/>
      <c r="M804" s="358"/>
      <c r="N804" s="358"/>
      <c r="O804" s="358"/>
      <c r="P804" s="358"/>
      <c r="Q804" s="358"/>
      <c r="R804" s="358"/>
      <c r="S804" s="358"/>
      <c r="T804" s="358"/>
      <c r="U804" s="358"/>
      <c r="V804" s="358"/>
      <c r="W804" s="358"/>
      <c r="X804" s="358"/>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row>
    <row r="805" spans="1:49" ht="13.5" customHeight="1">
      <c r="A805" s="1"/>
      <c r="B805" s="358"/>
      <c r="C805" s="358"/>
      <c r="D805" s="358"/>
      <c r="E805" s="358"/>
      <c r="F805" s="358"/>
      <c r="G805" s="358"/>
      <c r="H805" s="358"/>
      <c r="I805" s="358"/>
      <c r="J805" s="358"/>
      <c r="K805" s="358"/>
      <c r="L805" s="358"/>
      <c r="M805" s="358"/>
      <c r="N805" s="358"/>
      <c r="O805" s="358"/>
      <c r="P805" s="358"/>
      <c r="Q805" s="358"/>
      <c r="R805" s="358"/>
      <c r="S805" s="358"/>
      <c r="T805" s="358"/>
      <c r="U805" s="358"/>
      <c r="V805" s="358"/>
      <c r="W805" s="358"/>
      <c r="X805" s="358"/>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row>
    <row r="806" spans="1:49" ht="13.5" customHeight="1">
      <c r="A806" s="1"/>
      <c r="B806" s="358"/>
      <c r="C806" s="358"/>
      <c r="D806" s="358"/>
      <c r="E806" s="358"/>
      <c r="F806" s="358"/>
      <c r="G806" s="358"/>
      <c r="H806" s="358"/>
      <c r="I806" s="358"/>
      <c r="J806" s="358"/>
      <c r="K806" s="358"/>
      <c r="L806" s="358"/>
      <c r="M806" s="358"/>
      <c r="N806" s="358"/>
      <c r="O806" s="358"/>
      <c r="P806" s="358"/>
      <c r="Q806" s="358"/>
      <c r="R806" s="358"/>
      <c r="S806" s="358"/>
      <c r="T806" s="358"/>
      <c r="U806" s="358"/>
      <c r="V806" s="358"/>
      <c r="W806" s="358"/>
      <c r="X806" s="358"/>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row>
    <row r="807" spans="1:49" ht="13.5" customHeight="1">
      <c r="A807" s="1"/>
      <c r="B807" s="358"/>
      <c r="C807" s="358"/>
      <c r="D807" s="358"/>
      <c r="E807" s="358"/>
      <c r="F807" s="358"/>
      <c r="G807" s="358"/>
      <c r="H807" s="358"/>
      <c r="I807" s="358"/>
      <c r="J807" s="358"/>
      <c r="K807" s="358"/>
      <c r="L807" s="358"/>
      <c r="M807" s="358"/>
      <c r="N807" s="358"/>
      <c r="O807" s="358"/>
      <c r="P807" s="358"/>
      <c r="Q807" s="358"/>
      <c r="R807" s="358"/>
      <c r="S807" s="358"/>
      <c r="T807" s="358"/>
      <c r="U807" s="358"/>
      <c r="V807" s="358"/>
      <c r="W807" s="358"/>
      <c r="X807" s="358"/>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row>
    <row r="808" spans="1:49" ht="13.5" customHeight="1">
      <c r="A808" s="1"/>
      <c r="B808" s="358"/>
      <c r="C808" s="358"/>
      <c r="D808" s="358"/>
      <c r="E808" s="358"/>
      <c r="F808" s="358"/>
      <c r="G808" s="358"/>
      <c r="H808" s="358"/>
      <c r="I808" s="358"/>
      <c r="J808" s="358"/>
      <c r="K808" s="358"/>
      <c r="L808" s="358"/>
      <c r="M808" s="358"/>
      <c r="N808" s="358"/>
      <c r="O808" s="358"/>
      <c r="P808" s="358"/>
      <c r="Q808" s="358"/>
      <c r="R808" s="358"/>
      <c r="S808" s="358"/>
      <c r="T808" s="358"/>
      <c r="U808" s="358"/>
      <c r="V808" s="358"/>
      <c r="W808" s="358"/>
      <c r="X808" s="358"/>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row>
    <row r="809" spans="1:49" ht="13.5" customHeight="1">
      <c r="A809" s="1"/>
      <c r="B809" s="358"/>
      <c r="C809" s="358"/>
      <c r="D809" s="358"/>
      <c r="E809" s="358"/>
      <c r="F809" s="358"/>
      <c r="G809" s="358"/>
      <c r="H809" s="358"/>
      <c r="I809" s="358"/>
      <c r="J809" s="358"/>
      <c r="K809" s="358"/>
      <c r="L809" s="358"/>
      <c r="M809" s="358"/>
      <c r="N809" s="358"/>
      <c r="O809" s="358"/>
      <c r="P809" s="358"/>
      <c r="Q809" s="358"/>
      <c r="R809" s="358"/>
      <c r="S809" s="358"/>
      <c r="T809" s="358"/>
      <c r="U809" s="358"/>
      <c r="V809" s="358"/>
      <c r="W809" s="358"/>
      <c r="X809" s="358"/>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row>
    <row r="810" spans="1:49" ht="13.5" customHeight="1">
      <c r="A810" s="1"/>
      <c r="B810" s="358"/>
      <c r="C810" s="358"/>
      <c r="D810" s="358"/>
      <c r="E810" s="358"/>
      <c r="F810" s="358"/>
      <c r="G810" s="358"/>
      <c r="H810" s="358"/>
      <c r="I810" s="358"/>
      <c r="J810" s="358"/>
      <c r="K810" s="358"/>
      <c r="L810" s="358"/>
      <c r="M810" s="358"/>
      <c r="N810" s="358"/>
      <c r="O810" s="358"/>
      <c r="P810" s="358"/>
      <c r="Q810" s="358"/>
      <c r="R810" s="358"/>
      <c r="S810" s="358"/>
      <c r="T810" s="358"/>
      <c r="U810" s="358"/>
      <c r="V810" s="358"/>
      <c r="W810" s="358"/>
      <c r="X810" s="358"/>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row>
    <row r="811" spans="1:49" ht="13.5" customHeight="1">
      <c r="A811" s="1"/>
      <c r="B811" s="358"/>
      <c r="C811" s="358"/>
      <c r="D811" s="358"/>
      <c r="E811" s="358"/>
      <c r="F811" s="358"/>
      <c r="G811" s="358"/>
      <c r="H811" s="358"/>
      <c r="I811" s="358"/>
      <c r="J811" s="358"/>
      <c r="K811" s="358"/>
      <c r="L811" s="358"/>
      <c r="M811" s="358"/>
      <c r="N811" s="358"/>
      <c r="O811" s="358"/>
      <c r="P811" s="358"/>
      <c r="Q811" s="358"/>
      <c r="R811" s="358"/>
      <c r="S811" s="358"/>
      <c r="T811" s="358"/>
      <c r="U811" s="358"/>
      <c r="V811" s="358"/>
      <c r="W811" s="358"/>
      <c r="X811" s="358"/>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row>
    <row r="812" spans="1:49" ht="13.5" customHeight="1">
      <c r="A812" s="1"/>
      <c r="B812" s="358"/>
      <c r="C812" s="358"/>
      <c r="D812" s="358"/>
      <c r="E812" s="358"/>
      <c r="F812" s="358"/>
      <c r="G812" s="358"/>
      <c r="H812" s="358"/>
      <c r="I812" s="358"/>
      <c r="J812" s="358"/>
      <c r="K812" s="358"/>
      <c r="L812" s="358"/>
      <c r="M812" s="358"/>
      <c r="N812" s="358"/>
      <c r="O812" s="358"/>
      <c r="P812" s="358"/>
      <c r="Q812" s="358"/>
      <c r="R812" s="358"/>
      <c r="S812" s="358"/>
      <c r="T812" s="358"/>
      <c r="U812" s="358"/>
      <c r="V812" s="358"/>
      <c r="W812" s="358"/>
      <c r="X812" s="358"/>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row>
    <row r="813" spans="1:49" ht="13.5" customHeight="1">
      <c r="A813" s="1"/>
      <c r="B813" s="358"/>
      <c r="C813" s="358"/>
      <c r="D813" s="358"/>
      <c r="E813" s="358"/>
      <c r="F813" s="358"/>
      <c r="G813" s="358"/>
      <c r="H813" s="358"/>
      <c r="I813" s="358"/>
      <c r="J813" s="358"/>
      <c r="K813" s="358"/>
      <c r="L813" s="358"/>
      <c r="M813" s="358"/>
      <c r="N813" s="358"/>
      <c r="O813" s="358"/>
      <c r="P813" s="358"/>
      <c r="Q813" s="358"/>
      <c r="R813" s="358"/>
      <c r="S813" s="358"/>
      <c r="T813" s="358"/>
      <c r="U813" s="358"/>
      <c r="V813" s="358"/>
      <c r="W813" s="358"/>
      <c r="X813" s="358"/>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row>
    <row r="814" spans="1:49" ht="13.5" customHeight="1">
      <c r="A814" s="1"/>
      <c r="B814" s="358"/>
      <c r="C814" s="358"/>
      <c r="D814" s="358"/>
      <c r="E814" s="358"/>
      <c r="F814" s="358"/>
      <c r="G814" s="358"/>
      <c r="H814" s="358"/>
      <c r="I814" s="358"/>
      <c r="J814" s="358"/>
      <c r="K814" s="358"/>
      <c r="L814" s="358"/>
      <c r="M814" s="358"/>
      <c r="N814" s="358"/>
      <c r="O814" s="358"/>
      <c r="P814" s="358"/>
      <c r="Q814" s="358"/>
      <c r="R814" s="358"/>
      <c r="S814" s="358"/>
      <c r="T814" s="358"/>
      <c r="U814" s="358"/>
      <c r="V814" s="358"/>
      <c r="W814" s="358"/>
      <c r="X814" s="358"/>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row>
    <row r="815" spans="1:49" ht="13.5" customHeight="1">
      <c r="A815" s="1"/>
      <c r="B815" s="358"/>
      <c r="C815" s="358"/>
      <c r="D815" s="358"/>
      <c r="E815" s="358"/>
      <c r="F815" s="358"/>
      <c r="G815" s="358"/>
      <c r="H815" s="358"/>
      <c r="I815" s="358"/>
      <c r="J815" s="358"/>
      <c r="K815" s="358"/>
      <c r="L815" s="358"/>
      <c r="M815" s="358"/>
      <c r="N815" s="358"/>
      <c r="O815" s="358"/>
      <c r="P815" s="358"/>
      <c r="Q815" s="358"/>
      <c r="R815" s="358"/>
      <c r="S815" s="358"/>
      <c r="T815" s="358"/>
      <c r="U815" s="358"/>
      <c r="V815" s="358"/>
      <c r="W815" s="358"/>
      <c r="X815" s="358"/>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row>
    <row r="816" spans="1:49" ht="13.5" customHeight="1">
      <c r="A816" s="1"/>
      <c r="B816" s="358"/>
      <c r="C816" s="358"/>
      <c r="D816" s="358"/>
      <c r="E816" s="358"/>
      <c r="F816" s="358"/>
      <c r="G816" s="358"/>
      <c r="H816" s="358"/>
      <c r="I816" s="358"/>
      <c r="J816" s="358"/>
      <c r="K816" s="358"/>
      <c r="L816" s="358"/>
      <c r="M816" s="358"/>
      <c r="N816" s="358"/>
      <c r="O816" s="358"/>
      <c r="P816" s="358"/>
      <c r="Q816" s="358"/>
      <c r="R816" s="358"/>
      <c r="S816" s="358"/>
      <c r="T816" s="358"/>
      <c r="U816" s="358"/>
      <c r="V816" s="358"/>
      <c r="W816" s="358"/>
      <c r="X816" s="358"/>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row>
    <row r="817" spans="1:49" ht="13.5" customHeight="1">
      <c r="A817" s="1"/>
      <c r="B817" s="358"/>
      <c r="C817" s="358"/>
      <c r="D817" s="358"/>
      <c r="E817" s="358"/>
      <c r="F817" s="358"/>
      <c r="G817" s="358"/>
      <c r="H817" s="358"/>
      <c r="I817" s="358"/>
      <c r="J817" s="358"/>
      <c r="K817" s="358"/>
      <c r="L817" s="358"/>
      <c r="M817" s="358"/>
      <c r="N817" s="358"/>
      <c r="O817" s="358"/>
      <c r="P817" s="358"/>
      <c r="Q817" s="358"/>
      <c r="R817" s="358"/>
      <c r="S817" s="358"/>
      <c r="T817" s="358"/>
      <c r="U817" s="358"/>
      <c r="V817" s="358"/>
      <c r="W817" s="358"/>
      <c r="X817" s="358"/>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row>
    <row r="818" spans="1:49" ht="13.5" customHeight="1">
      <c r="A818" s="1"/>
      <c r="B818" s="358"/>
      <c r="C818" s="358"/>
      <c r="D818" s="358"/>
      <c r="E818" s="358"/>
      <c r="F818" s="358"/>
      <c r="G818" s="358"/>
      <c r="H818" s="358"/>
      <c r="I818" s="358"/>
      <c r="J818" s="358"/>
      <c r="K818" s="358"/>
      <c r="L818" s="358"/>
      <c r="M818" s="358"/>
      <c r="N818" s="358"/>
      <c r="O818" s="358"/>
      <c r="P818" s="358"/>
      <c r="Q818" s="358"/>
      <c r="R818" s="358"/>
      <c r="S818" s="358"/>
      <c r="T818" s="358"/>
      <c r="U818" s="358"/>
      <c r="V818" s="358"/>
      <c r="W818" s="358"/>
      <c r="X818" s="358"/>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row>
    <row r="819" spans="1:49" ht="13.5" customHeight="1">
      <c r="A819" s="1"/>
      <c r="B819" s="358"/>
      <c r="C819" s="358"/>
      <c r="D819" s="358"/>
      <c r="E819" s="358"/>
      <c r="F819" s="358"/>
      <c r="G819" s="358"/>
      <c r="H819" s="358"/>
      <c r="I819" s="358"/>
      <c r="J819" s="358"/>
      <c r="K819" s="358"/>
      <c r="L819" s="358"/>
      <c r="M819" s="358"/>
      <c r="N819" s="358"/>
      <c r="O819" s="358"/>
      <c r="P819" s="358"/>
      <c r="Q819" s="358"/>
      <c r="R819" s="358"/>
      <c r="S819" s="358"/>
      <c r="T819" s="358"/>
      <c r="U819" s="358"/>
      <c r="V819" s="358"/>
      <c r="W819" s="358"/>
      <c r="X819" s="358"/>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row>
    <row r="820" spans="1:49" ht="13.5" customHeight="1">
      <c r="A820" s="1"/>
      <c r="B820" s="358"/>
      <c r="C820" s="358"/>
      <c r="D820" s="358"/>
      <c r="E820" s="358"/>
      <c r="F820" s="358"/>
      <c r="G820" s="358"/>
      <c r="H820" s="358"/>
      <c r="I820" s="358"/>
      <c r="J820" s="358"/>
      <c r="K820" s="358"/>
      <c r="L820" s="358"/>
      <c r="M820" s="358"/>
      <c r="N820" s="358"/>
      <c r="O820" s="358"/>
      <c r="P820" s="358"/>
      <c r="Q820" s="358"/>
      <c r="R820" s="358"/>
      <c r="S820" s="358"/>
      <c r="T820" s="358"/>
      <c r="U820" s="358"/>
      <c r="V820" s="358"/>
      <c r="W820" s="358"/>
      <c r="X820" s="358"/>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row>
    <row r="821" spans="1:49" ht="13.5" customHeight="1">
      <c r="A821" s="1"/>
      <c r="B821" s="358"/>
      <c r="C821" s="358"/>
      <c r="D821" s="358"/>
      <c r="E821" s="358"/>
      <c r="F821" s="358"/>
      <c r="G821" s="358"/>
      <c r="H821" s="358"/>
      <c r="I821" s="358"/>
      <c r="J821" s="358"/>
      <c r="K821" s="358"/>
      <c r="L821" s="358"/>
      <c r="M821" s="358"/>
      <c r="N821" s="358"/>
      <c r="O821" s="358"/>
      <c r="P821" s="358"/>
      <c r="Q821" s="358"/>
      <c r="R821" s="358"/>
      <c r="S821" s="358"/>
      <c r="T821" s="358"/>
      <c r="U821" s="358"/>
      <c r="V821" s="358"/>
      <c r="W821" s="358"/>
      <c r="X821" s="358"/>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row>
    <row r="822" spans="1:49" ht="13.5" customHeight="1">
      <c r="A822" s="1"/>
      <c r="B822" s="358"/>
      <c r="C822" s="358"/>
      <c r="D822" s="358"/>
      <c r="E822" s="358"/>
      <c r="F822" s="358"/>
      <c r="G822" s="358"/>
      <c r="H822" s="358"/>
      <c r="I822" s="358"/>
      <c r="J822" s="358"/>
      <c r="K822" s="358"/>
      <c r="L822" s="358"/>
      <c r="M822" s="358"/>
      <c r="N822" s="358"/>
      <c r="O822" s="358"/>
      <c r="P822" s="358"/>
      <c r="Q822" s="358"/>
      <c r="R822" s="358"/>
      <c r="S822" s="358"/>
      <c r="T822" s="358"/>
      <c r="U822" s="358"/>
      <c r="V822" s="358"/>
      <c r="W822" s="358"/>
      <c r="X822" s="358"/>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row>
    <row r="823" spans="1:49" ht="13.5" customHeight="1">
      <c r="A823" s="1"/>
      <c r="B823" s="358"/>
      <c r="C823" s="358"/>
      <c r="D823" s="358"/>
      <c r="E823" s="358"/>
      <c r="F823" s="358"/>
      <c r="G823" s="358"/>
      <c r="H823" s="358"/>
      <c r="I823" s="358"/>
      <c r="J823" s="358"/>
      <c r="K823" s="358"/>
      <c r="L823" s="358"/>
      <c r="M823" s="358"/>
      <c r="N823" s="358"/>
      <c r="O823" s="358"/>
      <c r="P823" s="358"/>
      <c r="Q823" s="358"/>
      <c r="R823" s="358"/>
      <c r="S823" s="358"/>
      <c r="T823" s="358"/>
      <c r="U823" s="358"/>
      <c r="V823" s="358"/>
      <c r="W823" s="358"/>
      <c r="X823" s="358"/>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row>
    <row r="824" spans="1:49" ht="13.5" customHeight="1">
      <c r="A824" s="1"/>
      <c r="B824" s="358"/>
      <c r="C824" s="358"/>
      <c r="D824" s="358"/>
      <c r="E824" s="358"/>
      <c r="F824" s="358"/>
      <c r="G824" s="358"/>
      <c r="H824" s="358"/>
      <c r="I824" s="358"/>
      <c r="J824" s="358"/>
      <c r="K824" s="358"/>
      <c r="L824" s="358"/>
      <c r="M824" s="358"/>
      <c r="N824" s="358"/>
      <c r="O824" s="358"/>
      <c r="P824" s="358"/>
      <c r="Q824" s="358"/>
      <c r="R824" s="358"/>
      <c r="S824" s="358"/>
      <c r="T824" s="358"/>
      <c r="U824" s="358"/>
      <c r="V824" s="358"/>
      <c r="W824" s="358"/>
      <c r="X824" s="358"/>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row>
    <row r="825" spans="1:49" ht="13.5" customHeight="1">
      <c r="A825" s="1"/>
      <c r="B825" s="358"/>
      <c r="C825" s="358"/>
      <c r="D825" s="358"/>
      <c r="E825" s="358"/>
      <c r="F825" s="358"/>
      <c r="G825" s="358"/>
      <c r="H825" s="358"/>
      <c r="I825" s="358"/>
      <c r="J825" s="358"/>
      <c r="K825" s="358"/>
      <c r="L825" s="358"/>
      <c r="M825" s="358"/>
      <c r="N825" s="358"/>
      <c r="O825" s="358"/>
      <c r="P825" s="358"/>
      <c r="Q825" s="358"/>
      <c r="R825" s="358"/>
      <c r="S825" s="358"/>
      <c r="T825" s="358"/>
      <c r="U825" s="358"/>
      <c r="V825" s="358"/>
      <c r="W825" s="358"/>
      <c r="X825" s="358"/>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row>
    <row r="826" spans="1:49" ht="13.5" customHeight="1">
      <c r="A826" s="1"/>
      <c r="B826" s="358"/>
      <c r="C826" s="358"/>
      <c r="D826" s="358"/>
      <c r="E826" s="358"/>
      <c r="F826" s="358"/>
      <c r="G826" s="358"/>
      <c r="H826" s="358"/>
      <c r="I826" s="358"/>
      <c r="J826" s="358"/>
      <c r="K826" s="358"/>
      <c r="L826" s="358"/>
      <c r="M826" s="358"/>
      <c r="N826" s="358"/>
      <c r="O826" s="358"/>
      <c r="P826" s="358"/>
      <c r="Q826" s="358"/>
      <c r="R826" s="358"/>
      <c r="S826" s="358"/>
      <c r="T826" s="358"/>
      <c r="U826" s="358"/>
      <c r="V826" s="358"/>
      <c r="W826" s="358"/>
      <c r="X826" s="358"/>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row>
    <row r="827" spans="1:49" ht="13.5" customHeight="1">
      <c r="A827" s="1"/>
      <c r="B827" s="358"/>
      <c r="C827" s="358"/>
      <c r="D827" s="358"/>
      <c r="E827" s="358"/>
      <c r="F827" s="358"/>
      <c r="G827" s="358"/>
      <c r="H827" s="358"/>
      <c r="I827" s="358"/>
      <c r="J827" s="358"/>
      <c r="K827" s="358"/>
      <c r="L827" s="358"/>
      <c r="M827" s="358"/>
      <c r="N827" s="358"/>
      <c r="O827" s="358"/>
      <c r="P827" s="358"/>
      <c r="Q827" s="358"/>
      <c r="R827" s="358"/>
      <c r="S827" s="358"/>
      <c r="T827" s="358"/>
      <c r="U827" s="358"/>
      <c r="V827" s="358"/>
      <c r="W827" s="358"/>
      <c r="X827" s="358"/>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row>
    <row r="828" spans="1:49" ht="13.5" customHeight="1">
      <c r="A828" s="1"/>
      <c r="B828" s="358"/>
      <c r="C828" s="358"/>
      <c r="D828" s="358"/>
      <c r="E828" s="358"/>
      <c r="F828" s="358"/>
      <c r="G828" s="358"/>
      <c r="H828" s="358"/>
      <c r="I828" s="358"/>
      <c r="J828" s="358"/>
      <c r="K828" s="358"/>
      <c r="L828" s="358"/>
      <c r="M828" s="358"/>
      <c r="N828" s="358"/>
      <c r="O828" s="358"/>
      <c r="P828" s="358"/>
      <c r="Q828" s="358"/>
      <c r="R828" s="358"/>
      <c r="S828" s="358"/>
      <c r="T828" s="358"/>
      <c r="U828" s="358"/>
      <c r="V828" s="358"/>
      <c r="W828" s="358"/>
      <c r="X828" s="358"/>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row>
    <row r="829" spans="1:49" ht="13.5" customHeight="1">
      <c r="A829" s="1"/>
      <c r="B829" s="358"/>
      <c r="C829" s="358"/>
      <c r="D829" s="358"/>
      <c r="E829" s="358"/>
      <c r="F829" s="358"/>
      <c r="G829" s="358"/>
      <c r="H829" s="358"/>
      <c r="I829" s="358"/>
      <c r="J829" s="358"/>
      <c r="K829" s="358"/>
      <c r="L829" s="358"/>
      <c r="M829" s="358"/>
      <c r="N829" s="358"/>
      <c r="O829" s="358"/>
      <c r="P829" s="358"/>
      <c r="Q829" s="358"/>
      <c r="R829" s="358"/>
      <c r="S829" s="358"/>
      <c r="T829" s="358"/>
      <c r="U829" s="358"/>
      <c r="V829" s="358"/>
      <c r="W829" s="358"/>
      <c r="X829" s="358"/>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row>
    <row r="830" spans="1:49" ht="13.5" customHeight="1">
      <c r="A830" s="1"/>
      <c r="B830" s="358"/>
      <c r="C830" s="358"/>
      <c r="D830" s="358"/>
      <c r="E830" s="358"/>
      <c r="F830" s="358"/>
      <c r="G830" s="358"/>
      <c r="H830" s="358"/>
      <c r="I830" s="358"/>
      <c r="J830" s="358"/>
      <c r="K830" s="358"/>
      <c r="L830" s="358"/>
      <c r="M830" s="358"/>
      <c r="N830" s="358"/>
      <c r="O830" s="358"/>
      <c r="P830" s="358"/>
      <c r="Q830" s="358"/>
      <c r="R830" s="358"/>
      <c r="S830" s="358"/>
      <c r="T830" s="358"/>
      <c r="U830" s="358"/>
      <c r="V830" s="358"/>
      <c r="W830" s="358"/>
      <c r="X830" s="358"/>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row>
    <row r="831" spans="1:49" ht="13.5" customHeight="1">
      <c r="A831" s="1"/>
      <c r="B831" s="358"/>
      <c r="C831" s="358"/>
      <c r="D831" s="358"/>
      <c r="E831" s="358"/>
      <c r="F831" s="358"/>
      <c r="G831" s="358"/>
      <c r="H831" s="358"/>
      <c r="I831" s="358"/>
      <c r="J831" s="358"/>
      <c r="K831" s="358"/>
      <c r="L831" s="358"/>
      <c r="M831" s="358"/>
      <c r="N831" s="358"/>
      <c r="O831" s="358"/>
      <c r="P831" s="358"/>
      <c r="Q831" s="358"/>
      <c r="R831" s="358"/>
      <c r="S831" s="358"/>
      <c r="T831" s="358"/>
      <c r="U831" s="358"/>
      <c r="V831" s="358"/>
      <c r="W831" s="358"/>
      <c r="X831" s="358"/>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row>
    <row r="832" spans="1:49" ht="13.5" customHeight="1">
      <c r="A832" s="1"/>
      <c r="B832" s="358"/>
      <c r="C832" s="358"/>
      <c r="D832" s="358"/>
      <c r="E832" s="358"/>
      <c r="F832" s="358"/>
      <c r="G832" s="358"/>
      <c r="H832" s="358"/>
      <c r="I832" s="358"/>
      <c r="J832" s="358"/>
      <c r="K832" s="358"/>
      <c r="L832" s="358"/>
      <c r="M832" s="358"/>
      <c r="N832" s="358"/>
      <c r="O832" s="358"/>
      <c r="P832" s="358"/>
      <c r="Q832" s="358"/>
      <c r="R832" s="358"/>
      <c r="S832" s="358"/>
      <c r="T832" s="358"/>
      <c r="U832" s="358"/>
      <c r="V832" s="358"/>
      <c r="W832" s="358"/>
      <c r="X832" s="358"/>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row>
    <row r="833" spans="1:49" ht="13.5" customHeight="1">
      <c r="A833" s="1"/>
      <c r="B833" s="358"/>
      <c r="C833" s="358"/>
      <c r="D833" s="358"/>
      <c r="E833" s="358"/>
      <c r="F833" s="358"/>
      <c r="G833" s="358"/>
      <c r="H833" s="358"/>
      <c r="I833" s="358"/>
      <c r="J833" s="358"/>
      <c r="K833" s="358"/>
      <c r="L833" s="358"/>
      <c r="M833" s="358"/>
      <c r="N833" s="358"/>
      <c r="O833" s="358"/>
      <c r="P833" s="358"/>
      <c r="Q833" s="358"/>
      <c r="R833" s="358"/>
      <c r="S833" s="358"/>
      <c r="T833" s="358"/>
      <c r="U833" s="358"/>
      <c r="V833" s="358"/>
      <c r="W833" s="358"/>
      <c r="X833" s="358"/>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row>
    <row r="834" spans="1:49" ht="13.5" customHeight="1">
      <c r="A834" s="1"/>
      <c r="B834" s="358"/>
      <c r="C834" s="358"/>
      <c r="D834" s="358"/>
      <c r="E834" s="358"/>
      <c r="F834" s="358"/>
      <c r="G834" s="358"/>
      <c r="H834" s="358"/>
      <c r="I834" s="358"/>
      <c r="J834" s="358"/>
      <c r="K834" s="358"/>
      <c r="L834" s="358"/>
      <c r="M834" s="358"/>
      <c r="N834" s="358"/>
      <c r="O834" s="358"/>
      <c r="P834" s="358"/>
      <c r="Q834" s="358"/>
      <c r="R834" s="358"/>
      <c r="S834" s="358"/>
      <c r="T834" s="358"/>
      <c r="U834" s="358"/>
      <c r="V834" s="358"/>
      <c r="W834" s="358"/>
      <c r="X834" s="358"/>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row>
    <row r="835" spans="1:49" ht="13.5" customHeight="1">
      <c r="A835" s="1"/>
      <c r="B835" s="358"/>
      <c r="C835" s="358"/>
      <c r="D835" s="358"/>
      <c r="E835" s="358"/>
      <c r="F835" s="358"/>
      <c r="G835" s="358"/>
      <c r="H835" s="358"/>
      <c r="I835" s="358"/>
      <c r="J835" s="358"/>
      <c r="K835" s="358"/>
      <c r="L835" s="358"/>
      <c r="M835" s="358"/>
      <c r="N835" s="358"/>
      <c r="O835" s="358"/>
      <c r="P835" s="358"/>
      <c r="Q835" s="358"/>
      <c r="R835" s="358"/>
      <c r="S835" s="358"/>
      <c r="T835" s="358"/>
      <c r="U835" s="358"/>
      <c r="V835" s="358"/>
      <c r="W835" s="358"/>
      <c r="X835" s="358"/>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row>
    <row r="836" spans="1:49" ht="13.5" customHeight="1">
      <c r="A836" s="1"/>
      <c r="B836" s="358"/>
      <c r="C836" s="358"/>
      <c r="D836" s="358"/>
      <c r="E836" s="358"/>
      <c r="F836" s="358"/>
      <c r="G836" s="358"/>
      <c r="H836" s="358"/>
      <c r="I836" s="358"/>
      <c r="J836" s="358"/>
      <c r="K836" s="358"/>
      <c r="L836" s="358"/>
      <c r="M836" s="358"/>
      <c r="N836" s="358"/>
      <c r="O836" s="358"/>
      <c r="P836" s="358"/>
      <c r="Q836" s="358"/>
      <c r="R836" s="358"/>
      <c r="S836" s="358"/>
      <c r="T836" s="358"/>
      <c r="U836" s="358"/>
      <c r="V836" s="358"/>
      <c r="W836" s="358"/>
      <c r="X836" s="358"/>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row>
    <row r="837" spans="1:49" ht="13.5" customHeight="1">
      <c r="A837" s="1"/>
      <c r="B837" s="358"/>
      <c r="C837" s="358"/>
      <c r="D837" s="358"/>
      <c r="E837" s="358"/>
      <c r="F837" s="358"/>
      <c r="G837" s="358"/>
      <c r="H837" s="358"/>
      <c r="I837" s="358"/>
      <c r="J837" s="358"/>
      <c r="K837" s="358"/>
      <c r="L837" s="358"/>
      <c r="M837" s="358"/>
      <c r="N837" s="358"/>
      <c r="O837" s="358"/>
      <c r="P837" s="358"/>
      <c r="Q837" s="358"/>
      <c r="R837" s="358"/>
      <c r="S837" s="358"/>
      <c r="T837" s="358"/>
      <c r="U837" s="358"/>
      <c r="V837" s="358"/>
      <c r="W837" s="358"/>
      <c r="X837" s="358"/>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row>
    <row r="838" spans="1:49" ht="13.5" customHeight="1">
      <c r="A838" s="1"/>
      <c r="B838" s="358"/>
      <c r="C838" s="358"/>
      <c r="D838" s="358"/>
      <c r="E838" s="358"/>
      <c r="F838" s="358"/>
      <c r="G838" s="358"/>
      <c r="H838" s="358"/>
      <c r="I838" s="358"/>
      <c r="J838" s="358"/>
      <c r="K838" s="358"/>
      <c r="L838" s="358"/>
      <c r="M838" s="358"/>
      <c r="N838" s="358"/>
      <c r="O838" s="358"/>
      <c r="P838" s="358"/>
      <c r="Q838" s="358"/>
      <c r="R838" s="358"/>
      <c r="S838" s="358"/>
      <c r="T838" s="358"/>
      <c r="U838" s="358"/>
      <c r="V838" s="358"/>
      <c r="W838" s="358"/>
      <c r="X838" s="358"/>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row>
    <row r="839" spans="1:49" ht="13.5" customHeight="1">
      <c r="A839" s="1"/>
      <c r="B839" s="358"/>
      <c r="C839" s="358"/>
      <c r="D839" s="358"/>
      <c r="E839" s="358"/>
      <c r="F839" s="358"/>
      <c r="G839" s="358"/>
      <c r="H839" s="358"/>
      <c r="I839" s="358"/>
      <c r="J839" s="358"/>
      <c r="K839" s="358"/>
      <c r="L839" s="358"/>
      <c r="M839" s="358"/>
      <c r="N839" s="358"/>
      <c r="O839" s="358"/>
      <c r="P839" s="358"/>
      <c r="Q839" s="358"/>
      <c r="R839" s="358"/>
      <c r="S839" s="358"/>
      <c r="T839" s="358"/>
      <c r="U839" s="358"/>
      <c r="V839" s="358"/>
      <c r="W839" s="358"/>
      <c r="X839" s="358"/>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row>
    <row r="840" spans="1:49" ht="13.5" customHeight="1">
      <c r="A840" s="1"/>
      <c r="B840" s="358"/>
      <c r="C840" s="358"/>
      <c r="D840" s="358"/>
      <c r="E840" s="358"/>
      <c r="F840" s="358"/>
      <c r="G840" s="358"/>
      <c r="H840" s="358"/>
      <c r="I840" s="358"/>
      <c r="J840" s="358"/>
      <c r="K840" s="358"/>
      <c r="L840" s="358"/>
      <c r="M840" s="358"/>
      <c r="N840" s="358"/>
      <c r="O840" s="358"/>
      <c r="P840" s="358"/>
      <c r="Q840" s="358"/>
      <c r="R840" s="358"/>
      <c r="S840" s="358"/>
      <c r="T840" s="358"/>
      <c r="U840" s="358"/>
      <c r="V840" s="358"/>
      <c r="W840" s="358"/>
      <c r="X840" s="358"/>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row>
    <row r="841" spans="1:49" ht="13.5" customHeight="1">
      <c r="A841" s="1"/>
      <c r="B841" s="358"/>
      <c r="C841" s="358"/>
      <c r="D841" s="358"/>
      <c r="E841" s="358"/>
      <c r="F841" s="358"/>
      <c r="G841" s="358"/>
      <c r="H841" s="358"/>
      <c r="I841" s="358"/>
      <c r="J841" s="358"/>
      <c r="K841" s="358"/>
      <c r="L841" s="358"/>
      <c r="M841" s="358"/>
      <c r="N841" s="358"/>
      <c r="O841" s="358"/>
      <c r="P841" s="358"/>
      <c r="Q841" s="358"/>
      <c r="R841" s="358"/>
      <c r="S841" s="358"/>
      <c r="T841" s="358"/>
      <c r="U841" s="358"/>
      <c r="V841" s="358"/>
      <c r="W841" s="358"/>
      <c r="X841" s="358"/>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row>
    <row r="842" spans="1:49" ht="13.5" customHeight="1">
      <c r="A842" s="1"/>
      <c r="B842" s="358"/>
      <c r="C842" s="358"/>
      <c r="D842" s="358"/>
      <c r="E842" s="358"/>
      <c r="F842" s="358"/>
      <c r="G842" s="358"/>
      <c r="H842" s="358"/>
      <c r="I842" s="358"/>
      <c r="J842" s="358"/>
      <c r="K842" s="358"/>
      <c r="L842" s="358"/>
      <c r="M842" s="358"/>
      <c r="N842" s="358"/>
      <c r="O842" s="358"/>
      <c r="P842" s="358"/>
      <c r="Q842" s="358"/>
      <c r="R842" s="358"/>
      <c r="S842" s="358"/>
      <c r="T842" s="358"/>
      <c r="U842" s="358"/>
      <c r="V842" s="358"/>
      <c r="W842" s="358"/>
      <c r="X842" s="358"/>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row>
    <row r="843" spans="1:49" ht="13.5" customHeight="1">
      <c r="A843" s="1"/>
      <c r="B843" s="358"/>
      <c r="C843" s="358"/>
      <c r="D843" s="358"/>
      <c r="E843" s="358"/>
      <c r="F843" s="358"/>
      <c r="G843" s="358"/>
      <c r="H843" s="358"/>
      <c r="I843" s="358"/>
      <c r="J843" s="358"/>
      <c r="K843" s="358"/>
      <c r="L843" s="358"/>
      <c r="M843" s="358"/>
      <c r="N843" s="358"/>
      <c r="O843" s="358"/>
      <c r="P843" s="358"/>
      <c r="Q843" s="358"/>
      <c r="R843" s="358"/>
      <c r="S843" s="358"/>
      <c r="T843" s="358"/>
      <c r="U843" s="358"/>
      <c r="V843" s="358"/>
      <c r="W843" s="358"/>
      <c r="X843" s="358"/>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row>
    <row r="844" spans="1:49" ht="13.5" customHeight="1">
      <c r="A844" s="1"/>
      <c r="B844" s="358"/>
      <c r="C844" s="358"/>
      <c r="D844" s="358"/>
      <c r="E844" s="358"/>
      <c r="F844" s="358"/>
      <c r="G844" s="358"/>
      <c r="H844" s="358"/>
      <c r="I844" s="358"/>
      <c r="J844" s="358"/>
      <c r="K844" s="358"/>
      <c r="L844" s="358"/>
      <c r="M844" s="358"/>
      <c r="N844" s="358"/>
      <c r="O844" s="358"/>
      <c r="P844" s="358"/>
      <c r="Q844" s="358"/>
      <c r="R844" s="358"/>
      <c r="S844" s="358"/>
      <c r="T844" s="358"/>
      <c r="U844" s="358"/>
      <c r="V844" s="358"/>
      <c r="W844" s="358"/>
      <c r="X844" s="358"/>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row>
    <row r="845" spans="1:49" ht="13.5" customHeight="1">
      <c r="A845" s="1"/>
      <c r="B845" s="358"/>
      <c r="C845" s="358"/>
      <c r="D845" s="358"/>
      <c r="E845" s="358"/>
      <c r="F845" s="358"/>
      <c r="G845" s="358"/>
      <c r="H845" s="358"/>
      <c r="I845" s="358"/>
      <c r="J845" s="358"/>
      <c r="K845" s="358"/>
      <c r="L845" s="358"/>
      <c r="M845" s="358"/>
      <c r="N845" s="358"/>
      <c r="O845" s="358"/>
      <c r="P845" s="358"/>
      <c r="Q845" s="358"/>
      <c r="R845" s="358"/>
      <c r="S845" s="358"/>
      <c r="T845" s="358"/>
      <c r="U845" s="358"/>
      <c r="V845" s="358"/>
      <c r="W845" s="358"/>
      <c r="X845" s="358"/>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row>
    <row r="846" spans="1:49" ht="13.5" customHeight="1">
      <c r="A846" s="1"/>
      <c r="B846" s="358"/>
      <c r="C846" s="358"/>
      <c r="D846" s="358"/>
      <c r="E846" s="358"/>
      <c r="F846" s="358"/>
      <c r="G846" s="358"/>
      <c r="H846" s="358"/>
      <c r="I846" s="358"/>
      <c r="J846" s="358"/>
      <c r="K846" s="358"/>
      <c r="L846" s="358"/>
      <c r="M846" s="358"/>
      <c r="N846" s="358"/>
      <c r="O846" s="358"/>
      <c r="P846" s="358"/>
      <c r="Q846" s="358"/>
      <c r="R846" s="358"/>
      <c r="S846" s="358"/>
      <c r="T846" s="358"/>
      <c r="U846" s="358"/>
      <c r="V846" s="358"/>
      <c r="W846" s="358"/>
      <c r="X846" s="358"/>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row>
    <row r="847" spans="1:49" ht="13.5" customHeight="1">
      <c r="A847" s="1"/>
      <c r="B847" s="358"/>
      <c r="C847" s="358"/>
      <c r="D847" s="358"/>
      <c r="E847" s="358"/>
      <c r="F847" s="358"/>
      <c r="G847" s="358"/>
      <c r="H847" s="358"/>
      <c r="I847" s="358"/>
      <c r="J847" s="358"/>
      <c r="K847" s="358"/>
      <c r="L847" s="358"/>
      <c r="M847" s="358"/>
      <c r="N847" s="358"/>
      <c r="O847" s="358"/>
      <c r="P847" s="358"/>
      <c r="Q847" s="358"/>
      <c r="R847" s="358"/>
      <c r="S847" s="358"/>
      <c r="T847" s="358"/>
      <c r="U847" s="358"/>
      <c r="V847" s="358"/>
      <c r="W847" s="358"/>
      <c r="X847" s="358"/>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row>
    <row r="848" spans="1:49" ht="13.5" customHeight="1">
      <c r="A848" s="1"/>
      <c r="B848" s="358"/>
      <c r="C848" s="358"/>
      <c r="D848" s="358"/>
      <c r="E848" s="358"/>
      <c r="F848" s="358"/>
      <c r="G848" s="358"/>
      <c r="H848" s="358"/>
      <c r="I848" s="358"/>
      <c r="J848" s="358"/>
      <c r="K848" s="358"/>
      <c r="L848" s="358"/>
      <c r="M848" s="358"/>
      <c r="N848" s="358"/>
      <c r="O848" s="358"/>
      <c r="P848" s="358"/>
      <c r="Q848" s="358"/>
      <c r="R848" s="358"/>
      <c r="S848" s="358"/>
      <c r="T848" s="358"/>
      <c r="U848" s="358"/>
      <c r="V848" s="358"/>
      <c r="W848" s="358"/>
      <c r="X848" s="358"/>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row>
    <row r="849" spans="1:49" ht="13.5" customHeight="1">
      <c r="A849" s="1"/>
      <c r="B849" s="358"/>
      <c r="C849" s="358"/>
      <c r="D849" s="358"/>
      <c r="E849" s="358"/>
      <c r="F849" s="358"/>
      <c r="G849" s="358"/>
      <c r="H849" s="358"/>
      <c r="I849" s="358"/>
      <c r="J849" s="358"/>
      <c r="K849" s="358"/>
      <c r="L849" s="358"/>
      <c r="M849" s="358"/>
      <c r="N849" s="358"/>
      <c r="O849" s="358"/>
      <c r="P849" s="358"/>
      <c r="Q849" s="358"/>
      <c r="R849" s="358"/>
      <c r="S849" s="358"/>
      <c r="T849" s="358"/>
      <c r="U849" s="358"/>
      <c r="V849" s="358"/>
      <c r="W849" s="358"/>
      <c r="X849" s="358"/>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row>
    <row r="850" spans="1:49" ht="13.5" customHeight="1">
      <c r="A850" s="1"/>
      <c r="B850" s="358"/>
      <c r="C850" s="358"/>
      <c r="D850" s="358"/>
      <c r="E850" s="358"/>
      <c r="F850" s="358"/>
      <c r="G850" s="358"/>
      <c r="H850" s="358"/>
      <c r="I850" s="358"/>
      <c r="J850" s="358"/>
      <c r="K850" s="358"/>
      <c r="L850" s="358"/>
      <c r="M850" s="358"/>
      <c r="N850" s="358"/>
      <c r="O850" s="358"/>
      <c r="P850" s="358"/>
      <c r="Q850" s="358"/>
      <c r="R850" s="358"/>
      <c r="S850" s="358"/>
      <c r="T850" s="358"/>
      <c r="U850" s="358"/>
      <c r="V850" s="358"/>
      <c r="W850" s="358"/>
      <c r="X850" s="358"/>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row>
    <row r="851" spans="1:49" ht="13.5" customHeight="1">
      <c r="A851" s="1"/>
      <c r="B851" s="358"/>
      <c r="C851" s="358"/>
      <c r="D851" s="358"/>
      <c r="E851" s="358"/>
      <c r="F851" s="358"/>
      <c r="G851" s="358"/>
      <c r="H851" s="358"/>
      <c r="I851" s="358"/>
      <c r="J851" s="358"/>
      <c r="K851" s="358"/>
      <c r="L851" s="358"/>
      <c r="M851" s="358"/>
      <c r="N851" s="358"/>
      <c r="O851" s="358"/>
      <c r="P851" s="358"/>
      <c r="Q851" s="358"/>
      <c r="R851" s="358"/>
      <c r="S851" s="358"/>
      <c r="T851" s="358"/>
      <c r="U851" s="358"/>
      <c r="V851" s="358"/>
      <c r="W851" s="358"/>
      <c r="X851" s="358"/>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row>
    <row r="852" spans="1:49" ht="13.5" customHeight="1">
      <c r="A852" s="1"/>
      <c r="B852" s="358"/>
      <c r="C852" s="358"/>
      <c r="D852" s="358"/>
      <c r="E852" s="358"/>
      <c r="F852" s="358"/>
      <c r="G852" s="358"/>
      <c r="H852" s="358"/>
      <c r="I852" s="358"/>
      <c r="J852" s="358"/>
      <c r="K852" s="358"/>
      <c r="L852" s="358"/>
      <c r="M852" s="358"/>
      <c r="N852" s="358"/>
      <c r="O852" s="358"/>
      <c r="P852" s="358"/>
      <c r="Q852" s="358"/>
      <c r="R852" s="358"/>
      <c r="S852" s="358"/>
      <c r="T852" s="358"/>
      <c r="U852" s="358"/>
      <c r="V852" s="358"/>
      <c r="W852" s="358"/>
      <c r="X852" s="358"/>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row>
    <row r="853" spans="1:49" ht="13.5" customHeight="1">
      <c r="A853" s="1"/>
      <c r="B853" s="358"/>
      <c r="C853" s="358"/>
      <c r="D853" s="358"/>
      <c r="E853" s="358"/>
      <c r="F853" s="358"/>
      <c r="G853" s="358"/>
      <c r="H853" s="358"/>
      <c r="I853" s="358"/>
      <c r="J853" s="358"/>
      <c r="K853" s="358"/>
      <c r="L853" s="358"/>
      <c r="M853" s="358"/>
      <c r="N853" s="358"/>
      <c r="O853" s="358"/>
      <c r="P853" s="358"/>
      <c r="Q853" s="358"/>
      <c r="R853" s="358"/>
      <c r="S853" s="358"/>
      <c r="T853" s="358"/>
      <c r="U853" s="358"/>
      <c r="V853" s="358"/>
      <c r="W853" s="358"/>
      <c r="X853" s="358"/>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row>
    <row r="854" spans="1:49" ht="13.5" customHeight="1">
      <c r="A854" s="1"/>
      <c r="B854" s="358"/>
      <c r="C854" s="358"/>
      <c r="D854" s="358"/>
      <c r="E854" s="358"/>
      <c r="F854" s="358"/>
      <c r="G854" s="358"/>
      <c r="H854" s="358"/>
      <c r="I854" s="358"/>
      <c r="J854" s="358"/>
      <c r="K854" s="358"/>
      <c r="L854" s="358"/>
      <c r="M854" s="358"/>
      <c r="N854" s="358"/>
      <c r="O854" s="358"/>
      <c r="P854" s="358"/>
      <c r="Q854" s="358"/>
      <c r="R854" s="358"/>
      <c r="S854" s="358"/>
      <c r="T854" s="358"/>
      <c r="U854" s="358"/>
      <c r="V854" s="358"/>
      <c r="W854" s="358"/>
      <c r="X854" s="358"/>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row>
    <row r="855" spans="1:49" ht="13.5" customHeight="1">
      <c r="A855" s="1"/>
      <c r="B855" s="358"/>
      <c r="C855" s="358"/>
      <c r="D855" s="358"/>
      <c r="E855" s="358"/>
      <c r="F855" s="358"/>
      <c r="G855" s="358"/>
      <c r="H855" s="358"/>
      <c r="I855" s="358"/>
      <c r="J855" s="358"/>
      <c r="K855" s="358"/>
      <c r="L855" s="358"/>
      <c r="M855" s="358"/>
      <c r="N855" s="358"/>
      <c r="O855" s="358"/>
      <c r="P855" s="358"/>
      <c r="Q855" s="358"/>
      <c r="R855" s="358"/>
      <c r="S855" s="358"/>
      <c r="T855" s="358"/>
      <c r="U855" s="358"/>
      <c r="V855" s="358"/>
      <c r="W855" s="358"/>
      <c r="X855" s="358"/>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row>
    <row r="856" spans="1:49" ht="13.5" customHeight="1">
      <c r="A856" s="1"/>
      <c r="B856" s="358"/>
      <c r="C856" s="358"/>
      <c r="D856" s="358"/>
      <c r="E856" s="358"/>
      <c r="F856" s="358"/>
      <c r="G856" s="358"/>
      <c r="H856" s="358"/>
      <c r="I856" s="358"/>
      <c r="J856" s="358"/>
      <c r="K856" s="358"/>
      <c r="L856" s="358"/>
      <c r="M856" s="358"/>
      <c r="N856" s="358"/>
      <c r="O856" s="358"/>
      <c r="P856" s="358"/>
      <c r="Q856" s="358"/>
      <c r="R856" s="358"/>
      <c r="S856" s="358"/>
      <c r="T856" s="358"/>
      <c r="U856" s="358"/>
      <c r="V856" s="358"/>
      <c r="W856" s="358"/>
      <c r="X856" s="358"/>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row>
    <row r="857" spans="1:49" ht="13.5" customHeight="1">
      <c r="A857" s="1"/>
      <c r="B857" s="358"/>
      <c r="C857" s="358"/>
      <c r="D857" s="358"/>
      <c r="E857" s="358"/>
      <c r="F857" s="358"/>
      <c r="G857" s="358"/>
      <c r="H857" s="358"/>
      <c r="I857" s="358"/>
      <c r="J857" s="358"/>
      <c r="K857" s="358"/>
      <c r="L857" s="358"/>
      <c r="M857" s="358"/>
      <c r="N857" s="358"/>
      <c r="O857" s="358"/>
      <c r="P857" s="358"/>
      <c r="Q857" s="358"/>
      <c r="R857" s="358"/>
      <c r="S857" s="358"/>
      <c r="T857" s="358"/>
      <c r="U857" s="358"/>
      <c r="V857" s="358"/>
      <c r="W857" s="358"/>
      <c r="X857" s="358"/>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row>
    <row r="858" spans="1:49" ht="13.5" customHeight="1">
      <c r="A858" s="1"/>
      <c r="B858" s="358"/>
      <c r="C858" s="358"/>
      <c r="D858" s="358"/>
      <c r="E858" s="358"/>
      <c r="F858" s="358"/>
      <c r="G858" s="358"/>
      <c r="H858" s="358"/>
      <c r="I858" s="358"/>
      <c r="J858" s="358"/>
      <c r="K858" s="358"/>
      <c r="L858" s="358"/>
      <c r="M858" s="358"/>
      <c r="N858" s="358"/>
      <c r="O858" s="358"/>
      <c r="P858" s="358"/>
      <c r="Q858" s="358"/>
      <c r="R858" s="358"/>
      <c r="S858" s="358"/>
      <c r="T858" s="358"/>
      <c r="U858" s="358"/>
      <c r="V858" s="358"/>
      <c r="W858" s="358"/>
      <c r="X858" s="358"/>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row>
    <row r="859" spans="1:49" ht="13.5" customHeight="1">
      <c r="A859" s="1"/>
      <c r="B859" s="358"/>
      <c r="C859" s="358"/>
      <c r="D859" s="358"/>
      <c r="E859" s="358"/>
      <c r="F859" s="358"/>
      <c r="G859" s="358"/>
      <c r="H859" s="358"/>
      <c r="I859" s="358"/>
      <c r="J859" s="358"/>
      <c r="K859" s="358"/>
      <c r="L859" s="358"/>
      <c r="M859" s="358"/>
      <c r="N859" s="358"/>
      <c r="O859" s="358"/>
      <c r="P859" s="358"/>
      <c r="Q859" s="358"/>
      <c r="R859" s="358"/>
      <c r="S859" s="358"/>
      <c r="T859" s="358"/>
      <c r="U859" s="358"/>
      <c r="V859" s="358"/>
      <c r="W859" s="358"/>
      <c r="X859" s="358"/>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row>
    <row r="860" spans="1:49" ht="13.5" customHeight="1">
      <c r="A860" s="1"/>
      <c r="B860" s="358"/>
      <c r="C860" s="358"/>
      <c r="D860" s="358"/>
      <c r="E860" s="358"/>
      <c r="F860" s="358"/>
      <c r="G860" s="358"/>
      <c r="H860" s="358"/>
      <c r="I860" s="358"/>
      <c r="J860" s="358"/>
      <c r="K860" s="358"/>
      <c r="L860" s="358"/>
      <c r="M860" s="358"/>
      <c r="N860" s="358"/>
      <c r="O860" s="358"/>
      <c r="P860" s="358"/>
      <c r="Q860" s="358"/>
      <c r="R860" s="358"/>
      <c r="S860" s="358"/>
      <c r="T860" s="358"/>
      <c r="U860" s="358"/>
      <c r="V860" s="358"/>
      <c r="W860" s="358"/>
      <c r="X860" s="358"/>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row>
    <row r="861" spans="1:49" ht="13.5" customHeight="1">
      <c r="A861" s="1"/>
      <c r="B861" s="358"/>
      <c r="C861" s="358"/>
      <c r="D861" s="358"/>
      <c r="E861" s="358"/>
      <c r="F861" s="358"/>
      <c r="G861" s="358"/>
      <c r="H861" s="358"/>
      <c r="I861" s="358"/>
      <c r="J861" s="358"/>
      <c r="K861" s="358"/>
      <c r="L861" s="358"/>
      <c r="M861" s="358"/>
      <c r="N861" s="358"/>
      <c r="O861" s="358"/>
      <c r="P861" s="358"/>
      <c r="Q861" s="358"/>
      <c r="R861" s="358"/>
      <c r="S861" s="358"/>
      <c r="T861" s="358"/>
      <c r="U861" s="358"/>
      <c r="V861" s="358"/>
      <c r="W861" s="358"/>
      <c r="X861" s="358"/>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row>
    <row r="862" spans="1:49" ht="13.5" customHeight="1">
      <c r="A862" s="1"/>
      <c r="B862" s="358"/>
      <c r="C862" s="358"/>
      <c r="D862" s="358"/>
      <c r="E862" s="358"/>
      <c r="F862" s="358"/>
      <c r="G862" s="358"/>
      <c r="H862" s="358"/>
      <c r="I862" s="358"/>
      <c r="J862" s="358"/>
      <c r="K862" s="358"/>
      <c r="L862" s="358"/>
      <c r="M862" s="358"/>
      <c r="N862" s="358"/>
      <c r="O862" s="358"/>
      <c r="P862" s="358"/>
      <c r="Q862" s="358"/>
      <c r="R862" s="358"/>
      <c r="S862" s="358"/>
      <c r="T862" s="358"/>
      <c r="U862" s="358"/>
      <c r="V862" s="358"/>
      <c r="W862" s="358"/>
      <c r="X862" s="358"/>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row>
    <row r="863" spans="1:49" ht="13.5" customHeight="1">
      <c r="A863" s="1"/>
      <c r="B863" s="358"/>
      <c r="C863" s="358"/>
      <c r="D863" s="358"/>
      <c r="E863" s="358"/>
      <c r="F863" s="358"/>
      <c r="G863" s="358"/>
      <c r="H863" s="358"/>
      <c r="I863" s="358"/>
      <c r="J863" s="358"/>
      <c r="K863" s="358"/>
      <c r="L863" s="358"/>
      <c r="M863" s="358"/>
      <c r="N863" s="358"/>
      <c r="O863" s="358"/>
      <c r="P863" s="358"/>
      <c r="Q863" s="358"/>
      <c r="R863" s="358"/>
      <c r="S863" s="358"/>
      <c r="T863" s="358"/>
      <c r="U863" s="358"/>
      <c r="V863" s="358"/>
      <c r="W863" s="358"/>
      <c r="X863" s="358"/>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row>
    <row r="864" spans="1:49" ht="13.5" customHeight="1">
      <c r="A864" s="1"/>
      <c r="B864" s="358"/>
      <c r="C864" s="358"/>
      <c r="D864" s="358"/>
      <c r="E864" s="358"/>
      <c r="F864" s="358"/>
      <c r="G864" s="358"/>
      <c r="H864" s="358"/>
      <c r="I864" s="358"/>
      <c r="J864" s="358"/>
      <c r="K864" s="358"/>
      <c r="L864" s="358"/>
      <c r="M864" s="358"/>
      <c r="N864" s="358"/>
      <c r="O864" s="358"/>
      <c r="P864" s="358"/>
      <c r="Q864" s="358"/>
      <c r="R864" s="358"/>
      <c r="S864" s="358"/>
      <c r="T864" s="358"/>
      <c r="U864" s="358"/>
      <c r="V864" s="358"/>
      <c r="W864" s="358"/>
      <c r="X864" s="358"/>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row>
    <row r="865" spans="1:49" ht="13.5" customHeight="1">
      <c r="A865" s="1"/>
      <c r="B865" s="358"/>
      <c r="C865" s="358"/>
      <c r="D865" s="358"/>
      <c r="E865" s="358"/>
      <c r="F865" s="358"/>
      <c r="G865" s="358"/>
      <c r="H865" s="358"/>
      <c r="I865" s="358"/>
      <c r="J865" s="358"/>
      <c r="K865" s="358"/>
      <c r="L865" s="358"/>
      <c r="M865" s="358"/>
      <c r="N865" s="358"/>
      <c r="O865" s="358"/>
      <c r="P865" s="358"/>
      <c r="Q865" s="358"/>
      <c r="R865" s="358"/>
      <c r="S865" s="358"/>
      <c r="T865" s="358"/>
      <c r="U865" s="358"/>
      <c r="V865" s="358"/>
      <c r="W865" s="358"/>
      <c r="X865" s="358"/>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row>
    <row r="866" spans="1:49" ht="13.5" customHeight="1">
      <c r="A866" s="1"/>
      <c r="B866" s="358"/>
      <c r="C866" s="358"/>
      <c r="D866" s="358"/>
      <c r="E866" s="358"/>
      <c r="F866" s="358"/>
      <c r="G866" s="358"/>
      <c r="H866" s="358"/>
      <c r="I866" s="358"/>
      <c r="J866" s="358"/>
      <c r="K866" s="358"/>
      <c r="L866" s="358"/>
      <c r="M866" s="358"/>
      <c r="N866" s="358"/>
      <c r="O866" s="358"/>
      <c r="P866" s="358"/>
      <c r="Q866" s="358"/>
      <c r="R866" s="358"/>
      <c r="S866" s="358"/>
      <c r="T866" s="358"/>
      <c r="U866" s="358"/>
      <c r="V866" s="358"/>
      <c r="W866" s="358"/>
      <c r="X866" s="358"/>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row>
    <row r="867" spans="1:49" ht="13.5" customHeight="1">
      <c r="A867" s="1"/>
      <c r="B867" s="358"/>
      <c r="C867" s="358"/>
      <c r="D867" s="358"/>
      <c r="E867" s="358"/>
      <c r="F867" s="358"/>
      <c r="G867" s="358"/>
      <c r="H867" s="358"/>
      <c r="I867" s="358"/>
      <c r="J867" s="358"/>
      <c r="K867" s="358"/>
      <c r="L867" s="358"/>
      <c r="M867" s="358"/>
      <c r="N867" s="358"/>
      <c r="O867" s="358"/>
      <c r="P867" s="358"/>
      <c r="Q867" s="358"/>
      <c r="R867" s="358"/>
      <c r="S867" s="358"/>
      <c r="T867" s="358"/>
      <c r="U867" s="358"/>
      <c r="V867" s="358"/>
      <c r="W867" s="358"/>
      <c r="X867" s="358"/>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row>
    <row r="868" spans="1:49" ht="13.5" customHeight="1">
      <c r="A868" s="1"/>
      <c r="B868" s="358"/>
      <c r="C868" s="358"/>
      <c r="D868" s="358"/>
      <c r="E868" s="358"/>
      <c r="F868" s="358"/>
      <c r="G868" s="358"/>
      <c r="H868" s="358"/>
      <c r="I868" s="358"/>
      <c r="J868" s="358"/>
      <c r="K868" s="358"/>
      <c r="L868" s="358"/>
      <c r="M868" s="358"/>
      <c r="N868" s="358"/>
      <c r="O868" s="358"/>
      <c r="P868" s="358"/>
      <c r="Q868" s="358"/>
      <c r="R868" s="358"/>
      <c r="S868" s="358"/>
      <c r="T868" s="358"/>
      <c r="U868" s="358"/>
      <c r="V868" s="358"/>
      <c r="W868" s="358"/>
      <c r="X868" s="358"/>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row>
    <row r="869" spans="1:49" ht="13.5" customHeight="1">
      <c r="A869" s="1"/>
      <c r="B869" s="358"/>
      <c r="C869" s="358"/>
      <c r="D869" s="358"/>
      <c r="E869" s="358"/>
      <c r="F869" s="358"/>
      <c r="G869" s="358"/>
      <c r="H869" s="358"/>
      <c r="I869" s="358"/>
      <c r="J869" s="358"/>
      <c r="K869" s="358"/>
      <c r="L869" s="358"/>
      <c r="M869" s="358"/>
      <c r="N869" s="358"/>
      <c r="O869" s="358"/>
      <c r="P869" s="358"/>
      <c r="Q869" s="358"/>
      <c r="R869" s="358"/>
      <c r="S869" s="358"/>
      <c r="T869" s="358"/>
      <c r="U869" s="358"/>
      <c r="V869" s="358"/>
      <c r="W869" s="358"/>
      <c r="X869" s="358"/>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row>
    <row r="870" spans="1:49" ht="13.5" customHeight="1">
      <c r="A870" s="1"/>
      <c r="B870" s="358"/>
      <c r="C870" s="358"/>
      <c r="D870" s="358"/>
      <c r="E870" s="358"/>
      <c r="F870" s="358"/>
      <c r="G870" s="358"/>
      <c r="H870" s="358"/>
      <c r="I870" s="358"/>
      <c r="J870" s="358"/>
      <c r="K870" s="358"/>
      <c r="L870" s="358"/>
      <c r="M870" s="358"/>
      <c r="N870" s="358"/>
      <c r="O870" s="358"/>
      <c r="P870" s="358"/>
      <c r="Q870" s="358"/>
      <c r="R870" s="358"/>
      <c r="S870" s="358"/>
      <c r="T870" s="358"/>
      <c r="U870" s="358"/>
      <c r="V870" s="358"/>
      <c r="W870" s="358"/>
      <c r="X870" s="358"/>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row>
    <row r="871" spans="1:49" ht="13.5" customHeight="1">
      <c r="A871" s="1"/>
      <c r="B871" s="358"/>
      <c r="C871" s="358"/>
      <c r="D871" s="358"/>
      <c r="E871" s="358"/>
      <c r="F871" s="358"/>
      <c r="G871" s="358"/>
      <c r="H871" s="358"/>
      <c r="I871" s="358"/>
      <c r="J871" s="358"/>
      <c r="K871" s="358"/>
      <c r="L871" s="358"/>
      <c r="M871" s="358"/>
      <c r="N871" s="358"/>
      <c r="O871" s="358"/>
      <c r="P871" s="358"/>
      <c r="Q871" s="358"/>
      <c r="R871" s="358"/>
      <c r="S871" s="358"/>
      <c r="T871" s="358"/>
      <c r="U871" s="358"/>
      <c r="V871" s="358"/>
      <c r="W871" s="358"/>
      <c r="X871" s="358"/>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row>
    <row r="872" spans="1:49" ht="13.5" customHeight="1">
      <c r="A872" s="1"/>
      <c r="B872" s="358"/>
      <c r="C872" s="358"/>
      <c r="D872" s="358"/>
      <c r="E872" s="358"/>
      <c r="F872" s="358"/>
      <c r="G872" s="358"/>
      <c r="H872" s="358"/>
      <c r="I872" s="358"/>
      <c r="J872" s="358"/>
      <c r="K872" s="358"/>
      <c r="L872" s="358"/>
      <c r="M872" s="358"/>
      <c r="N872" s="358"/>
      <c r="O872" s="358"/>
      <c r="P872" s="358"/>
      <c r="Q872" s="358"/>
      <c r="R872" s="358"/>
      <c r="S872" s="358"/>
      <c r="T872" s="358"/>
      <c r="U872" s="358"/>
      <c r="V872" s="358"/>
      <c r="W872" s="358"/>
      <c r="X872" s="358"/>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row>
    <row r="873" spans="1:49" ht="13.5" customHeight="1">
      <c r="A873" s="1"/>
      <c r="B873" s="358"/>
      <c r="C873" s="358"/>
      <c r="D873" s="358"/>
      <c r="E873" s="358"/>
      <c r="F873" s="358"/>
      <c r="G873" s="358"/>
      <c r="H873" s="358"/>
      <c r="I873" s="358"/>
      <c r="J873" s="358"/>
      <c r="K873" s="358"/>
      <c r="L873" s="358"/>
      <c r="M873" s="358"/>
      <c r="N873" s="358"/>
      <c r="O873" s="358"/>
      <c r="P873" s="358"/>
      <c r="Q873" s="358"/>
      <c r="R873" s="358"/>
      <c r="S873" s="358"/>
      <c r="T873" s="358"/>
      <c r="U873" s="358"/>
      <c r="V873" s="358"/>
      <c r="W873" s="358"/>
      <c r="X873" s="358"/>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row>
    <row r="874" spans="1:49" ht="13.5" customHeight="1">
      <c r="A874" s="1"/>
      <c r="B874" s="358"/>
      <c r="C874" s="358"/>
      <c r="D874" s="358"/>
      <c r="E874" s="358"/>
      <c r="F874" s="358"/>
      <c r="G874" s="358"/>
      <c r="H874" s="358"/>
      <c r="I874" s="358"/>
      <c r="J874" s="358"/>
      <c r="K874" s="358"/>
      <c r="L874" s="358"/>
      <c r="M874" s="358"/>
      <c r="N874" s="358"/>
      <c r="O874" s="358"/>
      <c r="P874" s="358"/>
      <c r="Q874" s="358"/>
      <c r="R874" s="358"/>
      <c r="S874" s="358"/>
      <c r="T874" s="358"/>
      <c r="U874" s="358"/>
      <c r="V874" s="358"/>
      <c r="W874" s="358"/>
      <c r="X874" s="358"/>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row>
    <row r="875" spans="1:49" ht="13.5" customHeight="1">
      <c r="A875" s="1"/>
      <c r="B875" s="358"/>
      <c r="C875" s="358"/>
      <c r="D875" s="358"/>
      <c r="E875" s="358"/>
      <c r="F875" s="358"/>
      <c r="G875" s="358"/>
      <c r="H875" s="358"/>
      <c r="I875" s="358"/>
      <c r="J875" s="358"/>
      <c r="K875" s="358"/>
      <c r="L875" s="358"/>
      <c r="M875" s="358"/>
      <c r="N875" s="358"/>
      <c r="O875" s="358"/>
      <c r="P875" s="358"/>
      <c r="Q875" s="358"/>
      <c r="R875" s="358"/>
      <c r="S875" s="358"/>
      <c r="T875" s="358"/>
      <c r="U875" s="358"/>
      <c r="V875" s="358"/>
      <c r="W875" s="358"/>
      <c r="X875" s="358"/>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row>
    <row r="876" spans="1:49" ht="13.5" customHeight="1">
      <c r="A876" s="1"/>
      <c r="B876" s="358"/>
      <c r="C876" s="358"/>
      <c r="D876" s="358"/>
      <c r="E876" s="358"/>
      <c r="F876" s="358"/>
      <c r="G876" s="358"/>
      <c r="H876" s="358"/>
      <c r="I876" s="358"/>
      <c r="J876" s="358"/>
      <c r="K876" s="358"/>
      <c r="L876" s="358"/>
      <c r="M876" s="358"/>
      <c r="N876" s="358"/>
      <c r="O876" s="358"/>
      <c r="P876" s="358"/>
      <c r="Q876" s="358"/>
      <c r="R876" s="358"/>
      <c r="S876" s="358"/>
      <c r="T876" s="358"/>
      <c r="U876" s="358"/>
      <c r="V876" s="358"/>
      <c r="W876" s="358"/>
      <c r="X876" s="358"/>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row>
    <row r="877" spans="1:49" ht="13.5" customHeight="1">
      <c r="A877" s="1"/>
      <c r="B877" s="358"/>
      <c r="C877" s="358"/>
      <c r="D877" s="358"/>
      <c r="E877" s="358"/>
      <c r="F877" s="358"/>
      <c r="G877" s="358"/>
      <c r="H877" s="358"/>
      <c r="I877" s="358"/>
      <c r="J877" s="358"/>
      <c r="K877" s="358"/>
      <c r="L877" s="358"/>
      <c r="M877" s="358"/>
      <c r="N877" s="358"/>
      <c r="O877" s="358"/>
      <c r="P877" s="358"/>
      <c r="Q877" s="358"/>
      <c r="R877" s="358"/>
      <c r="S877" s="358"/>
      <c r="T877" s="358"/>
      <c r="U877" s="358"/>
      <c r="V877" s="358"/>
      <c r="W877" s="358"/>
      <c r="X877" s="358"/>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row>
    <row r="878" spans="1:49" ht="13.5" customHeight="1">
      <c r="A878" s="1"/>
      <c r="B878" s="358"/>
      <c r="C878" s="358"/>
      <c r="D878" s="358"/>
      <c r="E878" s="358"/>
      <c r="F878" s="358"/>
      <c r="G878" s="358"/>
      <c r="H878" s="358"/>
      <c r="I878" s="358"/>
      <c r="J878" s="358"/>
      <c r="K878" s="358"/>
      <c r="L878" s="358"/>
      <c r="M878" s="358"/>
      <c r="N878" s="358"/>
      <c r="O878" s="358"/>
      <c r="P878" s="358"/>
      <c r="Q878" s="358"/>
      <c r="R878" s="358"/>
      <c r="S878" s="358"/>
      <c r="T878" s="358"/>
      <c r="U878" s="358"/>
      <c r="V878" s="358"/>
      <c r="W878" s="358"/>
      <c r="X878" s="358"/>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row>
    <row r="879" spans="1:49" ht="13.5" customHeight="1">
      <c r="A879" s="1"/>
      <c r="B879" s="358"/>
      <c r="C879" s="358"/>
      <c r="D879" s="358"/>
      <c r="E879" s="358"/>
      <c r="F879" s="358"/>
      <c r="G879" s="358"/>
      <c r="H879" s="358"/>
      <c r="I879" s="358"/>
      <c r="J879" s="358"/>
      <c r="K879" s="358"/>
      <c r="L879" s="358"/>
      <c r="M879" s="358"/>
      <c r="N879" s="358"/>
      <c r="O879" s="358"/>
      <c r="P879" s="358"/>
      <c r="Q879" s="358"/>
      <c r="R879" s="358"/>
      <c r="S879" s="358"/>
      <c r="T879" s="358"/>
      <c r="U879" s="358"/>
      <c r="V879" s="358"/>
      <c r="W879" s="358"/>
      <c r="X879" s="358"/>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row>
    <row r="880" spans="1:49" ht="13.5" customHeight="1">
      <c r="A880" s="1"/>
      <c r="B880" s="358"/>
      <c r="C880" s="358"/>
      <c r="D880" s="358"/>
      <c r="E880" s="358"/>
      <c r="F880" s="358"/>
      <c r="G880" s="358"/>
      <c r="H880" s="358"/>
      <c r="I880" s="358"/>
      <c r="J880" s="358"/>
      <c r="K880" s="358"/>
      <c r="L880" s="358"/>
      <c r="M880" s="358"/>
      <c r="N880" s="358"/>
      <c r="O880" s="358"/>
      <c r="P880" s="358"/>
      <c r="Q880" s="358"/>
      <c r="R880" s="358"/>
      <c r="S880" s="358"/>
      <c r="T880" s="358"/>
      <c r="U880" s="358"/>
      <c r="V880" s="358"/>
      <c r="W880" s="358"/>
      <c r="X880" s="358"/>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row>
    <row r="881" spans="1:49" ht="13.5" customHeight="1">
      <c r="A881" s="1"/>
      <c r="B881" s="358"/>
      <c r="C881" s="358"/>
      <c r="D881" s="358"/>
      <c r="E881" s="358"/>
      <c r="F881" s="358"/>
      <c r="G881" s="358"/>
      <c r="H881" s="358"/>
      <c r="I881" s="358"/>
      <c r="J881" s="358"/>
      <c r="K881" s="358"/>
      <c r="L881" s="358"/>
      <c r="M881" s="358"/>
      <c r="N881" s="358"/>
      <c r="O881" s="358"/>
      <c r="P881" s="358"/>
      <c r="Q881" s="358"/>
      <c r="R881" s="358"/>
      <c r="S881" s="358"/>
      <c r="T881" s="358"/>
      <c r="U881" s="358"/>
      <c r="V881" s="358"/>
      <c r="W881" s="358"/>
      <c r="X881" s="358"/>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row>
    <row r="882" spans="1:49" ht="13.5" customHeight="1">
      <c r="A882" s="1"/>
      <c r="B882" s="358"/>
      <c r="C882" s="358"/>
      <c r="D882" s="358"/>
      <c r="E882" s="358"/>
      <c r="F882" s="358"/>
      <c r="G882" s="358"/>
      <c r="H882" s="358"/>
      <c r="I882" s="358"/>
      <c r="J882" s="358"/>
      <c r="K882" s="358"/>
      <c r="L882" s="358"/>
      <c r="M882" s="358"/>
      <c r="N882" s="358"/>
      <c r="O882" s="358"/>
      <c r="P882" s="358"/>
      <c r="Q882" s="358"/>
      <c r="R882" s="358"/>
      <c r="S882" s="358"/>
      <c r="T882" s="358"/>
      <c r="U882" s="358"/>
      <c r="V882" s="358"/>
      <c r="W882" s="358"/>
      <c r="X882" s="358"/>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row>
    <row r="883" spans="1:49" ht="13.5" customHeight="1">
      <c r="A883" s="1"/>
      <c r="B883" s="358"/>
      <c r="C883" s="358"/>
      <c r="D883" s="358"/>
      <c r="E883" s="358"/>
      <c r="F883" s="358"/>
      <c r="G883" s="358"/>
      <c r="H883" s="358"/>
      <c r="I883" s="358"/>
      <c r="J883" s="358"/>
      <c r="K883" s="358"/>
      <c r="L883" s="358"/>
      <c r="M883" s="358"/>
      <c r="N883" s="358"/>
      <c r="O883" s="358"/>
      <c r="P883" s="358"/>
      <c r="Q883" s="358"/>
      <c r="R883" s="358"/>
      <c r="S883" s="358"/>
      <c r="T883" s="358"/>
      <c r="U883" s="358"/>
      <c r="V883" s="358"/>
      <c r="W883" s="358"/>
      <c r="X883" s="358"/>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row>
    <row r="884" spans="1:49" ht="13.5" customHeight="1">
      <c r="A884" s="1"/>
      <c r="B884" s="358"/>
      <c r="C884" s="358"/>
      <c r="D884" s="358"/>
      <c r="E884" s="358"/>
      <c r="F884" s="358"/>
      <c r="G884" s="358"/>
      <c r="H884" s="358"/>
      <c r="I884" s="358"/>
      <c r="J884" s="358"/>
      <c r="K884" s="358"/>
      <c r="L884" s="358"/>
      <c r="M884" s="358"/>
      <c r="N884" s="358"/>
      <c r="O884" s="358"/>
      <c r="P884" s="358"/>
      <c r="Q884" s="358"/>
      <c r="R884" s="358"/>
      <c r="S884" s="358"/>
      <c r="T884" s="358"/>
      <c r="U884" s="358"/>
      <c r="V884" s="358"/>
      <c r="W884" s="358"/>
      <c r="X884" s="358"/>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row>
    <row r="885" spans="1:49" ht="13.5" customHeight="1">
      <c r="A885" s="1"/>
      <c r="B885" s="358"/>
      <c r="C885" s="358"/>
      <c r="D885" s="358"/>
      <c r="E885" s="358"/>
      <c r="F885" s="358"/>
      <c r="G885" s="358"/>
      <c r="H885" s="358"/>
      <c r="I885" s="358"/>
      <c r="J885" s="358"/>
      <c r="K885" s="358"/>
      <c r="L885" s="358"/>
      <c r="M885" s="358"/>
      <c r="N885" s="358"/>
      <c r="O885" s="358"/>
      <c r="P885" s="358"/>
      <c r="Q885" s="358"/>
      <c r="R885" s="358"/>
      <c r="S885" s="358"/>
      <c r="T885" s="358"/>
      <c r="U885" s="358"/>
      <c r="V885" s="358"/>
      <c r="W885" s="358"/>
      <c r="X885" s="358"/>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row>
    <row r="886" spans="1:49" ht="13.5" customHeight="1">
      <c r="A886" s="1"/>
      <c r="B886" s="358"/>
      <c r="C886" s="358"/>
      <c r="D886" s="358"/>
      <c r="E886" s="358"/>
      <c r="F886" s="358"/>
      <c r="G886" s="358"/>
      <c r="H886" s="358"/>
      <c r="I886" s="358"/>
      <c r="J886" s="358"/>
      <c r="K886" s="358"/>
      <c r="L886" s="358"/>
      <c r="M886" s="358"/>
      <c r="N886" s="358"/>
      <c r="O886" s="358"/>
      <c r="P886" s="358"/>
      <c r="Q886" s="358"/>
      <c r="R886" s="358"/>
      <c r="S886" s="358"/>
      <c r="T886" s="358"/>
      <c r="U886" s="358"/>
      <c r="V886" s="358"/>
      <c r="W886" s="358"/>
      <c r="X886" s="358"/>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row>
    <row r="887" spans="1:49" ht="13.5" customHeight="1">
      <c r="A887" s="1"/>
      <c r="B887" s="358"/>
      <c r="C887" s="358"/>
      <c r="D887" s="358"/>
      <c r="E887" s="358"/>
      <c r="F887" s="358"/>
      <c r="G887" s="358"/>
      <c r="H887" s="358"/>
      <c r="I887" s="358"/>
      <c r="J887" s="358"/>
      <c r="K887" s="358"/>
      <c r="L887" s="358"/>
      <c r="M887" s="358"/>
      <c r="N887" s="358"/>
      <c r="O887" s="358"/>
      <c r="P887" s="358"/>
      <c r="Q887" s="358"/>
      <c r="R887" s="358"/>
      <c r="S887" s="358"/>
      <c r="T887" s="358"/>
      <c r="U887" s="358"/>
      <c r="V887" s="358"/>
      <c r="W887" s="358"/>
      <c r="X887" s="358"/>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row>
    <row r="888" spans="1:49" ht="13.5" customHeight="1">
      <c r="A888" s="1"/>
      <c r="B888" s="358"/>
      <c r="C888" s="358"/>
      <c r="D888" s="358"/>
      <c r="E888" s="358"/>
      <c r="F888" s="358"/>
      <c r="G888" s="358"/>
      <c r="H888" s="358"/>
      <c r="I888" s="358"/>
      <c r="J888" s="358"/>
      <c r="K888" s="358"/>
      <c r="L888" s="358"/>
      <c r="M888" s="358"/>
      <c r="N888" s="358"/>
      <c r="O888" s="358"/>
      <c r="P888" s="358"/>
      <c r="Q888" s="358"/>
      <c r="R888" s="358"/>
      <c r="S888" s="358"/>
      <c r="T888" s="358"/>
      <c r="U888" s="358"/>
      <c r="V888" s="358"/>
      <c r="W888" s="358"/>
      <c r="X888" s="358"/>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row>
    <row r="889" spans="1:49" ht="13.5" customHeight="1">
      <c r="A889" s="1"/>
      <c r="B889" s="358"/>
      <c r="C889" s="358"/>
      <c r="D889" s="358"/>
      <c r="E889" s="358"/>
      <c r="F889" s="358"/>
      <c r="G889" s="358"/>
      <c r="H889" s="358"/>
      <c r="I889" s="358"/>
      <c r="J889" s="358"/>
      <c r="K889" s="358"/>
      <c r="L889" s="358"/>
      <c r="M889" s="358"/>
      <c r="N889" s="358"/>
      <c r="O889" s="358"/>
      <c r="P889" s="358"/>
      <c r="Q889" s="358"/>
      <c r="R889" s="358"/>
      <c r="S889" s="358"/>
      <c r="T889" s="358"/>
      <c r="U889" s="358"/>
      <c r="V889" s="358"/>
      <c r="W889" s="358"/>
      <c r="X889" s="358"/>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row>
    <row r="890" spans="1:49" ht="13.5" customHeight="1">
      <c r="A890" s="1"/>
      <c r="B890" s="358"/>
      <c r="C890" s="358"/>
      <c r="D890" s="358"/>
      <c r="E890" s="358"/>
      <c r="F890" s="358"/>
      <c r="G890" s="358"/>
      <c r="H890" s="358"/>
      <c r="I890" s="358"/>
      <c r="J890" s="358"/>
      <c r="K890" s="358"/>
      <c r="L890" s="358"/>
      <c r="M890" s="358"/>
      <c r="N890" s="358"/>
      <c r="O890" s="358"/>
      <c r="P890" s="358"/>
      <c r="Q890" s="358"/>
      <c r="R890" s="358"/>
      <c r="S890" s="358"/>
      <c r="T890" s="358"/>
      <c r="U890" s="358"/>
      <c r="V890" s="358"/>
      <c r="W890" s="358"/>
      <c r="X890" s="358"/>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row>
    <row r="891" spans="1:49" ht="13.5" customHeight="1">
      <c r="A891" s="1"/>
      <c r="B891" s="358"/>
      <c r="C891" s="358"/>
      <c r="D891" s="358"/>
      <c r="E891" s="358"/>
      <c r="F891" s="358"/>
      <c r="G891" s="358"/>
      <c r="H891" s="358"/>
      <c r="I891" s="358"/>
      <c r="J891" s="358"/>
      <c r="K891" s="358"/>
      <c r="L891" s="358"/>
      <c r="M891" s="358"/>
      <c r="N891" s="358"/>
      <c r="O891" s="358"/>
      <c r="P891" s="358"/>
      <c r="Q891" s="358"/>
      <c r="R891" s="358"/>
      <c r="S891" s="358"/>
      <c r="T891" s="358"/>
      <c r="U891" s="358"/>
      <c r="V891" s="358"/>
      <c r="W891" s="358"/>
      <c r="X891" s="358"/>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row>
    <row r="892" spans="1:49" ht="13.5" customHeight="1">
      <c r="A892" s="1"/>
      <c r="B892" s="358"/>
      <c r="C892" s="358"/>
      <c r="D892" s="358"/>
      <c r="E892" s="358"/>
      <c r="F892" s="358"/>
      <c r="G892" s="358"/>
      <c r="H892" s="358"/>
      <c r="I892" s="358"/>
      <c r="J892" s="358"/>
      <c r="K892" s="358"/>
      <c r="L892" s="358"/>
      <c r="M892" s="358"/>
      <c r="N892" s="358"/>
      <c r="O892" s="358"/>
      <c r="P892" s="358"/>
      <c r="Q892" s="358"/>
      <c r="R892" s="358"/>
      <c r="S892" s="358"/>
      <c r="T892" s="358"/>
      <c r="U892" s="358"/>
      <c r="V892" s="358"/>
      <c r="W892" s="358"/>
      <c r="X892" s="358"/>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row>
    <row r="893" spans="1:49" ht="13.5" customHeight="1">
      <c r="A893" s="1"/>
      <c r="B893" s="358"/>
      <c r="C893" s="358"/>
      <c r="D893" s="358"/>
      <c r="E893" s="358"/>
      <c r="F893" s="358"/>
      <c r="G893" s="358"/>
      <c r="H893" s="358"/>
      <c r="I893" s="358"/>
      <c r="J893" s="358"/>
      <c r="K893" s="358"/>
      <c r="L893" s="358"/>
      <c r="M893" s="358"/>
      <c r="N893" s="358"/>
      <c r="O893" s="358"/>
      <c r="P893" s="358"/>
      <c r="Q893" s="358"/>
      <c r="R893" s="358"/>
      <c r="S893" s="358"/>
      <c r="T893" s="358"/>
      <c r="U893" s="358"/>
      <c r="V893" s="358"/>
      <c r="W893" s="358"/>
      <c r="X893" s="358"/>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row>
    <row r="894" spans="1:49" ht="13.5" customHeight="1">
      <c r="A894" s="1"/>
      <c r="B894" s="358"/>
      <c r="C894" s="358"/>
      <c r="D894" s="358"/>
      <c r="E894" s="358"/>
      <c r="F894" s="358"/>
      <c r="G894" s="358"/>
      <c r="H894" s="358"/>
      <c r="I894" s="358"/>
      <c r="J894" s="358"/>
      <c r="K894" s="358"/>
      <c r="L894" s="358"/>
      <c r="M894" s="358"/>
      <c r="N894" s="358"/>
      <c r="O894" s="358"/>
      <c r="P894" s="358"/>
      <c r="Q894" s="358"/>
      <c r="R894" s="358"/>
      <c r="S894" s="358"/>
      <c r="T894" s="358"/>
      <c r="U894" s="358"/>
      <c r="V894" s="358"/>
      <c r="W894" s="358"/>
      <c r="X894" s="358"/>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row>
    <row r="895" spans="1:49" ht="13.5" customHeight="1">
      <c r="A895" s="1"/>
      <c r="B895" s="358"/>
      <c r="C895" s="358"/>
      <c r="D895" s="358"/>
      <c r="E895" s="358"/>
      <c r="F895" s="358"/>
      <c r="G895" s="358"/>
      <c r="H895" s="358"/>
      <c r="I895" s="358"/>
      <c r="J895" s="358"/>
      <c r="K895" s="358"/>
      <c r="L895" s="358"/>
      <c r="M895" s="358"/>
      <c r="N895" s="358"/>
      <c r="O895" s="358"/>
      <c r="P895" s="358"/>
      <c r="Q895" s="358"/>
      <c r="R895" s="358"/>
      <c r="S895" s="358"/>
      <c r="T895" s="358"/>
      <c r="U895" s="358"/>
      <c r="V895" s="358"/>
      <c r="W895" s="358"/>
      <c r="X895" s="358"/>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row>
    <row r="896" spans="1:49" ht="13.5" customHeight="1">
      <c r="A896" s="1"/>
      <c r="B896" s="358"/>
      <c r="C896" s="358"/>
      <c r="D896" s="358"/>
      <c r="E896" s="358"/>
      <c r="F896" s="358"/>
      <c r="G896" s="358"/>
      <c r="H896" s="358"/>
      <c r="I896" s="358"/>
      <c r="J896" s="358"/>
      <c r="K896" s="358"/>
      <c r="L896" s="358"/>
      <c r="M896" s="358"/>
      <c r="N896" s="358"/>
      <c r="O896" s="358"/>
      <c r="P896" s="358"/>
      <c r="Q896" s="358"/>
      <c r="R896" s="358"/>
      <c r="S896" s="358"/>
      <c r="T896" s="358"/>
      <c r="U896" s="358"/>
      <c r="V896" s="358"/>
      <c r="W896" s="358"/>
      <c r="X896" s="358"/>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row>
    <row r="897" spans="1:49" ht="13.5" customHeight="1">
      <c r="A897" s="1"/>
      <c r="B897" s="358"/>
      <c r="C897" s="358"/>
      <c r="D897" s="358"/>
      <c r="E897" s="358"/>
      <c r="F897" s="358"/>
      <c r="G897" s="358"/>
      <c r="H897" s="358"/>
      <c r="I897" s="358"/>
      <c r="J897" s="358"/>
      <c r="K897" s="358"/>
      <c r="L897" s="358"/>
      <c r="M897" s="358"/>
      <c r="N897" s="358"/>
      <c r="O897" s="358"/>
      <c r="P897" s="358"/>
      <c r="Q897" s="358"/>
      <c r="R897" s="358"/>
      <c r="S897" s="358"/>
      <c r="T897" s="358"/>
      <c r="U897" s="358"/>
      <c r="V897" s="358"/>
      <c r="W897" s="358"/>
      <c r="X897" s="358"/>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row>
    <row r="898" spans="1:49" ht="13.5" customHeight="1">
      <c r="A898" s="1"/>
      <c r="B898" s="358"/>
      <c r="C898" s="358"/>
      <c r="D898" s="358"/>
      <c r="E898" s="358"/>
      <c r="F898" s="358"/>
      <c r="G898" s="358"/>
      <c r="H898" s="358"/>
      <c r="I898" s="358"/>
      <c r="J898" s="358"/>
      <c r="K898" s="358"/>
      <c r="L898" s="358"/>
      <c r="M898" s="358"/>
      <c r="N898" s="358"/>
      <c r="O898" s="358"/>
      <c r="P898" s="358"/>
      <c r="Q898" s="358"/>
      <c r="R898" s="358"/>
      <c r="S898" s="358"/>
      <c r="T898" s="358"/>
      <c r="U898" s="358"/>
      <c r="V898" s="358"/>
      <c r="W898" s="358"/>
      <c r="X898" s="358"/>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row>
    <row r="899" spans="1:49" ht="13.5" customHeight="1">
      <c r="A899" s="1"/>
      <c r="B899" s="358"/>
      <c r="C899" s="358"/>
      <c r="D899" s="358"/>
      <c r="E899" s="358"/>
      <c r="F899" s="358"/>
      <c r="G899" s="358"/>
      <c r="H899" s="358"/>
      <c r="I899" s="358"/>
      <c r="J899" s="358"/>
      <c r="K899" s="358"/>
      <c r="L899" s="358"/>
      <c r="M899" s="358"/>
      <c r="N899" s="358"/>
      <c r="O899" s="358"/>
      <c r="P899" s="358"/>
      <c r="Q899" s="358"/>
      <c r="R899" s="358"/>
      <c r="S899" s="358"/>
      <c r="T899" s="358"/>
      <c r="U899" s="358"/>
      <c r="V899" s="358"/>
      <c r="W899" s="358"/>
      <c r="X899" s="358"/>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row>
    <row r="900" spans="1:49" ht="13.5" customHeight="1">
      <c r="A900" s="1"/>
      <c r="B900" s="358"/>
      <c r="C900" s="358"/>
      <c r="D900" s="358"/>
      <c r="E900" s="358"/>
      <c r="F900" s="358"/>
      <c r="G900" s="358"/>
      <c r="H900" s="358"/>
      <c r="I900" s="358"/>
      <c r="J900" s="358"/>
      <c r="K900" s="358"/>
      <c r="L900" s="358"/>
      <c r="M900" s="358"/>
      <c r="N900" s="358"/>
      <c r="O900" s="358"/>
      <c r="P900" s="358"/>
      <c r="Q900" s="358"/>
      <c r="R900" s="358"/>
      <c r="S900" s="358"/>
      <c r="T900" s="358"/>
      <c r="U900" s="358"/>
      <c r="V900" s="358"/>
      <c r="W900" s="358"/>
      <c r="X900" s="358"/>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row>
    <row r="901" spans="1:49" ht="13.5" customHeight="1">
      <c r="A901" s="1"/>
      <c r="B901" s="358"/>
      <c r="C901" s="358"/>
      <c r="D901" s="358"/>
      <c r="E901" s="358"/>
      <c r="F901" s="358"/>
      <c r="G901" s="358"/>
      <c r="H901" s="358"/>
      <c r="I901" s="358"/>
      <c r="J901" s="358"/>
      <c r="K901" s="358"/>
      <c r="L901" s="358"/>
      <c r="M901" s="358"/>
      <c r="N901" s="358"/>
      <c r="O901" s="358"/>
      <c r="P901" s="358"/>
      <c r="Q901" s="358"/>
      <c r="R901" s="358"/>
      <c r="S901" s="358"/>
      <c r="T901" s="358"/>
      <c r="U901" s="358"/>
      <c r="V901" s="358"/>
      <c r="W901" s="358"/>
      <c r="X901" s="358"/>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row>
    <row r="902" spans="1:49" ht="13.5" customHeight="1">
      <c r="A902" s="1"/>
      <c r="B902" s="358"/>
      <c r="C902" s="358"/>
      <c r="D902" s="358"/>
      <c r="E902" s="358"/>
      <c r="F902" s="358"/>
      <c r="G902" s="358"/>
      <c r="H902" s="358"/>
      <c r="I902" s="358"/>
      <c r="J902" s="358"/>
      <c r="K902" s="358"/>
      <c r="L902" s="358"/>
      <c r="M902" s="358"/>
      <c r="N902" s="358"/>
      <c r="O902" s="358"/>
      <c r="P902" s="358"/>
      <c r="Q902" s="358"/>
      <c r="R902" s="358"/>
      <c r="S902" s="358"/>
      <c r="T902" s="358"/>
      <c r="U902" s="358"/>
      <c r="V902" s="358"/>
      <c r="W902" s="358"/>
      <c r="X902" s="358"/>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row>
    <row r="903" spans="1:49" ht="13.5" customHeight="1">
      <c r="A903" s="1"/>
      <c r="B903" s="358"/>
      <c r="C903" s="358"/>
      <c r="D903" s="358"/>
      <c r="E903" s="358"/>
      <c r="F903" s="358"/>
      <c r="G903" s="358"/>
      <c r="H903" s="358"/>
      <c r="I903" s="358"/>
      <c r="J903" s="358"/>
      <c r="K903" s="358"/>
      <c r="L903" s="358"/>
      <c r="M903" s="358"/>
      <c r="N903" s="358"/>
      <c r="O903" s="358"/>
      <c r="P903" s="358"/>
      <c r="Q903" s="358"/>
      <c r="R903" s="358"/>
      <c r="S903" s="358"/>
      <c r="T903" s="358"/>
      <c r="U903" s="358"/>
      <c r="V903" s="358"/>
      <c r="W903" s="358"/>
      <c r="X903" s="358"/>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row>
    <row r="904" spans="1:49" ht="13.5" customHeight="1">
      <c r="A904" s="1"/>
      <c r="B904" s="358"/>
      <c r="C904" s="358"/>
      <c r="D904" s="358"/>
      <c r="E904" s="358"/>
      <c r="F904" s="358"/>
      <c r="G904" s="358"/>
      <c r="H904" s="358"/>
      <c r="I904" s="358"/>
      <c r="J904" s="358"/>
      <c r="K904" s="358"/>
      <c r="L904" s="358"/>
      <c r="M904" s="358"/>
      <c r="N904" s="358"/>
      <c r="O904" s="358"/>
      <c r="P904" s="358"/>
      <c r="Q904" s="358"/>
      <c r="R904" s="358"/>
      <c r="S904" s="358"/>
      <c r="T904" s="358"/>
      <c r="U904" s="358"/>
      <c r="V904" s="358"/>
      <c r="W904" s="358"/>
      <c r="X904" s="358"/>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row>
    <row r="905" spans="1:49" ht="13.5" customHeight="1">
      <c r="A905" s="1"/>
      <c r="B905" s="358"/>
      <c r="C905" s="358"/>
      <c r="D905" s="358"/>
      <c r="E905" s="358"/>
      <c r="F905" s="358"/>
      <c r="G905" s="358"/>
      <c r="H905" s="358"/>
      <c r="I905" s="358"/>
      <c r="J905" s="358"/>
      <c r="K905" s="358"/>
      <c r="L905" s="358"/>
      <c r="M905" s="358"/>
      <c r="N905" s="358"/>
      <c r="O905" s="358"/>
      <c r="P905" s="358"/>
      <c r="Q905" s="358"/>
      <c r="R905" s="358"/>
      <c r="S905" s="358"/>
      <c r="T905" s="358"/>
      <c r="U905" s="358"/>
      <c r="V905" s="358"/>
      <c r="W905" s="358"/>
      <c r="X905" s="358"/>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row>
    <row r="906" spans="1:49" ht="13.5" customHeight="1">
      <c r="A906" s="1"/>
      <c r="B906" s="358"/>
      <c r="C906" s="358"/>
      <c r="D906" s="358"/>
      <c r="E906" s="358"/>
      <c r="F906" s="358"/>
      <c r="G906" s="358"/>
      <c r="H906" s="358"/>
      <c r="I906" s="358"/>
      <c r="J906" s="358"/>
      <c r="K906" s="358"/>
      <c r="L906" s="358"/>
      <c r="M906" s="358"/>
      <c r="N906" s="358"/>
      <c r="O906" s="358"/>
      <c r="P906" s="358"/>
      <c r="Q906" s="358"/>
      <c r="R906" s="358"/>
      <c r="S906" s="358"/>
      <c r="T906" s="358"/>
      <c r="U906" s="358"/>
      <c r="V906" s="358"/>
      <c r="W906" s="358"/>
      <c r="X906" s="358"/>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row>
    <row r="907" spans="1:49" ht="13.5" customHeight="1">
      <c r="A907" s="1"/>
      <c r="B907" s="358"/>
      <c r="C907" s="358"/>
      <c r="D907" s="358"/>
      <c r="E907" s="358"/>
      <c r="F907" s="358"/>
      <c r="G907" s="358"/>
      <c r="H907" s="358"/>
      <c r="I907" s="358"/>
      <c r="J907" s="358"/>
      <c r="K907" s="358"/>
      <c r="L907" s="358"/>
      <c r="M907" s="358"/>
      <c r="N907" s="358"/>
      <c r="O907" s="358"/>
      <c r="P907" s="358"/>
      <c r="Q907" s="358"/>
      <c r="R907" s="358"/>
      <c r="S907" s="358"/>
      <c r="T907" s="358"/>
      <c r="U907" s="358"/>
      <c r="V907" s="358"/>
      <c r="W907" s="358"/>
      <c r="X907" s="358"/>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row>
    <row r="908" spans="1:49" ht="13.5" customHeight="1">
      <c r="A908" s="1"/>
      <c r="B908" s="358"/>
      <c r="C908" s="358"/>
      <c r="D908" s="358"/>
      <c r="E908" s="358"/>
      <c r="F908" s="358"/>
      <c r="G908" s="358"/>
      <c r="H908" s="358"/>
      <c r="I908" s="358"/>
      <c r="J908" s="358"/>
      <c r="K908" s="358"/>
      <c r="L908" s="358"/>
      <c r="M908" s="358"/>
      <c r="N908" s="358"/>
      <c r="O908" s="358"/>
      <c r="P908" s="358"/>
      <c r="Q908" s="358"/>
      <c r="R908" s="358"/>
      <c r="S908" s="358"/>
      <c r="T908" s="358"/>
      <c r="U908" s="358"/>
      <c r="V908" s="358"/>
      <c r="W908" s="358"/>
      <c r="X908" s="358"/>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row>
    <row r="909" spans="1:49" ht="13.5" customHeight="1">
      <c r="A909" s="1"/>
      <c r="B909" s="358"/>
      <c r="C909" s="358"/>
      <c r="D909" s="358"/>
      <c r="E909" s="358"/>
      <c r="F909" s="358"/>
      <c r="G909" s="358"/>
      <c r="H909" s="358"/>
      <c r="I909" s="358"/>
      <c r="J909" s="358"/>
      <c r="K909" s="358"/>
      <c r="L909" s="358"/>
      <c r="M909" s="358"/>
      <c r="N909" s="358"/>
      <c r="O909" s="358"/>
      <c r="P909" s="358"/>
      <c r="Q909" s="358"/>
      <c r="R909" s="358"/>
      <c r="S909" s="358"/>
      <c r="T909" s="358"/>
      <c r="U909" s="358"/>
      <c r="V909" s="358"/>
      <c r="W909" s="358"/>
      <c r="X909" s="358"/>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row>
    <row r="910" spans="1:49" ht="13.5" customHeight="1">
      <c r="A910" s="1"/>
      <c r="B910" s="358"/>
      <c r="C910" s="358"/>
      <c r="D910" s="358"/>
      <c r="E910" s="358"/>
      <c r="F910" s="358"/>
      <c r="G910" s="358"/>
      <c r="H910" s="358"/>
      <c r="I910" s="358"/>
      <c r="J910" s="358"/>
      <c r="K910" s="358"/>
      <c r="L910" s="358"/>
      <c r="M910" s="358"/>
      <c r="N910" s="358"/>
      <c r="O910" s="358"/>
      <c r="P910" s="358"/>
      <c r="Q910" s="358"/>
      <c r="R910" s="358"/>
      <c r="S910" s="358"/>
      <c r="T910" s="358"/>
      <c r="U910" s="358"/>
      <c r="V910" s="358"/>
      <c r="W910" s="358"/>
      <c r="X910" s="358"/>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row>
    <row r="911" spans="1:49" ht="13.5" customHeight="1">
      <c r="A911" s="1"/>
      <c r="B911" s="358"/>
      <c r="C911" s="358"/>
      <c r="D911" s="358"/>
      <c r="E911" s="358"/>
      <c r="F911" s="358"/>
      <c r="G911" s="358"/>
      <c r="H911" s="358"/>
      <c r="I911" s="358"/>
      <c r="J911" s="358"/>
      <c r="K911" s="358"/>
      <c r="L911" s="358"/>
      <c r="M911" s="358"/>
      <c r="N911" s="358"/>
      <c r="O911" s="358"/>
      <c r="P911" s="358"/>
      <c r="Q911" s="358"/>
      <c r="R911" s="358"/>
      <c r="S911" s="358"/>
      <c r="T911" s="358"/>
      <c r="U911" s="358"/>
      <c r="V911" s="358"/>
      <c r="W911" s="358"/>
      <c r="X911" s="358"/>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row>
    <row r="912" spans="1:49" ht="13.5" customHeight="1">
      <c r="A912" s="1"/>
      <c r="B912" s="358"/>
      <c r="C912" s="358"/>
      <c r="D912" s="358"/>
      <c r="E912" s="358"/>
      <c r="F912" s="358"/>
      <c r="G912" s="358"/>
      <c r="H912" s="358"/>
      <c r="I912" s="358"/>
      <c r="J912" s="358"/>
      <c r="K912" s="358"/>
      <c r="L912" s="358"/>
      <c r="M912" s="358"/>
      <c r="N912" s="358"/>
      <c r="O912" s="358"/>
      <c r="P912" s="358"/>
      <c r="Q912" s="358"/>
      <c r="R912" s="358"/>
      <c r="S912" s="358"/>
      <c r="T912" s="358"/>
      <c r="U912" s="358"/>
      <c r="V912" s="358"/>
      <c r="W912" s="358"/>
      <c r="X912" s="358"/>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row>
    <row r="913" spans="1:49" ht="13.5" customHeight="1">
      <c r="A913" s="1"/>
      <c r="B913" s="358"/>
      <c r="C913" s="358"/>
      <c r="D913" s="358"/>
      <c r="E913" s="358"/>
      <c r="F913" s="358"/>
      <c r="G913" s="358"/>
      <c r="H913" s="358"/>
      <c r="I913" s="358"/>
      <c r="J913" s="358"/>
      <c r="K913" s="358"/>
      <c r="L913" s="358"/>
      <c r="M913" s="358"/>
      <c r="N913" s="358"/>
      <c r="O913" s="358"/>
      <c r="P913" s="358"/>
      <c r="Q913" s="358"/>
      <c r="R913" s="358"/>
      <c r="S913" s="358"/>
      <c r="T913" s="358"/>
      <c r="U913" s="358"/>
      <c r="V913" s="358"/>
      <c r="W913" s="358"/>
      <c r="X913" s="358"/>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row>
    <row r="914" spans="1:49" ht="13.5" customHeight="1">
      <c r="A914" s="1"/>
      <c r="B914" s="358"/>
      <c r="C914" s="358"/>
      <c r="D914" s="358"/>
      <c r="E914" s="358"/>
      <c r="F914" s="358"/>
      <c r="G914" s="358"/>
      <c r="H914" s="358"/>
      <c r="I914" s="358"/>
      <c r="J914" s="358"/>
      <c r="K914" s="358"/>
      <c r="L914" s="358"/>
      <c r="M914" s="358"/>
      <c r="N914" s="358"/>
      <c r="O914" s="358"/>
      <c r="P914" s="358"/>
      <c r="Q914" s="358"/>
      <c r="R914" s="358"/>
      <c r="S914" s="358"/>
      <c r="T914" s="358"/>
      <c r="U914" s="358"/>
      <c r="V914" s="358"/>
      <c r="W914" s="358"/>
      <c r="X914" s="358"/>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row>
    <row r="915" spans="1:49" ht="13.5" customHeight="1">
      <c r="A915" s="1"/>
      <c r="B915" s="358"/>
      <c r="C915" s="358"/>
      <c r="D915" s="358"/>
      <c r="E915" s="358"/>
      <c r="F915" s="358"/>
      <c r="G915" s="358"/>
      <c r="H915" s="358"/>
      <c r="I915" s="358"/>
      <c r="J915" s="358"/>
      <c r="K915" s="358"/>
      <c r="L915" s="358"/>
      <c r="M915" s="358"/>
      <c r="N915" s="358"/>
      <c r="O915" s="358"/>
      <c r="P915" s="358"/>
      <c r="Q915" s="358"/>
      <c r="R915" s="358"/>
      <c r="S915" s="358"/>
      <c r="T915" s="358"/>
      <c r="U915" s="358"/>
      <c r="V915" s="358"/>
      <c r="W915" s="358"/>
      <c r="X915" s="358"/>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row>
    <row r="916" spans="1:49" ht="13.5" customHeight="1">
      <c r="A916" s="1"/>
      <c r="B916" s="358"/>
      <c r="C916" s="358"/>
      <c r="D916" s="358"/>
      <c r="E916" s="358"/>
      <c r="F916" s="358"/>
      <c r="G916" s="358"/>
      <c r="H916" s="358"/>
      <c r="I916" s="358"/>
      <c r="J916" s="358"/>
      <c r="K916" s="358"/>
      <c r="L916" s="358"/>
      <c r="M916" s="358"/>
      <c r="N916" s="358"/>
      <c r="O916" s="358"/>
      <c r="P916" s="358"/>
      <c r="Q916" s="358"/>
      <c r="R916" s="358"/>
      <c r="S916" s="358"/>
      <c r="T916" s="358"/>
      <c r="U916" s="358"/>
      <c r="V916" s="358"/>
      <c r="W916" s="358"/>
      <c r="X916" s="358"/>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row>
    <row r="917" spans="1:49" ht="13.5" customHeight="1">
      <c r="A917" s="1"/>
      <c r="B917" s="358"/>
      <c r="C917" s="358"/>
      <c r="D917" s="358"/>
      <c r="E917" s="358"/>
      <c r="F917" s="358"/>
      <c r="G917" s="358"/>
      <c r="H917" s="358"/>
      <c r="I917" s="358"/>
      <c r="J917" s="358"/>
      <c r="K917" s="358"/>
      <c r="L917" s="358"/>
      <c r="M917" s="358"/>
      <c r="N917" s="358"/>
      <c r="O917" s="358"/>
      <c r="P917" s="358"/>
      <c r="Q917" s="358"/>
      <c r="R917" s="358"/>
      <c r="S917" s="358"/>
      <c r="T917" s="358"/>
      <c r="U917" s="358"/>
      <c r="V917" s="358"/>
      <c r="W917" s="358"/>
      <c r="X917" s="358"/>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row>
    <row r="918" spans="1:49" ht="13.5" customHeight="1">
      <c r="A918" s="1"/>
      <c r="B918" s="358"/>
      <c r="C918" s="358"/>
      <c r="D918" s="358"/>
      <c r="E918" s="358"/>
      <c r="F918" s="358"/>
      <c r="G918" s="358"/>
      <c r="H918" s="358"/>
      <c r="I918" s="358"/>
      <c r="J918" s="358"/>
      <c r="K918" s="358"/>
      <c r="L918" s="358"/>
      <c r="M918" s="358"/>
      <c r="N918" s="358"/>
      <c r="O918" s="358"/>
      <c r="P918" s="358"/>
      <c r="Q918" s="358"/>
      <c r="R918" s="358"/>
      <c r="S918" s="358"/>
      <c r="T918" s="358"/>
      <c r="U918" s="358"/>
      <c r="V918" s="358"/>
      <c r="W918" s="358"/>
      <c r="X918" s="358"/>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row>
    <row r="919" spans="1:49" ht="13.5" customHeight="1">
      <c r="A919" s="1"/>
      <c r="B919" s="358"/>
      <c r="C919" s="358"/>
      <c r="D919" s="358"/>
      <c r="E919" s="358"/>
      <c r="F919" s="358"/>
      <c r="G919" s="358"/>
      <c r="H919" s="358"/>
      <c r="I919" s="358"/>
      <c r="J919" s="358"/>
      <c r="K919" s="358"/>
      <c r="L919" s="358"/>
      <c r="M919" s="358"/>
      <c r="N919" s="358"/>
      <c r="O919" s="358"/>
      <c r="P919" s="358"/>
      <c r="Q919" s="358"/>
      <c r="R919" s="358"/>
      <c r="S919" s="358"/>
      <c r="T919" s="358"/>
      <c r="U919" s="358"/>
      <c r="V919" s="358"/>
      <c r="W919" s="358"/>
      <c r="X919" s="358"/>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row>
    <row r="920" spans="1:49" ht="13.5" customHeight="1">
      <c r="A920" s="1"/>
      <c r="B920" s="358"/>
      <c r="C920" s="358"/>
      <c r="D920" s="358"/>
      <c r="E920" s="358"/>
      <c r="F920" s="358"/>
      <c r="G920" s="358"/>
      <c r="H920" s="358"/>
      <c r="I920" s="358"/>
      <c r="J920" s="358"/>
      <c r="K920" s="358"/>
      <c r="L920" s="358"/>
      <c r="M920" s="358"/>
      <c r="N920" s="358"/>
      <c r="O920" s="358"/>
      <c r="P920" s="358"/>
      <c r="Q920" s="358"/>
      <c r="R920" s="358"/>
      <c r="S920" s="358"/>
      <c r="T920" s="358"/>
      <c r="U920" s="358"/>
      <c r="V920" s="358"/>
      <c r="W920" s="358"/>
      <c r="X920" s="358"/>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row>
    <row r="921" spans="1:49" ht="13.5" customHeight="1">
      <c r="A921" s="1"/>
      <c r="B921" s="358"/>
      <c r="C921" s="358"/>
      <c r="D921" s="358"/>
      <c r="E921" s="358"/>
      <c r="F921" s="358"/>
      <c r="G921" s="358"/>
      <c r="H921" s="358"/>
      <c r="I921" s="358"/>
      <c r="J921" s="358"/>
      <c r="K921" s="358"/>
      <c r="L921" s="358"/>
      <c r="M921" s="358"/>
      <c r="N921" s="358"/>
      <c r="O921" s="358"/>
      <c r="P921" s="358"/>
      <c r="Q921" s="358"/>
      <c r="R921" s="358"/>
      <c r="S921" s="358"/>
      <c r="T921" s="358"/>
      <c r="U921" s="358"/>
      <c r="V921" s="358"/>
      <c r="W921" s="358"/>
      <c r="X921" s="358"/>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row>
    <row r="922" spans="1:49" ht="13.5" customHeight="1">
      <c r="A922" s="1"/>
      <c r="B922" s="358"/>
      <c r="C922" s="358"/>
      <c r="D922" s="358"/>
      <c r="E922" s="358"/>
      <c r="F922" s="358"/>
      <c r="G922" s="358"/>
      <c r="H922" s="358"/>
      <c r="I922" s="358"/>
      <c r="J922" s="358"/>
      <c r="K922" s="358"/>
      <c r="L922" s="358"/>
      <c r="M922" s="358"/>
      <c r="N922" s="358"/>
      <c r="O922" s="358"/>
      <c r="P922" s="358"/>
      <c r="Q922" s="358"/>
      <c r="R922" s="358"/>
      <c r="S922" s="358"/>
      <c r="T922" s="358"/>
      <c r="U922" s="358"/>
      <c r="V922" s="358"/>
      <c r="W922" s="358"/>
      <c r="X922" s="358"/>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row>
    <row r="923" spans="1:49" ht="13.5" customHeight="1">
      <c r="A923" s="1"/>
      <c r="B923" s="358"/>
      <c r="C923" s="358"/>
      <c r="D923" s="358"/>
      <c r="E923" s="358"/>
      <c r="F923" s="358"/>
      <c r="G923" s="358"/>
      <c r="H923" s="358"/>
      <c r="I923" s="358"/>
      <c r="J923" s="358"/>
      <c r="K923" s="358"/>
      <c r="L923" s="358"/>
      <c r="M923" s="358"/>
      <c r="N923" s="358"/>
      <c r="O923" s="358"/>
      <c r="P923" s="358"/>
      <c r="Q923" s="358"/>
      <c r="R923" s="358"/>
      <c r="S923" s="358"/>
      <c r="T923" s="358"/>
      <c r="U923" s="358"/>
      <c r="V923" s="358"/>
      <c r="W923" s="358"/>
      <c r="X923" s="358"/>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row>
    <row r="924" spans="1:49" ht="13.5" customHeight="1">
      <c r="A924" s="1"/>
      <c r="B924" s="358"/>
      <c r="C924" s="358"/>
      <c r="D924" s="358"/>
      <c r="E924" s="358"/>
      <c r="F924" s="358"/>
      <c r="G924" s="358"/>
      <c r="H924" s="358"/>
      <c r="I924" s="358"/>
      <c r="J924" s="358"/>
      <c r="K924" s="358"/>
      <c r="L924" s="358"/>
      <c r="M924" s="358"/>
      <c r="N924" s="358"/>
      <c r="O924" s="358"/>
      <c r="P924" s="358"/>
      <c r="Q924" s="358"/>
      <c r="R924" s="358"/>
      <c r="S924" s="358"/>
      <c r="T924" s="358"/>
      <c r="U924" s="358"/>
      <c r="V924" s="358"/>
      <c r="W924" s="358"/>
      <c r="X924" s="358"/>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row>
    <row r="925" spans="1:49" ht="13.5" customHeight="1">
      <c r="A925" s="1"/>
      <c r="B925" s="358"/>
      <c r="C925" s="358"/>
      <c r="D925" s="358"/>
      <c r="E925" s="358"/>
      <c r="F925" s="358"/>
      <c r="G925" s="358"/>
      <c r="H925" s="358"/>
      <c r="I925" s="358"/>
      <c r="J925" s="358"/>
      <c r="K925" s="358"/>
      <c r="L925" s="358"/>
      <c r="M925" s="358"/>
      <c r="N925" s="358"/>
      <c r="O925" s="358"/>
      <c r="P925" s="358"/>
      <c r="Q925" s="358"/>
      <c r="R925" s="358"/>
      <c r="S925" s="358"/>
      <c r="T925" s="358"/>
      <c r="U925" s="358"/>
      <c r="V925" s="358"/>
      <c r="W925" s="358"/>
      <c r="X925" s="358"/>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row>
    <row r="926" spans="1:49" ht="13.5" customHeight="1">
      <c r="A926" s="1"/>
      <c r="B926" s="358"/>
      <c r="C926" s="358"/>
      <c r="D926" s="358"/>
      <c r="E926" s="358"/>
      <c r="F926" s="358"/>
      <c r="G926" s="358"/>
      <c r="H926" s="358"/>
      <c r="I926" s="358"/>
      <c r="J926" s="358"/>
      <c r="K926" s="358"/>
      <c r="L926" s="358"/>
      <c r="M926" s="358"/>
      <c r="N926" s="358"/>
      <c r="O926" s="358"/>
      <c r="P926" s="358"/>
      <c r="Q926" s="358"/>
      <c r="R926" s="358"/>
      <c r="S926" s="358"/>
      <c r="T926" s="358"/>
      <c r="U926" s="358"/>
      <c r="V926" s="358"/>
      <c r="W926" s="358"/>
      <c r="X926" s="358"/>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row>
    <row r="927" spans="1:49" ht="13.5" customHeight="1">
      <c r="A927" s="1"/>
      <c r="B927" s="358"/>
      <c r="C927" s="358"/>
      <c r="D927" s="358"/>
      <c r="E927" s="358"/>
      <c r="F927" s="358"/>
      <c r="G927" s="358"/>
      <c r="H927" s="358"/>
      <c r="I927" s="358"/>
      <c r="J927" s="358"/>
      <c r="K927" s="358"/>
      <c r="L927" s="358"/>
      <c r="M927" s="358"/>
      <c r="N927" s="358"/>
      <c r="O927" s="358"/>
      <c r="P927" s="358"/>
      <c r="Q927" s="358"/>
      <c r="R927" s="358"/>
      <c r="S927" s="358"/>
      <c r="T927" s="358"/>
      <c r="U927" s="358"/>
      <c r="V927" s="358"/>
      <c r="W927" s="358"/>
      <c r="X927" s="358"/>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row>
    <row r="928" spans="1:49" ht="13.5" customHeight="1">
      <c r="A928" s="1"/>
      <c r="B928" s="358"/>
      <c r="C928" s="358"/>
      <c r="D928" s="358"/>
      <c r="E928" s="358"/>
      <c r="F928" s="358"/>
      <c r="G928" s="358"/>
      <c r="H928" s="358"/>
      <c r="I928" s="358"/>
      <c r="J928" s="358"/>
      <c r="K928" s="358"/>
      <c r="L928" s="358"/>
      <c r="M928" s="358"/>
      <c r="N928" s="358"/>
      <c r="O928" s="358"/>
      <c r="P928" s="358"/>
      <c r="Q928" s="358"/>
      <c r="R928" s="358"/>
      <c r="S928" s="358"/>
      <c r="T928" s="358"/>
      <c r="U928" s="358"/>
      <c r="V928" s="358"/>
      <c r="W928" s="358"/>
      <c r="X928" s="358"/>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row>
    <row r="929" spans="1:49" ht="13.5" customHeight="1">
      <c r="A929" s="1"/>
      <c r="B929" s="358"/>
      <c r="C929" s="358"/>
      <c r="D929" s="358"/>
      <c r="E929" s="358"/>
      <c r="F929" s="358"/>
      <c r="G929" s="358"/>
      <c r="H929" s="358"/>
      <c r="I929" s="358"/>
      <c r="J929" s="358"/>
      <c r="K929" s="358"/>
      <c r="L929" s="358"/>
      <c r="M929" s="358"/>
      <c r="N929" s="358"/>
      <c r="O929" s="358"/>
      <c r="P929" s="358"/>
      <c r="Q929" s="358"/>
      <c r="R929" s="358"/>
      <c r="S929" s="358"/>
      <c r="T929" s="358"/>
      <c r="U929" s="358"/>
      <c r="V929" s="358"/>
      <c r="W929" s="358"/>
      <c r="X929" s="358"/>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row>
    <row r="930" spans="1:49" ht="13.5" customHeight="1">
      <c r="A930" s="1"/>
      <c r="B930" s="358"/>
      <c r="C930" s="358"/>
      <c r="D930" s="358"/>
      <c r="E930" s="358"/>
      <c r="F930" s="358"/>
      <c r="G930" s="358"/>
      <c r="H930" s="358"/>
      <c r="I930" s="358"/>
      <c r="J930" s="358"/>
      <c r="K930" s="358"/>
      <c r="L930" s="358"/>
      <c r="M930" s="358"/>
      <c r="N930" s="358"/>
      <c r="O930" s="358"/>
      <c r="P930" s="358"/>
      <c r="Q930" s="358"/>
      <c r="R930" s="358"/>
      <c r="S930" s="358"/>
      <c r="T930" s="358"/>
      <c r="U930" s="358"/>
      <c r="V930" s="358"/>
      <c r="W930" s="358"/>
      <c r="X930" s="358"/>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row>
    <row r="931" spans="1:49" ht="13.5" customHeight="1">
      <c r="A931" s="1"/>
      <c r="B931" s="358"/>
      <c r="C931" s="358"/>
      <c r="D931" s="358"/>
      <c r="E931" s="358"/>
      <c r="F931" s="358"/>
      <c r="G931" s="358"/>
      <c r="H931" s="358"/>
      <c r="I931" s="358"/>
      <c r="J931" s="358"/>
      <c r="K931" s="358"/>
      <c r="L931" s="358"/>
      <c r="M931" s="358"/>
      <c r="N931" s="358"/>
      <c r="O931" s="358"/>
      <c r="P931" s="358"/>
      <c r="Q931" s="358"/>
      <c r="R931" s="358"/>
      <c r="S931" s="358"/>
      <c r="T931" s="358"/>
      <c r="U931" s="358"/>
      <c r="V931" s="358"/>
      <c r="W931" s="358"/>
      <c r="X931" s="358"/>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row>
    <row r="932" spans="1:49" ht="13.5" customHeight="1">
      <c r="A932" s="1"/>
      <c r="B932" s="358"/>
      <c r="C932" s="358"/>
      <c r="D932" s="358"/>
      <c r="E932" s="358"/>
      <c r="F932" s="358"/>
      <c r="G932" s="358"/>
      <c r="H932" s="358"/>
      <c r="I932" s="358"/>
      <c r="J932" s="358"/>
      <c r="K932" s="358"/>
      <c r="L932" s="358"/>
      <c r="M932" s="358"/>
      <c r="N932" s="358"/>
      <c r="O932" s="358"/>
      <c r="P932" s="358"/>
      <c r="Q932" s="358"/>
      <c r="R932" s="358"/>
      <c r="S932" s="358"/>
      <c r="T932" s="358"/>
      <c r="U932" s="358"/>
      <c r="V932" s="358"/>
      <c r="W932" s="358"/>
      <c r="X932" s="358"/>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row>
    <row r="933" spans="1:49" ht="13.5" customHeight="1">
      <c r="A933" s="1"/>
      <c r="B933" s="358"/>
      <c r="C933" s="358"/>
      <c r="D933" s="358"/>
      <c r="E933" s="358"/>
      <c r="F933" s="358"/>
      <c r="G933" s="358"/>
      <c r="H933" s="358"/>
      <c r="I933" s="358"/>
      <c r="J933" s="358"/>
      <c r="K933" s="358"/>
      <c r="L933" s="358"/>
      <c r="M933" s="358"/>
      <c r="N933" s="358"/>
      <c r="O933" s="358"/>
      <c r="P933" s="358"/>
      <c r="Q933" s="358"/>
      <c r="R933" s="358"/>
      <c r="S933" s="358"/>
      <c r="T933" s="358"/>
      <c r="U933" s="358"/>
      <c r="V933" s="358"/>
      <c r="W933" s="358"/>
      <c r="X933" s="358"/>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row>
    <row r="934" spans="1:49" ht="13.5" customHeight="1">
      <c r="A934" s="1"/>
      <c r="B934" s="358"/>
      <c r="C934" s="358"/>
      <c r="D934" s="358"/>
      <c r="E934" s="358"/>
      <c r="F934" s="358"/>
      <c r="G934" s="358"/>
      <c r="H934" s="358"/>
      <c r="I934" s="358"/>
      <c r="J934" s="358"/>
      <c r="K934" s="358"/>
      <c r="L934" s="358"/>
      <c r="M934" s="358"/>
      <c r="N934" s="358"/>
      <c r="O934" s="358"/>
      <c r="P934" s="358"/>
      <c r="Q934" s="358"/>
      <c r="R934" s="358"/>
      <c r="S934" s="358"/>
      <c r="T934" s="358"/>
      <c r="U934" s="358"/>
      <c r="V934" s="358"/>
      <c r="W934" s="358"/>
      <c r="X934" s="358"/>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row>
    <row r="935" spans="1:49" ht="13.5" customHeight="1">
      <c r="A935" s="1"/>
      <c r="B935" s="358"/>
      <c r="C935" s="358"/>
      <c r="D935" s="358"/>
      <c r="E935" s="358"/>
      <c r="F935" s="358"/>
      <c r="G935" s="358"/>
      <c r="H935" s="358"/>
      <c r="I935" s="358"/>
      <c r="J935" s="358"/>
      <c r="K935" s="358"/>
      <c r="L935" s="358"/>
      <c r="M935" s="358"/>
      <c r="N935" s="358"/>
      <c r="O935" s="358"/>
      <c r="P935" s="358"/>
      <c r="Q935" s="358"/>
      <c r="R935" s="358"/>
      <c r="S935" s="358"/>
      <c r="T935" s="358"/>
      <c r="U935" s="358"/>
      <c r="V935" s="358"/>
      <c r="W935" s="358"/>
      <c r="X935" s="358"/>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row>
    <row r="936" spans="1:49" ht="13.5" customHeight="1">
      <c r="A936" s="1"/>
      <c r="B936" s="358"/>
      <c r="C936" s="358"/>
      <c r="D936" s="358"/>
      <c r="E936" s="358"/>
      <c r="F936" s="358"/>
      <c r="G936" s="358"/>
      <c r="H936" s="358"/>
      <c r="I936" s="358"/>
      <c r="J936" s="358"/>
      <c r="K936" s="358"/>
      <c r="L936" s="358"/>
      <c r="M936" s="358"/>
      <c r="N936" s="358"/>
      <c r="O936" s="358"/>
      <c r="P936" s="358"/>
      <c r="Q936" s="358"/>
      <c r="R936" s="358"/>
      <c r="S936" s="358"/>
      <c r="T936" s="358"/>
      <c r="U936" s="358"/>
      <c r="V936" s="358"/>
      <c r="W936" s="358"/>
      <c r="X936" s="358"/>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row>
    <row r="937" spans="1:49" ht="13.5" customHeight="1">
      <c r="A937" s="1"/>
      <c r="B937" s="358"/>
      <c r="C937" s="358"/>
      <c r="D937" s="358"/>
      <c r="E937" s="358"/>
      <c r="F937" s="358"/>
      <c r="G937" s="358"/>
      <c r="H937" s="358"/>
      <c r="I937" s="358"/>
      <c r="J937" s="358"/>
      <c r="K937" s="358"/>
      <c r="L937" s="358"/>
      <c r="M937" s="358"/>
      <c r="N937" s="358"/>
      <c r="O937" s="358"/>
      <c r="P937" s="358"/>
      <c r="Q937" s="358"/>
      <c r="R937" s="358"/>
      <c r="S937" s="358"/>
      <c r="T937" s="358"/>
      <c r="U937" s="358"/>
      <c r="V937" s="358"/>
      <c r="W937" s="358"/>
      <c r="X937" s="358"/>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row>
    <row r="938" spans="1:49" ht="13.5" customHeight="1">
      <c r="A938" s="1"/>
      <c r="B938" s="358"/>
      <c r="C938" s="358"/>
      <c r="D938" s="358"/>
      <c r="E938" s="358"/>
      <c r="F938" s="358"/>
      <c r="G938" s="358"/>
      <c r="H938" s="358"/>
      <c r="I938" s="358"/>
      <c r="J938" s="358"/>
      <c r="K938" s="358"/>
      <c r="L938" s="358"/>
      <c r="M938" s="358"/>
      <c r="N938" s="358"/>
      <c r="O938" s="358"/>
      <c r="P938" s="358"/>
      <c r="Q938" s="358"/>
      <c r="R938" s="358"/>
      <c r="S938" s="358"/>
      <c r="T938" s="358"/>
      <c r="U938" s="358"/>
      <c r="V938" s="358"/>
      <c r="W938" s="358"/>
      <c r="X938" s="358"/>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row>
    <row r="939" spans="1:49" ht="13.5" customHeight="1">
      <c r="A939" s="1"/>
      <c r="B939" s="358"/>
      <c r="C939" s="358"/>
      <c r="D939" s="358"/>
      <c r="E939" s="358"/>
      <c r="F939" s="358"/>
      <c r="G939" s="358"/>
      <c r="H939" s="358"/>
      <c r="I939" s="358"/>
      <c r="J939" s="358"/>
      <c r="K939" s="358"/>
      <c r="L939" s="358"/>
      <c r="M939" s="358"/>
      <c r="N939" s="358"/>
      <c r="O939" s="358"/>
      <c r="P939" s="358"/>
      <c r="Q939" s="358"/>
      <c r="R939" s="358"/>
      <c r="S939" s="358"/>
      <c r="T939" s="358"/>
      <c r="U939" s="358"/>
      <c r="V939" s="358"/>
      <c r="W939" s="358"/>
      <c r="X939" s="358"/>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row>
    <row r="940" spans="1:49" ht="13.5" customHeight="1">
      <c r="A940" s="1"/>
      <c r="B940" s="358"/>
      <c r="C940" s="358"/>
      <c r="D940" s="358"/>
      <c r="E940" s="358"/>
      <c r="F940" s="358"/>
      <c r="G940" s="358"/>
      <c r="H940" s="358"/>
      <c r="I940" s="358"/>
      <c r="J940" s="358"/>
      <c r="K940" s="358"/>
      <c r="L940" s="358"/>
      <c r="M940" s="358"/>
      <c r="N940" s="358"/>
      <c r="O940" s="358"/>
      <c r="P940" s="358"/>
      <c r="Q940" s="358"/>
      <c r="R940" s="358"/>
      <c r="S940" s="358"/>
      <c r="T940" s="358"/>
      <c r="U940" s="358"/>
      <c r="V940" s="358"/>
      <c r="W940" s="358"/>
      <c r="X940" s="358"/>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row>
    <row r="941" spans="1:49" ht="13.5" customHeight="1">
      <c r="A941" s="1"/>
      <c r="B941" s="358"/>
      <c r="C941" s="358"/>
      <c r="D941" s="358"/>
      <c r="E941" s="358"/>
      <c r="F941" s="358"/>
      <c r="G941" s="358"/>
      <c r="H941" s="358"/>
      <c r="I941" s="358"/>
      <c r="J941" s="358"/>
      <c r="K941" s="358"/>
      <c r="L941" s="358"/>
      <c r="M941" s="358"/>
      <c r="N941" s="358"/>
      <c r="O941" s="358"/>
      <c r="P941" s="358"/>
      <c r="Q941" s="358"/>
      <c r="R941" s="358"/>
      <c r="S941" s="358"/>
      <c r="T941" s="358"/>
      <c r="U941" s="358"/>
      <c r="V941" s="358"/>
      <c r="W941" s="358"/>
      <c r="X941" s="358"/>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row>
    <row r="942" spans="1:49" ht="13.5" customHeight="1">
      <c r="A942" s="1"/>
      <c r="B942" s="358"/>
      <c r="C942" s="358"/>
      <c r="D942" s="358"/>
      <c r="E942" s="358"/>
      <c r="F942" s="358"/>
      <c r="G942" s="358"/>
      <c r="H942" s="358"/>
      <c r="I942" s="358"/>
      <c r="J942" s="358"/>
      <c r="K942" s="358"/>
      <c r="L942" s="358"/>
      <c r="M942" s="358"/>
      <c r="N942" s="358"/>
      <c r="O942" s="358"/>
      <c r="P942" s="358"/>
      <c r="Q942" s="358"/>
      <c r="R942" s="358"/>
      <c r="S942" s="358"/>
      <c r="T942" s="358"/>
      <c r="U942" s="358"/>
      <c r="V942" s="358"/>
      <c r="W942" s="358"/>
      <c r="X942" s="358"/>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row>
    <row r="943" spans="1:49" ht="13.5" customHeight="1">
      <c r="A943" s="1"/>
      <c r="B943" s="358"/>
      <c r="C943" s="358"/>
      <c r="D943" s="358"/>
      <c r="E943" s="358"/>
      <c r="F943" s="358"/>
      <c r="G943" s="358"/>
      <c r="H943" s="358"/>
      <c r="I943" s="358"/>
      <c r="J943" s="358"/>
      <c r="K943" s="358"/>
      <c r="L943" s="358"/>
      <c r="M943" s="358"/>
      <c r="N943" s="358"/>
      <c r="O943" s="358"/>
      <c r="P943" s="358"/>
      <c r="Q943" s="358"/>
      <c r="R943" s="358"/>
      <c r="S943" s="358"/>
      <c r="T943" s="358"/>
      <c r="U943" s="358"/>
      <c r="V943" s="358"/>
      <c r="W943" s="358"/>
      <c r="X943" s="358"/>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row>
    <row r="944" spans="1:49" ht="13.5" customHeight="1">
      <c r="A944" s="1"/>
      <c r="B944" s="358"/>
      <c r="C944" s="358"/>
      <c r="D944" s="358"/>
      <c r="E944" s="358"/>
      <c r="F944" s="358"/>
      <c r="G944" s="358"/>
      <c r="H944" s="358"/>
      <c r="I944" s="358"/>
      <c r="J944" s="358"/>
      <c r="K944" s="358"/>
      <c r="L944" s="358"/>
      <c r="M944" s="358"/>
      <c r="N944" s="358"/>
      <c r="O944" s="358"/>
      <c r="P944" s="358"/>
      <c r="Q944" s="358"/>
      <c r="R944" s="358"/>
      <c r="S944" s="358"/>
      <c r="T944" s="358"/>
      <c r="U944" s="358"/>
      <c r="V944" s="358"/>
      <c r="W944" s="358"/>
      <c r="X944" s="358"/>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row>
    <row r="945" spans="1:49" ht="13.5" customHeight="1">
      <c r="A945" s="1"/>
      <c r="B945" s="358"/>
      <c r="C945" s="358"/>
      <c r="D945" s="358"/>
      <c r="E945" s="358"/>
      <c r="F945" s="358"/>
      <c r="G945" s="358"/>
      <c r="H945" s="358"/>
      <c r="I945" s="358"/>
      <c r="J945" s="358"/>
      <c r="K945" s="358"/>
      <c r="L945" s="358"/>
      <c r="M945" s="358"/>
      <c r="N945" s="358"/>
      <c r="O945" s="358"/>
      <c r="P945" s="358"/>
      <c r="Q945" s="358"/>
      <c r="R945" s="358"/>
      <c r="S945" s="358"/>
      <c r="T945" s="358"/>
      <c r="U945" s="358"/>
      <c r="V945" s="358"/>
      <c r="W945" s="358"/>
      <c r="X945" s="358"/>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row>
    <row r="946" spans="1:49" ht="13.5" customHeight="1">
      <c r="A946" s="1"/>
      <c r="B946" s="358"/>
      <c r="C946" s="358"/>
      <c r="D946" s="358"/>
      <c r="E946" s="358"/>
      <c r="F946" s="358"/>
      <c r="G946" s="358"/>
      <c r="H946" s="358"/>
      <c r="I946" s="358"/>
      <c r="J946" s="358"/>
      <c r="K946" s="358"/>
      <c r="L946" s="358"/>
      <c r="M946" s="358"/>
      <c r="N946" s="358"/>
      <c r="O946" s="358"/>
      <c r="P946" s="358"/>
      <c r="Q946" s="358"/>
      <c r="R946" s="358"/>
      <c r="S946" s="358"/>
      <c r="T946" s="358"/>
      <c r="U946" s="358"/>
      <c r="V946" s="358"/>
      <c r="W946" s="358"/>
      <c r="X946" s="358"/>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row>
    <row r="947" spans="1:49" ht="13.5" customHeight="1">
      <c r="A947" s="1"/>
      <c r="B947" s="358"/>
      <c r="C947" s="358"/>
      <c r="D947" s="358"/>
      <c r="E947" s="358"/>
      <c r="F947" s="358"/>
      <c r="G947" s="358"/>
      <c r="H947" s="358"/>
      <c r="I947" s="358"/>
      <c r="J947" s="358"/>
      <c r="K947" s="358"/>
      <c r="L947" s="358"/>
      <c r="M947" s="358"/>
      <c r="N947" s="358"/>
      <c r="O947" s="358"/>
      <c r="P947" s="358"/>
      <c r="Q947" s="358"/>
      <c r="R947" s="358"/>
      <c r="S947" s="358"/>
      <c r="T947" s="358"/>
      <c r="U947" s="358"/>
      <c r="V947" s="358"/>
      <c r="W947" s="358"/>
      <c r="X947" s="358"/>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row>
    <row r="948" spans="1:49" ht="13.5" customHeight="1">
      <c r="A948" s="1"/>
      <c r="B948" s="358"/>
      <c r="C948" s="358"/>
      <c r="D948" s="358"/>
      <c r="E948" s="358"/>
      <c r="F948" s="358"/>
      <c r="G948" s="358"/>
      <c r="H948" s="358"/>
      <c r="I948" s="358"/>
      <c r="J948" s="358"/>
      <c r="K948" s="358"/>
      <c r="L948" s="358"/>
      <c r="M948" s="358"/>
      <c r="N948" s="358"/>
      <c r="O948" s="358"/>
      <c r="P948" s="358"/>
      <c r="Q948" s="358"/>
      <c r="R948" s="358"/>
      <c r="S948" s="358"/>
      <c r="T948" s="358"/>
      <c r="U948" s="358"/>
      <c r="V948" s="358"/>
      <c r="W948" s="358"/>
      <c r="X948" s="358"/>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row>
    <row r="949" spans="1:49" ht="13.5" customHeight="1">
      <c r="A949" s="1"/>
      <c r="B949" s="358"/>
      <c r="C949" s="358"/>
      <c r="D949" s="358"/>
      <c r="E949" s="358"/>
      <c r="F949" s="358"/>
      <c r="G949" s="358"/>
      <c r="H949" s="358"/>
      <c r="I949" s="358"/>
      <c r="J949" s="358"/>
      <c r="K949" s="358"/>
      <c r="L949" s="358"/>
      <c r="M949" s="358"/>
      <c r="N949" s="358"/>
      <c r="O949" s="358"/>
      <c r="P949" s="358"/>
      <c r="Q949" s="358"/>
      <c r="R949" s="358"/>
      <c r="S949" s="358"/>
      <c r="T949" s="358"/>
      <c r="U949" s="358"/>
      <c r="V949" s="358"/>
      <c r="W949" s="358"/>
      <c r="X949" s="358"/>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row>
    <row r="950" spans="1:49" ht="13.5" customHeight="1">
      <c r="A950" s="1"/>
      <c r="B950" s="358"/>
      <c r="C950" s="358"/>
      <c r="D950" s="358"/>
      <c r="E950" s="358"/>
      <c r="F950" s="358"/>
      <c r="G950" s="358"/>
      <c r="H950" s="358"/>
      <c r="I950" s="358"/>
      <c r="J950" s="358"/>
      <c r="K950" s="358"/>
      <c r="L950" s="358"/>
      <c r="M950" s="358"/>
      <c r="N950" s="358"/>
      <c r="O950" s="358"/>
      <c r="P950" s="358"/>
      <c r="Q950" s="358"/>
      <c r="R950" s="358"/>
      <c r="S950" s="358"/>
      <c r="T950" s="358"/>
      <c r="U950" s="358"/>
      <c r="V950" s="358"/>
      <c r="W950" s="358"/>
      <c r="X950" s="358"/>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row>
    <row r="951" spans="1:49" ht="13.5" customHeight="1">
      <c r="A951" s="1"/>
      <c r="B951" s="358"/>
      <c r="C951" s="358"/>
      <c r="D951" s="358"/>
      <c r="E951" s="358"/>
      <c r="F951" s="358"/>
      <c r="G951" s="358"/>
      <c r="H951" s="358"/>
      <c r="I951" s="358"/>
      <c r="J951" s="358"/>
      <c r="K951" s="358"/>
      <c r="L951" s="358"/>
      <c r="M951" s="358"/>
      <c r="N951" s="358"/>
      <c r="O951" s="358"/>
      <c r="P951" s="358"/>
      <c r="Q951" s="358"/>
      <c r="R951" s="358"/>
      <c r="S951" s="358"/>
      <c r="T951" s="358"/>
      <c r="U951" s="358"/>
      <c r="V951" s="358"/>
      <c r="W951" s="358"/>
      <c r="X951" s="358"/>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row>
    <row r="952" spans="1:49" ht="13.5" customHeight="1">
      <c r="A952" s="1"/>
      <c r="B952" s="358"/>
      <c r="C952" s="358"/>
      <c r="D952" s="358"/>
      <c r="E952" s="358"/>
      <c r="F952" s="358"/>
      <c r="G952" s="358"/>
      <c r="H952" s="358"/>
      <c r="I952" s="358"/>
      <c r="J952" s="358"/>
      <c r="K952" s="358"/>
      <c r="L952" s="358"/>
      <c r="M952" s="358"/>
      <c r="N952" s="358"/>
      <c r="O952" s="358"/>
      <c r="P952" s="358"/>
      <c r="Q952" s="358"/>
      <c r="R952" s="358"/>
      <c r="S952" s="358"/>
      <c r="T952" s="358"/>
      <c r="U952" s="358"/>
      <c r="V952" s="358"/>
      <c r="W952" s="358"/>
      <c r="X952" s="358"/>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row>
    <row r="953" spans="1:49" ht="13.5" customHeight="1">
      <c r="A953" s="1"/>
      <c r="B953" s="358"/>
      <c r="C953" s="358"/>
      <c r="D953" s="358"/>
      <c r="E953" s="358"/>
      <c r="F953" s="358"/>
      <c r="G953" s="358"/>
      <c r="H953" s="358"/>
      <c r="I953" s="358"/>
      <c r="J953" s="358"/>
      <c r="K953" s="358"/>
      <c r="L953" s="358"/>
      <c r="M953" s="358"/>
      <c r="N953" s="358"/>
      <c r="O953" s="358"/>
      <c r="P953" s="358"/>
      <c r="Q953" s="358"/>
      <c r="R953" s="358"/>
      <c r="S953" s="358"/>
      <c r="T953" s="358"/>
      <c r="U953" s="358"/>
      <c r="V953" s="358"/>
      <c r="W953" s="358"/>
      <c r="X953" s="358"/>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row>
    <row r="954" spans="1:49" ht="13.5" customHeight="1">
      <c r="A954" s="1"/>
      <c r="B954" s="358"/>
      <c r="C954" s="358"/>
      <c r="D954" s="358"/>
      <c r="E954" s="358"/>
      <c r="F954" s="358"/>
      <c r="G954" s="358"/>
      <c r="H954" s="358"/>
      <c r="I954" s="358"/>
      <c r="J954" s="358"/>
      <c r="K954" s="358"/>
      <c r="L954" s="358"/>
      <c r="M954" s="358"/>
      <c r="N954" s="358"/>
      <c r="O954" s="358"/>
      <c r="P954" s="358"/>
      <c r="Q954" s="358"/>
      <c r="R954" s="358"/>
      <c r="S954" s="358"/>
      <c r="T954" s="358"/>
      <c r="U954" s="358"/>
      <c r="V954" s="358"/>
      <c r="W954" s="358"/>
      <c r="X954" s="358"/>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row>
    <row r="955" spans="1:49" ht="13.5" customHeight="1">
      <c r="A955" s="1"/>
      <c r="B955" s="358"/>
      <c r="C955" s="358"/>
      <c r="D955" s="358"/>
      <c r="E955" s="358"/>
      <c r="F955" s="358"/>
      <c r="G955" s="358"/>
      <c r="H955" s="358"/>
      <c r="I955" s="358"/>
      <c r="J955" s="358"/>
      <c r="K955" s="358"/>
      <c r="L955" s="358"/>
      <c r="M955" s="358"/>
      <c r="N955" s="358"/>
      <c r="O955" s="358"/>
      <c r="P955" s="358"/>
      <c r="Q955" s="358"/>
      <c r="R955" s="358"/>
      <c r="S955" s="358"/>
      <c r="T955" s="358"/>
      <c r="U955" s="358"/>
      <c r="V955" s="358"/>
      <c r="W955" s="358"/>
      <c r="X955" s="358"/>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row>
    <row r="956" spans="1:49" ht="13.5" customHeight="1">
      <c r="A956" s="1"/>
      <c r="B956" s="358"/>
      <c r="C956" s="358"/>
      <c r="D956" s="358"/>
      <c r="E956" s="358"/>
      <c r="F956" s="358"/>
      <c r="G956" s="358"/>
      <c r="H956" s="358"/>
      <c r="I956" s="358"/>
      <c r="J956" s="358"/>
      <c r="K956" s="358"/>
      <c r="L956" s="358"/>
      <c r="M956" s="358"/>
      <c r="N956" s="358"/>
      <c r="O956" s="358"/>
      <c r="P956" s="358"/>
      <c r="Q956" s="358"/>
      <c r="R956" s="358"/>
      <c r="S956" s="358"/>
      <c r="T956" s="358"/>
      <c r="U956" s="358"/>
      <c r="V956" s="358"/>
      <c r="W956" s="358"/>
      <c r="X956" s="358"/>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row>
    <row r="957" spans="1:49" ht="13.5" customHeight="1">
      <c r="A957" s="1"/>
      <c r="B957" s="358"/>
      <c r="C957" s="358"/>
      <c r="D957" s="358"/>
      <c r="E957" s="358"/>
      <c r="F957" s="358"/>
      <c r="G957" s="358"/>
      <c r="H957" s="358"/>
      <c r="I957" s="358"/>
      <c r="J957" s="358"/>
      <c r="K957" s="358"/>
      <c r="L957" s="358"/>
      <c r="M957" s="358"/>
      <c r="N957" s="358"/>
      <c r="O957" s="358"/>
      <c r="P957" s="358"/>
      <c r="Q957" s="358"/>
      <c r="R957" s="358"/>
      <c r="S957" s="358"/>
      <c r="T957" s="358"/>
      <c r="U957" s="358"/>
      <c r="V957" s="358"/>
      <c r="W957" s="358"/>
      <c r="X957" s="358"/>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row>
    <row r="958" spans="1:49" ht="13.5" customHeight="1">
      <c r="A958" s="1"/>
      <c r="B958" s="358"/>
      <c r="C958" s="358"/>
      <c r="D958" s="358"/>
      <c r="E958" s="358"/>
      <c r="F958" s="358"/>
      <c r="G958" s="358"/>
      <c r="H958" s="358"/>
      <c r="I958" s="358"/>
      <c r="J958" s="358"/>
      <c r="K958" s="358"/>
      <c r="L958" s="358"/>
      <c r="M958" s="358"/>
      <c r="N958" s="358"/>
      <c r="O958" s="358"/>
      <c r="P958" s="358"/>
      <c r="Q958" s="358"/>
      <c r="R958" s="358"/>
      <c r="S958" s="358"/>
      <c r="T958" s="358"/>
      <c r="U958" s="358"/>
      <c r="V958" s="358"/>
      <c r="W958" s="358"/>
      <c r="X958" s="358"/>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row>
    <row r="959" spans="1:49" ht="13.5" customHeight="1">
      <c r="A959" s="1"/>
      <c r="B959" s="358"/>
      <c r="C959" s="358"/>
      <c r="D959" s="358"/>
      <c r="E959" s="358"/>
      <c r="F959" s="358"/>
      <c r="G959" s="358"/>
      <c r="H959" s="358"/>
      <c r="I959" s="358"/>
      <c r="J959" s="358"/>
      <c r="K959" s="358"/>
      <c r="L959" s="358"/>
      <c r="M959" s="358"/>
      <c r="N959" s="358"/>
      <c r="O959" s="358"/>
      <c r="P959" s="358"/>
      <c r="Q959" s="358"/>
      <c r="R959" s="358"/>
      <c r="S959" s="358"/>
      <c r="T959" s="358"/>
      <c r="U959" s="358"/>
      <c r="V959" s="358"/>
      <c r="W959" s="358"/>
      <c r="X959" s="358"/>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row>
    <row r="960" spans="1:49" ht="13.5" customHeight="1">
      <c r="A960" s="1"/>
      <c r="B960" s="358"/>
      <c r="C960" s="358"/>
      <c r="D960" s="358"/>
      <c r="E960" s="358"/>
      <c r="F960" s="358"/>
      <c r="G960" s="358"/>
      <c r="H960" s="358"/>
      <c r="I960" s="358"/>
      <c r="J960" s="358"/>
      <c r="K960" s="358"/>
      <c r="L960" s="358"/>
      <c r="M960" s="358"/>
      <c r="N960" s="358"/>
      <c r="O960" s="358"/>
      <c r="P960" s="358"/>
      <c r="Q960" s="358"/>
      <c r="R960" s="358"/>
      <c r="S960" s="358"/>
      <c r="T960" s="358"/>
      <c r="U960" s="358"/>
      <c r="V960" s="358"/>
      <c r="W960" s="358"/>
      <c r="X960" s="358"/>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row>
    <row r="961" spans="1:49" ht="13.5" customHeight="1">
      <c r="A961" s="1"/>
      <c r="B961" s="358"/>
      <c r="C961" s="358"/>
      <c r="D961" s="358"/>
      <c r="E961" s="358"/>
      <c r="F961" s="358"/>
      <c r="G961" s="358"/>
      <c r="H961" s="358"/>
      <c r="I961" s="358"/>
      <c r="J961" s="358"/>
      <c r="K961" s="358"/>
      <c r="L961" s="358"/>
      <c r="M961" s="358"/>
      <c r="N961" s="358"/>
      <c r="O961" s="358"/>
      <c r="P961" s="358"/>
      <c r="Q961" s="358"/>
      <c r="R961" s="358"/>
      <c r="S961" s="358"/>
      <c r="T961" s="358"/>
      <c r="U961" s="358"/>
      <c r="V961" s="358"/>
      <c r="W961" s="358"/>
      <c r="X961" s="358"/>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row>
    <row r="962" spans="1:49" ht="13.5" customHeight="1">
      <c r="A962" s="1"/>
      <c r="B962" s="358"/>
      <c r="C962" s="358"/>
      <c r="D962" s="358"/>
      <c r="E962" s="358"/>
      <c r="F962" s="358"/>
      <c r="G962" s="358"/>
      <c r="H962" s="358"/>
      <c r="I962" s="358"/>
      <c r="J962" s="358"/>
      <c r="K962" s="358"/>
      <c r="L962" s="358"/>
      <c r="M962" s="358"/>
      <c r="N962" s="358"/>
      <c r="O962" s="358"/>
      <c r="P962" s="358"/>
      <c r="Q962" s="358"/>
      <c r="R962" s="358"/>
      <c r="S962" s="358"/>
      <c r="T962" s="358"/>
      <c r="U962" s="358"/>
      <c r="V962" s="358"/>
      <c r="W962" s="358"/>
      <c r="X962" s="358"/>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row>
    <row r="963" spans="1:49" ht="13.5" customHeight="1">
      <c r="A963" s="1"/>
      <c r="B963" s="358"/>
      <c r="C963" s="358"/>
      <c r="D963" s="358"/>
      <c r="E963" s="358"/>
      <c r="F963" s="358"/>
      <c r="G963" s="358"/>
      <c r="H963" s="358"/>
      <c r="I963" s="358"/>
      <c r="J963" s="358"/>
      <c r="K963" s="358"/>
      <c r="L963" s="358"/>
      <c r="M963" s="358"/>
      <c r="N963" s="358"/>
      <c r="O963" s="358"/>
      <c r="P963" s="358"/>
      <c r="Q963" s="358"/>
      <c r="R963" s="358"/>
      <c r="S963" s="358"/>
      <c r="T963" s="358"/>
      <c r="U963" s="358"/>
      <c r="V963" s="358"/>
      <c r="W963" s="358"/>
      <c r="X963" s="358"/>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row>
    <row r="964" spans="1:49" ht="13.5" customHeight="1">
      <c r="A964" s="1"/>
      <c r="B964" s="358"/>
      <c r="C964" s="358"/>
      <c r="D964" s="358"/>
      <c r="E964" s="358"/>
      <c r="F964" s="358"/>
      <c r="G964" s="358"/>
      <c r="H964" s="358"/>
      <c r="I964" s="358"/>
      <c r="J964" s="358"/>
      <c r="K964" s="358"/>
      <c r="L964" s="358"/>
      <c r="M964" s="358"/>
      <c r="N964" s="358"/>
      <c r="O964" s="358"/>
      <c r="P964" s="358"/>
      <c r="Q964" s="358"/>
      <c r="R964" s="358"/>
      <c r="S964" s="358"/>
      <c r="T964" s="358"/>
      <c r="U964" s="358"/>
      <c r="V964" s="358"/>
      <c r="W964" s="358"/>
      <c r="X964" s="358"/>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row>
    <row r="965" spans="1:49" ht="13.5" customHeight="1">
      <c r="A965" s="1"/>
      <c r="B965" s="358"/>
      <c r="C965" s="358"/>
      <c r="D965" s="358"/>
      <c r="E965" s="358"/>
      <c r="F965" s="358"/>
      <c r="G965" s="358"/>
      <c r="H965" s="358"/>
      <c r="I965" s="358"/>
      <c r="J965" s="358"/>
      <c r="K965" s="358"/>
      <c r="L965" s="358"/>
      <c r="M965" s="358"/>
      <c r="N965" s="358"/>
      <c r="O965" s="358"/>
      <c r="P965" s="358"/>
      <c r="Q965" s="358"/>
      <c r="R965" s="358"/>
      <c r="S965" s="358"/>
      <c r="T965" s="358"/>
      <c r="U965" s="358"/>
      <c r="V965" s="358"/>
      <c r="W965" s="358"/>
      <c r="X965" s="358"/>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row>
    <row r="966" spans="1:49" ht="13.5" customHeight="1">
      <c r="A966" s="1"/>
      <c r="B966" s="358"/>
      <c r="C966" s="358"/>
      <c r="D966" s="358"/>
      <c r="E966" s="358"/>
      <c r="F966" s="358"/>
      <c r="G966" s="358"/>
      <c r="H966" s="358"/>
      <c r="I966" s="358"/>
      <c r="J966" s="358"/>
      <c r="K966" s="358"/>
      <c r="L966" s="358"/>
      <c r="M966" s="358"/>
      <c r="N966" s="358"/>
      <c r="O966" s="358"/>
      <c r="P966" s="358"/>
      <c r="Q966" s="358"/>
      <c r="R966" s="358"/>
      <c r="S966" s="358"/>
      <c r="T966" s="358"/>
      <c r="U966" s="358"/>
      <c r="V966" s="358"/>
      <c r="W966" s="358"/>
      <c r="X966" s="358"/>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row>
    <row r="967" spans="1:49" ht="13.5" customHeight="1">
      <c r="A967" s="1"/>
      <c r="B967" s="358"/>
      <c r="C967" s="358"/>
      <c r="D967" s="358"/>
      <c r="E967" s="358"/>
      <c r="F967" s="358"/>
      <c r="G967" s="358"/>
      <c r="H967" s="358"/>
      <c r="I967" s="358"/>
      <c r="J967" s="358"/>
      <c r="K967" s="358"/>
      <c r="L967" s="358"/>
      <c r="M967" s="358"/>
      <c r="N967" s="358"/>
      <c r="O967" s="358"/>
      <c r="P967" s="358"/>
      <c r="Q967" s="358"/>
      <c r="R967" s="358"/>
      <c r="S967" s="358"/>
      <c r="T967" s="358"/>
      <c r="U967" s="358"/>
      <c r="V967" s="358"/>
      <c r="W967" s="358"/>
      <c r="X967" s="358"/>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row>
    <row r="968" spans="1:49" ht="13.5" customHeight="1">
      <c r="A968" s="1"/>
      <c r="B968" s="358"/>
      <c r="C968" s="358"/>
      <c r="D968" s="358"/>
      <c r="E968" s="358"/>
      <c r="F968" s="358"/>
      <c r="G968" s="358"/>
      <c r="H968" s="358"/>
      <c r="I968" s="358"/>
      <c r="J968" s="358"/>
      <c r="K968" s="358"/>
      <c r="L968" s="358"/>
      <c r="M968" s="358"/>
      <c r="N968" s="358"/>
      <c r="O968" s="358"/>
      <c r="P968" s="358"/>
      <c r="Q968" s="358"/>
      <c r="R968" s="358"/>
      <c r="S968" s="358"/>
      <c r="T968" s="358"/>
      <c r="U968" s="358"/>
      <c r="V968" s="358"/>
      <c r="W968" s="358"/>
      <c r="X968" s="358"/>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row>
    <row r="969" spans="1:49" ht="13.5" customHeight="1">
      <c r="A969" s="1"/>
      <c r="B969" s="358"/>
      <c r="C969" s="358"/>
      <c r="D969" s="358"/>
      <c r="E969" s="358"/>
      <c r="F969" s="358"/>
      <c r="G969" s="358"/>
      <c r="H969" s="358"/>
      <c r="I969" s="358"/>
      <c r="J969" s="358"/>
      <c r="K969" s="358"/>
      <c r="L969" s="358"/>
      <c r="M969" s="358"/>
      <c r="N969" s="358"/>
      <c r="O969" s="358"/>
      <c r="P969" s="358"/>
      <c r="Q969" s="358"/>
      <c r="R969" s="358"/>
      <c r="S969" s="358"/>
      <c r="T969" s="358"/>
      <c r="U969" s="358"/>
      <c r="V969" s="358"/>
      <c r="W969" s="358"/>
      <c r="X969" s="358"/>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row>
    <row r="970" spans="1:49" ht="13.5" customHeight="1">
      <c r="A970" s="1"/>
      <c r="B970" s="358"/>
      <c r="C970" s="358"/>
      <c r="D970" s="358"/>
      <c r="E970" s="358"/>
      <c r="F970" s="358"/>
      <c r="G970" s="358"/>
      <c r="H970" s="358"/>
      <c r="I970" s="358"/>
      <c r="J970" s="358"/>
      <c r="K970" s="358"/>
      <c r="L970" s="358"/>
      <c r="M970" s="358"/>
      <c r="N970" s="358"/>
      <c r="O970" s="358"/>
      <c r="P970" s="358"/>
      <c r="Q970" s="358"/>
      <c r="R970" s="358"/>
      <c r="S970" s="358"/>
      <c r="T970" s="358"/>
      <c r="U970" s="358"/>
      <c r="V970" s="358"/>
      <c r="W970" s="358"/>
      <c r="X970" s="358"/>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row>
    <row r="971" spans="1:49" ht="13.5" customHeight="1">
      <c r="A971" s="1"/>
      <c r="B971" s="358"/>
      <c r="C971" s="358"/>
      <c r="D971" s="358"/>
      <c r="E971" s="358"/>
      <c r="F971" s="358"/>
      <c r="G971" s="358"/>
      <c r="H971" s="358"/>
      <c r="I971" s="358"/>
      <c r="J971" s="358"/>
      <c r="K971" s="358"/>
      <c r="L971" s="358"/>
      <c r="M971" s="358"/>
      <c r="N971" s="358"/>
      <c r="O971" s="358"/>
      <c r="P971" s="358"/>
      <c r="Q971" s="358"/>
      <c r="R971" s="358"/>
      <c r="S971" s="358"/>
      <c r="T971" s="358"/>
      <c r="U971" s="358"/>
      <c r="V971" s="358"/>
      <c r="W971" s="358"/>
      <c r="X971" s="358"/>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row>
    <row r="972" spans="1:49" ht="13.5" customHeight="1">
      <c r="A972" s="1"/>
      <c r="B972" s="358"/>
      <c r="C972" s="358"/>
      <c r="D972" s="358"/>
      <c r="E972" s="358"/>
      <c r="F972" s="358"/>
      <c r="G972" s="358"/>
      <c r="H972" s="358"/>
      <c r="I972" s="358"/>
      <c r="J972" s="358"/>
      <c r="K972" s="358"/>
      <c r="L972" s="358"/>
      <c r="M972" s="358"/>
      <c r="N972" s="358"/>
      <c r="O972" s="358"/>
      <c r="P972" s="358"/>
      <c r="Q972" s="358"/>
      <c r="R972" s="358"/>
      <c r="S972" s="358"/>
      <c r="T972" s="358"/>
      <c r="U972" s="358"/>
      <c r="V972" s="358"/>
      <c r="W972" s="358"/>
      <c r="X972" s="358"/>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row>
    <row r="973" spans="1:49" ht="13.5" customHeight="1">
      <c r="A973" s="1"/>
      <c r="B973" s="358"/>
      <c r="C973" s="358"/>
      <c r="D973" s="358"/>
      <c r="E973" s="358"/>
      <c r="F973" s="358"/>
      <c r="G973" s="358"/>
      <c r="H973" s="358"/>
      <c r="I973" s="358"/>
      <c r="J973" s="358"/>
      <c r="K973" s="358"/>
      <c r="L973" s="358"/>
      <c r="M973" s="358"/>
      <c r="N973" s="358"/>
      <c r="O973" s="358"/>
      <c r="P973" s="358"/>
      <c r="Q973" s="358"/>
      <c r="R973" s="358"/>
      <c r="S973" s="358"/>
      <c r="T973" s="358"/>
      <c r="U973" s="358"/>
      <c r="V973" s="358"/>
      <c r="W973" s="358"/>
      <c r="X973" s="358"/>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row>
    <row r="974" spans="1:49" ht="13.5" customHeight="1">
      <c r="A974" s="1"/>
      <c r="B974" s="358"/>
      <c r="C974" s="358"/>
      <c r="D974" s="358"/>
      <c r="E974" s="358"/>
      <c r="F974" s="358"/>
      <c r="G974" s="358"/>
      <c r="H974" s="358"/>
      <c r="I974" s="358"/>
      <c r="J974" s="358"/>
      <c r="K974" s="358"/>
      <c r="L974" s="358"/>
      <c r="M974" s="358"/>
      <c r="N974" s="358"/>
      <c r="O974" s="358"/>
      <c r="P974" s="358"/>
      <c r="Q974" s="358"/>
      <c r="R974" s="358"/>
      <c r="S974" s="358"/>
      <c r="T974" s="358"/>
      <c r="U974" s="358"/>
      <c r="V974" s="358"/>
      <c r="W974" s="358"/>
      <c r="X974" s="358"/>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row>
    <row r="975" spans="1:49" ht="13.5" customHeight="1">
      <c r="A975" s="1"/>
      <c r="B975" s="358"/>
      <c r="C975" s="358"/>
      <c r="D975" s="358"/>
      <c r="E975" s="358"/>
      <c r="F975" s="358"/>
      <c r="G975" s="358"/>
      <c r="H975" s="358"/>
      <c r="I975" s="358"/>
      <c r="J975" s="358"/>
      <c r="K975" s="358"/>
      <c r="L975" s="358"/>
      <c r="M975" s="358"/>
      <c r="N975" s="358"/>
      <c r="O975" s="358"/>
      <c r="P975" s="358"/>
      <c r="Q975" s="358"/>
      <c r="R975" s="358"/>
      <c r="S975" s="358"/>
      <c r="T975" s="358"/>
      <c r="U975" s="358"/>
      <c r="V975" s="358"/>
      <c r="W975" s="358"/>
      <c r="X975" s="358"/>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row>
    <row r="976" spans="1:49" ht="13.5" customHeight="1">
      <c r="A976" s="1"/>
      <c r="B976" s="358"/>
      <c r="C976" s="358"/>
      <c r="D976" s="358"/>
      <c r="E976" s="358"/>
      <c r="F976" s="358"/>
      <c r="G976" s="358"/>
      <c r="H976" s="358"/>
      <c r="I976" s="358"/>
      <c r="J976" s="358"/>
      <c r="K976" s="358"/>
      <c r="L976" s="358"/>
      <c r="M976" s="358"/>
      <c r="N976" s="358"/>
      <c r="O976" s="358"/>
      <c r="P976" s="358"/>
      <c r="Q976" s="358"/>
      <c r="R976" s="358"/>
      <c r="S976" s="358"/>
      <c r="T976" s="358"/>
      <c r="U976" s="358"/>
      <c r="V976" s="358"/>
      <c r="W976" s="358"/>
      <c r="X976" s="358"/>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row>
    <row r="977" spans="1:49" ht="13.5" customHeight="1">
      <c r="A977" s="1"/>
      <c r="B977" s="358"/>
      <c r="C977" s="358"/>
      <c r="D977" s="358"/>
      <c r="E977" s="358"/>
      <c r="F977" s="358"/>
      <c r="G977" s="358"/>
      <c r="H977" s="358"/>
      <c r="I977" s="358"/>
      <c r="J977" s="358"/>
      <c r="K977" s="358"/>
      <c r="L977" s="358"/>
      <c r="M977" s="358"/>
      <c r="N977" s="358"/>
      <c r="O977" s="358"/>
      <c r="P977" s="358"/>
      <c r="Q977" s="358"/>
      <c r="R977" s="358"/>
      <c r="S977" s="358"/>
      <c r="T977" s="358"/>
      <c r="U977" s="358"/>
      <c r="V977" s="358"/>
      <c r="W977" s="358"/>
      <c r="X977" s="358"/>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row>
    <row r="978" spans="1:49" ht="13.5" customHeight="1">
      <c r="A978" s="1"/>
      <c r="B978" s="358"/>
      <c r="C978" s="358"/>
      <c r="D978" s="358"/>
      <c r="E978" s="358"/>
      <c r="F978" s="358"/>
      <c r="G978" s="358"/>
      <c r="H978" s="358"/>
      <c r="I978" s="358"/>
      <c r="J978" s="358"/>
      <c r="K978" s="358"/>
      <c r="L978" s="358"/>
      <c r="M978" s="358"/>
      <c r="N978" s="358"/>
      <c r="O978" s="358"/>
      <c r="P978" s="358"/>
      <c r="Q978" s="358"/>
      <c r="R978" s="358"/>
      <c r="S978" s="358"/>
      <c r="T978" s="358"/>
      <c r="U978" s="358"/>
      <c r="V978" s="358"/>
      <c r="W978" s="358"/>
      <c r="X978" s="358"/>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row>
    <row r="979" spans="1:49" ht="13.5" customHeight="1">
      <c r="A979" s="1"/>
      <c r="B979" s="358"/>
      <c r="C979" s="358"/>
      <c r="D979" s="358"/>
      <c r="E979" s="358"/>
      <c r="F979" s="358"/>
      <c r="G979" s="358"/>
      <c r="H979" s="358"/>
      <c r="I979" s="358"/>
      <c r="J979" s="358"/>
      <c r="K979" s="358"/>
      <c r="L979" s="358"/>
      <c r="M979" s="358"/>
      <c r="N979" s="358"/>
      <c r="O979" s="358"/>
      <c r="P979" s="358"/>
      <c r="Q979" s="358"/>
      <c r="R979" s="358"/>
      <c r="S979" s="358"/>
      <c r="T979" s="358"/>
      <c r="U979" s="358"/>
      <c r="V979" s="358"/>
      <c r="W979" s="358"/>
      <c r="X979" s="358"/>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row>
    <row r="980" spans="1:49" ht="13.5" customHeight="1">
      <c r="A980" s="1"/>
      <c r="B980" s="358"/>
      <c r="C980" s="358"/>
      <c r="D980" s="358"/>
      <c r="E980" s="358"/>
      <c r="F980" s="358"/>
      <c r="G980" s="358"/>
      <c r="H980" s="358"/>
      <c r="I980" s="358"/>
      <c r="J980" s="358"/>
      <c r="K980" s="358"/>
      <c r="L980" s="358"/>
      <c r="M980" s="358"/>
      <c r="N980" s="358"/>
      <c r="O980" s="358"/>
      <c r="P980" s="358"/>
      <c r="Q980" s="358"/>
      <c r="R980" s="358"/>
      <c r="S980" s="358"/>
      <c r="T980" s="358"/>
      <c r="U980" s="358"/>
      <c r="V980" s="358"/>
      <c r="W980" s="358"/>
      <c r="X980" s="358"/>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row>
    <row r="981" spans="1:49" ht="13.5" customHeight="1">
      <c r="A981" s="1"/>
      <c r="B981" s="358"/>
      <c r="C981" s="358"/>
      <c r="D981" s="358"/>
      <c r="E981" s="358"/>
      <c r="F981" s="358"/>
      <c r="G981" s="358"/>
      <c r="H981" s="358"/>
      <c r="I981" s="358"/>
      <c r="J981" s="358"/>
      <c r="K981" s="358"/>
      <c r="L981" s="358"/>
      <c r="M981" s="358"/>
      <c r="N981" s="358"/>
      <c r="O981" s="358"/>
      <c r="P981" s="358"/>
      <c r="Q981" s="358"/>
      <c r="R981" s="358"/>
      <c r="S981" s="358"/>
      <c r="T981" s="358"/>
      <c r="U981" s="358"/>
      <c r="V981" s="358"/>
      <c r="W981" s="358"/>
      <c r="X981" s="358"/>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row>
    <row r="982" spans="1:49" ht="13.5" customHeight="1">
      <c r="A982" s="1"/>
      <c r="B982" s="358"/>
      <c r="C982" s="358"/>
      <c r="D982" s="358"/>
      <c r="E982" s="358"/>
      <c r="F982" s="358"/>
      <c r="G982" s="358"/>
      <c r="H982" s="358"/>
      <c r="I982" s="358"/>
      <c r="J982" s="358"/>
      <c r="K982" s="358"/>
      <c r="L982" s="358"/>
      <c r="M982" s="358"/>
      <c r="N982" s="358"/>
      <c r="O982" s="358"/>
      <c r="P982" s="358"/>
      <c r="Q982" s="358"/>
      <c r="R982" s="358"/>
      <c r="S982" s="358"/>
      <c r="T982" s="358"/>
      <c r="U982" s="358"/>
      <c r="V982" s="358"/>
      <c r="W982" s="358"/>
      <c r="X982" s="358"/>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row>
    <row r="983" spans="1:49" ht="13.5" customHeight="1">
      <c r="A983" s="1"/>
      <c r="B983" s="358"/>
      <c r="C983" s="358"/>
      <c r="D983" s="358"/>
      <c r="E983" s="358"/>
      <c r="F983" s="358"/>
      <c r="G983" s="358"/>
      <c r="H983" s="358"/>
      <c r="I983" s="358"/>
      <c r="J983" s="358"/>
      <c r="K983" s="358"/>
      <c r="L983" s="358"/>
      <c r="M983" s="358"/>
      <c r="N983" s="358"/>
      <c r="O983" s="358"/>
      <c r="P983" s="358"/>
      <c r="Q983" s="358"/>
      <c r="R983" s="358"/>
      <c r="S983" s="358"/>
      <c r="T983" s="358"/>
      <c r="U983" s="358"/>
      <c r="V983" s="358"/>
      <c r="W983" s="358"/>
      <c r="X983" s="358"/>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row>
    <row r="984" spans="1:49" ht="13.5" customHeight="1">
      <c r="A984" s="1"/>
      <c r="B984" s="358"/>
      <c r="C984" s="358"/>
      <c r="D984" s="358"/>
      <c r="E984" s="358"/>
      <c r="F984" s="358"/>
      <c r="G984" s="358"/>
      <c r="H984" s="358"/>
      <c r="I984" s="358"/>
      <c r="J984" s="358"/>
      <c r="K984" s="358"/>
      <c r="L984" s="358"/>
      <c r="M984" s="358"/>
      <c r="N984" s="358"/>
      <c r="O984" s="358"/>
      <c r="P984" s="358"/>
      <c r="Q984" s="358"/>
      <c r="R984" s="358"/>
      <c r="S984" s="358"/>
      <c r="T984" s="358"/>
      <c r="U984" s="358"/>
      <c r="V984" s="358"/>
      <c r="W984" s="358"/>
      <c r="X984" s="358"/>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row>
    <row r="985" spans="1:49" ht="13.5" customHeight="1">
      <c r="A985" s="1"/>
      <c r="B985" s="358"/>
      <c r="C985" s="358"/>
      <c r="D985" s="358"/>
      <c r="E985" s="358"/>
      <c r="F985" s="358"/>
      <c r="G985" s="358"/>
      <c r="H985" s="358"/>
      <c r="I985" s="358"/>
      <c r="J985" s="358"/>
      <c r="K985" s="358"/>
      <c r="L985" s="358"/>
      <c r="M985" s="358"/>
      <c r="N985" s="358"/>
      <c r="O985" s="358"/>
      <c r="P985" s="358"/>
      <c r="Q985" s="358"/>
      <c r="R985" s="358"/>
      <c r="S985" s="358"/>
      <c r="T985" s="358"/>
      <c r="U985" s="358"/>
      <c r="V985" s="358"/>
      <c r="W985" s="358"/>
      <c r="X985" s="358"/>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row>
    <row r="986" spans="1:49" ht="13.5" customHeight="1">
      <c r="A986" s="1"/>
      <c r="B986" s="358"/>
      <c r="C986" s="358"/>
      <c r="D986" s="358"/>
      <c r="E986" s="358"/>
      <c r="F986" s="358"/>
      <c r="G986" s="358"/>
      <c r="H986" s="358"/>
      <c r="I986" s="358"/>
      <c r="J986" s="358"/>
      <c r="K986" s="358"/>
      <c r="L986" s="358"/>
      <c r="M986" s="358"/>
      <c r="N986" s="358"/>
      <c r="O986" s="358"/>
      <c r="P986" s="358"/>
      <c r="Q986" s="358"/>
      <c r="R986" s="358"/>
      <c r="S986" s="358"/>
      <c r="T986" s="358"/>
      <c r="U986" s="358"/>
      <c r="V986" s="358"/>
      <c r="W986" s="358"/>
      <c r="X986" s="358"/>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row>
    <row r="987" spans="1:49" ht="13.5" customHeight="1">
      <c r="A987" s="1"/>
      <c r="B987" s="358"/>
      <c r="C987" s="358"/>
      <c r="D987" s="358"/>
      <c r="E987" s="358"/>
      <c r="F987" s="358"/>
      <c r="G987" s="358"/>
      <c r="H987" s="358"/>
      <c r="I987" s="358"/>
      <c r="J987" s="358"/>
      <c r="K987" s="358"/>
      <c r="L987" s="358"/>
      <c r="M987" s="358"/>
      <c r="N987" s="358"/>
      <c r="O987" s="358"/>
      <c r="P987" s="358"/>
      <c r="Q987" s="358"/>
      <c r="R987" s="358"/>
      <c r="S987" s="358"/>
      <c r="T987" s="358"/>
      <c r="U987" s="358"/>
      <c r="V987" s="358"/>
      <c r="W987" s="358"/>
      <c r="X987" s="358"/>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row>
    <row r="988" spans="1:49" ht="13.5" customHeight="1">
      <c r="A988" s="1"/>
      <c r="B988" s="358"/>
      <c r="C988" s="358"/>
      <c r="D988" s="358"/>
      <c r="E988" s="358"/>
      <c r="F988" s="358"/>
      <c r="G988" s="358"/>
      <c r="H988" s="358"/>
      <c r="I988" s="358"/>
      <c r="J988" s="358"/>
      <c r="K988" s="358"/>
      <c r="L988" s="358"/>
      <c r="M988" s="358"/>
      <c r="N988" s="358"/>
      <c r="O988" s="358"/>
      <c r="P988" s="358"/>
      <c r="Q988" s="358"/>
      <c r="R988" s="358"/>
      <c r="S988" s="358"/>
      <c r="T988" s="358"/>
      <c r="U988" s="358"/>
      <c r="V988" s="358"/>
      <c r="W988" s="358"/>
      <c r="X988" s="358"/>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row>
    <row r="989" spans="1:49" ht="13.5" customHeight="1">
      <c r="A989" s="1"/>
      <c r="B989" s="358"/>
      <c r="C989" s="358"/>
      <c r="D989" s="358"/>
      <c r="E989" s="358"/>
      <c r="F989" s="358"/>
      <c r="G989" s="358"/>
      <c r="H989" s="358"/>
      <c r="I989" s="358"/>
      <c r="J989" s="358"/>
      <c r="K989" s="358"/>
      <c r="L989" s="358"/>
      <c r="M989" s="358"/>
      <c r="N989" s="358"/>
      <c r="O989" s="358"/>
      <c r="P989" s="358"/>
      <c r="Q989" s="358"/>
      <c r="R989" s="358"/>
      <c r="S989" s="358"/>
      <c r="T989" s="358"/>
      <c r="U989" s="358"/>
      <c r="V989" s="358"/>
      <c r="W989" s="358"/>
      <c r="X989" s="358"/>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row>
    <row r="990" spans="1:49" ht="13.5" customHeight="1">
      <c r="A990" s="1"/>
      <c r="B990" s="358"/>
      <c r="C990" s="358"/>
      <c r="D990" s="358"/>
      <c r="E990" s="358"/>
      <c r="F990" s="358"/>
      <c r="G990" s="358"/>
      <c r="H990" s="358"/>
      <c r="I990" s="358"/>
      <c r="J990" s="358"/>
      <c r="K990" s="358"/>
      <c r="L990" s="358"/>
      <c r="M990" s="358"/>
      <c r="N990" s="358"/>
      <c r="O990" s="358"/>
      <c r="P990" s="358"/>
      <c r="Q990" s="358"/>
      <c r="R990" s="358"/>
      <c r="S990" s="358"/>
      <c r="T990" s="358"/>
      <c r="U990" s="358"/>
      <c r="V990" s="358"/>
      <c r="W990" s="358"/>
      <c r="X990" s="358"/>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row>
    <row r="991" spans="1:49" ht="13.5" customHeight="1">
      <c r="A991" s="1"/>
      <c r="B991" s="358"/>
      <c r="C991" s="358"/>
      <c r="D991" s="358"/>
      <c r="E991" s="358"/>
      <c r="F991" s="358"/>
      <c r="G991" s="358"/>
      <c r="H991" s="358"/>
      <c r="I991" s="358"/>
      <c r="J991" s="358"/>
      <c r="K991" s="358"/>
      <c r="L991" s="358"/>
      <c r="M991" s="358"/>
      <c r="N991" s="358"/>
      <c r="O991" s="358"/>
      <c r="P991" s="358"/>
      <c r="Q991" s="358"/>
      <c r="R991" s="358"/>
      <c r="S991" s="358"/>
      <c r="T991" s="358"/>
      <c r="U991" s="358"/>
      <c r="V991" s="358"/>
      <c r="W991" s="358"/>
      <c r="X991" s="358"/>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row>
    <row r="992" spans="1:49" ht="13.5" customHeight="1">
      <c r="A992" s="1"/>
      <c r="B992" s="358"/>
      <c r="C992" s="358"/>
      <c r="D992" s="358"/>
      <c r="E992" s="358"/>
      <c r="F992" s="358"/>
      <c r="G992" s="358"/>
      <c r="H992" s="358"/>
      <c r="I992" s="358"/>
      <c r="J992" s="358"/>
      <c r="K992" s="358"/>
      <c r="L992" s="358"/>
      <c r="M992" s="358"/>
      <c r="N992" s="358"/>
      <c r="O992" s="358"/>
      <c r="P992" s="358"/>
      <c r="Q992" s="358"/>
      <c r="R992" s="358"/>
      <c r="S992" s="358"/>
      <c r="T992" s="358"/>
      <c r="U992" s="358"/>
      <c r="V992" s="358"/>
      <c r="W992" s="358"/>
      <c r="X992" s="358"/>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row>
    <row r="993" spans="1:49" ht="13.5" customHeight="1">
      <c r="A993" s="1"/>
      <c r="B993" s="358"/>
      <c r="C993" s="358"/>
      <c r="D993" s="358"/>
      <c r="E993" s="358"/>
      <c r="F993" s="358"/>
      <c r="G993" s="358"/>
      <c r="H993" s="358"/>
      <c r="I993" s="358"/>
      <c r="J993" s="358"/>
      <c r="K993" s="358"/>
      <c r="L993" s="358"/>
      <c r="M993" s="358"/>
      <c r="N993" s="358"/>
      <c r="O993" s="358"/>
      <c r="P993" s="358"/>
      <c r="Q993" s="358"/>
      <c r="R993" s="358"/>
      <c r="S993" s="358"/>
      <c r="T993" s="358"/>
      <c r="U993" s="358"/>
      <c r="V993" s="358"/>
      <c r="W993" s="358"/>
      <c r="X993" s="358"/>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row>
    <row r="994" spans="1:49" ht="13.5" customHeight="1">
      <c r="A994" s="1"/>
      <c r="B994" s="358"/>
      <c r="C994" s="358"/>
      <c r="D994" s="358"/>
      <c r="E994" s="358"/>
      <c r="F994" s="358"/>
      <c r="G994" s="358"/>
      <c r="H994" s="358"/>
      <c r="I994" s="358"/>
      <c r="J994" s="358"/>
      <c r="K994" s="358"/>
      <c r="L994" s="358"/>
      <c r="M994" s="358"/>
      <c r="N994" s="358"/>
      <c r="O994" s="358"/>
      <c r="P994" s="358"/>
      <c r="Q994" s="358"/>
      <c r="R994" s="358"/>
      <c r="S994" s="358"/>
      <c r="T994" s="358"/>
      <c r="U994" s="358"/>
      <c r="V994" s="358"/>
      <c r="W994" s="358"/>
      <c r="X994" s="358"/>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row>
    <row r="995" spans="1:49" ht="13.5" customHeight="1">
      <c r="A995" s="1"/>
      <c r="B995" s="358"/>
      <c r="C995" s="358"/>
      <c r="D995" s="358"/>
      <c r="E995" s="358"/>
      <c r="F995" s="358"/>
      <c r="G995" s="358"/>
      <c r="H995" s="358"/>
      <c r="I995" s="358"/>
      <c r="J995" s="358"/>
      <c r="K995" s="358"/>
      <c r="L995" s="358"/>
      <c r="M995" s="358"/>
      <c r="N995" s="358"/>
      <c r="O995" s="358"/>
      <c r="P995" s="358"/>
      <c r="Q995" s="358"/>
      <c r="R995" s="358"/>
      <c r="S995" s="358"/>
      <c r="T995" s="358"/>
      <c r="U995" s="358"/>
      <c r="V995" s="358"/>
      <c r="W995" s="358"/>
      <c r="X995" s="358"/>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row>
    <row r="996" spans="1:49" ht="13.5" customHeight="1">
      <c r="A996" s="1"/>
      <c r="B996" s="358"/>
      <c r="C996" s="358"/>
      <c r="D996" s="358"/>
      <c r="E996" s="358"/>
      <c r="F996" s="358"/>
      <c r="G996" s="358"/>
      <c r="H996" s="358"/>
      <c r="I996" s="358"/>
      <c r="J996" s="358"/>
      <c r="K996" s="358"/>
      <c r="L996" s="358"/>
      <c r="M996" s="358"/>
      <c r="N996" s="358"/>
      <c r="O996" s="358"/>
      <c r="P996" s="358"/>
      <c r="Q996" s="358"/>
      <c r="R996" s="358"/>
      <c r="S996" s="358"/>
      <c r="T996" s="358"/>
      <c r="U996" s="358"/>
      <c r="V996" s="358"/>
      <c r="W996" s="358"/>
      <c r="X996" s="358"/>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row>
    <row r="997" spans="1:49" ht="13.5" customHeight="1">
      <c r="A997" s="1"/>
      <c r="B997" s="358"/>
      <c r="C997" s="358"/>
      <c r="D997" s="358"/>
      <c r="E997" s="358"/>
      <c r="F997" s="358"/>
      <c r="G997" s="358"/>
      <c r="H997" s="358"/>
      <c r="I997" s="358"/>
      <c r="J997" s="358"/>
      <c r="K997" s="358"/>
      <c r="L997" s="358"/>
      <c r="M997" s="358"/>
      <c r="N997" s="358"/>
      <c r="O997" s="358"/>
      <c r="P997" s="358"/>
      <c r="Q997" s="358"/>
      <c r="R997" s="358"/>
      <c r="S997" s="358"/>
      <c r="T997" s="358"/>
      <c r="U997" s="358"/>
      <c r="V997" s="358"/>
      <c r="W997" s="358"/>
      <c r="X997" s="358"/>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row>
    <row r="998" spans="1:49" ht="13.5" customHeight="1">
      <c r="A998" s="1"/>
      <c r="B998" s="358"/>
      <c r="C998" s="358"/>
      <c r="D998" s="358"/>
      <c r="E998" s="358"/>
      <c r="F998" s="358"/>
      <c r="G998" s="358"/>
      <c r="H998" s="358"/>
      <c r="I998" s="358"/>
      <c r="J998" s="358"/>
      <c r="K998" s="358"/>
      <c r="L998" s="358"/>
      <c r="M998" s="358"/>
      <c r="N998" s="358"/>
      <c r="O998" s="358"/>
      <c r="P998" s="358"/>
      <c r="Q998" s="358"/>
      <c r="R998" s="358"/>
      <c r="S998" s="358"/>
      <c r="T998" s="358"/>
      <c r="U998" s="358"/>
      <c r="V998" s="358"/>
      <c r="W998" s="358"/>
      <c r="X998" s="358"/>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row>
    <row r="999" spans="1:49" ht="13.5" customHeight="1">
      <c r="A999" s="1"/>
      <c r="B999" s="358"/>
      <c r="C999" s="358"/>
      <c r="D999" s="358"/>
      <c r="E999" s="358"/>
      <c r="F999" s="358"/>
      <c r="G999" s="358"/>
      <c r="H999" s="358"/>
      <c r="I999" s="358"/>
      <c r="J999" s="358"/>
      <c r="K999" s="358"/>
      <c r="L999" s="358"/>
      <c r="M999" s="358"/>
      <c r="N999" s="358"/>
      <c r="O999" s="358"/>
      <c r="P999" s="358"/>
      <c r="Q999" s="358"/>
      <c r="R999" s="358"/>
      <c r="S999" s="358"/>
      <c r="T999" s="358"/>
      <c r="U999" s="358"/>
      <c r="V999" s="358"/>
      <c r="W999" s="358"/>
      <c r="X999" s="358"/>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row>
    <row r="1000" spans="1:49" ht="13.5" customHeight="1">
      <c r="A1000" s="1"/>
      <c r="B1000" s="358"/>
      <c r="C1000" s="358"/>
      <c r="D1000" s="358"/>
      <c r="E1000" s="358"/>
      <c r="F1000" s="358"/>
      <c r="G1000" s="358"/>
      <c r="H1000" s="358"/>
      <c r="I1000" s="358"/>
      <c r="J1000" s="358"/>
      <c r="K1000" s="358"/>
      <c r="L1000" s="358"/>
      <c r="M1000" s="358"/>
      <c r="N1000" s="358"/>
      <c r="O1000" s="358"/>
      <c r="P1000" s="358"/>
      <c r="Q1000" s="358"/>
      <c r="R1000" s="358"/>
      <c r="S1000" s="358"/>
      <c r="T1000" s="358"/>
      <c r="U1000" s="358"/>
      <c r="V1000" s="358"/>
      <c r="W1000" s="358"/>
      <c r="X1000" s="358"/>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row>
    <row r="1001" spans="1:49" ht="13.5" customHeight="1">
      <c r="A1001" s="1"/>
      <c r="B1001" s="358"/>
      <c r="C1001" s="358"/>
      <c r="D1001" s="358"/>
      <c r="E1001" s="358"/>
      <c r="F1001" s="358"/>
      <c r="G1001" s="358"/>
      <c r="H1001" s="358"/>
      <c r="I1001" s="358"/>
      <c r="J1001" s="358"/>
      <c r="K1001" s="358"/>
      <c r="L1001" s="358"/>
      <c r="M1001" s="358"/>
      <c r="N1001" s="358"/>
      <c r="O1001" s="358"/>
      <c r="P1001" s="358"/>
      <c r="Q1001" s="358"/>
      <c r="R1001" s="358"/>
      <c r="S1001" s="358"/>
      <c r="T1001" s="358"/>
      <c r="U1001" s="358"/>
      <c r="V1001" s="358"/>
      <c r="W1001" s="358"/>
      <c r="X1001" s="358"/>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row>
  </sheetData>
  <mergeCells count="2">
    <mergeCell ref="P1:R1"/>
    <mergeCell ref="B30:B32"/>
  </mergeCells>
  <conditionalFormatting sqref="B33:B52">
    <cfRule type="colorScale" priority="5">
      <colorScale>
        <cfvo type="min"/>
        <cfvo type="percentile" val="50"/>
        <cfvo type="max"/>
        <color rgb="FFF8696B"/>
        <color rgb="FFFFEB84"/>
        <color rgb="FF63BE7B"/>
      </colorScale>
    </cfRule>
  </conditionalFormatting>
  <conditionalFormatting sqref="C30:F32">
    <cfRule type="colorScale" priority="1">
      <colorScale>
        <cfvo type="min"/>
        <cfvo type="percentile" val="50"/>
        <cfvo type="max"/>
        <color rgb="FF63BE7B"/>
        <color rgb="FFFFEB84"/>
        <color rgb="FFF8696B"/>
      </colorScale>
    </cfRule>
  </conditionalFormatting>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CA1000"/>
  <sheetViews>
    <sheetView topLeftCell="BJ90" zoomScale="70" workbookViewId="0">
      <selection activeCell="CA91" sqref="CA91"/>
    </sheetView>
  </sheetViews>
  <sheetFormatPr defaultColWidth="12.59765625" defaultRowHeight="15" customHeight="1"/>
  <cols>
    <col min="1" max="1" width="29.69921875" customWidth="1"/>
    <col min="2" max="2" width="36.09765625" customWidth="1"/>
    <col min="3" max="3" width="31.19921875" customWidth="1"/>
    <col min="4" max="4" width="39.69921875" customWidth="1"/>
    <col min="5" max="5" width="17.19921875" customWidth="1"/>
    <col min="6" max="6" width="7.69921875" customWidth="1"/>
    <col min="7" max="7" width="14.09765625" customWidth="1"/>
    <col min="8" max="11" width="7.69921875" customWidth="1"/>
    <col min="12" max="12" width="47.8984375" customWidth="1"/>
    <col min="13" max="35" width="7.69921875" customWidth="1"/>
    <col min="36" max="36" width="13.69921875" customWidth="1"/>
    <col min="37" max="37" width="7.69921875" customWidth="1"/>
    <col min="38" max="38" width="13.69921875" customWidth="1"/>
    <col min="39" max="39" width="3.796875" customWidth="1"/>
    <col min="40" max="40" width="48.3984375" customWidth="1"/>
    <col min="41" max="41" width="14.5" customWidth="1"/>
    <col min="42" max="42" width="17.3984375" customWidth="1"/>
    <col min="43" max="48" width="14.5" customWidth="1"/>
    <col min="49" max="49" width="19" customWidth="1"/>
    <col min="50" max="50" width="18.69921875" customWidth="1"/>
    <col min="51" max="51" width="17.3984375" customWidth="1"/>
    <col min="52" max="52" width="19.09765625" customWidth="1"/>
    <col min="53" max="60" width="17.69921875" customWidth="1"/>
    <col min="61" max="61" width="7.69921875" customWidth="1"/>
    <col min="62" max="62" width="20.69921875" customWidth="1"/>
    <col min="65" max="65" width="28.69921875" bestFit="1" customWidth="1"/>
    <col min="72" max="72" width="13.59765625" bestFit="1" customWidth="1"/>
  </cols>
  <sheetData>
    <row r="1" spans="1:79" ht="14.25" customHeight="1">
      <c r="A1" s="26" t="s">
        <v>28</v>
      </c>
      <c r="B1" s="26" t="s">
        <v>29</v>
      </c>
      <c r="C1" s="26" t="s">
        <v>30</v>
      </c>
      <c r="D1" s="26" t="s">
        <v>31</v>
      </c>
      <c r="E1" s="26" t="s">
        <v>32</v>
      </c>
      <c r="F1" s="26" t="s">
        <v>33</v>
      </c>
      <c r="G1" s="26" t="s">
        <v>34</v>
      </c>
      <c r="H1" s="26"/>
      <c r="I1" s="26"/>
      <c r="J1" s="27"/>
      <c r="K1" s="27"/>
      <c r="L1" s="28"/>
      <c r="M1" s="29" t="s">
        <v>35</v>
      </c>
      <c r="N1" s="29" t="s">
        <v>36</v>
      </c>
      <c r="O1" s="29" t="s">
        <v>37</v>
      </c>
      <c r="P1" s="29" t="s">
        <v>38</v>
      </c>
      <c r="Q1" s="29" t="s">
        <v>39</v>
      </c>
      <c r="R1" s="29" t="s">
        <v>40</v>
      </c>
      <c r="S1" s="29" t="s">
        <v>41</v>
      </c>
      <c r="T1" s="29" t="s">
        <v>42</v>
      </c>
      <c r="U1" s="30" t="s">
        <v>43</v>
      </c>
      <c r="V1" s="31" t="s">
        <v>44</v>
      </c>
      <c r="W1" s="31" t="s">
        <v>45</v>
      </c>
      <c r="X1" s="31" t="s">
        <v>46</v>
      </c>
      <c r="Y1" s="31" t="s">
        <v>47</v>
      </c>
      <c r="Z1" s="31" t="s">
        <v>48</v>
      </c>
      <c r="AA1" s="31" t="s">
        <v>49</v>
      </c>
      <c r="AB1" s="31" t="s">
        <v>50</v>
      </c>
      <c r="AC1" s="31" t="s">
        <v>51</v>
      </c>
      <c r="AD1" s="31" t="s">
        <v>52</v>
      </c>
      <c r="AE1" s="31" t="s">
        <v>53</v>
      </c>
      <c r="AF1" s="31" t="s">
        <v>54</v>
      </c>
      <c r="AG1" s="31" t="s">
        <v>55</v>
      </c>
      <c r="AH1" s="31" t="s">
        <v>56</v>
      </c>
      <c r="AI1" s="31" t="s">
        <v>57</v>
      </c>
      <c r="AJ1" s="32" t="s">
        <v>58</v>
      </c>
      <c r="AK1" s="26"/>
      <c r="AL1" s="26"/>
      <c r="AM1" s="26"/>
      <c r="AN1" s="26"/>
      <c r="AO1" s="26"/>
      <c r="AP1" s="26"/>
      <c r="AQ1" s="26"/>
      <c r="AR1" s="26"/>
      <c r="AS1" s="26"/>
      <c r="AT1" s="26"/>
      <c r="AU1" s="26"/>
      <c r="AV1" s="26"/>
      <c r="AW1" s="499" t="s">
        <v>5</v>
      </c>
      <c r="AX1" s="500"/>
      <c r="AY1" s="500"/>
      <c r="AZ1" s="501"/>
      <c r="BA1" s="502" t="s">
        <v>6</v>
      </c>
      <c r="BB1" s="500"/>
      <c r="BC1" s="500"/>
      <c r="BD1" s="501"/>
      <c r="BE1" s="503" t="s">
        <v>7</v>
      </c>
      <c r="BF1" s="500"/>
      <c r="BG1" s="500"/>
      <c r="BH1" s="501"/>
      <c r="BI1" s="26"/>
      <c r="BJ1" s="36" t="s">
        <v>61</v>
      </c>
    </row>
    <row r="2" spans="1:79" ht="14.25" customHeight="1">
      <c r="A2" s="26" t="s">
        <v>62</v>
      </c>
      <c r="B2" s="26" t="s">
        <v>63</v>
      </c>
      <c r="C2" s="26" t="s">
        <v>64</v>
      </c>
      <c r="D2" s="26" t="s">
        <v>64</v>
      </c>
      <c r="E2" s="19">
        <v>151484000</v>
      </c>
      <c r="F2" s="37">
        <v>-0.2</v>
      </c>
      <c r="G2" s="38">
        <f t="shared" ref="G2:G413" si="0">E2*F2</f>
        <v>-30296800</v>
      </c>
      <c r="H2" s="26"/>
      <c r="I2" s="26"/>
      <c r="J2" s="39" t="s">
        <v>65</v>
      </c>
      <c r="K2" s="33" t="s">
        <v>60</v>
      </c>
      <c r="L2" s="40"/>
      <c r="M2" s="42">
        <v>6692.14652850939</v>
      </c>
      <c r="N2" s="42">
        <v>7295.8345731815616</v>
      </c>
      <c r="O2" s="42">
        <v>7760.5216337422607</v>
      </c>
      <c r="P2" s="42">
        <v>8708.777156567643</v>
      </c>
      <c r="Q2" s="42">
        <v>9081.1538675187167</v>
      </c>
      <c r="R2" s="42">
        <v>8969.6206754221021</v>
      </c>
      <c r="S2" s="42">
        <v>9630.5581958168441</v>
      </c>
      <c r="T2" s="42">
        <v>10323.759481062994</v>
      </c>
      <c r="U2" s="42">
        <v>9240.2151674265442</v>
      </c>
      <c r="V2" s="42">
        <v>11194.747107598354</v>
      </c>
      <c r="W2" s="42">
        <v>10540.38772804733</v>
      </c>
      <c r="X2" s="42">
        <v>11836.555906432677</v>
      </c>
      <c r="Y2" s="42">
        <v>12029.30918575278</v>
      </c>
      <c r="Z2" s="42">
        <v>13800.412182701606</v>
      </c>
      <c r="AA2" s="42">
        <v>13373.303477106065</v>
      </c>
      <c r="AB2" s="42">
        <v>12158.857503092979</v>
      </c>
      <c r="AC2" s="42">
        <v>12263.371853074932</v>
      </c>
      <c r="AD2" s="42">
        <v>11039.279971272468</v>
      </c>
      <c r="AE2" s="42">
        <v>11602.727646247509</v>
      </c>
      <c r="AF2" s="42">
        <v>9900.7687625172348</v>
      </c>
      <c r="AG2" s="42">
        <v>10227.931677629154</v>
      </c>
      <c r="AH2" s="42">
        <v>10922.754333339015</v>
      </c>
      <c r="AI2" s="42">
        <v>10757.485675</v>
      </c>
      <c r="AJ2" s="44">
        <v>0.03</v>
      </c>
      <c r="AK2" s="26"/>
      <c r="AL2" s="26"/>
      <c r="AM2" s="26"/>
      <c r="AN2" s="26"/>
      <c r="AO2" s="26"/>
      <c r="AP2" s="26"/>
      <c r="AQ2" s="26"/>
      <c r="AR2" s="26"/>
      <c r="AS2" s="441"/>
      <c r="AT2" s="441"/>
      <c r="AU2" s="441"/>
      <c r="AV2" s="441"/>
      <c r="AW2" s="45">
        <v>0.1</v>
      </c>
      <c r="AX2" s="46">
        <v>0.8</v>
      </c>
      <c r="AY2" s="46">
        <v>0.5</v>
      </c>
      <c r="AZ2" s="47">
        <v>0.3</v>
      </c>
      <c r="BA2" s="45">
        <v>0.1</v>
      </c>
      <c r="BB2" s="46">
        <v>0.8</v>
      </c>
      <c r="BC2" s="46">
        <v>0.33</v>
      </c>
      <c r="BD2" s="47">
        <v>0.15</v>
      </c>
      <c r="BE2" s="45">
        <v>0.1</v>
      </c>
      <c r="BF2" s="46">
        <v>0.8</v>
      </c>
      <c r="BG2" s="46">
        <v>0</v>
      </c>
      <c r="BH2" s="47">
        <v>0</v>
      </c>
      <c r="BI2" s="26"/>
      <c r="BJ2" s="48">
        <v>0.19</v>
      </c>
      <c r="BX2" s="301" t="s">
        <v>9</v>
      </c>
      <c r="BY2" s="303" t="s">
        <v>32</v>
      </c>
      <c r="BZ2" s="301"/>
      <c r="CA2" s="301"/>
    </row>
    <row r="3" spans="1:79" ht="14.25" customHeight="1">
      <c r="A3" s="26" t="s">
        <v>62</v>
      </c>
      <c r="B3" s="26" t="s">
        <v>66</v>
      </c>
      <c r="C3" s="26" t="s">
        <v>67</v>
      </c>
      <c r="D3" s="26" t="s">
        <v>68</v>
      </c>
      <c r="E3" s="19">
        <v>137101000</v>
      </c>
      <c r="F3" s="37">
        <v>-0.2</v>
      </c>
      <c r="G3" s="38">
        <f t="shared" si="0"/>
        <v>-27420200</v>
      </c>
      <c r="H3" s="26"/>
      <c r="I3" s="26"/>
      <c r="J3" s="39" t="s">
        <v>69</v>
      </c>
      <c r="K3" s="33" t="s">
        <v>70</v>
      </c>
      <c r="L3" s="40"/>
      <c r="M3" s="49">
        <v>294.60686713368318</v>
      </c>
      <c r="N3" s="49">
        <v>227.49873726313399</v>
      </c>
      <c r="O3" s="49">
        <v>712.59057421831676</v>
      </c>
      <c r="P3" s="49">
        <v>691.24233581125179</v>
      </c>
      <c r="Q3" s="49">
        <v>748.57311657672051</v>
      </c>
      <c r="R3" s="49">
        <v>1002.0085122612363</v>
      </c>
      <c r="S3" s="49">
        <v>823.79343190470934</v>
      </c>
      <c r="T3" s="49">
        <v>1228.3933401414799</v>
      </c>
      <c r="U3" s="49">
        <v>1079.3406730519232</v>
      </c>
      <c r="V3" s="49">
        <v>1687.22895433807</v>
      </c>
      <c r="W3" s="49">
        <v>1980.5456591016637</v>
      </c>
      <c r="X3" s="49">
        <v>2984.0333776200009</v>
      </c>
      <c r="Y3" s="49">
        <v>2393.5280892920418</v>
      </c>
      <c r="Z3" s="49">
        <v>2570.8399112918182</v>
      </c>
      <c r="AA3" s="49">
        <v>2874.8890767471994</v>
      </c>
      <c r="AB3" s="49">
        <v>2717.5843334346978</v>
      </c>
      <c r="AC3" s="49">
        <v>2601.3377268305644</v>
      </c>
      <c r="AD3" s="49">
        <v>2606.7983801890496</v>
      </c>
      <c r="AE3" s="49">
        <v>2899.3931541349375</v>
      </c>
      <c r="AF3" s="49">
        <v>2278.8127616542602</v>
      </c>
      <c r="AG3" s="49">
        <v>1553.9509280259972</v>
      </c>
      <c r="AH3" s="49">
        <v>1122.6783375525356</v>
      </c>
      <c r="AI3" s="49">
        <v>1167.2258549999999</v>
      </c>
      <c r="AJ3" s="44">
        <v>-0.2</v>
      </c>
      <c r="AK3" s="26"/>
      <c r="AL3" s="32" t="s">
        <v>58</v>
      </c>
      <c r="AM3" s="430" t="s">
        <v>71</v>
      </c>
      <c r="AN3" s="431" t="s">
        <v>1253</v>
      </c>
      <c r="AO3" s="50">
        <v>43190</v>
      </c>
      <c r="AP3" s="51">
        <v>43281</v>
      </c>
      <c r="AQ3" s="51">
        <v>43373</v>
      </c>
      <c r="AR3" s="52">
        <v>43465</v>
      </c>
      <c r="AS3" s="50">
        <v>43555</v>
      </c>
      <c r="AT3" s="51">
        <v>43646</v>
      </c>
      <c r="AU3" s="51">
        <v>43738</v>
      </c>
      <c r="AV3" s="51">
        <v>43830</v>
      </c>
      <c r="AW3" s="53">
        <v>43555</v>
      </c>
      <c r="AX3" s="54">
        <v>43646</v>
      </c>
      <c r="AY3" s="54">
        <v>43738</v>
      </c>
      <c r="AZ3" s="55">
        <v>43830</v>
      </c>
      <c r="BA3" s="53">
        <v>43555</v>
      </c>
      <c r="BB3" s="54">
        <v>43646</v>
      </c>
      <c r="BC3" s="54">
        <v>43738</v>
      </c>
      <c r="BD3" s="55">
        <v>43830</v>
      </c>
      <c r="BE3" s="53">
        <v>43555</v>
      </c>
      <c r="BF3" s="54">
        <v>43646</v>
      </c>
      <c r="BG3" s="54">
        <v>43738</v>
      </c>
      <c r="BH3" s="55">
        <v>43830</v>
      </c>
      <c r="BI3" s="26"/>
      <c r="BJ3" s="26"/>
      <c r="BM3" s="434" t="s">
        <v>1266</v>
      </c>
      <c r="BS3" s="446"/>
      <c r="BX3" s="305">
        <v>36616</v>
      </c>
      <c r="BY3" s="489"/>
      <c r="BZ3" s="301"/>
      <c r="CA3" s="301"/>
    </row>
    <row r="4" spans="1:79" ht="14.25" customHeight="1">
      <c r="A4" s="26" t="s">
        <v>62</v>
      </c>
      <c r="B4" s="26" t="s">
        <v>66</v>
      </c>
      <c r="C4" s="26" t="s">
        <v>67</v>
      </c>
      <c r="D4" s="26" t="s">
        <v>72</v>
      </c>
      <c r="E4" s="19">
        <v>334840000</v>
      </c>
      <c r="F4" s="37">
        <v>-0.2</v>
      </c>
      <c r="G4" s="38">
        <f t="shared" si="0"/>
        <v>-66968000</v>
      </c>
      <c r="H4" s="26"/>
      <c r="I4" s="26"/>
      <c r="J4" s="39" t="s">
        <v>73</v>
      </c>
      <c r="K4" s="56">
        <v>10</v>
      </c>
      <c r="L4" s="56" t="s">
        <v>74</v>
      </c>
      <c r="M4" s="49">
        <v>3756.3631887162551</v>
      </c>
      <c r="N4" s="49">
        <v>3642.9416846787203</v>
      </c>
      <c r="O4" s="49">
        <v>4304.146232358994</v>
      </c>
      <c r="P4" s="49">
        <v>4567.527202150608</v>
      </c>
      <c r="Q4" s="49">
        <v>4595.7415896193424</v>
      </c>
      <c r="R4" s="49">
        <v>4780.0106471010513</v>
      </c>
      <c r="S4" s="49">
        <v>4882.6377944599099</v>
      </c>
      <c r="T4" s="49">
        <v>5386.0196404772278</v>
      </c>
      <c r="U4" s="49">
        <v>5750.4676596190948</v>
      </c>
      <c r="V4" s="49">
        <v>6448.4105451432624</v>
      </c>
      <c r="W4" s="49">
        <v>6777.8005279166046</v>
      </c>
      <c r="X4" s="49">
        <v>7346.2300522835239</v>
      </c>
      <c r="Y4" s="49">
        <v>7482.3487023242606</v>
      </c>
      <c r="Z4" s="49">
        <v>7983.2211042645304</v>
      </c>
      <c r="AA4" s="49">
        <v>8027.1775883717955</v>
      </c>
      <c r="AB4" s="49">
        <v>8176.6507677499767</v>
      </c>
      <c r="AC4" s="49">
        <v>8746.8177753760719</v>
      </c>
      <c r="AD4" s="49">
        <v>8640.8518494527852</v>
      </c>
      <c r="AE4" s="49">
        <v>8579.2940712544478</v>
      </c>
      <c r="AF4" s="49">
        <v>8443.1460103933678</v>
      </c>
      <c r="AG4" s="49">
        <v>8385.4735927248239</v>
      </c>
      <c r="AH4" s="49">
        <v>8373.0533088516077</v>
      </c>
      <c r="AI4" s="49">
        <v>8278.2249240000001</v>
      </c>
      <c r="AJ4" s="44">
        <v>0</v>
      </c>
      <c r="AK4" s="26"/>
      <c r="AL4" s="44">
        <f>AJ2</f>
        <v>0.03</v>
      </c>
      <c r="AM4" s="57" t="s">
        <v>65</v>
      </c>
      <c r="AN4" s="58" t="s">
        <v>60</v>
      </c>
      <c r="AO4" s="59">
        <v>2128030581.3025987</v>
      </c>
      <c r="AP4" s="60">
        <v>2586014001.3801842</v>
      </c>
      <c r="AQ4" s="60">
        <v>2939046743.0090642</v>
      </c>
      <c r="AR4" s="61">
        <v>3282897981.331358</v>
      </c>
      <c r="AS4" s="59">
        <v>2138653206.428669</v>
      </c>
      <c r="AT4" s="60">
        <v>2576476751.0098729</v>
      </c>
      <c r="AU4" s="60">
        <v>3143556418.7833858</v>
      </c>
      <c r="AV4" s="62">
        <v>3263518014.3418083</v>
      </c>
      <c r="AW4" s="443">
        <f>AS4*(1+$AL4)</f>
        <v>2202812802.6215291</v>
      </c>
      <c r="AX4" s="444">
        <f>AT4*(1+$AL4)</f>
        <v>2653771053.5401692</v>
      </c>
      <c r="AY4" s="444">
        <f>AU4*(1+$AL4)</f>
        <v>3237863111.3468876</v>
      </c>
      <c r="AZ4" s="445">
        <f>AV4*(1+$AL4)</f>
        <v>3361423554.7720628</v>
      </c>
      <c r="BA4" s="443">
        <f>AS4*(1+$AL4)</f>
        <v>2202812802.6215291</v>
      </c>
      <c r="BB4" s="444">
        <f>AT4*(1+$AL4)</f>
        <v>2653771053.5401692</v>
      </c>
      <c r="BC4" s="444">
        <f>AU4*(1+$AL4)</f>
        <v>3237863111.3468876</v>
      </c>
      <c r="BD4" s="445">
        <f>AV4*(1+$AL4)</f>
        <v>3361423554.7720628</v>
      </c>
      <c r="BE4" s="443">
        <f>AS4*(1+$AL4)</f>
        <v>2202812802.6215291</v>
      </c>
      <c r="BF4" s="444">
        <f>AT4*(1+$AL4)</f>
        <v>2653771053.5401692</v>
      </c>
      <c r="BG4" s="444">
        <f>AU4*(1+$AL4)</f>
        <v>3237863111.3468876</v>
      </c>
      <c r="BH4" s="445">
        <f>AV4*(1+$AL4)</f>
        <v>3361423554.7720628</v>
      </c>
      <c r="BI4" s="26"/>
      <c r="BJ4" s="26"/>
      <c r="BM4" s="354" t="s">
        <v>1264</v>
      </c>
      <c r="BN4" s="354" t="s">
        <v>22</v>
      </c>
      <c r="BO4" s="354" t="s">
        <v>23</v>
      </c>
      <c r="BP4" s="354" t="s">
        <v>24</v>
      </c>
      <c r="BQ4" s="446" t="s">
        <v>1297</v>
      </c>
      <c r="BR4" s="446" t="s">
        <v>1298</v>
      </c>
      <c r="BS4" s="446" t="s">
        <v>1299</v>
      </c>
      <c r="BT4" s="446" t="s">
        <v>1300</v>
      </c>
      <c r="BX4" s="305">
        <v>36707</v>
      </c>
      <c r="BY4" s="489"/>
      <c r="BZ4" s="301"/>
      <c r="CA4" s="301"/>
    </row>
    <row r="5" spans="1:79" ht="14.25" customHeight="1">
      <c r="A5" s="26" t="s">
        <v>62</v>
      </c>
      <c r="B5" s="26" t="s">
        <v>66</v>
      </c>
      <c r="C5" s="26" t="s">
        <v>76</v>
      </c>
      <c r="D5" s="26" t="s">
        <v>77</v>
      </c>
      <c r="E5" s="19">
        <v>19938000</v>
      </c>
      <c r="F5" s="37">
        <v>-0.2</v>
      </c>
      <c r="G5" s="38">
        <f t="shared" si="0"/>
        <v>-3987600</v>
      </c>
      <c r="H5" s="26"/>
      <c r="I5" s="26"/>
      <c r="J5" s="39"/>
      <c r="K5" s="56">
        <v>11</v>
      </c>
      <c r="L5" s="56" t="s">
        <v>80</v>
      </c>
      <c r="M5" s="49">
        <v>973.85497249735022</v>
      </c>
      <c r="N5" s="49">
        <v>944.38453517585083</v>
      </c>
      <c r="O5" s="49">
        <v>1116.7973909939728</v>
      </c>
      <c r="P5" s="49">
        <v>1184.8377893572765</v>
      </c>
      <c r="Q5" s="49">
        <v>1191.2507949113192</v>
      </c>
      <c r="R5" s="49">
        <v>1256.2796475440716</v>
      </c>
      <c r="S5" s="49">
        <v>1302.2169296175446</v>
      </c>
      <c r="T5" s="49">
        <v>1424.2517243898326</v>
      </c>
      <c r="U5" s="49">
        <v>1522.8998203137498</v>
      </c>
      <c r="V5" s="49">
        <v>1705.6930450203804</v>
      </c>
      <c r="W5" s="49">
        <v>1811.2452856142215</v>
      </c>
      <c r="X5" s="49">
        <v>1963.3043714086657</v>
      </c>
      <c r="Y5" s="49">
        <v>2006.8332609281358</v>
      </c>
      <c r="Z5" s="49">
        <v>2216.1400583720597</v>
      </c>
      <c r="AA5" s="49">
        <v>2315.6922041483899</v>
      </c>
      <c r="AB5" s="49">
        <v>2212.0983965318424</v>
      </c>
      <c r="AC5" s="49">
        <v>2399.3552816557476</v>
      </c>
      <c r="AD5" s="49">
        <v>2355.9888259335507</v>
      </c>
      <c r="AE5" s="49">
        <v>2301.2124987090901</v>
      </c>
      <c r="AF5" s="49">
        <v>2238.1051883077271</v>
      </c>
      <c r="AG5" s="49">
        <v>2223.7234438737009</v>
      </c>
      <c r="AH5" s="49">
        <v>2228.2180467762109</v>
      </c>
      <c r="AI5" s="49">
        <v>2341.609011</v>
      </c>
      <c r="AJ5" s="44">
        <v>0</v>
      </c>
      <c r="AK5" s="26"/>
      <c r="AL5" s="44">
        <f t="shared" ref="AL5" si="1">AJ3</f>
        <v>-0.2</v>
      </c>
      <c r="AM5" s="66" t="s">
        <v>69</v>
      </c>
      <c r="AN5" s="67" t="s">
        <v>70</v>
      </c>
      <c r="AO5" s="68">
        <v>245201738.92241812</v>
      </c>
      <c r="AP5" s="62">
        <v>296056818.21981716</v>
      </c>
      <c r="AQ5" s="62">
        <v>292124429.29865789</v>
      </c>
      <c r="AR5" s="61">
        <v>274454539.20886302</v>
      </c>
      <c r="AS5" s="68">
        <v>244769214.86324182</v>
      </c>
      <c r="AT5" s="62">
        <v>276790416.12074578</v>
      </c>
      <c r="AU5" s="62">
        <v>287576014.11726987</v>
      </c>
      <c r="AV5" s="62">
        <v>282157067.48887217</v>
      </c>
      <c r="AW5" s="435">
        <f t="shared" ref="AW5:AZ5" si="2">AS5*(1+$AL5*AW$2)</f>
        <v>239873830.56597698</v>
      </c>
      <c r="AX5" s="89">
        <f t="shared" si="2"/>
        <v>232503949.54142645</v>
      </c>
      <c r="AY5" s="89">
        <f t="shared" si="2"/>
        <v>258818412.70554289</v>
      </c>
      <c r="AZ5" s="436">
        <f t="shared" si="2"/>
        <v>265227643.43953982</v>
      </c>
      <c r="BA5" s="435">
        <f t="shared" ref="BA5:BD5" si="3">AS5*(1+$AL5*BA$2)</f>
        <v>239873830.56597698</v>
      </c>
      <c r="BB5" s="89">
        <f t="shared" si="3"/>
        <v>232503949.54142645</v>
      </c>
      <c r="BC5" s="89">
        <f t="shared" si="3"/>
        <v>268595997.18553007</v>
      </c>
      <c r="BD5" s="436">
        <f t="shared" si="3"/>
        <v>273692355.46420598</v>
      </c>
      <c r="BE5" s="435">
        <f t="shared" ref="BE5:BH5" si="4">AS5*(1+$AL5*BE$2)</f>
        <v>239873830.56597698</v>
      </c>
      <c r="BF5" s="89">
        <f t="shared" si="4"/>
        <v>232503949.54142645</v>
      </c>
      <c r="BG5" s="89">
        <f t="shared" si="4"/>
        <v>287576014.11726987</v>
      </c>
      <c r="BH5" s="436">
        <f t="shared" si="4"/>
        <v>282157067.48887217</v>
      </c>
      <c r="BI5" s="26"/>
      <c r="BJ5" s="26"/>
      <c r="BL5" s="446" t="s">
        <v>1254</v>
      </c>
      <c r="BM5" s="354" t="s">
        <v>65</v>
      </c>
      <c r="BN5" s="433">
        <f>(AW4/AS4-1)*100</f>
        <v>3.0000000000000027</v>
      </c>
      <c r="BO5" s="432">
        <f>(BA4/AS4-1)*100</f>
        <v>3.0000000000000027</v>
      </c>
      <c r="BP5" s="432">
        <f>(BE4/AS4-1)*100</f>
        <v>3.0000000000000027</v>
      </c>
      <c r="BQ5" s="433">
        <v>2.6</v>
      </c>
      <c r="BR5" s="433">
        <v>-2</v>
      </c>
      <c r="BS5" s="433">
        <v>4.9000000000000004</v>
      </c>
      <c r="BT5" s="433">
        <v>12.4</v>
      </c>
      <c r="BV5" s="479">
        <f>AVERAGE(BQ5:BS5)</f>
        <v>1.8333333333333333</v>
      </c>
      <c r="BX5" s="305">
        <v>36799</v>
      </c>
      <c r="BY5" s="489"/>
      <c r="BZ5" s="301"/>
      <c r="CA5" s="301"/>
    </row>
    <row r="6" spans="1:79" ht="14.25" customHeight="1">
      <c r="A6" s="26" t="s">
        <v>62</v>
      </c>
      <c r="B6" s="26" t="s">
        <v>66</v>
      </c>
      <c r="C6" s="26" t="s">
        <v>76</v>
      </c>
      <c r="D6" s="26" t="s">
        <v>81</v>
      </c>
      <c r="E6" s="19">
        <v>6869000</v>
      </c>
      <c r="F6" s="37">
        <v>-0.2</v>
      </c>
      <c r="G6" s="38">
        <f t="shared" si="0"/>
        <v>-1373800</v>
      </c>
      <c r="H6" s="26"/>
      <c r="I6" s="26"/>
      <c r="J6" s="39"/>
      <c r="K6" s="56">
        <v>12</v>
      </c>
      <c r="L6" s="56" t="s">
        <v>82</v>
      </c>
      <c r="M6" s="49">
        <v>442.78824617941069</v>
      </c>
      <c r="N6" s="49">
        <v>450.14152529005491</v>
      </c>
      <c r="O6" s="49">
        <v>302.26138770001864</v>
      </c>
      <c r="P6" s="49">
        <v>452.88530470956789</v>
      </c>
      <c r="Q6" s="49">
        <v>493.91396003531804</v>
      </c>
      <c r="R6" s="49">
        <v>696.62259504375049</v>
      </c>
      <c r="S6" s="49">
        <v>709.1023222285263</v>
      </c>
      <c r="T6" s="49">
        <v>789.91674543326644</v>
      </c>
      <c r="U6" s="49">
        <v>871.87395555021283</v>
      </c>
      <c r="V6" s="49">
        <v>916.7646847615747</v>
      </c>
      <c r="W6" s="49">
        <v>909.99325257156204</v>
      </c>
      <c r="X6" s="49">
        <v>917.15130165872813</v>
      </c>
      <c r="Y6" s="49">
        <v>1029.9145406133957</v>
      </c>
      <c r="Z6" s="49">
        <v>1097.560105</v>
      </c>
      <c r="AA6" s="49">
        <v>807.12121999999999</v>
      </c>
      <c r="AB6" s="49">
        <v>715.30734500000005</v>
      </c>
      <c r="AC6" s="49">
        <v>685.113114</v>
      </c>
      <c r="AD6" s="49">
        <v>682.71100799999999</v>
      </c>
      <c r="AE6" s="49">
        <v>556.94512899999995</v>
      </c>
      <c r="AF6" s="49">
        <v>454.38487900000001</v>
      </c>
      <c r="AG6" s="49">
        <v>335.89249899999999</v>
      </c>
      <c r="AH6" s="49">
        <v>326.1110263498399</v>
      </c>
      <c r="AI6" s="49">
        <v>398.48238900000001</v>
      </c>
      <c r="AJ6" s="44">
        <v>0</v>
      </c>
      <c r="AK6" s="26"/>
      <c r="AL6" s="44">
        <f>SUMPRODUCT(AI4:AI27,AJ4:AJ27)/SUM(AI4:AI27)</f>
        <v>-0.2478229848390735</v>
      </c>
      <c r="AM6" s="66" t="s">
        <v>73</v>
      </c>
      <c r="AN6" s="67" t="s">
        <v>75</v>
      </c>
      <c r="AO6" s="68">
        <v>11115808136.333574</v>
      </c>
      <c r="AP6" s="62">
        <v>12445874744.020388</v>
      </c>
      <c r="AQ6" s="62">
        <v>11980072355.580479</v>
      </c>
      <c r="AR6" s="61">
        <v>12395078360.044758</v>
      </c>
      <c r="AS6" s="68">
        <v>11478467006.355553</v>
      </c>
      <c r="AT6" s="62">
        <v>12296582591.554277</v>
      </c>
      <c r="AU6" s="62">
        <v>12121488399.740868</v>
      </c>
      <c r="AV6" s="62">
        <v>12187964552.525343</v>
      </c>
      <c r="AW6" s="435">
        <f t="shared" ref="AW6:AZ6" si="5">AS6*(1+$AL6*AW$2)</f>
        <v>11194004210.866367</v>
      </c>
      <c r="AX6" s="89">
        <f t="shared" si="5"/>
        <v>9858681950.6269398</v>
      </c>
      <c r="AY6" s="89">
        <f t="shared" si="5"/>
        <v>10619496681.782873</v>
      </c>
      <c r="AZ6" s="436">
        <f t="shared" si="5"/>
        <v>11281827226.169447</v>
      </c>
      <c r="BA6" s="435">
        <f t="shared" ref="BA6:BD6" si="6">AS6*(1+$AL6*BA$2)</f>
        <v>11194004210.866367</v>
      </c>
      <c r="BB6" s="89">
        <f t="shared" si="6"/>
        <v>9858681950.6269398</v>
      </c>
      <c r="BC6" s="89">
        <f t="shared" si="6"/>
        <v>11130173865.888592</v>
      </c>
      <c r="BD6" s="436">
        <f t="shared" si="6"/>
        <v>11734895889.347395</v>
      </c>
      <c r="BE6" s="435">
        <f t="shared" ref="BE6:BH6" si="7">AS6*(1+$AL6*BE$2)</f>
        <v>11194004210.866367</v>
      </c>
      <c r="BF6" s="89">
        <f t="shared" si="7"/>
        <v>9858681950.6269398</v>
      </c>
      <c r="BG6" s="89">
        <f t="shared" si="7"/>
        <v>12121488399.740868</v>
      </c>
      <c r="BH6" s="436">
        <f t="shared" si="7"/>
        <v>12187964552.525343</v>
      </c>
      <c r="BI6" s="26"/>
      <c r="BJ6" s="26"/>
      <c r="BL6" s="446" t="s">
        <v>1255</v>
      </c>
      <c r="BM6" s="354" t="s">
        <v>1291</v>
      </c>
      <c r="BN6" s="433">
        <f>(SUM(AW5:AW8)/SUM(AS5:AS8)-1)*100</f>
        <v>-1.8763336107991302</v>
      </c>
      <c r="BO6" s="432">
        <f>(SUM(BA5:BA8)/SUM(AS5:AS8)-1)*100</f>
        <v>-1.8763336107991302</v>
      </c>
      <c r="BP6" s="432">
        <f>(SUM(BE5:BE8)/SUM(AS5:AS8)-1)*100</f>
        <v>-1.8763336107991302</v>
      </c>
      <c r="BQ6" s="433">
        <v>-5.4</v>
      </c>
      <c r="BR6" s="433">
        <v>-4.5999999999999996</v>
      </c>
      <c r="BS6" s="433">
        <v>-1.7</v>
      </c>
      <c r="BT6" s="433">
        <v>-8.8000000000000007</v>
      </c>
      <c r="BV6" s="479">
        <f t="shared" ref="BV6:BV16" si="8">AVERAGE(BQ6:BS6)</f>
        <v>-3.9</v>
      </c>
      <c r="BX6" s="305">
        <v>36891</v>
      </c>
      <c r="BY6" s="489"/>
      <c r="BZ6" s="301"/>
      <c r="CA6" s="301"/>
    </row>
    <row r="7" spans="1:79" ht="14.25" customHeight="1">
      <c r="A7" s="26" t="s">
        <v>62</v>
      </c>
      <c r="B7" s="26" t="s">
        <v>85</v>
      </c>
      <c r="C7" s="26" t="s">
        <v>86</v>
      </c>
      <c r="D7" s="26" t="s">
        <v>86</v>
      </c>
      <c r="E7" s="19">
        <v>403032000</v>
      </c>
      <c r="F7" s="37">
        <v>-0.2</v>
      </c>
      <c r="G7" s="38">
        <f t="shared" si="0"/>
        <v>-80606400</v>
      </c>
      <c r="H7" s="26"/>
      <c r="I7" s="26"/>
      <c r="J7" s="39"/>
      <c r="K7" s="56">
        <v>13</v>
      </c>
      <c r="L7" s="56" t="s">
        <v>87</v>
      </c>
      <c r="M7" s="49">
        <v>388.62748402739572</v>
      </c>
      <c r="N7" s="49">
        <v>363.30190009307859</v>
      </c>
      <c r="O7" s="49">
        <v>350.92261082858073</v>
      </c>
      <c r="P7" s="49">
        <v>382.41791114471874</v>
      </c>
      <c r="Q7" s="49">
        <v>376.83406334515416</v>
      </c>
      <c r="R7" s="49">
        <v>384.87779965184393</v>
      </c>
      <c r="S7" s="49">
        <v>372.58327010875234</v>
      </c>
      <c r="T7" s="49">
        <v>398.60921842181767</v>
      </c>
      <c r="U7" s="49">
        <v>431.50203317250572</v>
      </c>
      <c r="V7" s="49">
        <v>469.27141081564366</v>
      </c>
      <c r="W7" s="49">
        <v>463.43525252992953</v>
      </c>
      <c r="X7" s="49">
        <v>502.40349349131623</v>
      </c>
      <c r="Y7" s="49">
        <v>554.03766066691173</v>
      </c>
      <c r="Z7" s="49">
        <v>547.69347468352987</v>
      </c>
      <c r="AA7" s="49">
        <v>451.40647881052206</v>
      </c>
      <c r="AB7" s="49">
        <v>458.94919824586748</v>
      </c>
      <c r="AC7" s="49">
        <v>433.13246893038752</v>
      </c>
      <c r="AD7" s="49">
        <v>423.82827293363619</v>
      </c>
      <c r="AE7" s="49">
        <v>483.40947064125612</v>
      </c>
      <c r="AF7" s="49">
        <v>474.50804571884754</v>
      </c>
      <c r="AG7" s="49">
        <v>473.47183071486569</v>
      </c>
      <c r="AH7" s="49">
        <v>468.68036905036365</v>
      </c>
      <c r="AI7" s="49">
        <v>484.67153999999999</v>
      </c>
      <c r="AJ7" s="44">
        <f>SUMPRODUCT(E29:E38,F29:F38)/SUM(E29:E38)</f>
        <v>-0.42135497749724021</v>
      </c>
      <c r="AK7" s="26"/>
      <c r="AL7" s="44">
        <f t="shared" ref="AL7:AL23" si="9">AJ28</f>
        <v>0</v>
      </c>
      <c r="AM7" s="66" t="s">
        <v>78</v>
      </c>
      <c r="AN7" s="67" t="s">
        <v>79</v>
      </c>
      <c r="AO7" s="68">
        <v>2591294228.2941875</v>
      </c>
      <c r="AP7" s="62">
        <v>1829909233.8663068</v>
      </c>
      <c r="AQ7" s="62">
        <v>1951952385.9830117</v>
      </c>
      <c r="AR7" s="61">
        <v>2364197604.8686857</v>
      </c>
      <c r="AS7" s="68">
        <v>2633520503.4667788</v>
      </c>
      <c r="AT7" s="62">
        <v>2071715479.0918543</v>
      </c>
      <c r="AU7" s="62">
        <v>2114643909.5675223</v>
      </c>
      <c r="AV7" s="62">
        <v>2634703095.0103059</v>
      </c>
      <c r="AW7" s="435">
        <f t="shared" ref="AW7:AZ7" si="10">AS7*(1+$AL7*AW$2)</f>
        <v>2633520503.4667788</v>
      </c>
      <c r="AX7" s="89">
        <f t="shared" si="10"/>
        <v>2071715479.0918543</v>
      </c>
      <c r="AY7" s="89">
        <f t="shared" si="10"/>
        <v>2114643909.5675223</v>
      </c>
      <c r="AZ7" s="436">
        <f t="shared" si="10"/>
        <v>2634703095.0103059</v>
      </c>
      <c r="BA7" s="435">
        <f t="shared" ref="BA7:BD7" si="11">AS7*(1+$AL7*BA$2)</f>
        <v>2633520503.4667788</v>
      </c>
      <c r="BB7" s="89">
        <f t="shared" si="11"/>
        <v>2071715479.0918543</v>
      </c>
      <c r="BC7" s="89">
        <f t="shared" si="11"/>
        <v>2114643909.5675223</v>
      </c>
      <c r="BD7" s="436">
        <f t="shared" si="11"/>
        <v>2634703095.0103059</v>
      </c>
      <c r="BE7" s="435">
        <f t="shared" ref="BE7:BH7" si="12">AS7*(1+$AL7*BE$2)</f>
        <v>2633520503.4667788</v>
      </c>
      <c r="BF7" s="89">
        <f t="shared" si="12"/>
        <v>2071715479.0918543</v>
      </c>
      <c r="BG7" s="89">
        <f t="shared" si="12"/>
        <v>2114643909.5675223</v>
      </c>
      <c r="BH7" s="436">
        <f t="shared" si="12"/>
        <v>2634703095.0103059</v>
      </c>
      <c r="BI7" s="26"/>
      <c r="BJ7" s="26"/>
      <c r="BL7" s="446" t="s">
        <v>1256</v>
      </c>
      <c r="BM7" s="354" t="s">
        <v>73</v>
      </c>
      <c r="BN7" s="433">
        <f>(AW6/AS6-1)*100</f>
        <v>-2.4782298483907339</v>
      </c>
      <c r="BO7" s="432">
        <f>(BA6/AS6-1)*100</f>
        <v>-2.4782298483907339</v>
      </c>
      <c r="BP7" s="432">
        <f>(BE6/AS6-1)*100</f>
        <v>-2.4782298483907339</v>
      </c>
      <c r="BQ7" s="433">
        <v>-5.7</v>
      </c>
      <c r="BR7" s="433">
        <v>-5</v>
      </c>
      <c r="BS7" s="433">
        <v>-1.3</v>
      </c>
      <c r="BT7" s="433">
        <v>5.5</v>
      </c>
      <c r="BV7" s="479">
        <f t="shared" si="8"/>
        <v>-4</v>
      </c>
      <c r="BX7" s="305">
        <v>36981</v>
      </c>
      <c r="BY7" s="489">
        <f t="shared" ref="BY7:BY66" si="13">BA33</f>
        <v>8.8786369019973943E-2</v>
      </c>
      <c r="BZ7" s="301"/>
      <c r="CA7" s="301"/>
    </row>
    <row r="8" spans="1:79" ht="14.25" customHeight="1">
      <c r="A8" s="26" t="s">
        <v>62</v>
      </c>
      <c r="B8" s="26" t="s">
        <v>85</v>
      </c>
      <c r="C8" s="26" t="s">
        <v>90</v>
      </c>
      <c r="D8" s="26" t="s">
        <v>90</v>
      </c>
      <c r="E8" s="19">
        <v>5684000</v>
      </c>
      <c r="F8" s="37">
        <v>-0.2</v>
      </c>
      <c r="G8" s="38">
        <f t="shared" si="0"/>
        <v>-1136800</v>
      </c>
      <c r="H8" s="26"/>
      <c r="I8" s="26"/>
      <c r="J8" s="39"/>
      <c r="K8" s="56">
        <v>14</v>
      </c>
      <c r="L8" s="56" t="s">
        <v>91</v>
      </c>
      <c r="M8" s="49">
        <v>1483.4129237025156</v>
      </c>
      <c r="N8" s="49">
        <v>1606.7328900812349</v>
      </c>
      <c r="O8" s="49">
        <v>1675.0682806743491</v>
      </c>
      <c r="P8" s="49">
        <v>1651.8874157041712</v>
      </c>
      <c r="Q8" s="49">
        <v>1693.2723417533784</v>
      </c>
      <c r="R8" s="49">
        <v>1694.4881664373595</v>
      </c>
      <c r="S8" s="49">
        <v>1783.7656315391662</v>
      </c>
      <c r="T8" s="49">
        <v>1878.0653428435683</v>
      </c>
      <c r="U8" s="49">
        <v>1916.4813908021738</v>
      </c>
      <c r="V8" s="49">
        <v>1812.4119359602662</v>
      </c>
      <c r="W8" s="49">
        <v>1792.3290290530226</v>
      </c>
      <c r="X8" s="49">
        <v>1731.8236779966705</v>
      </c>
      <c r="Y8" s="49">
        <v>1711.5378449304246</v>
      </c>
      <c r="Z8" s="49">
        <v>1732.4611944504295</v>
      </c>
      <c r="AA8" s="49">
        <v>1605.0179957489624</v>
      </c>
      <c r="AB8" s="49">
        <v>1420.3172934024888</v>
      </c>
      <c r="AC8" s="49">
        <v>1498.9438537840811</v>
      </c>
      <c r="AD8" s="49">
        <v>1365.5810038548993</v>
      </c>
      <c r="AE8" s="49">
        <v>1252.1525983055228</v>
      </c>
      <c r="AF8" s="49">
        <v>1291.7937821171413</v>
      </c>
      <c r="AG8" s="49">
        <v>1198.8223929705725</v>
      </c>
      <c r="AH8" s="49">
        <v>1271.0717059551312</v>
      </c>
      <c r="AI8" s="49">
        <v>1272.709085</v>
      </c>
      <c r="AJ8" s="44">
        <v>-0.7</v>
      </c>
      <c r="AK8" s="26"/>
      <c r="AL8" s="44">
        <f t="shared" si="9"/>
        <v>0</v>
      </c>
      <c r="AM8" s="66" t="s">
        <v>83</v>
      </c>
      <c r="AN8" s="67" t="s">
        <v>94</v>
      </c>
      <c r="AO8" s="68">
        <v>1042058401.7138313</v>
      </c>
      <c r="AP8" s="62">
        <v>1044344964.7799977</v>
      </c>
      <c r="AQ8" s="62">
        <v>1058510137.6198716</v>
      </c>
      <c r="AR8" s="61">
        <v>1060296127.0902858</v>
      </c>
      <c r="AS8" s="68">
        <v>1064710871.5385058</v>
      </c>
      <c r="AT8" s="62">
        <v>1065141515.4968027</v>
      </c>
      <c r="AU8" s="62">
        <v>1098924139.959374</v>
      </c>
      <c r="AV8" s="62">
        <v>1074145157.9552562</v>
      </c>
      <c r="AW8" s="435">
        <f t="shared" ref="AW8:AZ8" si="14">AS8*(1+$AL8*AW$2)</f>
        <v>1064710871.5385058</v>
      </c>
      <c r="AX8" s="89">
        <f t="shared" si="14"/>
        <v>1065141515.4968027</v>
      </c>
      <c r="AY8" s="89">
        <f t="shared" si="14"/>
        <v>1098924139.959374</v>
      </c>
      <c r="AZ8" s="436">
        <f t="shared" si="14"/>
        <v>1074145157.9552562</v>
      </c>
      <c r="BA8" s="435">
        <f t="shared" ref="BA8:BD8" si="15">AS8*(1+$AL8*BA$2)</f>
        <v>1064710871.5385058</v>
      </c>
      <c r="BB8" s="89">
        <f t="shared" si="15"/>
        <v>1065141515.4968027</v>
      </c>
      <c r="BC8" s="89">
        <f t="shared" si="15"/>
        <v>1098924139.959374</v>
      </c>
      <c r="BD8" s="436">
        <f t="shared" si="15"/>
        <v>1074145157.9552562</v>
      </c>
      <c r="BE8" s="435">
        <f t="shared" ref="BE8:BH8" si="16">AS8*(1+$AL8*BE$2)</f>
        <v>1064710871.5385058</v>
      </c>
      <c r="BF8" s="89">
        <f t="shared" si="16"/>
        <v>1065141515.4968027</v>
      </c>
      <c r="BG8" s="89">
        <f t="shared" si="16"/>
        <v>1098924139.959374</v>
      </c>
      <c r="BH8" s="436">
        <f t="shared" si="16"/>
        <v>1074145157.9552562</v>
      </c>
      <c r="BI8" s="26"/>
      <c r="BJ8" s="26"/>
      <c r="BL8" s="446" t="s">
        <v>1257</v>
      </c>
      <c r="BM8" s="354" t="s">
        <v>88</v>
      </c>
      <c r="BN8" s="433">
        <f>(AW9/AS9-1)*100</f>
        <v>-3.0000000000000027</v>
      </c>
      <c r="BO8" s="432">
        <f>(BA9/AS9-1)*100</f>
        <v>-3.0000000000000027</v>
      </c>
      <c r="BP8" s="432">
        <f>(BE9/AS9-1)*100</f>
        <v>-3.0000000000000027</v>
      </c>
      <c r="BQ8" s="433">
        <v>-10.6</v>
      </c>
      <c r="BR8" s="433">
        <v>2.9</v>
      </c>
      <c r="BS8" s="433">
        <v>-7.9</v>
      </c>
      <c r="BT8" s="433">
        <v>-1.8</v>
      </c>
      <c r="BV8" s="479">
        <f t="shared" si="8"/>
        <v>-5.2</v>
      </c>
      <c r="BX8" s="305">
        <v>37072</v>
      </c>
      <c r="BY8" s="489">
        <f t="shared" si="13"/>
        <v>9.718595797355789E-2</v>
      </c>
      <c r="BZ8" s="301"/>
      <c r="CA8" s="301"/>
    </row>
    <row r="9" spans="1:79" ht="14.25" customHeight="1">
      <c r="A9" s="26" t="s">
        <v>95</v>
      </c>
      <c r="B9" s="26" t="s">
        <v>96</v>
      </c>
      <c r="C9" s="26" t="s">
        <v>97</v>
      </c>
      <c r="D9" s="26" t="s">
        <v>98</v>
      </c>
      <c r="E9" s="19">
        <v>287930000</v>
      </c>
      <c r="F9" s="37">
        <v>0</v>
      </c>
      <c r="G9" s="38">
        <f t="shared" si="0"/>
        <v>0</v>
      </c>
      <c r="H9" s="26"/>
      <c r="I9" s="26"/>
      <c r="J9" s="39"/>
      <c r="K9" s="56">
        <v>15</v>
      </c>
      <c r="L9" s="56" t="s">
        <v>99</v>
      </c>
      <c r="M9" s="49">
        <v>544.18857812524186</v>
      </c>
      <c r="N9" s="49">
        <v>539.1293201129414</v>
      </c>
      <c r="O9" s="49">
        <v>522.09136384106387</v>
      </c>
      <c r="P9" s="49">
        <v>453.53893873671331</v>
      </c>
      <c r="Q9" s="49">
        <v>445.83988389317562</v>
      </c>
      <c r="R9" s="49">
        <v>486.51780332683308</v>
      </c>
      <c r="S9" s="49">
        <v>508.92011863563886</v>
      </c>
      <c r="T9" s="49">
        <v>560.92695662607071</v>
      </c>
      <c r="U9" s="49">
        <v>484.54429645923221</v>
      </c>
      <c r="V9" s="49">
        <v>520.5897286686328</v>
      </c>
      <c r="W9" s="49">
        <v>519.75149298253677</v>
      </c>
      <c r="X9" s="49">
        <v>620.82426429493114</v>
      </c>
      <c r="Y9" s="49">
        <v>661.98566433580663</v>
      </c>
      <c r="Z9" s="49">
        <v>631.06479658103467</v>
      </c>
      <c r="AA9" s="49">
        <v>532.25920035216097</v>
      </c>
      <c r="AB9" s="49">
        <v>608.79036837936883</v>
      </c>
      <c r="AC9" s="49">
        <v>666.4701295418572</v>
      </c>
      <c r="AD9" s="49">
        <v>629.27378736592721</v>
      </c>
      <c r="AE9" s="49">
        <v>643.44089275707097</v>
      </c>
      <c r="AF9" s="49">
        <v>715.97663071622082</v>
      </c>
      <c r="AG9" s="49">
        <v>554.57738318364386</v>
      </c>
      <c r="AH9" s="49">
        <v>610.18538621483901</v>
      </c>
      <c r="AI9" s="49">
        <v>707.01830399999994</v>
      </c>
      <c r="AJ9" s="44">
        <v>-0.7</v>
      </c>
      <c r="AK9" s="26"/>
      <c r="AL9" s="44">
        <f t="shared" si="9"/>
        <v>-0.3</v>
      </c>
      <c r="AM9" s="66" t="s">
        <v>88</v>
      </c>
      <c r="AN9" s="67" t="s">
        <v>89</v>
      </c>
      <c r="AO9" s="68">
        <v>3776798667.1589041</v>
      </c>
      <c r="AP9" s="62">
        <v>4134470168.7244897</v>
      </c>
      <c r="AQ9" s="62">
        <v>4173698012.8948741</v>
      </c>
      <c r="AR9" s="61">
        <v>4163638234.4942093</v>
      </c>
      <c r="AS9" s="68">
        <v>4251188175.4527044</v>
      </c>
      <c r="AT9" s="62">
        <v>4495814505.3733702</v>
      </c>
      <c r="AU9" s="62">
        <v>4505377889.6200323</v>
      </c>
      <c r="AV9" s="62">
        <v>4524898775.3353109</v>
      </c>
      <c r="AW9" s="435">
        <f t="shared" ref="AW9:AZ9" si="17">AS9*(1+$AL9*AW$2)</f>
        <v>4123652530.1891232</v>
      </c>
      <c r="AX9" s="89">
        <f t="shared" si="17"/>
        <v>3416819024.0837612</v>
      </c>
      <c r="AY9" s="89">
        <f t="shared" si="17"/>
        <v>3829571206.1770272</v>
      </c>
      <c r="AZ9" s="436">
        <f t="shared" si="17"/>
        <v>4117657885.5551329</v>
      </c>
      <c r="BA9" s="435">
        <f t="shared" ref="BA9:BD9" si="18">AS9*(1+$AL9*BA$2)</f>
        <v>4123652530.1891232</v>
      </c>
      <c r="BB9" s="89">
        <f t="shared" si="18"/>
        <v>3416819024.0837612</v>
      </c>
      <c r="BC9" s="89">
        <f t="shared" si="18"/>
        <v>4059345478.5476494</v>
      </c>
      <c r="BD9" s="436">
        <f t="shared" si="18"/>
        <v>4321278330.4452219</v>
      </c>
      <c r="BE9" s="435">
        <f t="shared" ref="BE9:BH10" si="19">AS9*(1+$AL9*BE$2)</f>
        <v>4123652530.1891232</v>
      </c>
      <c r="BF9" s="89">
        <f t="shared" si="19"/>
        <v>3416819024.0837612</v>
      </c>
      <c r="BG9" s="89">
        <f t="shared" si="19"/>
        <v>4505377889.6200323</v>
      </c>
      <c r="BH9" s="436">
        <f t="shared" si="19"/>
        <v>4524898775.3353109</v>
      </c>
      <c r="BI9" s="26"/>
      <c r="BJ9" s="26"/>
      <c r="BL9" s="446" t="s">
        <v>1258</v>
      </c>
      <c r="BM9" s="354" t="s">
        <v>1292</v>
      </c>
      <c r="BN9" s="433">
        <f>(AW10/AS10-1)*100</f>
        <v>-3.1311608042053352</v>
      </c>
      <c r="BO9" s="432">
        <f>(BA10/AS10-1)*100</f>
        <v>-3.1311608042053352</v>
      </c>
      <c r="BP9" s="432">
        <f>(BE10/AS10-1)*100</f>
        <v>-3.1311608042053352</v>
      </c>
      <c r="BQ9" s="433">
        <v>-7.7</v>
      </c>
      <c r="BR9" s="433">
        <v>-5.9</v>
      </c>
      <c r="BS9" s="433">
        <v>-9.1</v>
      </c>
      <c r="BT9" s="433">
        <v>-2.7</v>
      </c>
      <c r="BV9" s="479">
        <f t="shared" si="8"/>
        <v>-7.5666666666666673</v>
      </c>
      <c r="BX9" s="305">
        <v>37164</v>
      </c>
      <c r="BY9" s="489">
        <f t="shared" si="13"/>
        <v>6.3632839903227989E-2</v>
      </c>
      <c r="BZ9" s="301"/>
      <c r="CA9" s="301"/>
    </row>
    <row r="10" spans="1:79" ht="14.25" customHeight="1">
      <c r="A10" s="26" t="s">
        <v>95</v>
      </c>
      <c r="B10" s="26" t="s">
        <v>96</v>
      </c>
      <c r="C10" s="26" t="s">
        <v>97</v>
      </c>
      <c r="D10" s="26" t="s">
        <v>102</v>
      </c>
      <c r="E10" s="19">
        <v>308234000</v>
      </c>
      <c r="F10" s="37">
        <v>0</v>
      </c>
      <c r="G10" s="38">
        <f t="shared" si="0"/>
        <v>0</v>
      </c>
      <c r="H10" s="26"/>
      <c r="I10" s="26"/>
      <c r="J10" s="39"/>
      <c r="K10" s="56">
        <v>16</v>
      </c>
      <c r="L10" s="56" t="s">
        <v>103</v>
      </c>
      <c r="M10" s="49">
        <v>673.35716017311188</v>
      </c>
      <c r="N10" s="49">
        <v>868.2134562652252</v>
      </c>
      <c r="O10" s="49">
        <v>931.52851611667086</v>
      </c>
      <c r="P10" s="49">
        <v>970.40258187334916</v>
      </c>
      <c r="Q10" s="49">
        <v>859.81014539293813</v>
      </c>
      <c r="R10" s="49">
        <v>970.75323555931448</v>
      </c>
      <c r="S10" s="49">
        <v>883.75609027465316</v>
      </c>
      <c r="T10" s="49">
        <v>1048.4895391470184</v>
      </c>
      <c r="U10" s="49">
        <v>1172.3494026644332</v>
      </c>
      <c r="V10" s="49">
        <v>1207.5690022852386</v>
      </c>
      <c r="W10" s="49">
        <v>1240.993716066873</v>
      </c>
      <c r="X10" s="49">
        <v>1283.9512509135952</v>
      </c>
      <c r="Y10" s="49">
        <v>1595.804358745934</v>
      </c>
      <c r="Z10" s="49">
        <v>1606.124042557293</v>
      </c>
      <c r="AA10" s="49">
        <v>1381.1474972683491</v>
      </c>
      <c r="AB10" s="49">
        <v>1121.5986596090174</v>
      </c>
      <c r="AC10" s="49">
        <v>1187.5536352431268</v>
      </c>
      <c r="AD10" s="49">
        <v>1174.8826229776778</v>
      </c>
      <c r="AE10" s="49">
        <v>1255.1084863818865</v>
      </c>
      <c r="AF10" s="49">
        <v>1454.2063711086234</v>
      </c>
      <c r="AG10" s="49">
        <v>1704.8017817275686</v>
      </c>
      <c r="AH10" s="49">
        <v>1872.9015220718632</v>
      </c>
      <c r="AI10" s="49">
        <v>1995.4212</v>
      </c>
      <c r="AJ10" s="44">
        <v>-0.2</v>
      </c>
      <c r="AK10" s="26"/>
      <c r="AL10" s="44">
        <f t="shared" si="9"/>
        <v>-0.31311608042053396</v>
      </c>
      <c r="AM10" s="66" t="s">
        <v>92</v>
      </c>
      <c r="AN10" s="67" t="s">
        <v>104</v>
      </c>
      <c r="AO10" s="68">
        <v>7974917085.147337</v>
      </c>
      <c r="AP10" s="62">
        <v>9801132162.3089218</v>
      </c>
      <c r="AQ10" s="62">
        <v>10842653974.804779</v>
      </c>
      <c r="AR10" s="61">
        <v>9856862746.3607368</v>
      </c>
      <c r="AS10" s="68">
        <v>8610189038.7990627</v>
      </c>
      <c r="AT10" s="62">
        <v>10339890546.387033</v>
      </c>
      <c r="AU10" s="62">
        <v>11229885152.946445</v>
      </c>
      <c r="AV10" s="62">
        <v>10364031685.149887</v>
      </c>
      <c r="AW10" s="435">
        <f t="shared" ref="AW10:AZ10" si="20">AS10*(1+$AL10*AW$2)</f>
        <v>8340590174.4482021</v>
      </c>
      <c r="AX10" s="89">
        <f t="shared" si="20"/>
        <v>7749821746.4973993</v>
      </c>
      <c r="AY10" s="89">
        <f t="shared" si="20"/>
        <v>9471756341.6147766</v>
      </c>
      <c r="AZ10" s="436">
        <f t="shared" si="20"/>
        <v>9390488191.5673809</v>
      </c>
      <c r="BA10" s="435">
        <f t="shared" ref="BA10:BD10" si="21">AS10*(1+$AL10*BA$2)</f>
        <v>8340590174.4482021</v>
      </c>
      <c r="BB10" s="89">
        <f t="shared" si="21"/>
        <v>7749821746.4973993</v>
      </c>
      <c r="BC10" s="89">
        <f t="shared" si="21"/>
        <v>10069520137.467543</v>
      </c>
      <c r="BD10" s="436">
        <f t="shared" si="21"/>
        <v>9877259938.3586349</v>
      </c>
      <c r="BE10" s="435">
        <f t="shared" ref="BE10:BH10" si="22">AS10*(1+$AL10*BE$2)</f>
        <v>8340590174.4482021</v>
      </c>
      <c r="BF10" s="89">
        <f t="shared" si="22"/>
        <v>7749821746.4973993</v>
      </c>
      <c r="BG10" s="89">
        <f t="shared" si="19"/>
        <v>11229885152.946445</v>
      </c>
      <c r="BH10" s="436">
        <f t="shared" si="22"/>
        <v>10364031685.149887</v>
      </c>
      <c r="BI10" s="26"/>
      <c r="BJ10" s="26"/>
      <c r="BL10" s="446" t="s">
        <v>1259</v>
      </c>
      <c r="BM10" s="354" t="s">
        <v>111</v>
      </c>
      <c r="BN10" s="433">
        <f>(AW13/AS13-1)*100</f>
        <v>-0.4152814217511458</v>
      </c>
      <c r="BO10" s="432">
        <f>(BA13/AS13-1)*100</f>
        <v>-0.4152814217511458</v>
      </c>
      <c r="BP10" s="432">
        <f>(BE13/AS13-1)*100</f>
        <v>-0.4152814217511458</v>
      </c>
      <c r="BQ10" s="433">
        <v>-3</v>
      </c>
      <c r="BR10" s="433">
        <v>2.2999999999999998</v>
      </c>
      <c r="BS10" s="433">
        <v>-3.3</v>
      </c>
      <c r="BT10" s="433">
        <v>3.2</v>
      </c>
      <c r="BV10" s="479">
        <f t="shared" si="8"/>
        <v>-1.3333333333333333</v>
      </c>
      <c r="BX10" s="305">
        <v>37256</v>
      </c>
      <c r="BY10" s="489">
        <f t="shared" si="13"/>
        <v>6.4958673718964022E-2</v>
      </c>
      <c r="BZ10" s="301"/>
      <c r="CA10" s="301"/>
    </row>
    <row r="11" spans="1:79" ht="14.25" customHeight="1">
      <c r="A11" s="26" t="s">
        <v>95</v>
      </c>
      <c r="B11" s="26" t="s">
        <v>96</v>
      </c>
      <c r="C11" s="26" t="s">
        <v>97</v>
      </c>
      <c r="D11" s="26" t="s">
        <v>107</v>
      </c>
      <c r="E11" s="19">
        <v>861277000</v>
      </c>
      <c r="F11" s="37">
        <v>0</v>
      </c>
      <c r="G11" s="38">
        <f t="shared" si="0"/>
        <v>0</v>
      </c>
      <c r="H11" s="26"/>
      <c r="I11" s="26"/>
      <c r="J11" s="39"/>
      <c r="K11" s="56">
        <v>17</v>
      </c>
      <c r="L11" s="56" t="s">
        <v>108</v>
      </c>
      <c r="M11" s="49">
        <v>562.79783321969273</v>
      </c>
      <c r="N11" s="49">
        <v>522.66211231675095</v>
      </c>
      <c r="O11" s="49">
        <v>440.2592163308139</v>
      </c>
      <c r="P11" s="49">
        <v>504.05397347020914</v>
      </c>
      <c r="Q11" s="49">
        <v>568.12669388802692</v>
      </c>
      <c r="R11" s="49">
        <v>717.18262784968522</v>
      </c>
      <c r="S11" s="49">
        <v>769.46547995049877</v>
      </c>
      <c r="T11" s="49">
        <v>787.1938104204695</v>
      </c>
      <c r="U11" s="49">
        <v>755.66554327220081</v>
      </c>
      <c r="V11" s="49">
        <v>784.50923366980794</v>
      </c>
      <c r="W11" s="49">
        <v>798.70139730692074</v>
      </c>
      <c r="X11" s="49">
        <v>746.70216036222121</v>
      </c>
      <c r="Y11" s="49">
        <v>877.61138571762274</v>
      </c>
      <c r="Z11" s="49">
        <v>953.99385409940385</v>
      </c>
      <c r="AA11" s="49">
        <v>723.35136026474527</v>
      </c>
      <c r="AB11" s="49">
        <v>669.1212955583577</v>
      </c>
      <c r="AC11" s="49">
        <v>674.85113101697164</v>
      </c>
      <c r="AD11" s="49">
        <v>664.36448476824762</v>
      </c>
      <c r="AE11" s="49">
        <v>646.84725296805243</v>
      </c>
      <c r="AF11" s="49">
        <v>708.21624353898096</v>
      </c>
      <c r="AG11" s="49">
        <v>760.38530290449376</v>
      </c>
      <c r="AH11" s="49">
        <v>803.15613142667485</v>
      </c>
      <c r="AI11" s="49">
        <v>729.73083899999995</v>
      </c>
      <c r="AJ11" s="44">
        <v>-0.2</v>
      </c>
      <c r="AK11" s="26"/>
      <c r="AL11" s="44">
        <f t="shared" si="9"/>
        <v>-0.54505006636843933</v>
      </c>
      <c r="AM11" s="66" t="s">
        <v>100</v>
      </c>
      <c r="AN11" s="67" t="s">
        <v>101</v>
      </c>
      <c r="AO11" s="68">
        <v>3210780435.0855389</v>
      </c>
      <c r="AP11" s="62">
        <v>3696860978.3671312</v>
      </c>
      <c r="AQ11" s="62">
        <v>3999251970.1985168</v>
      </c>
      <c r="AR11" s="61">
        <v>3737146965.656817</v>
      </c>
      <c r="AS11" s="68">
        <v>3382693058.5201974</v>
      </c>
      <c r="AT11" s="62">
        <v>3916360316.3657074</v>
      </c>
      <c r="AU11" s="62">
        <v>4180024604.1222029</v>
      </c>
      <c r="AV11" s="62">
        <v>3940000240.4419394</v>
      </c>
      <c r="AW11" s="435">
        <f t="shared" ref="AW11:AZ11" si="23">AS11*(1+$AL11*AW$2)</f>
        <v>3198319350.9151478</v>
      </c>
      <c r="AX11" s="89">
        <f t="shared" si="23"/>
        <v>2208670356.0794268</v>
      </c>
      <c r="AY11" s="89">
        <f t="shared" si="23"/>
        <v>3040863260.1729445</v>
      </c>
      <c r="AZ11" s="436">
        <f t="shared" si="23"/>
        <v>3295751022.678576</v>
      </c>
      <c r="BA11" s="435">
        <f t="shared" ref="BA11:BD11" si="24">AS11*(1+$AL11*BA$2)</f>
        <v>3198319350.9151478</v>
      </c>
      <c r="BB11" s="89">
        <f t="shared" si="24"/>
        <v>2208670356.0794268</v>
      </c>
      <c r="BC11" s="89">
        <f t="shared" si="24"/>
        <v>3428178117.1156921</v>
      </c>
      <c r="BD11" s="436">
        <f t="shared" si="24"/>
        <v>3617875631.5602574</v>
      </c>
      <c r="BE11" s="435">
        <f t="shared" ref="BE11:BH11" si="25">AS11*(1+$AL11*BE$2)</f>
        <v>3198319350.9151478</v>
      </c>
      <c r="BF11" s="89">
        <f t="shared" si="25"/>
        <v>2208670356.0794268</v>
      </c>
      <c r="BG11" s="442">
        <f>AU11*(1+$AL11*30%)</f>
        <v>3496527797.7526484</v>
      </c>
      <c r="BH11" s="436">
        <f t="shared" si="25"/>
        <v>3940000240.4419394</v>
      </c>
      <c r="BI11" s="26"/>
      <c r="BJ11" s="26"/>
      <c r="BL11" s="446" t="s">
        <v>1260</v>
      </c>
      <c r="BM11" s="354" t="s">
        <v>116</v>
      </c>
      <c r="BN11" s="433">
        <f>(AW14/AS14-1)*100</f>
        <v>-1.0000000000000009</v>
      </c>
      <c r="BO11" s="432">
        <f>(BA14/AS14-1)*100</f>
        <v>-1.0000000000000009</v>
      </c>
      <c r="BP11" s="432">
        <f>(BE14/AS14-1)*100</f>
        <v>-1.0000000000000009</v>
      </c>
      <c r="BQ11" s="433">
        <v>-1.1000000000000001</v>
      </c>
      <c r="BR11" s="433">
        <v>5</v>
      </c>
      <c r="BS11" s="433">
        <v>-1.4</v>
      </c>
      <c r="BT11" s="433">
        <v>10.8</v>
      </c>
      <c r="BV11" s="479">
        <f t="shared" si="8"/>
        <v>0.83333333333333337</v>
      </c>
      <c r="BX11" s="305">
        <v>37346</v>
      </c>
      <c r="BY11" s="489">
        <f t="shared" si="13"/>
        <v>0.10431367473216491</v>
      </c>
      <c r="BZ11" s="301"/>
      <c r="CA11" s="301"/>
    </row>
    <row r="12" spans="1:79" ht="14.25" customHeight="1">
      <c r="A12" s="26" t="s">
        <v>95</v>
      </c>
      <c r="B12" s="26" t="s">
        <v>96</v>
      </c>
      <c r="C12" s="26" t="s">
        <v>109</v>
      </c>
      <c r="D12" s="26" t="s">
        <v>109</v>
      </c>
      <c r="E12" s="19">
        <v>178101000</v>
      </c>
      <c r="F12" s="37">
        <v>0</v>
      </c>
      <c r="G12" s="38">
        <f t="shared" si="0"/>
        <v>0</v>
      </c>
      <c r="H12" s="26"/>
      <c r="I12" s="26"/>
      <c r="J12" s="39"/>
      <c r="K12" s="56">
        <v>18</v>
      </c>
      <c r="L12" s="56" t="s">
        <v>110</v>
      </c>
      <c r="M12" s="49">
        <v>601.81543862725198</v>
      </c>
      <c r="N12" s="49">
        <v>651.20272102053821</v>
      </c>
      <c r="O12" s="49">
        <v>654.67500899744198</v>
      </c>
      <c r="P12" s="49">
        <v>617.34781809397759</v>
      </c>
      <c r="Q12" s="49">
        <v>661.79642647086735</v>
      </c>
      <c r="R12" s="49">
        <v>728.18463163784907</v>
      </c>
      <c r="S12" s="49">
        <v>760.39743525242159</v>
      </c>
      <c r="T12" s="49">
        <v>823.81373806030228</v>
      </c>
      <c r="U12" s="49">
        <v>999.09587927731275</v>
      </c>
      <c r="V12" s="49">
        <v>965.47744891368029</v>
      </c>
      <c r="W12" s="49">
        <v>935.3581099537206</v>
      </c>
      <c r="X12" s="49">
        <v>987.55486380544301</v>
      </c>
      <c r="Y12" s="49">
        <v>1165.0441133910149</v>
      </c>
      <c r="Z12" s="49">
        <v>1340.1649455456386</v>
      </c>
      <c r="AA12" s="49">
        <v>1224.1599644247417</v>
      </c>
      <c r="AB12" s="49">
        <v>1184.7033522174472</v>
      </c>
      <c r="AC12" s="49">
        <v>1260.8680350373133</v>
      </c>
      <c r="AD12" s="49">
        <v>1172.7930481081075</v>
      </c>
      <c r="AE12" s="49">
        <v>1172.0042315968012</v>
      </c>
      <c r="AF12" s="49">
        <v>1254.8122152907204</v>
      </c>
      <c r="AG12" s="49">
        <v>1376.7747816483984</v>
      </c>
      <c r="AH12" s="49">
        <v>1305.5349177537164</v>
      </c>
      <c r="AI12" s="49">
        <v>1400.43353</v>
      </c>
      <c r="AJ12" s="44">
        <v>-0.5</v>
      </c>
      <c r="AK12" s="26"/>
      <c r="AL12" s="44">
        <f t="shared" si="9"/>
        <v>-0.82908055045047135</v>
      </c>
      <c r="AM12" s="66" t="s">
        <v>105</v>
      </c>
      <c r="AN12" s="67" t="s">
        <v>106</v>
      </c>
      <c r="AO12" s="68">
        <v>1840348263.7488832</v>
      </c>
      <c r="AP12" s="62">
        <v>5399481323.1180553</v>
      </c>
      <c r="AQ12" s="62">
        <v>11228494076.267529</v>
      </c>
      <c r="AR12" s="61">
        <v>2693589591.2420754</v>
      </c>
      <c r="AS12" s="68">
        <v>1931100761.3377123</v>
      </c>
      <c r="AT12" s="62">
        <v>5700862747.0998507</v>
      </c>
      <c r="AU12" s="62">
        <v>11910854067.492214</v>
      </c>
      <c r="AV12" s="62">
        <v>2909263025.2629733</v>
      </c>
      <c r="AW12" s="435">
        <f t="shared" ref="AW12:AZ12" si="26">AS12*(1+$AL12*AW$2)</f>
        <v>1770996953.1191928</v>
      </c>
      <c r="AX12" s="89">
        <f t="shared" si="26"/>
        <v>1919683207.5733461</v>
      </c>
      <c r="AY12" s="89">
        <f t="shared" si="26"/>
        <v>6973325344.1863747</v>
      </c>
      <c r="AZ12" s="436">
        <f t="shared" si="26"/>
        <v>2185659008.1459045</v>
      </c>
      <c r="BA12" s="435">
        <f t="shared" ref="BA12:BD12" si="27">AS12*(1+$AL12*BA$2)</f>
        <v>1770996953.1191928</v>
      </c>
      <c r="BB12" s="89">
        <f t="shared" si="27"/>
        <v>1919683207.5733461</v>
      </c>
      <c r="BC12" s="89">
        <f t="shared" si="27"/>
        <v>8652085110.1103592</v>
      </c>
      <c r="BD12" s="436">
        <f t="shared" si="27"/>
        <v>2547461016.7044392</v>
      </c>
      <c r="BE12" s="435">
        <f t="shared" ref="BE12:BH12" si="28">AS12*(1+$AL12*BE$2)</f>
        <v>1770996953.1191928</v>
      </c>
      <c r="BF12" s="89">
        <f t="shared" si="28"/>
        <v>1919683207.5733461</v>
      </c>
      <c r="BG12" s="442">
        <f>AU12*(1+$AL12*30%)</f>
        <v>8948336833.5087109</v>
      </c>
      <c r="BH12" s="436">
        <f t="shared" si="28"/>
        <v>2909263025.2629733</v>
      </c>
      <c r="BI12" s="26"/>
      <c r="BJ12" s="26"/>
      <c r="BL12" s="446" t="s">
        <v>1261</v>
      </c>
      <c r="BM12" s="354" t="s">
        <v>120</v>
      </c>
      <c r="BN12" s="433">
        <f>(AW15/AS15-1)*100</f>
        <v>-5.1667782010950685</v>
      </c>
      <c r="BO12" s="432">
        <f>(BA15/AS15-1)*100</f>
        <v>-5.1667782010950685</v>
      </c>
      <c r="BP12" s="432">
        <f>(BE15/AS15-1)*100</f>
        <v>-5.1667782010950685</v>
      </c>
      <c r="BQ12" s="433">
        <v>2.1</v>
      </c>
      <c r="BR12" s="433">
        <v>3.7</v>
      </c>
      <c r="BS12" s="433">
        <v>-0.1</v>
      </c>
      <c r="BT12" s="433">
        <v>2.5</v>
      </c>
      <c r="BV12" s="479">
        <f t="shared" si="8"/>
        <v>1.9000000000000004</v>
      </c>
      <c r="BX12" s="305">
        <v>37437</v>
      </c>
      <c r="BY12" s="489">
        <f t="shared" si="13"/>
        <v>7.5971426812556198E-2</v>
      </c>
      <c r="BZ12" s="301"/>
      <c r="CA12" s="301"/>
    </row>
    <row r="13" spans="1:79" ht="14.25" customHeight="1">
      <c r="A13" s="26" t="s">
        <v>95</v>
      </c>
      <c r="B13" s="26" t="s">
        <v>96</v>
      </c>
      <c r="C13" s="26" t="s">
        <v>113</v>
      </c>
      <c r="D13" s="26" t="s">
        <v>114</v>
      </c>
      <c r="E13" s="19">
        <v>117892000</v>
      </c>
      <c r="F13" s="37">
        <v>0</v>
      </c>
      <c r="G13" s="38">
        <f t="shared" si="0"/>
        <v>0</v>
      </c>
      <c r="H13" s="26"/>
      <c r="I13" s="26"/>
      <c r="J13" s="39"/>
      <c r="K13" s="56">
        <v>19</v>
      </c>
      <c r="L13" s="56" t="s">
        <v>115</v>
      </c>
      <c r="M13" s="49">
        <v>2257.8409274723681</v>
      </c>
      <c r="N13" s="49">
        <v>2070.6334494481926</v>
      </c>
      <c r="O13" s="49">
        <v>2402.3973334760772</v>
      </c>
      <c r="P13" s="49">
        <v>2868.3541666658243</v>
      </c>
      <c r="Q13" s="49">
        <v>2659.6970134339617</v>
      </c>
      <c r="R13" s="49">
        <v>3835.6775847404097</v>
      </c>
      <c r="S13" s="49">
        <v>3545.5151841849138</v>
      </c>
      <c r="T13" s="49">
        <v>2418.5973450065958</v>
      </c>
      <c r="U13" s="49">
        <v>2976.2969281769829</v>
      </c>
      <c r="V13" s="49">
        <v>3915.7721859454327</v>
      </c>
      <c r="W13" s="49">
        <v>3926.1353321281645</v>
      </c>
      <c r="X13" s="49">
        <v>3602.2249445457533</v>
      </c>
      <c r="Y13" s="49">
        <v>4027.4887127214242</v>
      </c>
      <c r="Z13" s="49">
        <v>3152.411685</v>
      </c>
      <c r="AA13" s="49">
        <v>3930.2309230000001</v>
      </c>
      <c r="AB13" s="49">
        <v>5128.676179</v>
      </c>
      <c r="AC13" s="49">
        <v>6637.449388</v>
      </c>
      <c r="AD13" s="49">
        <v>7200.9454779999996</v>
      </c>
      <c r="AE13" s="49">
        <v>5815.2718489999997</v>
      </c>
      <c r="AF13" s="49">
        <v>4642.9800809999997</v>
      </c>
      <c r="AG13" s="49">
        <v>4466.7654670000002</v>
      </c>
      <c r="AH13" s="49">
        <v>4030.695512333315</v>
      </c>
      <c r="AI13" s="49">
        <v>4263.5669399999997</v>
      </c>
      <c r="AJ13" s="44">
        <v>-0.3</v>
      </c>
      <c r="AK13" s="26"/>
      <c r="AL13" s="44">
        <f t="shared" si="9"/>
        <v>-4.1528142175114642E-2</v>
      </c>
      <c r="AM13" s="66" t="s">
        <v>111</v>
      </c>
      <c r="AN13" s="67" t="s">
        <v>112</v>
      </c>
      <c r="AO13" s="68">
        <v>3657383389.1967592</v>
      </c>
      <c r="AP13" s="62">
        <v>3758975722.2994876</v>
      </c>
      <c r="AQ13" s="62">
        <v>3854339031.6214604</v>
      </c>
      <c r="AR13" s="61">
        <v>4019688524.1854534</v>
      </c>
      <c r="AS13" s="68">
        <v>3844048726.5542693</v>
      </c>
      <c r="AT13" s="62">
        <v>3980781716.1455951</v>
      </c>
      <c r="AU13" s="62">
        <v>4028091928.2845793</v>
      </c>
      <c r="AV13" s="62">
        <v>4255449015.7511702</v>
      </c>
      <c r="AW13" s="435">
        <f t="shared" ref="AW13:AZ13" si="29">AS13*(1+$AL13*AW$2)</f>
        <v>3828085106.3498278</v>
      </c>
      <c r="AX13" s="89">
        <f t="shared" si="29"/>
        <v>3848530140.8846426</v>
      </c>
      <c r="AY13" s="89">
        <f t="shared" si="29"/>
        <v>3944452341.1384625</v>
      </c>
      <c r="AZ13" s="436">
        <f t="shared" si="29"/>
        <v>4202432748.2276502</v>
      </c>
      <c r="BA13" s="435">
        <f t="shared" ref="BA13:BD13" si="30">AS13*(1+$AL13*BA$2)</f>
        <v>3828085106.3498278</v>
      </c>
      <c r="BB13" s="89">
        <f t="shared" si="30"/>
        <v>3848530140.8846426</v>
      </c>
      <c r="BC13" s="89">
        <f t="shared" si="30"/>
        <v>3972889800.7681422</v>
      </c>
      <c r="BD13" s="436">
        <f t="shared" si="30"/>
        <v>4228940881.9894099</v>
      </c>
      <c r="BE13" s="435">
        <f t="shared" ref="BE13:BH13" si="31">AS13*(1+$AL13*BE$2)</f>
        <v>3828085106.3498278</v>
      </c>
      <c r="BF13" s="89">
        <f t="shared" si="31"/>
        <v>3848530140.8846426</v>
      </c>
      <c r="BG13" s="89">
        <f t="shared" si="31"/>
        <v>4028091928.2845793</v>
      </c>
      <c r="BH13" s="436">
        <f t="shared" si="31"/>
        <v>4255449015.7511702</v>
      </c>
      <c r="BI13" s="26"/>
      <c r="BJ13" s="26"/>
      <c r="BL13" s="354" t="s">
        <v>1265</v>
      </c>
      <c r="BM13" s="354" t="s">
        <v>1293</v>
      </c>
      <c r="BN13" s="433">
        <f>(SUM(AW16:AW17)/SUM(AS16:AS17)-1)*100</f>
        <v>-4.031091470375614</v>
      </c>
      <c r="BO13" s="432">
        <f>(SUM(BA16:BA17)/SUM(AS16:AS17)-1)*100</f>
        <v>-4.031091470375614</v>
      </c>
      <c r="BP13" s="432">
        <f>(SUM(BE16:BE17)/SUM(AS16:AS17)-1)*100</f>
        <v>-4.031091470375614</v>
      </c>
      <c r="BQ13" s="433">
        <v>-3.6</v>
      </c>
      <c r="BR13" s="433">
        <v>-0.6</v>
      </c>
      <c r="BS13" s="433">
        <v>-4.9000000000000004</v>
      </c>
      <c r="BT13" s="433">
        <v>3.4</v>
      </c>
      <c r="BV13" s="479">
        <f t="shared" si="8"/>
        <v>-3.0333333333333337</v>
      </c>
      <c r="BX13" s="305">
        <v>37529</v>
      </c>
      <c r="BY13" s="489">
        <f t="shared" si="13"/>
        <v>0.11439032141653049</v>
      </c>
      <c r="BZ13" s="301"/>
      <c r="CA13" s="301"/>
    </row>
    <row r="14" spans="1:79" ht="14.25" customHeight="1">
      <c r="A14" s="26" t="s">
        <v>95</v>
      </c>
      <c r="B14" s="26" t="s">
        <v>96</v>
      </c>
      <c r="C14" s="26" t="s">
        <v>113</v>
      </c>
      <c r="D14" s="26" t="s">
        <v>118</v>
      </c>
      <c r="E14" s="19">
        <v>211219000</v>
      </c>
      <c r="F14" s="37">
        <v>0</v>
      </c>
      <c r="G14" s="38">
        <f t="shared" si="0"/>
        <v>0</v>
      </c>
      <c r="H14" s="26"/>
      <c r="I14" s="26"/>
      <c r="J14" s="39"/>
      <c r="K14" s="56">
        <v>20</v>
      </c>
      <c r="L14" s="56" t="s">
        <v>119</v>
      </c>
      <c r="M14" s="49">
        <v>1052.6927270559154</v>
      </c>
      <c r="N14" s="49">
        <v>757.41793544596953</v>
      </c>
      <c r="O14" s="49">
        <v>1224.4222395758568</v>
      </c>
      <c r="P14" s="49">
        <v>1332.4501151681452</v>
      </c>
      <c r="Q14" s="49">
        <v>1512.5583561295771</v>
      </c>
      <c r="R14" s="49">
        <v>1624.0264740879036</v>
      </c>
      <c r="S14" s="49">
        <v>1711.6168611890507</v>
      </c>
      <c r="T14" s="49">
        <v>1359.6810874699358</v>
      </c>
      <c r="U14" s="49">
        <v>1199.5790158881155</v>
      </c>
      <c r="V14" s="49">
        <v>1257.8831395197383</v>
      </c>
      <c r="W14" s="49">
        <v>1381.6842216552795</v>
      </c>
      <c r="X14" s="49">
        <v>1136.1926807754373</v>
      </c>
      <c r="Y14" s="49">
        <v>1339.4510606968713</v>
      </c>
      <c r="Z14" s="49">
        <v>1482.9453183169442</v>
      </c>
      <c r="AA14" s="49">
        <v>1361.0274988603487</v>
      </c>
      <c r="AB14" s="49">
        <v>1524.9214349979572</v>
      </c>
      <c r="AC14" s="49">
        <v>1521.7563224678449</v>
      </c>
      <c r="AD14" s="49">
        <v>1549.7475443776359</v>
      </c>
      <c r="AE14" s="49">
        <v>1289.9393481541786</v>
      </c>
      <c r="AF14" s="49">
        <v>1256.9257443150702</v>
      </c>
      <c r="AG14" s="49">
        <v>1369.5707057697</v>
      </c>
      <c r="AH14" s="49">
        <v>1263.3238311397854</v>
      </c>
      <c r="AI14" s="49">
        <v>1210.34761</v>
      </c>
      <c r="AJ14" s="44">
        <v>-0.3</v>
      </c>
      <c r="AK14" s="26"/>
      <c r="AL14" s="44">
        <f t="shared" si="9"/>
        <v>-0.1</v>
      </c>
      <c r="AM14" s="66" t="s">
        <v>116</v>
      </c>
      <c r="AN14" s="67" t="s">
        <v>117</v>
      </c>
      <c r="AO14" s="68">
        <v>4800740801.2783575</v>
      </c>
      <c r="AP14" s="62">
        <v>4914722872.864994</v>
      </c>
      <c r="AQ14" s="62">
        <v>4896727484.3688965</v>
      </c>
      <c r="AR14" s="61">
        <v>4879694877.8391962</v>
      </c>
      <c r="AS14" s="68">
        <v>4958863664.5263395</v>
      </c>
      <c r="AT14" s="62">
        <v>5035351787.8344822</v>
      </c>
      <c r="AU14" s="62">
        <v>5018667975.7101974</v>
      </c>
      <c r="AV14" s="62">
        <v>5034317937.1384211</v>
      </c>
      <c r="AW14" s="435">
        <f t="shared" ref="AW14:AZ14" si="32">AS14*(1+$AL14*AW$2)</f>
        <v>4909275027.8810759</v>
      </c>
      <c r="AX14" s="89">
        <f t="shared" si="32"/>
        <v>4632523644.807723</v>
      </c>
      <c r="AY14" s="89">
        <f t="shared" si="32"/>
        <v>4767734576.9246874</v>
      </c>
      <c r="AZ14" s="436">
        <f t="shared" si="32"/>
        <v>4883288399.0242682</v>
      </c>
      <c r="BA14" s="435">
        <f t="shared" ref="BA14:BD14" si="33">AS14*(1+$AL14*BA$2)</f>
        <v>4909275027.8810759</v>
      </c>
      <c r="BB14" s="89">
        <f t="shared" si="33"/>
        <v>4632523644.807723</v>
      </c>
      <c r="BC14" s="89">
        <f t="shared" si="33"/>
        <v>4853051932.5117607</v>
      </c>
      <c r="BD14" s="436">
        <f t="shared" si="33"/>
        <v>4958803168.0813446</v>
      </c>
      <c r="BE14" s="435">
        <f t="shared" ref="BE14:BH14" si="34">AS14*(1+$AL14*BE$2)</f>
        <v>4909275027.8810759</v>
      </c>
      <c r="BF14" s="89">
        <f t="shared" si="34"/>
        <v>4632523644.807723</v>
      </c>
      <c r="BG14" s="89">
        <f t="shared" si="34"/>
        <v>5018667975.7101974</v>
      </c>
      <c r="BH14" s="436">
        <f t="shared" si="34"/>
        <v>5034317937.1384211</v>
      </c>
      <c r="BI14" s="26"/>
      <c r="BJ14" s="26"/>
      <c r="BL14" s="446" t="s">
        <v>1262</v>
      </c>
      <c r="BM14" s="354" t="s">
        <v>1294</v>
      </c>
      <c r="BN14" s="433">
        <f>(SUM(AW18:AW20)/SUM(AS18:AS20)-1)*100</f>
        <v>-0.33549008946236469</v>
      </c>
      <c r="BO14" s="432">
        <f>(SUM(BA18:BA20)/SUM(AS18:AS20)-1)*100</f>
        <v>-0.33549008946236469</v>
      </c>
      <c r="BP14" s="432">
        <f>(SUM(BE18:BE20)/SUM(AS18:AS20)-1)*100</f>
        <v>-0.33549008946236469</v>
      </c>
      <c r="BQ14" s="433">
        <v>0.4</v>
      </c>
      <c r="BR14" s="433">
        <v>2.7</v>
      </c>
      <c r="BS14" s="433">
        <v>4.4000000000000004</v>
      </c>
      <c r="BT14" s="433">
        <v>3.7</v>
      </c>
      <c r="BV14" s="479">
        <f t="shared" si="8"/>
        <v>2.5</v>
      </c>
      <c r="BX14" s="305">
        <v>37621</v>
      </c>
      <c r="BY14" s="489">
        <f t="shared" si="13"/>
        <v>7.2090514715654974E-2</v>
      </c>
      <c r="BZ14" s="301"/>
      <c r="CA14" s="301"/>
    </row>
    <row r="15" spans="1:79" ht="14.25" customHeight="1">
      <c r="A15" s="26" t="s">
        <v>95</v>
      </c>
      <c r="B15" s="26" t="s">
        <v>96</v>
      </c>
      <c r="C15" s="26" t="s">
        <v>122</v>
      </c>
      <c r="D15" s="26" t="s">
        <v>123</v>
      </c>
      <c r="E15" s="19">
        <v>1844284000</v>
      </c>
      <c r="F15" s="37">
        <v>0</v>
      </c>
      <c r="G15" s="38">
        <f t="shared" si="0"/>
        <v>0</v>
      </c>
      <c r="H15" s="26"/>
      <c r="I15" s="26"/>
      <c r="J15" s="39"/>
      <c r="K15" s="56">
        <v>21</v>
      </c>
      <c r="L15" s="56" t="s">
        <v>124</v>
      </c>
      <c r="M15" s="49">
        <v>1647.6105677630449</v>
      </c>
      <c r="N15" s="49">
        <v>1177.099005388229</v>
      </c>
      <c r="O15" s="49">
        <v>1915.4865079426361</v>
      </c>
      <c r="P15" s="49">
        <v>2116.9567409027509</v>
      </c>
      <c r="Q15" s="49">
        <v>2414.3733822048212</v>
      </c>
      <c r="R15" s="49">
        <v>2581.237180314738</v>
      </c>
      <c r="S15" s="49">
        <v>2744.3610086764647</v>
      </c>
      <c r="T15" s="49">
        <v>2278.8663691056754</v>
      </c>
      <c r="U15" s="49">
        <v>2143.1126861753814</v>
      </c>
      <c r="V15" s="49">
        <v>2182.1968772948621</v>
      </c>
      <c r="W15" s="49">
        <v>2036.1722384562336</v>
      </c>
      <c r="X15" s="49">
        <v>1521.3836237650528</v>
      </c>
      <c r="Y15" s="49">
        <v>1787.8289595629196</v>
      </c>
      <c r="Z15" s="49">
        <v>2508.1680911563626</v>
      </c>
      <c r="AA15" s="49">
        <v>2056.2625422634319</v>
      </c>
      <c r="AB15" s="49">
        <v>2501.529328102969</v>
      </c>
      <c r="AC15" s="49">
        <v>2428.6473729999998</v>
      </c>
      <c r="AD15" s="49">
        <v>2745.0811623629561</v>
      </c>
      <c r="AE15" s="49">
        <v>2741.9594429899998</v>
      </c>
      <c r="AF15" s="49">
        <v>2949.6424644799995</v>
      </c>
      <c r="AG15" s="49">
        <v>2858.8463584300002</v>
      </c>
      <c r="AH15" s="49">
        <v>2838.916281239492</v>
      </c>
      <c r="AI15" s="49">
        <v>2716.6384899999998</v>
      </c>
      <c r="AJ15" s="44">
        <v>0</v>
      </c>
      <c r="AK15" s="26"/>
      <c r="AL15" s="44">
        <f t="shared" si="9"/>
        <v>-0.51667782010950702</v>
      </c>
      <c r="AM15" s="66" t="s">
        <v>120</v>
      </c>
      <c r="AN15" s="67" t="s">
        <v>121</v>
      </c>
      <c r="AO15" s="68">
        <v>7248277911.5398912</v>
      </c>
      <c r="AP15" s="62">
        <v>7371888019.1703148</v>
      </c>
      <c r="AQ15" s="62">
        <v>7379818939.3491116</v>
      </c>
      <c r="AR15" s="61">
        <v>7415909227.3976698</v>
      </c>
      <c r="AS15" s="68">
        <v>7436577994.5912552</v>
      </c>
      <c r="AT15" s="62">
        <v>7534917503.213026</v>
      </c>
      <c r="AU15" s="62">
        <v>7551773954.5032845</v>
      </c>
      <c r="AV15" s="62">
        <v>7597147794.6211195</v>
      </c>
      <c r="AW15" s="435">
        <f t="shared" ref="AW15:AZ15" si="35">AS15*(1+$AL15*AW$2)</f>
        <v>7052346503.8592815</v>
      </c>
      <c r="AX15" s="89">
        <f t="shared" si="35"/>
        <v>4420417703.0009651</v>
      </c>
      <c r="AY15" s="89">
        <f t="shared" si="35"/>
        <v>5600856902.1170301</v>
      </c>
      <c r="AZ15" s="436">
        <f t="shared" si="35"/>
        <v>6419564466.1487427</v>
      </c>
      <c r="BA15" s="435">
        <f t="shared" ref="BA15:BD15" si="36">AS15*(1+$AL15*BA$2)</f>
        <v>7052346503.8592815</v>
      </c>
      <c r="BB15" s="89">
        <f t="shared" si="36"/>
        <v>4420417703.0009651</v>
      </c>
      <c r="BC15" s="89">
        <f t="shared" si="36"/>
        <v>6264168699.9283571</v>
      </c>
      <c r="BD15" s="436">
        <f t="shared" si="36"/>
        <v>7008356130.3849306</v>
      </c>
      <c r="BE15" s="435">
        <f t="shared" ref="BE15:BH15" si="37">AS15*(1+$AL15*BE$2)</f>
        <v>7052346503.8592815</v>
      </c>
      <c r="BF15" s="89">
        <f t="shared" si="37"/>
        <v>4420417703.0009651</v>
      </c>
      <c r="BG15" s="89">
        <f t="shared" si="37"/>
        <v>7551773954.5032845</v>
      </c>
      <c r="BH15" s="436">
        <f t="shared" si="37"/>
        <v>7597147794.6211195</v>
      </c>
      <c r="BI15" s="26"/>
      <c r="BJ15" s="26"/>
      <c r="BL15" s="446" t="s">
        <v>1263</v>
      </c>
      <c r="BM15" s="354" t="s">
        <v>1295</v>
      </c>
      <c r="BN15" s="433">
        <f>(SUM(AW21:AW23)/SUM(AS21:AS23)-1)*100</f>
        <v>-6.5493160361727698</v>
      </c>
      <c r="BO15" s="432">
        <f>(SUM(BA21:BA23)/SUM(AS21:AS23)-1)*100</f>
        <v>-6.5493160361727698</v>
      </c>
      <c r="BP15" s="432">
        <f>(SUM(BE21:BE23)/SUM(AS21:AS23)-1)*100</f>
        <v>-6.5493160361727698</v>
      </c>
      <c r="BQ15" s="433">
        <v>-14.5</v>
      </c>
      <c r="BR15" s="433">
        <v>-6.1</v>
      </c>
      <c r="BS15" s="433">
        <v>-9.6</v>
      </c>
      <c r="BT15" s="433">
        <v>-3.9</v>
      </c>
      <c r="BV15" s="479">
        <f t="shared" si="8"/>
        <v>-10.066666666666668</v>
      </c>
      <c r="BX15" s="305">
        <v>37711</v>
      </c>
      <c r="BY15" s="489">
        <f t="shared" si="13"/>
        <v>9.781486010471574E-2</v>
      </c>
      <c r="BZ15" s="301"/>
      <c r="CA15" s="301"/>
    </row>
    <row r="16" spans="1:79" ht="14.25" customHeight="1">
      <c r="A16" s="26" t="s">
        <v>95</v>
      </c>
      <c r="B16" s="26" t="s">
        <v>96</v>
      </c>
      <c r="C16" s="26" t="s">
        <v>122</v>
      </c>
      <c r="D16" s="26" t="s">
        <v>125</v>
      </c>
      <c r="E16" s="19">
        <v>122417000</v>
      </c>
      <c r="F16" s="37">
        <v>0</v>
      </c>
      <c r="G16" s="38">
        <f t="shared" si="0"/>
        <v>0</v>
      </c>
      <c r="H16" s="26"/>
      <c r="I16" s="26"/>
      <c r="J16" s="39"/>
      <c r="K16" s="56">
        <v>22</v>
      </c>
      <c r="L16" s="56" t="s">
        <v>128</v>
      </c>
      <c r="M16" s="49">
        <v>525.05524530250386</v>
      </c>
      <c r="N16" s="49">
        <v>569.25897594548462</v>
      </c>
      <c r="O16" s="49">
        <v>698.65044341856117</v>
      </c>
      <c r="P16" s="49">
        <v>729.70015334933896</v>
      </c>
      <c r="Q16" s="49">
        <v>738.94399189537262</v>
      </c>
      <c r="R16" s="49">
        <v>817.70589989801715</v>
      </c>
      <c r="S16" s="49">
        <v>948.09702487458708</v>
      </c>
      <c r="T16" s="49">
        <v>867.6611543248174</v>
      </c>
      <c r="U16" s="49">
        <v>987.31725579879026</v>
      </c>
      <c r="V16" s="49">
        <v>940.06234156538801</v>
      </c>
      <c r="W16" s="49">
        <v>997.81809328847839</v>
      </c>
      <c r="X16" s="49">
        <v>1195.1987859280814</v>
      </c>
      <c r="Y16" s="49">
        <v>1323.83285467164</v>
      </c>
      <c r="Z16" s="49">
        <v>1420.1835781422162</v>
      </c>
      <c r="AA16" s="49">
        <v>1435.8773798856835</v>
      </c>
      <c r="AB16" s="49">
        <v>1067.5934163408895</v>
      </c>
      <c r="AC16" s="49">
        <v>1315.6483813220034</v>
      </c>
      <c r="AD16" s="49">
        <v>1366.1870902149467</v>
      </c>
      <c r="AE16" s="49">
        <v>1371.3184065835162</v>
      </c>
      <c r="AF16" s="49">
        <v>1559.7369758406649</v>
      </c>
      <c r="AG16" s="49">
        <v>1799.1192407100373</v>
      </c>
      <c r="AH16" s="49">
        <v>1838.357205647719</v>
      </c>
      <c r="AI16" s="49">
        <v>1902.8873510000001</v>
      </c>
      <c r="AJ16" s="44">
        <v>-0.3</v>
      </c>
      <c r="AK16" s="26"/>
      <c r="AL16" s="44">
        <f t="shared" si="9"/>
        <v>-0.31677438905694238</v>
      </c>
      <c r="AM16" s="66" t="s">
        <v>126</v>
      </c>
      <c r="AN16" s="67" t="s">
        <v>127</v>
      </c>
      <c r="AO16" s="68">
        <v>4564471018.8363495</v>
      </c>
      <c r="AP16" s="62">
        <v>4754153405.2645845</v>
      </c>
      <c r="AQ16" s="62">
        <v>4723039858.1062489</v>
      </c>
      <c r="AR16" s="61">
        <v>4729814087.5143414</v>
      </c>
      <c r="AS16" s="68">
        <v>4759928039.3599815</v>
      </c>
      <c r="AT16" s="62">
        <v>4925281254.8888817</v>
      </c>
      <c r="AU16" s="62">
        <v>4934184078.2433167</v>
      </c>
      <c r="AV16" s="62">
        <v>5000875652.340167</v>
      </c>
      <c r="AW16" s="435">
        <f t="shared" ref="AW16:AZ16" si="38">AS16*(1+$AL16*AW$2)</f>
        <v>4609145709.6976547</v>
      </c>
      <c r="AX16" s="89">
        <f t="shared" si="38"/>
        <v>3677118886.5280528</v>
      </c>
      <c r="AY16" s="89">
        <f t="shared" si="38"/>
        <v>4152672504.8033071</v>
      </c>
      <c r="AZ16" s="436">
        <f t="shared" si="38"/>
        <v>4525630853.4842291</v>
      </c>
      <c r="BA16" s="435">
        <f t="shared" ref="BA16:BD16" si="39">AS16*(1+$AL16*BA$2)</f>
        <v>4609145709.6976547</v>
      </c>
      <c r="BB16" s="89">
        <f t="shared" si="39"/>
        <v>3677118886.5280528</v>
      </c>
      <c r="BC16" s="89">
        <f t="shared" si="39"/>
        <v>4418386439.7729101</v>
      </c>
      <c r="BD16" s="436">
        <f t="shared" si="39"/>
        <v>4763253252.9121981</v>
      </c>
      <c r="BE16" s="435">
        <f t="shared" ref="BE16:BH16" si="40">AS16*(1+$AL16*BE$2)</f>
        <v>4609145709.6976547</v>
      </c>
      <c r="BF16" s="89">
        <f t="shared" si="40"/>
        <v>3677118886.5280528</v>
      </c>
      <c r="BG16" s="89">
        <f t="shared" si="40"/>
        <v>4934184078.2433167</v>
      </c>
      <c r="BH16" s="436">
        <f t="shared" si="40"/>
        <v>5000875652.340167</v>
      </c>
      <c r="BI16" s="26"/>
      <c r="BJ16" s="26"/>
      <c r="BL16" s="354" t="s">
        <v>262</v>
      </c>
      <c r="BM16" s="354" t="s">
        <v>1296</v>
      </c>
      <c r="BN16" s="433">
        <f>(SUM(AW24)/SUM(AS24)-1)*100</f>
        <v>-2.5922606295161632</v>
      </c>
      <c r="BO16" s="432">
        <f>(SUM(BA24)/SUM(AS24)-1)*100</f>
        <v>-2.5922606295161632</v>
      </c>
      <c r="BP16" s="432">
        <f>(SUM(BE24)/SUM(AS24)-1)*100</f>
        <v>-2.5922606295161632</v>
      </c>
      <c r="BQ16" s="433">
        <v>-3.4</v>
      </c>
      <c r="BR16" s="433">
        <v>-1.3</v>
      </c>
      <c r="BS16" s="433">
        <v>-3.1</v>
      </c>
      <c r="BT16" s="433">
        <v>-0.7</v>
      </c>
      <c r="BV16" s="479">
        <f t="shared" si="8"/>
        <v>-2.6</v>
      </c>
      <c r="BX16" s="305">
        <v>37802</v>
      </c>
      <c r="BY16" s="489">
        <f t="shared" si="13"/>
        <v>0.11137882998535642</v>
      </c>
      <c r="BZ16" s="301"/>
      <c r="CA16" s="301"/>
    </row>
    <row r="17" spans="1:79" ht="14.25" customHeight="1">
      <c r="A17" s="26" t="s">
        <v>95</v>
      </c>
      <c r="B17" s="26" t="s">
        <v>96</v>
      </c>
      <c r="C17" s="26" t="s">
        <v>122</v>
      </c>
      <c r="D17" s="26" t="s">
        <v>129</v>
      </c>
      <c r="E17" s="19">
        <v>83413000</v>
      </c>
      <c r="F17" s="37">
        <v>0</v>
      </c>
      <c r="G17" s="38">
        <f t="shared" si="0"/>
        <v>0</v>
      </c>
      <c r="H17" s="26"/>
      <c r="I17" s="26"/>
      <c r="J17" s="39"/>
      <c r="K17" s="56">
        <v>23</v>
      </c>
      <c r="L17" s="56" t="s">
        <v>130</v>
      </c>
      <c r="M17" s="49">
        <v>1005.5460764509673</v>
      </c>
      <c r="N17" s="49">
        <v>1265.3218306750537</v>
      </c>
      <c r="O17" s="49">
        <v>1415.3545282194123</v>
      </c>
      <c r="P17" s="49">
        <v>1474.9970574450804</v>
      </c>
      <c r="Q17" s="49">
        <v>1582.5808067426628</v>
      </c>
      <c r="R17" s="49">
        <v>1782.7326257373986</v>
      </c>
      <c r="S17" s="49">
        <v>1943.2822700449346</v>
      </c>
      <c r="T17" s="49">
        <v>2318.1339330620081</v>
      </c>
      <c r="U17" s="49">
        <v>2604.2243733498917</v>
      </c>
      <c r="V17" s="49">
        <v>2850.2112091657868</v>
      </c>
      <c r="W17" s="49">
        <v>2888.3297315833388</v>
      </c>
      <c r="X17" s="49">
        <v>3159.3134381521227</v>
      </c>
      <c r="Y17" s="49">
        <v>3585.2164570480795</v>
      </c>
      <c r="Z17" s="49">
        <v>3660.3518661083222</v>
      </c>
      <c r="AA17" s="49">
        <v>3055.1655607052135</v>
      </c>
      <c r="AB17" s="49">
        <v>2213.0905894123944</v>
      </c>
      <c r="AC17" s="49">
        <v>2234.5256731961831</v>
      </c>
      <c r="AD17" s="49">
        <v>2218.9563325498316</v>
      </c>
      <c r="AE17" s="49">
        <v>2189.1341339404403</v>
      </c>
      <c r="AF17" s="49">
        <v>2280.4745183143282</v>
      </c>
      <c r="AG17" s="49">
        <v>2355.781129744089</v>
      </c>
      <c r="AH17" s="49">
        <v>2580.7560169422341</v>
      </c>
      <c r="AI17" s="49">
        <v>2616.5088780000001</v>
      </c>
      <c r="AJ17" s="44">
        <v>-0.3</v>
      </c>
      <c r="AK17" s="26"/>
      <c r="AL17" s="44">
        <f t="shared" si="9"/>
        <v>-0.61837167656011627</v>
      </c>
      <c r="AM17" s="66" t="s">
        <v>131</v>
      </c>
      <c r="AN17" s="67" t="s">
        <v>132</v>
      </c>
      <c r="AO17" s="68">
        <v>1798460021.5932519</v>
      </c>
      <c r="AP17" s="62">
        <v>2067658837.906873</v>
      </c>
      <c r="AQ17" s="62">
        <v>2104437631.9961686</v>
      </c>
      <c r="AR17" s="61">
        <v>1913131282.5494356</v>
      </c>
      <c r="AS17" s="68">
        <v>1909051408.9692099</v>
      </c>
      <c r="AT17" s="62">
        <v>2177866597.4040165</v>
      </c>
      <c r="AU17" s="62">
        <v>2229804151.6086035</v>
      </c>
      <c r="AV17" s="62">
        <v>2019786494.2388289</v>
      </c>
      <c r="AW17" s="435">
        <f t="shared" ref="AW17:AZ17" si="41">AS17*(1+$AL17*AW$2)</f>
        <v>1791001076.9288356</v>
      </c>
      <c r="AX17" s="89">
        <f t="shared" si="41"/>
        <v>1100481782.0752184</v>
      </c>
      <c r="AY17" s="89">
        <f t="shared" si="41"/>
        <v>1540380285.7931437</v>
      </c>
      <c r="AZ17" s="436">
        <f t="shared" si="41"/>
        <v>1645092866.0180457</v>
      </c>
      <c r="BA17" s="435">
        <f t="shared" ref="BA17:BD17" si="42">AS17*(1+$AL17*BA$2)</f>
        <v>1791001076.9288356</v>
      </c>
      <c r="BB17" s="89">
        <f t="shared" si="42"/>
        <v>1100481782.0752184</v>
      </c>
      <c r="BC17" s="89">
        <f t="shared" si="42"/>
        <v>1774784400.1703999</v>
      </c>
      <c r="BD17" s="436">
        <f t="shared" si="42"/>
        <v>1832439680.1284373</v>
      </c>
      <c r="BE17" s="435">
        <f t="shared" ref="BE17:BH17" si="43">AS17*(1+$AL17*BE$2)</f>
        <v>1791001076.9288356</v>
      </c>
      <c r="BF17" s="89">
        <f t="shared" si="43"/>
        <v>1100481782.0752184</v>
      </c>
      <c r="BG17" s="89">
        <f t="shared" si="43"/>
        <v>2229804151.6086035</v>
      </c>
      <c r="BH17" s="436">
        <f t="shared" si="43"/>
        <v>2019786494.2388289</v>
      </c>
      <c r="BI17" s="26"/>
      <c r="BJ17" s="26"/>
      <c r="BX17" s="305">
        <v>37894</v>
      </c>
      <c r="BY17" s="489">
        <f t="shared" si="13"/>
        <v>0.10288031748845161</v>
      </c>
      <c r="BZ17" s="301"/>
      <c r="CA17" s="301"/>
    </row>
    <row r="18" spans="1:79" ht="14.25" customHeight="1">
      <c r="A18" s="26" t="s">
        <v>95</v>
      </c>
      <c r="B18" s="26" t="s">
        <v>96</v>
      </c>
      <c r="C18" s="26" t="s">
        <v>133</v>
      </c>
      <c r="D18" s="26" t="s">
        <v>134</v>
      </c>
      <c r="E18" s="19">
        <v>108917000</v>
      </c>
      <c r="F18" s="37">
        <v>0</v>
      </c>
      <c r="G18" s="38">
        <f t="shared" si="0"/>
        <v>0</v>
      </c>
      <c r="H18" s="26"/>
      <c r="I18" s="26"/>
      <c r="J18" s="39"/>
      <c r="K18" s="56">
        <v>24</v>
      </c>
      <c r="L18" s="56" t="s">
        <v>135</v>
      </c>
      <c r="M18" s="49">
        <v>414.54549741238401</v>
      </c>
      <c r="N18" s="49">
        <v>269.79587681486868</v>
      </c>
      <c r="O18" s="49">
        <v>414.54406471054529</v>
      </c>
      <c r="P18" s="49">
        <v>434.57444595516989</v>
      </c>
      <c r="Q18" s="49">
        <v>356.07899342244241</v>
      </c>
      <c r="R18" s="49">
        <v>374.13877239071633</v>
      </c>
      <c r="S18" s="49">
        <v>380.0593115315981</v>
      </c>
      <c r="T18" s="49">
        <v>550.20536727918511</v>
      </c>
      <c r="U18" s="49">
        <v>465.20795318574596</v>
      </c>
      <c r="V18" s="49">
        <v>444.36032592738508</v>
      </c>
      <c r="W18" s="49">
        <v>605.67823936631373</v>
      </c>
      <c r="X18" s="49">
        <v>750.57225682519959</v>
      </c>
      <c r="Y18" s="49">
        <v>656.16642028910212</v>
      </c>
      <c r="Z18" s="49">
        <v>507.38109301253462</v>
      </c>
      <c r="AA18" s="49">
        <v>428.20748418389701</v>
      </c>
      <c r="AB18" s="49">
        <v>569.80805782789037</v>
      </c>
      <c r="AC18" s="49">
        <v>618.07463726685569</v>
      </c>
      <c r="AD18" s="49">
        <v>523.54893926704881</v>
      </c>
      <c r="AE18" s="49">
        <v>516.81196038627047</v>
      </c>
      <c r="AF18" s="49">
        <v>532.72042993455409</v>
      </c>
      <c r="AG18" s="49">
        <v>452.46072999715136</v>
      </c>
      <c r="AH18" s="49">
        <v>461.28793049097004</v>
      </c>
      <c r="AI18" s="49">
        <v>448.38190600000001</v>
      </c>
      <c r="AJ18" s="44">
        <v>-0.3</v>
      </c>
      <c r="AK18" s="26"/>
      <c r="AL18" s="44">
        <f t="shared" si="9"/>
        <v>-0.05</v>
      </c>
      <c r="AM18" s="66" t="s">
        <v>136</v>
      </c>
      <c r="AN18" s="67" t="s">
        <v>137</v>
      </c>
      <c r="AO18" s="68">
        <v>4130592221.4976058</v>
      </c>
      <c r="AP18" s="62">
        <v>4253220851.7532821</v>
      </c>
      <c r="AQ18" s="62">
        <v>4280526728.6929507</v>
      </c>
      <c r="AR18" s="61">
        <v>4222703171.6520257</v>
      </c>
      <c r="AS18" s="68">
        <v>4291026981.0160794</v>
      </c>
      <c r="AT18" s="62">
        <v>4486989525.7287045</v>
      </c>
      <c r="AU18" s="62">
        <v>4526669566.6131687</v>
      </c>
      <c r="AV18" s="62">
        <v>4414825930.062232</v>
      </c>
      <c r="AW18" s="435">
        <f t="shared" ref="AW18:AZ18" si="44">AS18*(1+$AL18*AW$2)</f>
        <v>4269571846.1109991</v>
      </c>
      <c r="AX18" s="89">
        <f t="shared" si="44"/>
        <v>4307509944.6995564</v>
      </c>
      <c r="AY18" s="89">
        <f t="shared" si="44"/>
        <v>4413502827.4478397</v>
      </c>
      <c r="AZ18" s="436">
        <f t="shared" si="44"/>
        <v>4348603541.1112986</v>
      </c>
      <c r="BA18" s="435">
        <f t="shared" ref="BA18:BD18" si="45">AS18*(1+$AL18*BA$2)</f>
        <v>4269571846.1109991</v>
      </c>
      <c r="BB18" s="89">
        <f t="shared" si="45"/>
        <v>4307509944.6995564</v>
      </c>
      <c r="BC18" s="89">
        <f t="shared" si="45"/>
        <v>4451979518.7640514</v>
      </c>
      <c r="BD18" s="436">
        <f t="shared" si="45"/>
        <v>4381714735.5867653</v>
      </c>
      <c r="BE18" s="435">
        <f t="shared" ref="BE18:BH18" si="46">AS18*(1+$AL18*BE$2)</f>
        <v>4269571846.1109991</v>
      </c>
      <c r="BF18" s="89">
        <f t="shared" si="46"/>
        <v>4307509944.6995564</v>
      </c>
      <c r="BG18" s="89">
        <f t="shared" si="46"/>
        <v>4526669566.6131687</v>
      </c>
      <c r="BH18" s="436">
        <f t="shared" si="46"/>
        <v>4414825930.062232</v>
      </c>
      <c r="BI18" s="26"/>
      <c r="BJ18" s="26"/>
      <c r="BM18" s="434" t="s">
        <v>1267</v>
      </c>
      <c r="BX18" s="305">
        <v>37986</v>
      </c>
      <c r="BY18" s="489">
        <f t="shared" si="13"/>
        <v>9.4703458325170908E-2</v>
      </c>
      <c r="BZ18" s="301"/>
      <c r="CA18" s="301"/>
    </row>
    <row r="19" spans="1:79" ht="14.25" customHeight="1">
      <c r="A19" s="26" t="s">
        <v>95</v>
      </c>
      <c r="B19" s="26" t="s">
        <v>96</v>
      </c>
      <c r="C19" s="26" t="s">
        <v>133</v>
      </c>
      <c r="D19" s="26" t="s">
        <v>138</v>
      </c>
      <c r="E19" s="19">
        <v>357740000</v>
      </c>
      <c r="F19" s="37">
        <v>0</v>
      </c>
      <c r="G19" s="38">
        <f t="shared" si="0"/>
        <v>0</v>
      </c>
      <c r="H19" s="26"/>
      <c r="I19" s="26"/>
      <c r="J19" s="39"/>
      <c r="K19" s="56">
        <v>25</v>
      </c>
      <c r="L19" s="56" t="s">
        <v>139</v>
      </c>
      <c r="M19" s="49">
        <v>1422.0083957698344</v>
      </c>
      <c r="N19" s="49">
        <v>1542.4918751043936</v>
      </c>
      <c r="O19" s="49">
        <v>1708.93396179355</v>
      </c>
      <c r="P19" s="49">
        <v>1662.9917706810488</v>
      </c>
      <c r="Q19" s="49">
        <v>1678.700698413744</v>
      </c>
      <c r="R19" s="49">
        <v>1760.0097593544883</v>
      </c>
      <c r="S19" s="49">
        <v>2019.4911587419438</v>
      </c>
      <c r="T19" s="49">
        <v>2489.9640915502041</v>
      </c>
      <c r="U19" s="49">
        <v>2868.7531882067819</v>
      </c>
      <c r="V19" s="49">
        <v>2974.8943400164439</v>
      </c>
      <c r="W19" s="49">
        <v>3058.4284333347196</v>
      </c>
      <c r="X19" s="49">
        <v>3671.7810061769774</v>
      </c>
      <c r="Y19" s="49">
        <v>4277.6326787816943</v>
      </c>
      <c r="Z19" s="49">
        <v>4600.89227275761</v>
      </c>
      <c r="AA19" s="49">
        <v>4180.8217773230099</v>
      </c>
      <c r="AB19" s="49">
        <v>3501.1640382914029</v>
      </c>
      <c r="AC19" s="49">
        <v>3751.7315025633316</v>
      </c>
      <c r="AD19" s="49">
        <v>3764.9885876198596</v>
      </c>
      <c r="AE19" s="49">
        <v>3911.9577575760536</v>
      </c>
      <c r="AF19" s="49">
        <v>4063.419499211956</v>
      </c>
      <c r="AG19" s="49">
        <v>4483.3744809485661</v>
      </c>
      <c r="AH19" s="49">
        <v>5428.7459007121497</v>
      </c>
      <c r="AI19" s="49">
        <v>5728.884924</v>
      </c>
      <c r="AJ19" s="44">
        <v>-0.3</v>
      </c>
      <c r="AK19" s="26"/>
      <c r="AL19" s="44">
        <f t="shared" si="9"/>
        <v>-0.05</v>
      </c>
      <c r="AM19" s="66" t="s">
        <v>140</v>
      </c>
      <c r="AN19" s="67" t="s">
        <v>141</v>
      </c>
      <c r="AO19" s="68">
        <v>3880895881.9072118</v>
      </c>
      <c r="AP19" s="62">
        <v>4027151736.0434813</v>
      </c>
      <c r="AQ19" s="62">
        <v>4036941995.2910008</v>
      </c>
      <c r="AR19" s="61">
        <v>3962204947.4729667</v>
      </c>
      <c r="AS19" s="68">
        <v>4059910476.0957546</v>
      </c>
      <c r="AT19" s="62">
        <v>4238726199.3988762</v>
      </c>
      <c r="AU19" s="62">
        <v>4258161874.3666344</v>
      </c>
      <c r="AV19" s="62">
        <v>4198847020.791544</v>
      </c>
      <c r="AW19" s="435">
        <f t="shared" ref="AW19:AZ19" si="47">AS19*(1+$AL19*AW$2)</f>
        <v>4039610923.7152758</v>
      </c>
      <c r="AX19" s="89">
        <f t="shared" si="47"/>
        <v>4069177151.4229212</v>
      </c>
      <c r="AY19" s="89">
        <f t="shared" si="47"/>
        <v>4151707827.5074682</v>
      </c>
      <c r="AZ19" s="436">
        <f t="shared" si="47"/>
        <v>4135864315.4796705</v>
      </c>
      <c r="BA19" s="435">
        <f t="shared" ref="BA19:BD19" si="48">AS19*(1+$AL19*BA$2)</f>
        <v>4039610923.7152758</v>
      </c>
      <c r="BB19" s="89">
        <f t="shared" si="48"/>
        <v>4069177151.4229212</v>
      </c>
      <c r="BC19" s="89">
        <f t="shared" si="48"/>
        <v>4187902203.4395852</v>
      </c>
      <c r="BD19" s="436">
        <f t="shared" si="48"/>
        <v>4167355668.1356077</v>
      </c>
      <c r="BE19" s="435">
        <f t="shared" ref="BE19:BH19" si="49">AS19*(1+$AL19*BE$2)</f>
        <v>4039610923.7152758</v>
      </c>
      <c r="BF19" s="89">
        <f t="shared" si="49"/>
        <v>4069177151.4229212</v>
      </c>
      <c r="BG19" s="89">
        <f t="shared" si="49"/>
        <v>4258161874.3666344</v>
      </c>
      <c r="BH19" s="436">
        <f t="shared" si="49"/>
        <v>4198847020.791544</v>
      </c>
      <c r="BI19" s="26"/>
      <c r="BJ19" s="26"/>
      <c r="BL19" s="429"/>
      <c r="BM19" s="354" t="s">
        <v>1264</v>
      </c>
      <c r="BN19" s="354" t="s">
        <v>1268</v>
      </c>
      <c r="BO19" s="354" t="s">
        <v>22</v>
      </c>
      <c r="BP19" s="354" t="s">
        <v>23</v>
      </c>
      <c r="BQ19" s="354" t="s">
        <v>24</v>
      </c>
      <c r="BR19" s="354" t="s">
        <v>1301</v>
      </c>
      <c r="BX19" s="305">
        <v>38077</v>
      </c>
      <c r="BY19" s="489">
        <f t="shared" si="13"/>
        <v>8.1545383188908582E-2</v>
      </c>
      <c r="BZ19" s="301"/>
      <c r="CA19" s="301"/>
    </row>
    <row r="20" spans="1:79" ht="14.25" customHeight="1">
      <c r="A20" s="26" t="s">
        <v>95</v>
      </c>
      <c r="B20" s="26" t="s">
        <v>96</v>
      </c>
      <c r="C20" s="26" t="s">
        <v>133</v>
      </c>
      <c r="D20" s="26" t="s">
        <v>142</v>
      </c>
      <c r="E20" s="19">
        <v>208854000</v>
      </c>
      <c r="F20" s="37">
        <v>0</v>
      </c>
      <c r="G20" s="38">
        <f t="shared" si="0"/>
        <v>0</v>
      </c>
      <c r="H20" s="26"/>
      <c r="I20" s="26"/>
      <c r="J20" s="39"/>
      <c r="K20" s="56">
        <v>26</v>
      </c>
      <c r="L20" s="56" t="s">
        <v>143</v>
      </c>
      <c r="M20" s="49">
        <v>511.40872259879484</v>
      </c>
      <c r="N20" s="49">
        <v>648.97245384644611</v>
      </c>
      <c r="O20" s="49">
        <v>695.34828135594535</v>
      </c>
      <c r="P20" s="49">
        <v>693.41764569372378</v>
      </c>
      <c r="Q20" s="49">
        <v>800.00033303308226</v>
      </c>
      <c r="R20" s="49">
        <v>1101.1463919389787</v>
      </c>
      <c r="S20" s="49">
        <v>1181.6512268284839</v>
      </c>
      <c r="T20" s="49">
        <v>1234.0709849015955</v>
      </c>
      <c r="U20" s="49">
        <v>1465.3426858093628</v>
      </c>
      <c r="V20" s="49">
        <v>1626.80382188462</v>
      </c>
      <c r="W20" s="49">
        <v>1721.049687061583</v>
      </c>
      <c r="X20" s="49">
        <v>1898.9635179492443</v>
      </c>
      <c r="Y20" s="49">
        <v>2179.2034103643505</v>
      </c>
      <c r="Z20" s="49">
        <v>2285.0064307730636</v>
      </c>
      <c r="AA20" s="49">
        <v>2144.1492333335786</v>
      </c>
      <c r="AB20" s="49">
        <v>2003.6467642811733</v>
      </c>
      <c r="AC20" s="49">
        <v>1837.832875344923</v>
      </c>
      <c r="AD20" s="49">
        <v>1638.5243306199523</v>
      </c>
      <c r="AE20" s="49">
        <v>1315.3133729830704</v>
      </c>
      <c r="AF20" s="49">
        <v>1413.9314517486125</v>
      </c>
      <c r="AG20" s="49">
        <v>1552.0507889983464</v>
      </c>
      <c r="AH20" s="49">
        <v>1832.8625376809489</v>
      </c>
      <c r="AI20" s="49">
        <v>1771.548196</v>
      </c>
      <c r="AJ20" s="44">
        <v>-0.3</v>
      </c>
      <c r="AK20" s="26"/>
      <c r="AL20" s="44">
        <f t="shared" si="9"/>
        <v>0</v>
      </c>
      <c r="AM20" s="66" t="s">
        <v>144</v>
      </c>
      <c r="AN20" s="67" t="s">
        <v>145</v>
      </c>
      <c r="AO20" s="68">
        <v>3873119312.3158937</v>
      </c>
      <c r="AP20" s="62">
        <v>4038958464.1243272</v>
      </c>
      <c r="AQ20" s="62">
        <v>4084406757.2179623</v>
      </c>
      <c r="AR20" s="61">
        <v>4052445396.5275102</v>
      </c>
      <c r="AS20" s="68">
        <v>4094940557.4877234</v>
      </c>
      <c r="AT20" s="62">
        <v>4265457998.4727039</v>
      </c>
      <c r="AU20" s="62">
        <v>4329920866.5782242</v>
      </c>
      <c r="AV20" s="62">
        <v>4277716264.2808185</v>
      </c>
      <c r="AW20" s="435">
        <f t="shared" ref="AW20:AZ20" si="50">AS20*(1+$AL20*AW$2)</f>
        <v>4094940557.4877234</v>
      </c>
      <c r="AX20" s="89">
        <f t="shared" si="50"/>
        <v>4265457998.4727039</v>
      </c>
      <c r="AY20" s="89">
        <f t="shared" si="50"/>
        <v>4329920866.5782242</v>
      </c>
      <c r="AZ20" s="436">
        <f t="shared" si="50"/>
        <v>4277716264.2808185</v>
      </c>
      <c r="BA20" s="435">
        <f t="shared" ref="BA20:BD20" si="51">AS20*(1+$AL20*BA$2)</f>
        <v>4094940557.4877234</v>
      </c>
      <c r="BB20" s="89">
        <f t="shared" si="51"/>
        <v>4265457998.4727039</v>
      </c>
      <c r="BC20" s="89">
        <f t="shared" si="51"/>
        <v>4329920866.5782242</v>
      </c>
      <c r="BD20" s="436">
        <f t="shared" si="51"/>
        <v>4277716264.2808185</v>
      </c>
      <c r="BE20" s="435">
        <f t="shared" ref="BE20:BH20" si="52">AS20*(1+$AL20*BE$2)</f>
        <v>4094940557.4877234</v>
      </c>
      <c r="BF20" s="89">
        <f t="shared" si="52"/>
        <v>4265457998.4727039</v>
      </c>
      <c r="BG20" s="89">
        <f t="shared" si="52"/>
        <v>4329920866.5782242</v>
      </c>
      <c r="BH20" s="436">
        <f t="shared" si="52"/>
        <v>4277716264.2808185</v>
      </c>
      <c r="BI20" s="26"/>
      <c r="BJ20" s="26"/>
      <c r="BL20" s="429"/>
      <c r="BM20" s="429" t="s">
        <v>1269</v>
      </c>
      <c r="BN20" s="433">
        <f>(AS4/AO4-1)*100</f>
        <v>0.49917633794378524</v>
      </c>
      <c r="BO20" s="433">
        <f>AL4*100</f>
        <v>3</v>
      </c>
      <c r="BP20" s="479">
        <f>BO20</f>
        <v>3</v>
      </c>
      <c r="BQ20" s="479">
        <f>BO20</f>
        <v>3</v>
      </c>
      <c r="BR20" s="354" t="s">
        <v>1147</v>
      </c>
      <c r="BX20" s="305">
        <v>38168</v>
      </c>
      <c r="BY20" s="489">
        <f t="shared" si="13"/>
        <v>7.7342954167629596E-2</v>
      </c>
      <c r="BZ20" s="301"/>
      <c r="CA20" s="301"/>
    </row>
    <row r="21" spans="1:79" ht="14.25" customHeight="1">
      <c r="A21" s="26" t="s">
        <v>95</v>
      </c>
      <c r="B21" s="26" t="s">
        <v>96</v>
      </c>
      <c r="C21" s="26" t="s">
        <v>133</v>
      </c>
      <c r="D21" s="26" t="s">
        <v>146</v>
      </c>
      <c r="E21" s="19">
        <v>25146000</v>
      </c>
      <c r="F21" s="37">
        <v>0</v>
      </c>
      <c r="G21" s="38">
        <f t="shared" si="0"/>
        <v>0</v>
      </c>
      <c r="H21" s="26"/>
      <c r="I21" s="26"/>
      <c r="J21" s="39"/>
      <c r="K21" s="56">
        <v>27</v>
      </c>
      <c r="L21" s="56" t="s">
        <v>147</v>
      </c>
      <c r="M21" s="49">
        <v>818.8171152803543</v>
      </c>
      <c r="N21" s="49">
        <v>819.84678261285353</v>
      </c>
      <c r="O21" s="49">
        <v>935.93445904160455</v>
      </c>
      <c r="P21" s="49">
        <v>958.9234702329145</v>
      </c>
      <c r="Q21" s="49">
        <v>961.35729892535949</v>
      </c>
      <c r="R21" s="49">
        <v>1077.5220958199568</v>
      </c>
      <c r="S21" s="49">
        <v>1185.3730086535759</v>
      </c>
      <c r="T21" s="49">
        <v>1248.3265703327045</v>
      </c>
      <c r="U21" s="49">
        <v>1436.5607069900441</v>
      </c>
      <c r="V21" s="49">
        <v>1664.5305469205418</v>
      </c>
      <c r="W21" s="49">
        <v>1684.9713914947404</v>
      </c>
      <c r="X21" s="49">
        <v>1933.891776769884</v>
      </c>
      <c r="Y21" s="49">
        <v>2062.2067899204799</v>
      </c>
      <c r="Z21" s="49">
        <v>2352.820712156953</v>
      </c>
      <c r="AA21" s="49">
        <v>2216.9722955882348</v>
      </c>
      <c r="AB21" s="49">
        <v>1898.3892208525037</v>
      </c>
      <c r="AC21" s="49">
        <v>1747.8306610400609</v>
      </c>
      <c r="AD21" s="49">
        <v>1467.425000116745</v>
      </c>
      <c r="AE21" s="49">
        <v>1469.2136277652999</v>
      </c>
      <c r="AF21" s="49">
        <v>1740.5195296414338</v>
      </c>
      <c r="AG21" s="49">
        <v>1862.7236688841324</v>
      </c>
      <c r="AH21" s="49">
        <v>2115.9809973313154</v>
      </c>
      <c r="AI21" s="49">
        <v>2180.688345</v>
      </c>
      <c r="AJ21" s="44">
        <v>-0.3</v>
      </c>
      <c r="AK21" s="26"/>
      <c r="AL21" s="44">
        <f t="shared" si="9"/>
        <v>-0.8</v>
      </c>
      <c r="AM21" s="66" t="s">
        <v>148</v>
      </c>
      <c r="AN21" s="67" t="s">
        <v>149</v>
      </c>
      <c r="AO21" s="68">
        <v>1485349427.3667221</v>
      </c>
      <c r="AP21" s="62">
        <v>1594712724.1842251</v>
      </c>
      <c r="AQ21" s="62">
        <v>1615967279.4739494</v>
      </c>
      <c r="AR21" s="61">
        <v>1567515690.5507941</v>
      </c>
      <c r="AS21" s="68">
        <v>1555910261.619422</v>
      </c>
      <c r="AT21" s="62">
        <v>1657885155.0249166</v>
      </c>
      <c r="AU21" s="62">
        <v>1690344977.8078318</v>
      </c>
      <c r="AV21" s="62">
        <v>1662252011.2987101</v>
      </c>
      <c r="AW21" s="435">
        <f t="shared" ref="AW21:AZ21" si="53">AS21*(1+$AL21*AW$2)</f>
        <v>1431437440.689868</v>
      </c>
      <c r="AX21" s="89">
        <f t="shared" si="53"/>
        <v>596838655.80896974</v>
      </c>
      <c r="AY21" s="89">
        <f t="shared" si="53"/>
        <v>1014206986.6846991</v>
      </c>
      <c r="AZ21" s="436">
        <f t="shared" si="53"/>
        <v>1263311528.5870197</v>
      </c>
      <c r="BA21" s="435">
        <f t="shared" ref="BA21:BD21" si="54">AS21*(1+$AL21*BA$2)</f>
        <v>1431437440.689868</v>
      </c>
      <c r="BB21" s="89">
        <f t="shared" si="54"/>
        <v>596838655.80896974</v>
      </c>
      <c r="BC21" s="89">
        <f t="shared" si="54"/>
        <v>1244093903.6665642</v>
      </c>
      <c r="BD21" s="436">
        <f t="shared" si="54"/>
        <v>1462781769.9428649</v>
      </c>
      <c r="BE21" s="435">
        <f t="shared" ref="BE21:BH21" si="55">AS21*(1+$AL21*BE$2)</f>
        <v>1431437440.689868</v>
      </c>
      <c r="BF21" s="89">
        <f t="shared" si="55"/>
        <v>596838655.80896974</v>
      </c>
      <c r="BG21" s="442">
        <f>AU21*(1+$AL21*30%)</f>
        <v>1284662183.1339521</v>
      </c>
      <c r="BH21" s="436">
        <f t="shared" si="55"/>
        <v>1662252011.2987101</v>
      </c>
      <c r="BI21" s="26"/>
      <c r="BJ21" s="26"/>
      <c r="BL21" s="429"/>
      <c r="BM21" s="429" t="s">
        <v>1270</v>
      </c>
      <c r="BN21" s="433">
        <f t="shared" ref="BN21:BN39" si="56">(AS5/AO5-1)*100</f>
        <v>-0.17639518425811573</v>
      </c>
      <c r="BO21" s="433">
        <f t="shared" ref="BO21:BO39" si="57">AL5*100</f>
        <v>-20</v>
      </c>
      <c r="BP21" s="479">
        <f t="shared" ref="BP21:BP39" si="58">BO21</f>
        <v>-20</v>
      </c>
      <c r="BQ21" s="479">
        <f t="shared" ref="BQ21:BQ39" si="59">BO21</f>
        <v>-20</v>
      </c>
      <c r="BR21" s="354" t="s">
        <v>1147</v>
      </c>
      <c r="BX21" s="305">
        <v>38260</v>
      </c>
      <c r="BY21" s="489">
        <f t="shared" si="13"/>
        <v>7.122444103133807E-2</v>
      </c>
      <c r="BZ21" s="301"/>
      <c r="CA21" s="301"/>
    </row>
    <row r="22" spans="1:79" ht="14.25" customHeight="1">
      <c r="A22" s="26" t="s">
        <v>95</v>
      </c>
      <c r="B22" s="26" t="s">
        <v>96</v>
      </c>
      <c r="C22" s="26" t="s">
        <v>133</v>
      </c>
      <c r="D22" s="26" t="s">
        <v>150</v>
      </c>
      <c r="E22" s="19">
        <v>266041000</v>
      </c>
      <c r="F22" s="37">
        <v>0</v>
      </c>
      <c r="G22" s="38">
        <f t="shared" si="0"/>
        <v>0</v>
      </c>
      <c r="H22" s="26"/>
      <c r="I22" s="26"/>
      <c r="J22" s="39"/>
      <c r="K22" s="56">
        <v>28</v>
      </c>
      <c r="L22" s="56" t="s">
        <v>151</v>
      </c>
      <c r="M22" s="49">
        <v>1008.2790855296821</v>
      </c>
      <c r="N22" s="49">
        <v>950.72659337798018</v>
      </c>
      <c r="O22" s="49">
        <v>1160.0463227339278</v>
      </c>
      <c r="P22" s="49">
        <v>939.5106152625408</v>
      </c>
      <c r="Q22" s="49">
        <v>964.10460402926731</v>
      </c>
      <c r="R22" s="49">
        <v>888.03641457813717</v>
      </c>
      <c r="S22" s="49">
        <v>1388.9511622478567</v>
      </c>
      <c r="T22" s="49">
        <v>1497.4759053165044</v>
      </c>
      <c r="U22" s="49">
        <v>1500.1053623901591</v>
      </c>
      <c r="V22" s="49">
        <v>1626.9243824942184</v>
      </c>
      <c r="W22" s="49">
        <v>1670.2797214533596</v>
      </c>
      <c r="X22" s="49">
        <v>1833.4959877035785</v>
      </c>
      <c r="Y22" s="49">
        <v>2084.5384275860374</v>
      </c>
      <c r="Z22" s="49">
        <v>1923.2199848726559</v>
      </c>
      <c r="AA22" s="49">
        <v>1653.983103454914</v>
      </c>
      <c r="AB22" s="49">
        <v>1546.0152108155798</v>
      </c>
      <c r="AC22" s="49">
        <v>1706.7451500193911</v>
      </c>
      <c r="AD22" s="49">
        <v>1625.4423674077864</v>
      </c>
      <c r="AE22" s="49">
        <v>1645.5809738896464</v>
      </c>
      <c r="AF22" s="49">
        <v>1787.226755596407</v>
      </c>
      <c r="AG22" s="49">
        <v>1963.7182131627121</v>
      </c>
      <c r="AH22" s="49">
        <v>2054.5203672470707</v>
      </c>
      <c r="AI22" s="49">
        <v>2122.5113620000002</v>
      </c>
      <c r="AJ22" s="44">
        <v>-0.3</v>
      </c>
      <c r="AK22" s="26"/>
      <c r="AL22" s="44">
        <f t="shared" si="9"/>
        <v>-0.5</v>
      </c>
      <c r="AM22" s="66" t="s">
        <v>152</v>
      </c>
      <c r="AN22" s="67" t="s">
        <v>153</v>
      </c>
      <c r="AO22" s="68">
        <v>1289669719.3770163</v>
      </c>
      <c r="AP22" s="62">
        <v>1348544650.7675931</v>
      </c>
      <c r="AQ22" s="62">
        <v>1368489819.811275</v>
      </c>
      <c r="AR22" s="61">
        <v>1343463881.8693728</v>
      </c>
      <c r="AS22" s="68">
        <v>1338688032.9314542</v>
      </c>
      <c r="AT22" s="62">
        <v>1397931872.3462901</v>
      </c>
      <c r="AU22" s="62">
        <v>1480650235.5826817</v>
      </c>
      <c r="AV22" s="62">
        <v>1414724963.0465534</v>
      </c>
      <c r="AW22" s="435">
        <f t="shared" ref="AW22:AZ22" si="60">AS22*(1+$AL22*AW$2)</f>
        <v>1271753631.2848814</v>
      </c>
      <c r="AX22" s="89">
        <f t="shared" si="60"/>
        <v>838759123.40777409</v>
      </c>
      <c r="AY22" s="89">
        <f t="shared" si="60"/>
        <v>1110487676.6870112</v>
      </c>
      <c r="AZ22" s="436">
        <f t="shared" si="60"/>
        <v>1202516218.5895703</v>
      </c>
      <c r="BA22" s="435">
        <f t="shared" ref="BA22:BD22" si="61">AS22*(1+$AL22*BA$2)</f>
        <v>1271753631.2848814</v>
      </c>
      <c r="BB22" s="89">
        <f t="shared" si="61"/>
        <v>838759123.40777409</v>
      </c>
      <c r="BC22" s="89">
        <f t="shared" si="61"/>
        <v>1236342946.711539</v>
      </c>
      <c r="BD22" s="436">
        <f t="shared" si="61"/>
        <v>1308620590.8180618</v>
      </c>
      <c r="BE22" s="435">
        <f t="shared" ref="BE22:BH22" si="62">AS22*(1+$AL22*BE$2)</f>
        <v>1271753631.2848814</v>
      </c>
      <c r="BF22" s="89">
        <f t="shared" si="62"/>
        <v>838759123.40777409</v>
      </c>
      <c r="BG22" s="89">
        <f t="shared" si="62"/>
        <v>1480650235.5826817</v>
      </c>
      <c r="BH22" s="436">
        <f t="shared" si="62"/>
        <v>1414724963.0465534</v>
      </c>
      <c r="BI22" s="26"/>
      <c r="BJ22" s="26"/>
      <c r="BL22" s="429"/>
      <c r="BM22" s="429" t="s">
        <v>1256</v>
      </c>
      <c r="BN22" s="433">
        <f t="shared" si="56"/>
        <v>3.2625506447576891</v>
      </c>
      <c r="BO22" s="433">
        <f t="shared" si="57"/>
        <v>-24.782298483907351</v>
      </c>
      <c r="BP22" s="479">
        <f t="shared" si="58"/>
        <v>-24.782298483907351</v>
      </c>
      <c r="BQ22" s="479">
        <f t="shared" si="59"/>
        <v>-24.782298483907351</v>
      </c>
      <c r="BR22" s="354" t="s">
        <v>1146</v>
      </c>
      <c r="BX22" s="305">
        <v>38352</v>
      </c>
      <c r="BY22" s="489">
        <f t="shared" si="13"/>
        <v>8.7731915829074358E-2</v>
      </c>
      <c r="BZ22" s="301"/>
      <c r="CA22" s="301"/>
    </row>
    <row r="23" spans="1:79" ht="14.25" customHeight="1">
      <c r="A23" s="26" t="s">
        <v>95</v>
      </c>
      <c r="B23" s="26" t="s">
        <v>96</v>
      </c>
      <c r="C23" s="26" t="s">
        <v>154</v>
      </c>
      <c r="D23" s="26" t="s">
        <v>155</v>
      </c>
      <c r="E23" s="19">
        <v>147515000</v>
      </c>
      <c r="F23" s="37">
        <v>0</v>
      </c>
      <c r="G23" s="38">
        <f t="shared" si="0"/>
        <v>0</v>
      </c>
      <c r="H23" s="26"/>
      <c r="I23" s="26"/>
      <c r="J23" s="39"/>
      <c r="K23" s="56">
        <v>29</v>
      </c>
      <c r="L23" s="56" t="s">
        <v>156</v>
      </c>
      <c r="M23" s="49">
        <v>178.11799366633201</v>
      </c>
      <c r="N23" s="49">
        <v>159.70790085107427</v>
      </c>
      <c r="O23" s="49">
        <v>180.34884375840443</v>
      </c>
      <c r="P23" s="49">
        <v>237.93867325226617</v>
      </c>
      <c r="Q23" s="49">
        <v>199.8876445166897</v>
      </c>
      <c r="R23" s="49">
        <v>174.75985470109671</v>
      </c>
      <c r="S23" s="49">
        <v>155.94195090005195</v>
      </c>
      <c r="T23" s="49">
        <v>324.65867750612688</v>
      </c>
      <c r="U23" s="49">
        <v>402.87975504058136</v>
      </c>
      <c r="V23" s="49">
        <v>353.00735364792479</v>
      </c>
      <c r="W23" s="49">
        <v>423.79157706626961</v>
      </c>
      <c r="X23" s="49">
        <v>443.92950823329141</v>
      </c>
      <c r="Y23" s="49">
        <v>485.72053288074159</v>
      </c>
      <c r="Z23" s="49">
        <v>529.54641219365067</v>
      </c>
      <c r="AA23" s="49">
        <v>468.81099707467507</v>
      </c>
      <c r="AB23" s="49">
        <v>432.21536443625092</v>
      </c>
      <c r="AC23" s="49">
        <v>403.04676579224656</v>
      </c>
      <c r="AD23" s="49">
        <v>351.15354561815093</v>
      </c>
      <c r="AE23" s="49">
        <v>265.01441555217303</v>
      </c>
      <c r="AF23" s="49">
        <v>283.64606099605226</v>
      </c>
      <c r="AG23" s="49">
        <v>342.62003094728948</v>
      </c>
      <c r="AH23" s="49">
        <v>414.0697492790178</v>
      </c>
      <c r="AI23" s="49">
        <v>393.75166200000001</v>
      </c>
      <c r="AJ23" s="44">
        <v>-0.5</v>
      </c>
      <c r="AK23" s="26"/>
      <c r="AL23" s="44">
        <f t="shared" si="9"/>
        <v>0</v>
      </c>
      <c r="AM23" s="71" t="s">
        <v>157</v>
      </c>
      <c r="AN23" s="72" t="s">
        <v>158</v>
      </c>
      <c r="AO23" s="68">
        <v>28881897.735942733</v>
      </c>
      <c r="AP23" s="62">
        <v>32786540.924800377</v>
      </c>
      <c r="AQ23" s="62">
        <v>31905546.646126527</v>
      </c>
      <c r="AR23" s="61">
        <v>29303225.084505342</v>
      </c>
      <c r="AS23" s="68">
        <v>27954557.059249841</v>
      </c>
      <c r="AT23" s="62">
        <v>29748575.567841545</v>
      </c>
      <c r="AU23" s="62">
        <v>29465117.243172906</v>
      </c>
      <c r="AV23" s="62">
        <v>26755742.275599446</v>
      </c>
      <c r="AW23" s="435">
        <f t="shared" ref="AW23:AZ23" si="63">AS23*(1+$AL23*AW$2)</f>
        <v>27954557.059249841</v>
      </c>
      <c r="AX23" s="89">
        <f t="shared" si="63"/>
        <v>29748575.567841545</v>
      </c>
      <c r="AY23" s="89">
        <f t="shared" si="63"/>
        <v>29465117.243172906</v>
      </c>
      <c r="AZ23" s="436">
        <f t="shared" si="63"/>
        <v>26755742.275599446</v>
      </c>
      <c r="BA23" s="435">
        <f t="shared" ref="BA23:BD23" si="64">AS23*(1+$AL23*BA$2)</f>
        <v>27954557.059249841</v>
      </c>
      <c r="BB23" s="89">
        <f t="shared" si="64"/>
        <v>29748575.567841545</v>
      </c>
      <c r="BC23" s="89">
        <f t="shared" si="64"/>
        <v>29465117.243172906</v>
      </c>
      <c r="BD23" s="436">
        <f t="shared" si="64"/>
        <v>26755742.275599446</v>
      </c>
      <c r="BE23" s="435">
        <f t="shared" ref="BE23:BH23" si="65">AS23*(1+$AL23*BE$2)</f>
        <v>27954557.059249841</v>
      </c>
      <c r="BF23" s="89">
        <f t="shared" si="65"/>
        <v>29748575.567841545</v>
      </c>
      <c r="BG23" s="89">
        <f t="shared" si="65"/>
        <v>29465117.243172906</v>
      </c>
      <c r="BH23" s="436">
        <f t="shared" si="65"/>
        <v>26755742.275599446</v>
      </c>
      <c r="BI23" s="26"/>
      <c r="BJ23" s="26"/>
      <c r="BL23" s="429"/>
      <c r="BM23" s="429" t="s">
        <v>1271</v>
      </c>
      <c r="BN23" s="433">
        <f t="shared" si="56"/>
        <v>1.62954382838989</v>
      </c>
      <c r="BO23" s="433">
        <f t="shared" si="57"/>
        <v>0</v>
      </c>
      <c r="BP23" s="479">
        <f t="shared" si="58"/>
        <v>0</v>
      </c>
      <c r="BQ23" s="479">
        <f t="shared" si="59"/>
        <v>0</v>
      </c>
      <c r="BR23" s="354" t="s">
        <v>1147</v>
      </c>
      <c r="BX23" s="305">
        <v>38442</v>
      </c>
      <c r="BY23" s="489">
        <f t="shared" si="13"/>
        <v>4.776030825896882E-2</v>
      </c>
      <c r="BZ23" s="301"/>
      <c r="CA23" s="301"/>
    </row>
    <row r="24" spans="1:79" ht="14.25" customHeight="1">
      <c r="A24" s="26" t="s">
        <v>95</v>
      </c>
      <c r="B24" s="26" t="s">
        <v>96</v>
      </c>
      <c r="C24" s="26" t="s">
        <v>154</v>
      </c>
      <c r="D24" s="26" t="s">
        <v>159</v>
      </c>
      <c r="E24" s="19">
        <v>926000</v>
      </c>
      <c r="F24" s="37">
        <v>0</v>
      </c>
      <c r="G24" s="38">
        <f t="shared" si="0"/>
        <v>0</v>
      </c>
      <c r="H24" s="26"/>
      <c r="I24" s="26"/>
      <c r="J24" s="39"/>
      <c r="K24" s="56">
        <v>30</v>
      </c>
      <c r="L24" s="56" t="s">
        <v>160</v>
      </c>
      <c r="M24" s="49">
        <v>447.16463868033435</v>
      </c>
      <c r="N24" s="49">
        <v>646.71100399991349</v>
      </c>
      <c r="O24" s="49">
        <v>699.9329096295271</v>
      </c>
      <c r="P24" s="49">
        <v>822.2137579706955</v>
      </c>
      <c r="Q24" s="49">
        <v>950.70423728965659</v>
      </c>
      <c r="R24" s="49">
        <v>1091.3722330163464</v>
      </c>
      <c r="S24" s="49">
        <v>1135.7110157628213</v>
      </c>
      <c r="T24" s="49">
        <v>1226.3063213945345</v>
      </c>
      <c r="U24" s="49">
        <v>1175.8434418935017</v>
      </c>
      <c r="V24" s="49">
        <v>1484.8064750865988</v>
      </c>
      <c r="W24" s="49">
        <v>1227.7971829314938</v>
      </c>
      <c r="X24" s="49">
        <v>1584.6507879776277</v>
      </c>
      <c r="Y24" s="49">
        <v>1601.0318788101854</v>
      </c>
      <c r="Z24" s="49">
        <v>1652.9993949874267</v>
      </c>
      <c r="AA24" s="49">
        <v>1639.3189445088271</v>
      </c>
      <c r="AB24" s="49">
        <v>1570.7491993127289</v>
      </c>
      <c r="AC24" s="49">
        <v>1516.8435203732604</v>
      </c>
      <c r="AD24" s="49">
        <v>1367.2731782098265</v>
      </c>
      <c r="AE24" s="49">
        <v>466.61760120360805</v>
      </c>
      <c r="AF24" s="49">
        <v>666.20637861480714</v>
      </c>
      <c r="AG24" s="49">
        <v>583.19831196208145</v>
      </c>
      <c r="AH24" s="49">
        <v>699.30146376360415</v>
      </c>
      <c r="AI24" s="49">
        <v>665.14563399999997</v>
      </c>
      <c r="AJ24" s="44">
        <f>SUMPRODUCT(E154:E160,F154:F160)/SUM(E154:E160)</f>
        <v>-0.40740497531674896</v>
      </c>
      <c r="AK24" s="26"/>
      <c r="AL24" s="26"/>
      <c r="AM24" s="73" t="s">
        <v>161</v>
      </c>
      <c r="AN24" s="74"/>
      <c r="AO24" s="75">
        <v>70683079140.35228</v>
      </c>
      <c r="AP24" s="76">
        <v>79396918220.089264</v>
      </c>
      <c r="AQ24" s="76">
        <v>86842405158.231934</v>
      </c>
      <c r="AR24" s="77">
        <v>77964036462.941055</v>
      </c>
      <c r="AS24" s="75">
        <v>74012192536.97316</v>
      </c>
      <c r="AT24" s="76">
        <v>82470573054.524857</v>
      </c>
      <c r="AU24" s="76">
        <v>90670065322.891006</v>
      </c>
      <c r="AV24" s="76">
        <v>81083380439.356857</v>
      </c>
      <c r="AW24" s="437">
        <f t="shared" ref="AW24:BH24" si="66">SUM(AW4:AW23)</f>
        <v>72093603608.795502</v>
      </c>
      <c r="AX24" s="438">
        <f t="shared" si="66"/>
        <v>62963371889.207489</v>
      </c>
      <c r="AY24" s="438">
        <f t="shared" si="66"/>
        <v>75700650320.43837</v>
      </c>
      <c r="AZ24" s="439">
        <f t="shared" si="66"/>
        <v>74537659728.520523</v>
      </c>
      <c r="BA24" s="437">
        <f t="shared" si="66"/>
        <v>72093603608.795502</v>
      </c>
      <c r="BB24" s="438">
        <f t="shared" si="66"/>
        <v>62963371889.207489</v>
      </c>
      <c r="BC24" s="438">
        <f t="shared" si="66"/>
        <v>80822315696.743866</v>
      </c>
      <c r="BD24" s="439">
        <f t="shared" si="66"/>
        <v>77859472854.153839</v>
      </c>
      <c r="BE24" s="437">
        <f t="shared" si="66"/>
        <v>72093603608.795502</v>
      </c>
      <c r="BF24" s="438">
        <f t="shared" si="66"/>
        <v>62963371889.207489</v>
      </c>
      <c r="BG24" s="438">
        <f t="shared" si="66"/>
        <v>86712675180.427597</v>
      </c>
      <c r="BH24" s="439">
        <f t="shared" si="66"/>
        <v>81181285979.787125</v>
      </c>
      <c r="BI24" s="26"/>
      <c r="BJ24" s="26"/>
      <c r="BL24" s="429"/>
      <c r="BM24" s="429" t="s">
        <v>1272</v>
      </c>
      <c r="BN24" s="433">
        <f t="shared" si="56"/>
        <v>2.1738196042965452</v>
      </c>
      <c r="BO24" s="433">
        <f t="shared" si="57"/>
        <v>0</v>
      </c>
      <c r="BP24" s="479">
        <f t="shared" si="58"/>
        <v>0</v>
      </c>
      <c r="BQ24" s="479">
        <f t="shared" si="59"/>
        <v>0</v>
      </c>
      <c r="BR24" s="354" t="s">
        <v>1147</v>
      </c>
      <c r="BX24" s="305">
        <v>38533</v>
      </c>
      <c r="BY24" s="489">
        <f t="shared" si="13"/>
        <v>7.9901720932187725E-2</v>
      </c>
      <c r="BZ24" s="301"/>
      <c r="CA24" s="301"/>
    </row>
    <row r="25" spans="1:79" ht="14.25" customHeight="1">
      <c r="A25" s="26" t="s">
        <v>95</v>
      </c>
      <c r="B25" s="26" t="s">
        <v>163</v>
      </c>
      <c r="C25" s="26" t="s">
        <v>163</v>
      </c>
      <c r="D25" s="26" t="s">
        <v>164</v>
      </c>
      <c r="E25" s="19">
        <v>298751000</v>
      </c>
      <c r="F25" s="37">
        <v>0</v>
      </c>
      <c r="G25" s="38">
        <f t="shared" si="0"/>
        <v>0</v>
      </c>
      <c r="H25" s="26"/>
      <c r="I25" s="26"/>
      <c r="J25" s="34"/>
      <c r="K25" s="56">
        <v>31</v>
      </c>
      <c r="L25" s="56" t="s">
        <v>165</v>
      </c>
      <c r="M25" s="49">
        <v>558.98589330095331</v>
      </c>
      <c r="N25" s="49">
        <v>580.29586077241731</v>
      </c>
      <c r="O25" s="49">
        <v>615.92288852312493</v>
      </c>
      <c r="P25" s="49">
        <v>626.39377901835178</v>
      </c>
      <c r="Q25" s="49">
        <v>647.27627294410445</v>
      </c>
      <c r="R25" s="49">
        <v>719.03605798110004</v>
      </c>
      <c r="S25" s="49">
        <v>789.92102862449144</v>
      </c>
      <c r="T25" s="49">
        <v>844.10438619037848</v>
      </c>
      <c r="U25" s="49">
        <v>921.29437491312171</v>
      </c>
      <c r="V25" s="49">
        <v>958.53781353965621</v>
      </c>
      <c r="W25" s="49">
        <v>983.4088370460363</v>
      </c>
      <c r="X25" s="49">
        <v>1049.9817983765265</v>
      </c>
      <c r="Y25" s="49">
        <v>1221.9185690422535</v>
      </c>
      <c r="Z25" s="49">
        <v>1208.2670942214952</v>
      </c>
      <c r="AA25" s="49">
        <v>1021.4053718209133</v>
      </c>
      <c r="AB25" s="49">
        <v>941.12629604707047</v>
      </c>
      <c r="AC25" s="49">
        <v>992.48891234669873</v>
      </c>
      <c r="AD25" s="49">
        <v>926.64101525977276</v>
      </c>
      <c r="AE25" s="49">
        <v>901.51939281799741</v>
      </c>
      <c r="AF25" s="49">
        <v>959.54878482421736</v>
      </c>
      <c r="AG25" s="49">
        <v>1040.2615705922499</v>
      </c>
      <c r="AH25" s="49">
        <v>1174.5577779157913</v>
      </c>
      <c r="AI25" s="49">
        <v>1276.3472139999999</v>
      </c>
      <c r="AJ25" s="44">
        <v>-0.5</v>
      </c>
      <c r="AK25" s="26"/>
      <c r="AL25" s="26"/>
      <c r="AM25" s="26"/>
      <c r="AN25" s="26"/>
      <c r="AO25" s="26"/>
      <c r="AP25" s="26"/>
      <c r="AQ25" s="26"/>
      <c r="AR25" s="26"/>
      <c r="AS25" s="26"/>
      <c r="AT25" s="26"/>
      <c r="AU25" s="26"/>
      <c r="AV25" s="26">
        <f>AW25/AW26</f>
        <v>-3.3441033277410354E-2</v>
      </c>
      <c r="AW25" s="79">
        <f>AW4-AS4</f>
        <v>64159596.192860126</v>
      </c>
      <c r="AX25" s="26"/>
      <c r="AY25" s="26"/>
      <c r="AZ25" s="26"/>
      <c r="BA25" s="26"/>
      <c r="BB25" s="26"/>
      <c r="BC25" s="26"/>
      <c r="BD25" s="26"/>
      <c r="BE25" s="26"/>
      <c r="BF25" s="26"/>
      <c r="BG25" s="26"/>
      <c r="BH25" s="26"/>
      <c r="BI25" s="26"/>
      <c r="BJ25" s="26"/>
      <c r="BL25" s="429"/>
      <c r="BM25" s="429" t="s">
        <v>1257</v>
      </c>
      <c r="BN25" s="433">
        <f t="shared" si="56"/>
        <v>12.560624753944328</v>
      </c>
      <c r="BO25" s="433">
        <f t="shared" si="57"/>
        <v>-30</v>
      </c>
      <c r="BP25" s="479">
        <f t="shared" si="58"/>
        <v>-30</v>
      </c>
      <c r="BQ25" s="479">
        <f t="shared" si="59"/>
        <v>-30</v>
      </c>
      <c r="BR25" s="354" t="s">
        <v>1147</v>
      </c>
      <c r="BX25" s="305">
        <v>38625</v>
      </c>
      <c r="BY25" s="489">
        <f t="shared" si="13"/>
        <v>8.6715632755298699E-2</v>
      </c>
      <c r="BZ25" s="301"/>
      <c r="CA25" s="301"/>
    </row>
    <row r="26" spans="1:79" ht="14.25" customHeight="1">
      <c r="A26" s="26" t="s">
        <v>95</v>
      </c>
      <c r="B26" s="26" t="s">
        <v>163</v>
      </c>
      <c r="C26" s="26" t="s">
        <v>163</v>
      </c>
      <c r="D26" s="26" t="s">
        <v>166</v>
      </c>
      <c r="E26" s="19">
        <v>738000</v>
      </c>
      <c r="F26" s="37">
        <v>0</v>
      </c>
      <c r="G26" s="38">
        <f t="shared" si="0"/>
        <v>0</v>
      </c>
      <c r="H26" s="26"/>
      <c r="I26" s="26"/>
      <c r="J26" s="34"/>
      <c r="K26" s="56">
        <v>32</v>
      </c>
      <c r="L26" s="56" t="s">
        <v>167</v>
      </c>
      <c r="M26" s="49">
        <v>221.50417169490385</v>
      </c>
      <c r="N26" s="49">
        <v>230.66173369908685</v>
      </c>
      <c r="O26" s="49">
        <v>243.97000421745355</v>
      </c>
      <c r="P26" s="49">
        <v>248.96722869213926</v>
      </c>
      <c r="Q26" s="49">
        <v>256.21679664674321</v>
      </c>
      <c r="R26" s="49">
        <v>286.19891621655631</v>
      </c>
      <c r="S26" s="49">
        <v>313.51153022104563</v>
      </c>
      <c r="T26" s="49">
        <v>333.3104745613951</v>
      </c>
      <c r="U26" s="49">
        <v>357.63888284843517</v>
      </c>
      <c r="V26" s="49">
        <v>379.33562213615448</v>
      </c>
      <c r="W26" s="49">
        <v>386.95640103333534</v>
      </c>
      <c r="X26" s="49">
        <v>396.84045915728785</v>
      </c>
      <c r="Y26" s="49">
        <v>460.12974008810414</v>
      </c>
      <c r="Z26" s="49">
        <v>473.50407793424927</v>
      </c>
      <c r="AA26" s="49">
        <v>441.3005237593199</v>
      </c>
      <c r="AB26" s="49">
        <v>417.64816215115115</v>
      </c>
      <c r="AC26" s="49">
        <v>402.75109376763999</v>
      </c>
      <c r="AD26" s="49">
        <v>347.97132412437071</v>
      </c>
      <c r="AE26" s="49">
        <v>379.95329097777773</v>
      </c>
      <c r="AF26" s="49">
        <v>378.24422033910884</v>
      </c>
      <c r="AG26" s="49">
        <v>403.00357174746324</v>
      </c>
      <c r="AH26" s="49">
        <v>391.40000137023185</v>
      </c>
      <c r="AI26" s="49">
        <v>549.66207599999996</v>
      </c>
      <c r="AJ26" s="44">
        <f>SUMPRODUCT(E165:E171,F165:F171)/SUM(E165:E171)</f>
        <v>-0.34161291998164678</v>
      </c>
      <c r="AK26" s="26"/>
      <c r="AL26" s="26"/>
      <c r="AM26" s="26"/>
      <c r="AN26" s="26"/>
      <c r="AO26" s="26"/>
      <c r="AP26" s="26"/>
      <c r="AQ26" s="26"/>
      <c r="AR26" s="26"/>
      <c r="AS26" s="26"/>
      <c r="AT26" s="26"/>
      <c r="AU26" s="26"/>
      <c r="AV26" s="26"/>
      <c r="AW26" s="79">
        <f>AW24-AS24</f>
        <v>-1918588928.1776581</v>
      </c>
      <c r="AX26" s="26"/>
      <c r="AY26" s="26"/>
      <c r="AZ26" s="26"/>
      <c r="BA26" s="26"/>
      <c r="BB26" s="26"/>
      <c r="BC26" s="26"/>
      <c r="BD26" s="26"/>
      <c r="BE26" s="26"/>
      <c r="BF26" s="26"/>
      <c r="BG26" s="26"/>
      <c r="BH26" s="26"/>
      <c r="BI26" s="26"/>
      <c r="BJ26" s="26"/>
      <c r="BL26" s="429"/>
      <c r="BM26" s="429" t="s">
        <v>1273</v>
      </c>
      <c r="BN26" s="433">
        <f t="shared" si="56"/>
        <v>7.9658753422636952</v>
      </c>
      <c r="BO26" s="433">
        <f t="shared" si="57"/>
        <v>-31.311608042053397</v>
      </c>
      <c r="BP26" s="479">
        <f t="shared" si="58"/>
        <v>-31.311608042053397</v>
      </c>
      <c r="BQ26" s="479">
        <f t="shared" si="59"/>
        <v>-31.311608042053397</v>
      </c>
      <c r="BR26" s="354" t="s">
        <v>1146</v>
      </c>
      <c r="BX26" s="305">
        <v>38717</v>
      </c>
      <c r="BY26" s="489">
        <f t="shared" si="13"/>
        <v>8.5646472488581704E-2</v>
      </c>
      <c r="BZ26" s="301"/>
      <c r="CA26" s="301"/>
    </row>
    <row r="27" spans="1:79" ht="14.25" customHeight="1">
      <c r="A27" s="26" t="s">
        <v>95</v>
      </c>
      <c r="B27" s="26" t="s">
        <v>163</v>
      </c>
      <c r="C27" s="26" t="s">
        <v>163</v>
      </c>
      <c r="D27" s="26" t="s">
        <v>169</v>
      </c>
      <c r="E27" s="19">
        <v>832077000</v>
      </c>
      <c r="F27" s="37">
        <v>0</v>
      </c>
      <c r="G27" s="38">
        <f t="shared" si="0"/>
        <v>0</v>
      </c>
      <c r="H27" s="26"/>
      <c r="I27" s="26"/>
      <c r="J27" s="34"/>
      <c r="K27" s="56">
        <v>33</v>
      </c>
      <c r="L27" s="56" t="s">
        <v>170</v>
      </c>
      <c r="M27" s="49">
        <v>245.26657007908582</v>
      </c>
      <c r="N27" s="49">
        <v>195.41543650973469</v>
      </c>
      <c r="O27" s="49">
        <v>280.66747189037108</v>
      </c>
      <c r="P27" s="49">
        <v>240.09675914030254</v>
      </c>
      <c r="Q27" s="49">
        <v>218.08410267508972</v>
      </c>
      <c r="R27" s="49">
        <v>278.96963511049023</v>
      </c>
      <c r="S27" s="49">
        <v>319.35913915315581</v>
      </c>
      <c r="T27" s="49">
        <v>358.41379401816869</v>
      </c>
      <c r="U27" s="49">
        <v>428.98304371691574</v>
      </c>
      <c r="V27" s="49">
        <v>550.11889216625138</v>
      </c>
      <c r="W27" s="49">
        <v>698.02146907643441</v>
      </c>
      <c r="X27" s="49">
        <v>687.34737497298283</v>
      </c>
      <c r="Y27" s="49">
        <v>936.87176177473407</v>
      </c>
      <c r="Z27" s="49">
        <v>1314.5646347527256</v>
      </c>
      <c r="AA27" s="49">
        <v>1185.3033679419054</v>
      </c>
      <c r="AB27" s="49">
        <v>1253.1770309305534</v>
      </c>
      <c r="AC27" s="49">
        <v>1173.1100122937507</v>
      </c>
      <c r="AD27" s="49">
        <v>1215.93867005944</v>
      </c>
      <c r="AE27" s="49">
        <v>1234.3939854235625</v>
      </c>
      <c r="AF27" s="49">
        <v>1292.5781341740326</v>
      </c>
      <c r="AG27" s="49">
        <v>1476.1428861138888</v>
      </c>
      <c r="AH27" s="49">
        <v>1596.7007037789565</v>
      </c>
      <c r="AI27" s="49">
        <v>1832.6759280000001</v>
      </c>
      <c r="AJ27" s="44">
        <v>-0.5</v>
      </c>
      <c r="AK27" s="26"/>
      <c r="AL27" s="26"/>
      <c r="AM27" s="26"/>
      <c r="AN27" s="26"/>
      <c r="AO27" s="26"/>
      <c r="AP27" s="499" t="s">
        <v>5</v>
      </c>
      <c r="AQ27" s="500"/>
      <c r="AR27" s="501"/>
      <c r="AS27" s="502" t="s">
        <v>6</v>
      </c>
      <c r="AT27" s="500"/>
      <c r="AU27" s="501"/>
      <c r="AV27" s="503" t="s">
        <v>7</v>
      </c>
      <c r="AW27" s="500"/>
      <c r="AX27" s="501"/>
      <c r="AY27" s="26"/>
      <c r="AZ27" s="32" t="s">
        <v>171</v>
      </c>
      <c r="BA27" s="26"/>
      <c r="BB27" s="26"/>
      <c r="BC27" s="26"/>
      <c r="BD27" s="26"/>
      <c r="BE27" s="32" t="s">
        <v>171</v>
      </c>
      <c r="BF27" s="26"/>
      <c r="BG27" s="26"/>
      <c r="BH27" s="26"/>
      <c r="BI27" s="26"/>
      <c r="BJ27" s="26"/>
      <c r="BL27" s="429"/>
      <c r="BM27" s="429" t="s">
        <v>1274</v>
      </c>
      <c r="BN27" s="433">
        <f t="shared" si="56"/>
        <v>5.3542316863556705</v>
      </c>
      <c r="BO27" s="433">
        <f t="shared" si="57"/>
        <v>-54.50500663684393</v>
      </c>
      <c r="BP27" s="479">
        <f t="shared" si="58"/>
        <v>-54.50500663684393</v>
      </c>
      <c r="BQ27" s="479">
        <f t="shared" si="59"/>
        <v>-54.50500663684393</v>
      </c>
      <c r="BR27" s="354" t="s">
        <v>1146</v>
      </c>
      <c r="BX27" s="305">
        <v>38807</v>
      </c>
      <c r="BY27" s="489">
        <f t="shared" si="13"/>
        <v>0.10683135561343593</v>
      </c>
      <c r="BZ27" s="301"/>
      <c r="CA27" s="301"/>
    </row>
    <row r="28" spans="1:79" ht="14.25" customHeight="1">
      <c r="A28" s="26" t="s">
        <v>95</v>
      </c>
      <c r="B28" s="26" t="s">
        <v>163</v>
      </c>
      <c r="C28" s="26" t="s">
        <v>163</v>
      </c>
      <c r="D28" s="26" t="s">
        <v>172</v>
      </c>
      <c r="E28" s="19">
        <v>777554000</v>
      </c>
      <c r="F28" s="37">
        <v>0</v>
      </c>
      <c r="G28" s="38">
        <f t="shared" si="0"/>
        <v>0</v>
      </c>
      <c r="H28" s="26"/>
      <c r="I28" s="26"/>
      <c r="J28" s="40" t="s">
        <v>78</v>
      </c>
      <c r="K28" s="504" t="s">
        <v>79</v>
      </c>
      <c r="L28" s="505"/>
      <c r="M28" s="49">
        <v>2425.1814735070298</v>
      </c>
      <c r="N28" s="49">
        <v>2769.1008816363014</v>
      </c>
      <c r="O28" s="49">
        <v>2862.4301300438506</v>
      </c>
      <c r="P28" s="49">
        <v>2882.3479124607302</v>
      </c>
      <c r="Q28" s="49">
        <v>3312.5808507138322</v>
      </c>
      <c r="R28" s="49">
        <v>2809.69754254587</v>
      </c>
      <c r="S28" s="49">
        <v>2850.5622662163278</v>
      </c>
      <c r="T28" s="49">
        <v>3521.3178560459223</v>
      </c>
      <c r="U28" s="49">
        <v>3778.0992047627374</v>
      </c>
      <c r="V28" s="49">
        <v>4604.4697914364642</v>
      </c>
      <c r="W28" s="49">
        <v>4608.6152868842637</v>
      </c>
      <c r="X28" s="49">
        <v>4471.1443167814978</v>
      </c>
      <c r="Y28" s="49">
        <v>3701.1549340840666</v>
      </c>
      <c r="Z28" s="49">
        <v>4003.3859734595453</v>
      </c>
      <c r="AA28" s="49">
        <v>5214.6942782709693</v>
      </c>
      <c r="AB28" s="49">
        <v>6242.8620407139706</v>
      </c>
      <c r="AC28" s="49">
        <v>6089.0945373759268</v>
      </c>
      <c r="AD28" s="49">
        <v>6637.883115441944</v>
      </c>
      <c r="AE28" s="49">
        <v>7754.3978654199982</v>
      </c>
      <c r="AF28" s="49">
        <v>8462.0915812396015</v>
      </c>
      <c r="AG28" s="49">
        <v>8550.3905057499996</v>
      </c>
      <c r="AH28" s="49">
        <v>8939.124187341009</v>
      </c>
      <c r="AI28" s="49">
        <v>8538.3882279999998</v>
      </c>
      <c r="AJ28" s="44">
        <v>0</v>
      </c>
      <c r="AK28" s="26"/>
      <c r="AL28" s="26"/>
      <c r="AM28" s="26"/>
      <c r="AN28" s="26"/>
      <c r="AO28" s="26" t="s">
        <v>9</v>
      </c>
      <c r="AP28" s="84" t="s">
        <v>174</v>
      </c>
      <c r="AQ28" s="20" t="s">
        <v>175</v>
      </c>
      <c r="AR28" s="85" t="s">
        <v>176</v>
      </c>
      <c r="AS28" s="84" t="s">
        <v>174</v>
      </c>
      <c r="AT28" s="20" t="s">
        <v>175</v>
      </c>
      <c r="AU28" s="85" t="s">
        <v>176</v>
      </c>
      <c r="AV28" s="84" t="s">
        <v>174</v>
      </c>
      <c r="AW28" s="20" t="s">
        <v>175</v>
      </c>
      <c r="AX28" s="85" t="s">
        <v>176</v>
      </c>
      <c r="AY28" s="26"/>
      <c r="AZ28" s="26" t="s">
        <v>9</v>
      </c>
      <c r="BA28" s="11" t="s">
        <v>22</v>
      </c>
      <c r="BB28" s="12" t="s">
        <v>23</v>
      </c>
      <c r="BC28" s="13" t="s">
        <v>24</v>
      </c>
      <c r="BD28" s="26"/>
      <c r="BE28" s="26" t="s">
        <v>9</v>
      </c>
      <c r="BF28" s="11" t="s">
        <v>22</v>
      </c>
      <c r="BG28" s="12" t="s">
        <v>23</v>
      </c>
      <c r="BH28" s="13" t="s">
        <v>24</v>
      </c>
      <c r="BI28" s="26"/>
      <c r="BJ28" s="26"/>
      <c r="BL28" s="429"/>
      <c r="BM28" s="429" t="s">
        <v>1275</v>
      </c>
      <c r="BN28" s="433">
        <f t="shared" si="56"/>
        <v>4.9312675962734032</v>
      </c>
      <c r="BO28" s="433">
        <f t="shared" si="57"/>
        <v>-82.908055045047135</v>
      </c>
      <c r="BP28" s="479">
        <f t="shared" si="58"/>
        <v>-82.908055045047135</v>
      </c>
      <c r="BQ28" s="479">
        <f t="shared" si="59"/>
        <v>-82.908055045047135</v>
      </c>
      <c r="BR28" s="354" t="s">
        <v>1146</v>
      </c>
      <c r="BX28" s="305">
        <v>38898</v>
      </c>
      <c r="BY28" s="489">
        <f t="shared" si="13"/>
        <v>8.7404965020051018E-2</v>
      </c>
      <c r="BZ28" s="301"/>
      <c r="CA28" s="301"/>
    </row>
    <row r="29" spans="1:79" ht="14.25" customHeight="1">
      <c r="A29" s="26" t="s">
        <v>95</v>
      </c>
      <c r="B29" s="26" t="s">
        <v>177</v>
      </c>
      <c r="C29" s="26" t="s">
        <v>178</v>
      </c>
      <c r="D29" s="26" t="s">
        <v>178</v>
      </c>
      <c r="E29" s="19">
        <v>75267000</v>
      </c>
      <c r="F29" s="37">
        <v>-0.5</v>
      </c>
      <c r="G29" s="38">
        <f t="shared" si="0"/>
        <v>-37633500</v>
      </c>
      <c r="H29" s="26"/>
      <c r="I29" s="26"/>
      <c r="J29" s="40" t="s">
        <v>83</v>
      </c>
      <c r="K29" s="504" t="s">
        <v>179</v>
      </c>
      <c r="L29" s="505"/>
      <c r="M29" s="49">
        <v>1204.0005589124225</v>
      </c>
      <c r="N29" s="49">
        <v>1344.1641297715535</v>
      </c>
      <c r="O29" s="49">
        <v>1644.7617374291481</v>
      </c>
      <c r="P29" s="49">
        <v>1681.1255207334939</v>
      </c>
      <c r="Q29" s="49">
        <v>1836.0921707893001</v>
      </c>
      <c r="R29" s="49">
        <v>2520.9016519472862</v>
      </c>
      <c r="S29" s="49">
        <v>2044.9544169002518</v>
      </c>
      <c r="T29" s="49">
        <v>2058.5108559912237</v>
      </c>
      <c r="U29" s="49">
        <v>2382.6006044493492</v>
      </c>
      <c r="V29" s="49">
        <v>2660.3466804136965</v>
      </c>
      <c r="W29" s="49">
        <v>2841.307500675468</v>
      </c>
      <c r="X29" s="49">
        <v>2666.5380066125254</v>
      </c>
      <c r="Y29" s="49">
        <v>2993.2448644813499</v>
      </c>
      <c r="Z29" s="49">
        <v>3141.2475437044977</v>
      </c>
      <c r="AA29" s="49">
        <v>3040.4004429955598</v>
      </c>
      <c r="AB29" s="49">
        <v>3578.7545986501063</v>
      </c>
      <c r="AC29" s="49">
        <v>3695.27338655006</v>
      </c>
      <c r="AD29" s="49">
        <v>3985.2134977661872</v>
      </c>
      <c r="AE29" s="49">
        <v>3944.9693311275637</v>
      </c>
      <c r="AF29" s="49">
        <v>4256.0447779068472</v>
      </c>
      <c r="AG29" s="49">
        <v>4309.068141987038</v>
      </c>
      <c r="AH29" s="49">
        <v>4100.9065063096878</v>
      </c>
      <c r="AI29" s="49">
        <v>4134.87644</v>
      </c>
      <c r="AJ29" s="44">
        <v>0</v>
      </c>
      <c r="AK29" s="26"/>
      <c r="AL29" s="26"/>
      <c r="AM29" s="26"/>
      <c r="AN29" s="26"/>
      <c r="AO29" s="90">
        <v>36616</v>
      </c>
      <c r="AP29" s="91">
        <v>34029.299999999996</v>
      </c>
      <c r="AQ29" s="20">
        <v>6403.2272211393256</v>
      </c>
      <c r="AR29" s="92">
        <f t="shared" ref="AR29:AR112" si="67">AP29+AQ29</f>
        <v>40432.527221139324</v>
      </c>
      <c r="AS29" s="91">
        <v>34029.299999999996</v>
      </c>
      <c r="AT29" s="20">
        <v>6403.2272211393256</v>
      </c>
      <c r="AU29" s="92">
        <f t="shared" ref="AU29:AU112" si="68">AS29+AT29</f>
        <v>40432.527221139324</v>
      </c>
      <c r="AV29" s="91">
        <v>34029.299999999996</v>
      </c>
      <c r="AW29" s="20">
        <v>6403.2272211393256</v>
      </c>
      <c r="AX29" s="92">
        <f t="shared" ref="AX29:AX112" si="69">AV29+AW29</f>
        <v>40432.527221139324</v>
      </c>
      <c r="AY29" s="93"/>
      <c r="AZ29" s="90">
        <v>36616</v>
      </c>
      <c r="BA29" s="26"/>
      <c r="BB29" s="26"/>
      <c r="BC29" s="26"/>
      <c r="BD29" s="26"/>
      <c r="BE29" s="90">
        <v>36616</v>
      </c>
      <c r="BF29" s="26"/>
      <c r="BG29" s="26"/>
      <c r="BH29" s="26"/>
      <c r="BI29" s="26"/>
      <c r="BJ29" s="26"/>
      <c r="BL29" s="429"/>
      <c r="BM29" s="429" t="s">
        <v>1276</v>
      </c>
      <c r="BN29" s="433">
        <f t="shared" si="56"/>
        <v>5.1037946393283518</v>
      </c>
      <c r="BO29" s="433">
        <f t="shared" si="57"/>
        <v>-4.1528142175114642</v>
      </c>
      <c r="BP29" s="479">
        <f t="shared" si="58"/>
        <v>-4.1528142175114642</v>
      </c>
      <c r="BQ29" s="479">
        <f t="shared" si="59"/>
        <v>-4.1528142175114642</v>
      </c>
      <c r="BR29" s="354" t="s">
        <v>1147</v>
      </c>
      <c r="BX29" s="305">
        <v>38990</v>
      </c>
      <c r="BY29" s="489">
        <f t="shared" si="13"/>
        <v>8.055817346746541E-2</v>
      </c>
      <c r="BZ29" s="301"/>
      <c r="CA29" s="301"/>
    </row>
    <row r="30" spans="1:79" ht="14.25" customHeight="1">
      <c r="A30" s="26" t="s">
        <v>95</v>
      </c>
      <c r="B30" s="26" t="s">
        <v>177</v>
      </c>
      <c r="C30" s="26" t="s">
        <v>180</v>
      </c>
      <c r="D30" s="26" t="s">
        <v>180</v>
      </c>
      <c r="E30" s="19">
        <v>48052000</v>
      </c>
      <c r="F30" s="37">
        <v>-0.5</v>
      </c>
      <c r="G30" s="38">
        <f t="shared" si="0"/>
        <v>-24026000</v>
      </c>
      <c r="H30" s="26"/>
      <c r="I30" s="26"/>
      <c r="J30" s="40" t="s">
        <v>88</v>
      </c>
      <c r="K30" s="94" t="s">
        <v>89</v>
      </c>
      <c r="L30" s="40"/>
      <c r="M30" s="49">
        <v>5740.4519571575911</v>
      </c>
      <c r="N30" s="49">
        <v>7402.5391547863219</v>
      </c>
      <c r="O30" s="49">
        <v>9219.3568276528149</v>
      </c>
      <c r="P30" s="49">
        <v>9377.3424700431842</v>
      </c>
      <c r="Q30" s="49">
        <v>7650.7179555611756</v>
      </c>
      <c r="R30" s="49">
        <v>7252.5269248929562</v>
      </c>
      <c r="S30" s="49">
        <v>8717.4919942140114</v>
      </c>
      <c r="T30" s="49">
        <v>10169.620527952618</v>
      </c>
      <c r="U30" s="49">
        <v>13655.266575740619</v>
      </c>
      <c r="V30" s="49">
        <v>15751.62385644909</v>
      </c>
      <c r="W30" s="49">
        <v>17581.290860650955</v>
      </c>
      <c r="X30" s="49">
        <v>19829.165255497541</v>
      </c>
      <c r="Y30" s="49">
        <v>22108.947992631674</v>
      </c>
      <c r="Z30" s="49">
        <v>24921.797321753409</v>
      </c>
      <c r="AA30" s="49">
        <v>22602.079696506469</v>
      </c>
      <c r="AB30" s="49">
        <v>17237.038869302713</v>
      </c>
      <c r="AC30" s="49">
        <v>16158.275544303388</v>
      </c>
      <c r="AD30" s="49">
        <v>14026.769521646233</v>
      </c>
      <c r="AE30" s="49">
        <v>13812.614421779686</v>
      </c>
      <c r="AF30" s="49">
        <v>13726.251024339175</v>
      </c>
      <c r="AG30" s="49">
        <v>14138.112338595689</v>
      </c>
      <c r="AH30" s="49">
        <v>14509.399365002906</v>
      </c>
      <c r="AI30" s="49">
        <v>15253.23893</v>
      </c>
      <c r="AJ30" s="44">
        <v>-0.3</v>
      </c>
      <c r="AK30" s="26"/>
      <c r="AL30" s="26"/>
      <c r="AM30" s="26"/>
      <c r="AN30" s="26"/>
      <c r="AO30" s="90">
        <v>36707</v>
      </c>
      <c r="AP30" s="91">
        <v>36635.500000000007</v>
      </c>
      <c r="AQ30" s="20">
        <v>7826.9813341698555</v>
      </c>
      <c r="AR30" s="92">
        <f t="shared" si="67"/>
        <v>44462.481334169861</v>
      </c>
      <c r="AS30" s="91">
        <v>36635.500000000007</v>
      </c>
      <c r="AT30" s="20">
        <v>7826.9813341698555</v>
      </c>
      <c r="AU30" s="92">
        <f t="shared" si="68"/>
        <v>44462.481334169861</v>
      </c>
      <c r="AV30" s="91">
        <v>36635.500000000007</v>
      </c>
      <c r="AW30" s="20">
        <v>7826.9813341698555</v>
      </c>
      <c r="AX30" s="92">
        <f t="shared" si="69"/>
        <v>44462.481334169861</v>
      </c>
      <c r="AY30" s="93"/>
      <c r="AZ30" s="90">
        <v>36707</v>
      </c>
      <c r="BA30" s="26"/>
      <c r="BB30" s="26"/>
      <c r="BC30" s="26"/>
      <c r="BD30" s="26"/>
      <c r="BE30" s="90">
        <v>36707</v>
      </c>
      <c r="BF30" s="26"/>
      <c r="BG30" s="26"/>
      <c r="BH30" s="26"/>
      <c r="BI30" s="26"/>
      <c r="BJ30" s="26"/>
      <c r="BL30" s="429"/>
      <c r="BM30" s="429" t="s">
        <v>1277</v>
      </c>
      <c r="BN30" s="433">
        <f t="shared" si="56"/>
        <v>3.293717986313216</v>
      </c>
      <c r="BO30" s="433">
        <f t="shared" si="57"/>
        <v>-10</v>
      </c>
      <c r="BP30" s="479">
        <f t="shared" si="58"/>
        <v>-10</v>
      </c>
      <c r="BQ30" s="479">
        <f t="shared" si="59"/>
        <v>-10</v>
      </c>
      <c r="BR30" s="354" t="s">
        <v>1147</v>
      </c>
      <c r="BX30" s="305">
        <v>39082</v>
      </c>
      <c r="BY30" s="489">
        <f t="shared" si="13"/>
        <v>8.9771708557782492E-2</v>
      </c>
      <c r="BZ30" s="301"/>
      <c r="CA30" s="301"/>
    </row>
    <row r="31" spans="1:79" ht="14.25" customHeight="1">
      <c r="A31" s="26" t="s">
        <v>95</v>
      </c>
      <c r="B31" s="26" t="s">
        <v>177</v>
      </c>
      <c r="C31" s="26" t="s">
        <v>181</v>
      </c>
      <c r="D31" s="26" t="s">
        <v>181</v>
      </c>
      <c r="E31" s="19">
        <v>39207000</v>
      </c>
      <c r="F31" s="37">
        <v>-0.5</v>
      </c>
      <c r="G31" s="38">
        <f t="shared" si="0"/>
        <v>-19603500</v>
      </c>
      <c r="H31" s="26"/>
      <c r="I31" s="26"/>
      <c r="J31" s="40" t="s">
        <v>92</v>
      </c>
      <c r="K31" s="504" t="s">
        <v>182</v>
      </c>
      <c r="L31" s="505"/>
      <c r="M31" s="49">
        <v>12975.192014188478</v>
      </c>
      <c r="N31" s="49">
        <v>14978.148014617695</v>
      </c>
      <c r="O31" s="49">
        <v>17323.382958341765</v>
      </c>
      <c r="P31" s="49">
        <v>17955.693910968497</v>
      </c>
      <c r="Q31" s="49">
        <v>15680.109242359311</v>
      </c>
      <c r="R31" s="49">
        <v>16531.512270915187</v>
      </c>
      <c r="S31" s="49">
        <v>19818.861039872962</v>
      </c>
      <c r="T31" s="49">
        <v>22988.887081429031</v>
      </c>
      <c r="U31" s="49">
        <v>26984.520871707773</v>
      </c>
      <c r="V31" s="49">
        <v>26586.270073432926</v>
      </c>
      <c r="W31" s="49">
        <v>29348.840500805622</v>
      </c>
      <c r="X31" s="49">
        <v>32729.155435464629</v>
      </c>
      <c r="Y31" s="49">
        <v>34981.083634642899</v>
      </c>
      <c r="Z31" s="49">
        <v>37865.821197250109</v>
      </c>
      <c r="AA31" s="49">
        <v>32325.008662617925</v>
      </c>
      <c r="AB31" s="49">
        <v>33331.915978570498</v>
      </c>
      <c r="AC31" s="49">
        <v>34049.920009524896</v>
      </c>
      <c r="AD31" s="49">
        <v>33507.907069323082</v>
      </c>
      <c r="AE31" s="49">
        <v>32806.983339874285</v>
      </c>
      <c r="AF31" s="49">
        <v>32894.209304712553</v>
      </c>
      <c r="AG31" s="49">
        <v>34758.403294220581</v>
      </c>
      <c r="AH31" s="49">
        <v>34383.211802443067</v>
      </c>
      <c r="AI31" s="49">
        <v>36158.656210000001</v>
      </c>
      <c r="AJ31" s="44">
        <f>SUMPRODUCT(E213:E298,F213:F298)/SUM(E213:E298)</f>
        <v>-0.31311608042053396</v>
      </c>
      <c r="AK31" s="26"/>
      <c r="AL31" s="26"/>
      <c r="AM31" s="26"/>
      <c r="AN31" s="26"/>
      <c r="AO31" s="90">
        <v>36799</v>
      </c>
      <c r="AP31" s="91">
        <v>40086.399999999994</v>
      </c>
      <c r="AQ31" s="20">
        <v>8464.0276498293297</v>
      </c>
      <c r="AR31" s="92">
        <f t="shared" si="67"/>
        <v>48550.427649829326</v>
      </c>
      <c r="AS31" s="91">
        <v>40086.399999999994</v>
      </c>
      <c r="AT31" s="20">
        <v>8464.0276498293297</v>
      </c>
      <c r="AU31" s="92">
        <f t="shared" si="68"/>
        <v>48550.427649829326</v>
      </c>
      <c r="AV31" s="91">
        <v>40086.399999999994</v>
      </c>
      <c r="AW31" s="20">
        <v>8464.0276498293297</v>
      </c>
      <c r="AX31" s="92">
        <f t="shared" si="69"/>
        <v>48550.427649829326</v>
      </c>
      <c r="AY31" s="93"/>
      <c r="AZ31" s="90">
        <v>36799</v>
      </c>
      <c r="BA31" s="26"/>
      <c r="BB31" s="26"/>
      <c r="BC31" s="26"/>
      <c r="BD31" s="26"/>
      <c r="BE31" s="90">
        <v>36799</v>
      </c>
      <c r="BF31" s="26"/>
      <c r="BG31" s="26"/>
      <c r="BH31" s="26"/>
      <c r="BI31" s="26"/>
      <c r="BJ31" s="26"/>
      <c r="BL31" s="429"/>
      <c r="BM31" s="429" t="s">
        <v>1278</v>
      </c>
      <c r="BN31" s="433">
        <f t="shared" si="56"/>
        <v>2.5978595929879278</v>
      </c>
      <c r="BO31" s="433">
        <f t="shared" si="57"/>
        <v>-51.667782010950702</v>
      </c>
      <c r="BP31" s="479">
        <f t="shared" si="58"/>
        <v>-51.667782010950702</v>
      </c>
      <c r="BQ31" s="479">
        <f t="shared" si="59"/>
        <v>-51.667782010950702</v>
      </c>
      <c r="BR31" s="354" t="s">
        <v>1147</v>
      </c>
      <c r="BX31" s="305">
        <v>39172</v>
      </c>
      <c r="BY31" s="489">
        <f t="shared" si="13"/>
        <v>9.8939060684487989E-2</v>
      </c>
      <c r="BZ31" s="301"/>
      <c r="CA31" s="301"/>
    </row>
    <row r="32" spans="1:79" ht="14.25" customHeight="1">
      <c r="A32" s="26" t="s">
        <v>95</v>
      </c>
      <c r="B32" s="26" t="s">
        <v>177</v>
      </c>
      <c r="C32" s="26" t="s">
        <v>184</v>
      </c>
      <c r="D32" s="26" t="s">
        <v>185</v>
      </c>
      <c r="E32" s="19">
        <v>1865000</v>
      </c>
      <c r="F32" s="37">
        <v>-0.5</v>
      </c>
      <c r="G32" s="38">
        <f t="shared" si="0"/>
        <v>-932500</v>
      </c>
      <c r="H32" s="26"/>
      <c r="I32" s="26"/>
      <c r="J32" s="40" t="s">
        <v>100</v>
      </c>
      <c r="K32" s="94" t="s">
        <v>101</v>
      </c>
      <c r="L32" s="40"/>
      <c r="M32" s="49">
        <v>6314.4145904553216</v>
      </c>
      <c r="N32" s="49">
        <v>5984.5494293538559</v>
      </c>
      <c r="O32" s="49">
        <v>6479.4587332958326</v>
      </c>
      <c r="P32" s="49">
        <v>6549.2250465034376</v>
      </c>
      <c r="Q32" s="49">
        <v>6984.8361467978539</v>
      </c>
      <c r="R32" s="49">
        <v>7659.2133967500322</v>
      </c>
      <c r="S32" s="49">
        <v>8109.3519844197353</v>
      </c>
      <c r="T32" s="49">
        <v>8682.0194600999293</v>
      </c>
      <c r="U32" s="49">
        <v>9913.8997268088169</v>
      </c>
      <c r="V32" s="49">
        <v>11497.694309243931</v>
      </c>
      <c r="W32" s="49">
        <v>12266.759487231533</v>
      </c>
      <c r="X32" s="49">
        <v>12493.274789283336</v>
      </c>
      <c r="Y32" s="49">
        <v>13421.859241994605</v>
      </c>
      <c r="Z32" s="49">
        <v>14352.299285443356</v>
      </c>
      <c r="AA32" s="49">
        <v>12488.789301817313</v>
      </c>
      <c r="AB32" s="49">
        <v>12340.908785392045</v>
      </c>
      <c r="AC32" s="49">
        <v>12366.075855320825</v>
      </c>
      <c r="AD32" s="49">
        <v>11917.258892858641</v>
      </c>
      <c r="AE32" s="49">
        <v>11704.81275632502</v>
      </c>
      <c r="AF32" s="49">
        <v>11782.450038871184</v>
      </c>
      <c r="AG32" s="49">
        <v>11854.702080056173</v>
      </c>
      <c r="AH32" s="49">
        <v>12955.221949986008</v>
      </c>
      <c r="AI32" s="49">
        <v>13996.038339999999</v>
      </c>
      <c r="AJ32" s="44">
        <f>SUMPRODUCT(E299:E315,F299:F315)/SUM(E299:E315)</f>
        <v>-0.54505006636843933</v>
      </c>
      <c r="AK32" s="26"/>
      <c r="AL32" s="26"/>
      <c r="AM32" s="26"/>
      <c r="AN32" s="26"/>
      <c r="AO32" s="90">
        <v>36891</v>
      </c>
      <c r="AP32" s="91">
        <v>37071.4</v>
      </c>
      <c r="AQ32" s="20">
        <v>8853.80571742557</v>
      </c>
      <c r="AR32" s="92">
        <f t="shared" si="67"/>
        <v>45925.205717425575</v>
      </c>
      <c r="AS32" s="91">
        <v>37071.4</v>
      </c>
      <c r="AT32" s="20">
        <v>8853.80571742557</v>
      </c>
      <c r="AU32" s="92">
        <f t="shared" si="68"/>
        <v>45925.205717425575</v>
      </c>
      <c r="AV32" s="91">
        <v>37071.4</v>
      </c>
      <c r="AW32" s="20">
        <v>8853.80571742557</v>
      </c>
      <c r="AX32" s="92">
        <f t="shared" si="69"/>
        <v>45925.205717425575</v>
      </c>
      <c r="AY32" s="104">
        <f t="shared" ref="AY32:AY112" si="70">SUM(AQ29:AQ32)/SUM(AP29:AP32)</f>
        <v>0.21341825893039415</v>
      </c>
      <c r="AZ32" s="90">
        <v>36891</v>
      </c>
      <c r="BA32" s="26"/>
      <c r="BB32" s="26"/>
      <c r="BC32" s="26"/>
      <c r="BD32" s="26"/>
      <c r="BE32" s="90">
        <v>36891</v>
      </c>
      <c r="BF32" s="26"/>
      <c r="BG32" s="26"/>
      <c r="BH32" s="26"/>
      <c r="BI32" s="26"/>
      <c r="BJ32" s="26"/>
      <c r="BL32" s="429"/>
      <c r="BM32" s="429" t="s">
        <v>1279</v>
      </c>
      <c r="BN32" s="433">
        <f t="shared" si="56"/>
        <v>4.2821395889476088</v>
      </c>
      <c r="BO32" s="433">
        <f t="shared" si="57"/>
        <v>-31.677438905694238</v>
      </c>
      <c r="BP32" s="479">
        <f t="shared" si="58"/>
        <v>-31.677438905694238</v>
      </c>
      <c r="BQ32" s="479">
        <f t="shared" si="59"/>
        <v>-31.677438905694238</v>
      </c>
      <c r="BR32" s="354" t="s">
        <v>1146</v>
      </c>
      <c r="BX32" s="305">
        <v>39263</v>
      </c>
      <c r="BY32" s="489">
        <f t="shared" si="13"/>
        <v>9.9329708228184987E-2</v>
      </c>
      <c r="BZ32" s="301"/>
      <c r="CA32" s="301"/>
    </row>
    <row r="33" spans="1:79" ht="14.25" customHeight="1">
      <c r="A33" s="26" t="s">
        <v>95</v>
      </c>
      <c r="B33" s="26" t="s">
        <v>177</v>
      </c>
      <c r="C33" s="26" t="s">
        <v>184</v>
      </c>
      <c r="D33" s="26" t="s">
        <v>188</v>
      </c>
      <c r="E33" s="19">
        <v>166707000</v>
      </c>
      <c r="F33" s="37">
        <v>-0.3</v>
      </c>
      <c r="G33" s="38">
        <f t="shared" si="0"/>
        <v>-50012100</v>
      </c>
      <c r="H33" s="26"/>
      <c r="I33" s="26"/>
      <c r="J33" s="40" t="s">
        <v>105</v>
      </c>
      <c r="K33" s="504" t="s">
        <v>106</v>
      </c>
      <c r="L33" s="505"/>
      <c r="M33" s="49">
        <v>2540.9744895905451</v>
      </c>
      <c r="N33" s="49">
        <v>3407.6598735526245</v>
      </c>
      <c r="O33" s="49">
        <v>4079.6829806729047</v>
      </c>
      <c r="P33" s="49">
        <v>4419.8081383649724</v>
      </c>
      <c r="Q33" s="49">
        <v>4346.8541578692129</v>
      </c>
      <c r="R33" s="49">
        <v>5244.9434443089203</v>
      </c>
      <c r="S33" s="49">
        <v>6090.9411258252758</v>
      </c>
      <c r="T33" s="49">
        <v>7074.1229204745423</v>
      </c>
      <c r="U33" s="49">
        <v>8134.5545052598554</v>
      </c>
      <c r="V33" s="49">
        <v>8608.2961396787905</v>
      </c>
      <c r="W33" s="49">
        <v>9530.4417826933259</v>
      </c>
      <c r="X33" s="49">
        <v>10178.137427749434</v>
      </c>
      <c r="Y33" s="49">
        <v>11397.477392595756</v>
      </c>
      <c r="Z33" s="49">
        <v>11762.612530159071</v>
      </c>
      <c r="AA33" s="49">
        <v>11843.338633796873</v>
      </c>
      <c r="AB33" s="49">
        <v>12263.100963785519</v>
      </c>
      <c r="AC33" s="49">
        <v>13027.638962567913</v>
      </c>
      <c r="AD33" s="49">
        <v>13413.346963809701</v>
      </c>
      <c r="AE33" s="49">
        <v>15547.431226402523</v>
      </c>
      <c r="AF33" s="49">
        <v>15783.310508591449</v>
      </c>
      <c r="AG33" s="49">
        <v>16751.916009080989</v>
      </c>
      <c r="AH33" s="49">
        <v>18157.068892954543</v>
      </c>
      <c r="AI33" s="49">
        <v>19946.247790000001</v>
      </c>
      <c r="AJ33" s="44">
        <f>SUMPRODUCT(E316:E323,F316:F323)/SUM(E316:E323)</f>
        <v>-0.82908055045047135</v>
      </c>
      <c r="AK33" s="26"/>
      <c r="AL33" s="26"/>
      <c r="AM33" s="26"/>
      <c r="AN33" s="26"/>
      <c r="AO33" s="90">
        <v>36981</v>
      </c>
      <c r="AP33" s="91">
        <v>37118.9</v>
      </c>
      <c r="AQ33" s="20">
        <v>6903.4845034055388</v>
      </c>
      <c r="AR33" s="92">
        <f t="shared" si="67"/>
        <v>44022.384503405541</v>
      </c>
      <c r="AS33" s="91">
        <v>37118.9</v>
      </c>
      <c r="AT33" s="20">
        <v>6903.4845034055388</v>
      </c>
      <c r="AU33" s="92">
        <f t="shared" si="68"/>
        <v>44022.384503405541</v>
      </c>
      <c r="AV33" s="91">
        <v>37118.9</v>
      </c>
      <c r="AW33" s="20">
        <v>6903.4845034055388</v>
      </c>
      <c r="AX33" s="92">
        <f t="shared" si="69"/>
        <v>44022.384503405541</v>
      </c>
      <c r="AY33" s="104">
        <f t="shared" si="70"/>
        <v>0.21236387253535696</v>
      </c>
      <c r="AZ33" s="90">
        <v>36981</v>
      </c>
      <c r="BA33" s="97">
        <f t="shared" ref="BA33:BA112" si="71">AR33/AR29-1</f>
        <v>8.8786369019973943E-2</v>
      </c>
      <c r="BB33" s="97">
        <f t="shared" ref="BB33:BB112" si="72">AU33/AU29-1</f>
        <v>8.8786369019973943E-2</v>
      </c>
      <c r="BC33" s="97">
        <f t="shared" ref="BC33:BC112" si="73">AX33/AX29-1</f>
        <v>8.8786369019973943E-2</v>
      </c>
      <c r="BD33" s="26"/>
      <c r="BE33" s="90">
        <v>36981</v>
      </c>
      <c r="BF33" s="93"/>
      <c r="BG33" s="93"/>
      <c r="BH33" s="93"/>
      <c r="BI33" s="26"/>
      <c r="BJ33" s="26"/>
      <c r="BL33" s="429"/>
      <c r="BM33" s="429" t="s">
        <v>1280</v>
      </c>
      <c r="BN33" s="433">
        <f t="shared" si="56"/>
        <v>6.1492268967972441</v>
      </c>
      <c r="BO33" s="433">
        <f t="shared" si="57"/>
        <v>-61.83716765601163</v>
      </c>
      <c r="BP33" s="479">
        <f t="shared" si="58"/>
        <v>-61.83716765601163</v>
      </c>
      <c r="BQ33" s="479">
        <f t="shared" si="59"/>
        <v>-61.83716765601163</v>
      </c>
      <c r="BR33" s="354" t="s">
        <v>1146</v>
      </c>
      <c r="BX33" s="305">
        <v>39355</v>
      </c>
      <c r="BY33" s="489">
        <f t="shared" si="13"/>
        <v>9.29544140674885E-2</v>
      </c>
      <c r="BZ33" s="301"/>
      <c r="CA33" s="301"/>
    </row>
    <row r="34" spans="1:79" ht="14.25" customHeight="1">
      <c r="A34" s="26" t="s">
        <v>95</v>
      </c>
      <c r="B34" s="26" t="s">
        <v>177</v>
      </c>
      <c r="C34" s="26" t="s">
        <v>184</v>
      </c>
      <c r="D34" s="26" t="s">
        <v>195</v>
      </c>
      <c r="E34" s="19">
        <v>107000</v>
      </c>
      <c r="F34" s="37">
        <v>-0.5</v>
      </c>
      <c r="G34" s="38">
        <f t="shared" si="0"/>
        <v>-53500</v>
      </c>
      <c r="H34" s="26"/>
      <c r="I34" s="26"/>
      <c r="J34" s="40" t="s">
        <v>111</v>
      </c>
      <c r="K34" s="94" t="s">
        <v>112</v>
      </c>
      <c r="L34" s="40"/>
      <c r="M34" s="49">
        <v>3756.1673731469527</v>
      </c>
      <c r="N34" s="49">
        <v>4432.1530103702771</v>
      </c>
      <c r="O34" s="49">
        <v>4954.8996420589265</v>
      </c>
      <c r="P34" s="49">
        <v>5414.6807202421569</v>
      </c>
      <c r="Q34" s="49">
        <v>5862.101497330711</v>
      </c>
      <c r="R34" s="49">
        <v>7115.9423516300158</v>
      </c>
      <c r="S34" s="49">
        <v>8343.4523345345588</v>
      </c>
      <c r="T34" s="49">
        <v>9294.9913893623871</v>
      </c>
      <c r="U34" s="49">
        <v>9768.024740644918</v>
      </c>
      <c r="V34" s="49">
        <v>10487.74262656234</v>
      </c>
      <c r="W34" s="49">
        <v>11280.617056762347</v>
      </c>
      <c r="X34" s="49">
        <v>12128.284966222416</v>
      </c>
      <c r="Y34" s="49">
        <v>13013.786405567742</v>
      </c>
      <c r="Z34" s="49">
        <v>14573.158235283827</v>
      </c>
      <c r="AA34" s="49">
        <v>14207.292952112253</v>
      </c>
      <c r="AB34" s="49">
        <v>14403.629269653802</v>
      </c>
      <c r="AC34" s="49">
        <v>13963.916840294029</v>
      </c>
      <c r="AD34" s="49">
        <v>13663.390810296911</v>
      </c>
      <c r="AE34" s="49">
        <v>13250.244285832987</v>
      </c>
      <c r="AF34" s="49">
        <v>12706.63955747768</v>
      </c>
      <c r="AG34" s="49">
        <v>13146.409164110099</v>
      </c>
      <c r="AH34" s="49">
        <v>13595.050155976614</v>
      </c>
      <c r="AI34" s="49">
        <v>14514.891535999999</v>
      </c>
      <c r="AJ34" s="44">
        <f>SUMPRODUCT(E324:E345,F324:F345)/SUM(E324:E345)</f>
        <v>-4.1528142175114642E-2</v>
      </c>
      <c r="AK34" s="26"/>
      <c r="AL34" s="26"/>
      <c r="AM34" s="26"/>
      <c r="AN34" s="26"/>
      <c r="AO34" s="90">
        <v>37072</v>
      </c>
      <c r="AP34" s="91">
        <v>40250.300000000003</v>
      </c>
      <c r="AQ34" s="20">
        <v>8533.3101765125939</v>
      </c>
      <c r="AR34" s="92">
        <f t="shared" si="67"/>
        <v>48783.610176512593</v>
      </c>
      <c r="AS34" s="91">
        <v>40250.300000000003</v>
      </c>
      <c r="AT34" s="20">
        <v>8533.3101765125939</v>
      </c>
      <c r="AU34" s="92">
        <f t="shared" si="68"/>
        <v>48783.610176512593</v>
      </c>
      <c r="AV34" s="91">
        <v>40250.300000000003</v>
      </c>
      <c r="AW34" s="20">
        <v>8533.3101765125939</v>
      </c>
      <c r="AX34" s="92">
        <f t="shared" si="69"/>
        <v>48783.610176512593</v>
      </c>
      <c r="AY34" s="104">
        <f t="shared" si="70"/>
        <v>0.21196702224965883</v>
      </c>
      <c r="AZ34" s="90">
        <v>37072</v>
      </c>
      <c r="BA34" s="97">
        <f t="shared" si="71"/>
        <v>9.718595797355789E-2</v>
      </c>
      <c r="BB34" s="97">
        <f t="shared" si="72"/>
        <v>9.718595797355789E-2</v>
      </c>
      <c r="BC34" s="97">
        <f t="shared" si="73"/>
        <v>9.718595797355789E-2</v>
      </c>
      <c r="BD34" s="26"/>
      <c r="BE34" s="90">
        <v>37072</v>
      </c>
      <c r="BF34" s="93"/>
      <c r="BG34" s="93"/>
      <c r="BH34" s="93"/>
      <c r="BI34" s="26"/>
      <c r="BJ34" s="26"/>
      <c r="BL34" s="429"/>
      <c r="BM34" s="429" t="s">
        <v>1281</v>
      </c>
      <c r="BN34" s="433">
        <f t="shared" si="56"/>
        <v>3.8840619193415638</v>
      </c>
      <c r="BO34" s="433">
        <f t="shared" si="57"/>
        <v>-5</v>
      </c>
      <c r="BP34" s="479">
        <f t="shared" si="58"/>
        <v>-5</v>
      </c>
      <c r="BQ34" s="479">
        <f t="shared" si="59"/>
        <v>-5</v>
      </c>
      <c r="BR34" s="354" t="s">
        <v>1147</v>
      </c>
      <c r="BX34" s="305">
        <v>39447</v>
      </c>
      <c r="BY34" s="489">
        <f t="shared" si="13"/>
        <v>9.4380103646078739E-2</v>
      </c>
      <c r="BZ34" s="301"/>
      <c r="CA34" s="301"/>
    </row>
    <row r="35" spans="1:79" ht="14.25" customHeight="1">
      <c r="A35" s="26" t="s">
        <v>95</v>
      </c>
      <c r="B35" s="26" t="s">
        <v>177</v>
      </c>
      <c r="C35" s="26" t="s">
        <v>184</v>
      </c>
      <c r="D35" s="26" t="s">
        <v>196</v>
      </c>
      <c r="E35" s="19">
        <v>13494000</v>
      </c>
      <c r="F35" s="37">
        <v>-0.5</v>
      </c>
      <c r="G35" s="38">
        <f t="shared" si="0"/>
        <v>-6747000</v>
      </c>
      <c r="H35" s="26"/>
      <c r="I35" s="26"/>
      <c r="J35" s="40" t="s">
        <v>116</v>
      </c>
      <c r="K35" s="504" t="s">
        <v>117</v>
      </c>
      <c r="L35" s="505"/>
      <c r="M35" s="49">
        <v>4004.5051547966714</v>
      </c>
      <c r="N35" s="49">
        <v>5241.5963571517887</v>
      </c>
      <c r="O35" s="49">
        <v>4847.9560885334895</v>
      </c>
      <c r="P35" s="49">
        <v>5258.4188195912329</v>
      </c>
      <c r="Q35" s="49">
        <v>7002.1944651579934</v>
      </c>
      <c r="R35" s="49">
        <v>6549.6977520729743</v>
      </c>
      <c r="S35" s="49">
        <v>7670.4606135004424</v>
      </c>
      <c r="T35" s="49">
        <v>8728.3286133461588</v>
      </c>
      <c r="U35" s="49">
        <v>10622.551327828143</v>
      </c>
      <c r="V35" s="49">
        <v>11110.791730440647</v>
      </c>
      <c r="W35" s="49">
        <v>13610.32535911941</v>
      </c>
      <c r="X35" s="49">
        <v>14429.227370221754</v>
      </c>
      <c r="Y35" s="49">
        <v>16697.31819784889</v>
      </c>
      <c r="Z35" s="49">
        <v>18312.243432295756</v>
      </c>
      <c r="AA35" s="49">
        <v>18465.282658909484</v>
      </c>
      <c r="AB35" s="49">
        <v>19244.890096628023</v>
      </c>
      <c r="AC35" s="49">
        <v>20541.418040433295</v>
      </c>
      <c r="AD35" s="49">
        <v>18767.005724078768</v>
      </c>
      <c r="AE35" s="49">
        <v>17706.775960166564</v>
      </c>
      <c r="AF35" s="49">
        <v>18185.149709613735</v>
      </c>
      <c r="AG35" s="49">
        <v>17994.579785865757</v>
      </c>
      <c r="AH35" s="49">
        <v>18459.561556743789</v>
      </c>
      <c r="AI35" s="49">
        <v>19152.655332999999</v>
      </c>
      <c r="AJ35" s="44">
        <v>-0.1</v>
      </c>
      <c r="AK35" s="26"/>
      <c r="AL35" s="26"/>
      <c r="AM35" s="26"/>
      <c r="AN35" s="26"/>
      <c r="AO35" s="90">
        <v>37164</v>
      </c>
      <c r="AP35" s="91">
        <v>42444.800000000003</v>
      </c>
      <c r="AQ35" s="20">
        <v>9195.0292397041594</v>
      </c>
      <c r="AR35" s="92">
        <f t="shared" si="67"/>
        <v>51639.829239704166</v>
      </c>
      <c r="AS35" s="91">
        <v>42444.800000000003</v>
      </c>
      <c r="AT35" s="20">
        <v>9195.0292397041594</v>
      </c>
      <c r="AU35" s="92">
        <f t="shared" si="68"/>
        <v>51639.829239704166</v>
      </c>
      <c r="AV35" s="91">
        <v>42444.800000000003</v>
      </c>
      <c r="AW35" s="20">
        <v>9195.0292397041594</v>
      </c>
      <c r="AX35" s="92">
        <f t="shared" si="69"/>
        <v>51639.829239704166</v>
      </c>
      <c r="AY35" s="104">
        <f t="shared" si="70"/>
        <v>0.21344006285510228</v>
      </c>
      <c r="AZ35" s="90">
        <v>37164</v>
      </c>
      <c r="BA35" s="97">
        <f t="shared" si="71"/>
        <v>6.3632839903227989E-2</v>
      </c>
      <c r="BB35" s="97">
        <f t="shared" si="72"/>
        <v>6.3632839903227989E-2</v>
      </c>
      <c r="BC35" s="97">
        <f t="shared" si="73"/>
        <v>6.3632839903227989E-2</v>
      </c>
      <c r="BD35" s="26"/>
      <c r="BE35" s="90">
        <v>37164</v>
      </c>
      <c r="BF35" s="93"/>
      <c r="BG35" s="93"/>
      <c r="BH35" s="93"/>
      <c r="BI35" s="26"/>
      <c r="BJ35" s="26"/>
      <c r="BL35" s="429"/>
      <c r="BM35" s="429" t="s">
        <v>1282</v>
      </c>
      <c r="BN35" s="433">
        <f t="shared" si="56"/>
        <v>4.6127131372709851</v>
      </c>
      <c r="BO35" s="433">
        <f t="shared" si="57"/>
        <v>-5</v>
      </c>
      <c r="BP35" s="479">
        <f t="shared" si="58"/>
        <v>-5</v>
      </c>
      <c r="BQ35" s="479">
        <f t="shared" si="59"/>
        <v>-5</v>
      </c>
      <c r="BR35" s="354" t="s">
        <v>1147</v>
      </c>
      <c r="BX35" s="305">
        <v>39538</v>
      </c>
      <c r="BY35" s="489">
        <f t="shared" si="13"/>
        <v>7.9636609218174836E-2</v>
      </c>
      <c r="BZ35" s="301"/>
      <c r="CA35" s="301"/>
    </row>
    <row r="36" spans="1:79" ht="14.25" customHeight="1">
      <c r="A36" s="26" t="s">
        <v>95</v>
      </c>
      <c r="B36" s="26" t="s">
        <v>177</v>
      </c>
      <c r="C36" s="26" t="s">
        <v>184</v>
      </c>
      <c r="D36" s="26" t="s">
        <v>197</v>
      </c>
      <c r="E36" s="19">
        <v>19597000</v>
      </c>
      <c r="F36" s="37">
        <v>-0.5</v>
      </c>
      <c r="G36" s="38">
        <f t="shared" si="0"/>
        <v>-9798500</v>
      </c>
      <c r="H36" s="26"/>
      <c r="I36" s="26"/>
      <c r="J36" s="40" t="s">
        <v>120</v>
      </c>
      <c r="K36" s="94" t="s">
        <v>121</v>
      </c>
      <c r="L36" s="40"/>
      <c r="M36" s="49">
        <v>9995.2712325471457</v>
      </c>
      <c r="N36" s="49">
        <v>10643.484984250052</v>
      </c>
      <c r="O36" s="49">
        <v>11261.274430867315</v>
      </c>
      <c r="P36" s="49">
        <v>12257.965222776291</v>
      </c>
      <c r="Q36" s="49">
        <v>13243.26244238085</v>
      </c>
      <c r="R36" s="49">
        <v>13866.080655049243</v>
      </c>
      <c r="S36" s="49">
        <v>14580.428987572117</v>
      </c>
      <c r="T36" s="49">
        <v>15631.941581525509</v>
      </c>
      <c r="U36" s="49">
        <v>16893.05546079914</v>
      </c>
      <c r="V36" s="49">
        <v>18144.125760746298</v>
      </c>
      <c r="W36" s="49">
        <v>19585.039337253867</v>
      </c>
      <c r="X36" s="49">
        <v>21388.921572768304</v>
      </c>
      <c r="Y36" s="49">
        <v>25466.62008937493</v>
      </c>
      <c r="Z36" s="49">
        <v>26164.436954316687</v>
      </c>
      <c r="AA36" s="49">
        <v>26261.723135724864</v>
      </c>
      <c r="AB36" s="49">
        <v>25937.401835844787</v>
      </c>
      <c r="AC36" s="49">
        <v>27130.602162247102</v>
      </c>
      <c r="AD36" s="49">
        <v>27268.43001666624</v>
      </c>
      <c r="AE36" s="49">
        <v>27153.706529289324</v>
      </c>
      <c r="AF36" s="49">
        <v>27535.539709805445</v>
      </c>
      <c r="AG36" s="49">
        <v>27929.05599675938</v>
      </c>
      <c r="AH36" s="49">
        <v>28237.886091866265</v>
      </c>
      <c r="AI36" s="49">
        <v>28719.414083</v>
      </c>
      <c r="AJ36" s="44">
        <f>SUMPRODUCT(E352:E355,F352:F355)/SUM(E352:E355)</f>
        <v>-0.51667782010950702</v>
      </c>
      <c r="AK36" s="26"/>
      <c r="AL36" s="26"/>
      <c r="AM36" s="26"/>
      <c r="AN36" s="26"/>
      <c r="AO36" s="90">
        <v>37256</v>
      </c>
      <c r="AP36" s="91">
        <v>39543.800000000003</v>
      </c>
      <c r="AQ36" s="20">
        <v>9364.6461711001175</v>
      </c>
      <c r="AR36" s="92">
        <f t="shared" si="67"/>
        <v>48908.44617110012</v>
      </c>
      <c r="AS36" s="91">
        <v>39543.800000000003</v>
      </c>
      <c r="AT36" s="20">
        <v>9364.6461711001175</v>
      </c>
      <c r="AU36" s="92">
        <f t="shared" si="68"/>
        <v>48908.44617110012</v>
      </c>
      <c r="AV36" s="91">
        <v>39543.800000000003</v>
      </c>
      <c r="AW36" s="20">
        <v>9364.6461711001175</v>
      </c>
      <c r="AX36" s="92">
        <f t="shared" si="69"/>
        <v>48908.44617110012</v>
      </c>
      <c r="AY36" s="104">
        <f t="shared" si="70"/>
        <v>0.21333420824535987</v>
      </c>
      <c r="AZ36" s="90">
        <v>37256</v>
      </c>
      <c r="BA36" s="97">
        <f t="shared" si="71"/>
        <v>6.4958673718964022E-2</v>
      </c>
      <c r="BB36" s="97">
        <f t="shared" si="72"/>
        <v>6.4958673718964022E-2</v>
      </c>
      <c r="BC36" s="97">
        <f t="shared" si="73"/>
        <v>6.4958673718964022E-2</v>
      </c>
      <c r="BD36" s="26"/>
      <c r="BE36" s="90">
        <v>37256</v>
      </c>
      <c r="BF36" s="97">
        <f t="shared" ref="BF36:BF112" si="74">SUM(AR33:AR36)/SUM(AR29:AR32)-1</f>
        <v>7.7959403045428255E-2</v>
      </c>
      <c r="BG36" s="97">
        <f t="shared" ref="BG36:BG112" si="75">SUM(AU33:AU36)/SUM(AU29:AU32)-1</f>
        <v>7.7959403045428255E-2</v>
      </c>
      <c r="BH36" s="97">
        <f t="shared" ref="BH36:BH112" si="76">SUM(AX33:AX36)/SUM(AX29:AX32)-1</f>
        <v>7.7959403045428255E-2</v>
      </c>
      <c r="BI36" s="26"/>
      <c r="BJ36" s="26"/>
      <c r="BL36" s="429"/>
      <c r="BM36" s="429" t="s">
        <v>1283</v>
      </c>
      <c r="BN36" s="433">
        <f t="shared" si="56"/>
        <v>5.7271988618185388</v>
      </c>
      <c r="BO36" s="433">
        <f t="shared" si="57"/>
        <v>0</v>
      </c>
      <c r="BP36" s="479">
        <f t="shared" si="58"/>
        <v>0</v>
      </c>
      <c r="BQ36" s="479">
        <f t="shared" si="59"/>
        <v>0</v>
      </c>
      <c r="BR36" s="354" t="s">
        <v>1147</v>
      </c>
      <c r="BX36" s="305">
        <v>39629</v>
      </c>
      <c r="BY36" s="489">
        <f t="shared" si="13"/>
        <v>8.7934355525192576E-2</v>
      </c>
      <c r="BZ36" s="301"/>
      <c r="CA36" s="301"/>
    </row>
    <row r="37" spans="1:79" ht="14.25" customHeight="1">
      <c r="A37" s="26" t="s">
        <v>95</v>
      </c>
      <c r="B37" s="26" t="s">
        <v>177</v>
      </c>
      <c r="C37" s="26" t="s">
        <v>184</v>
      </c>
      <c r="D37" s="26" t="s">
        <v>198</v>
      </c>
      <c r="E37" s="19">
        <v>45123000</v>
      </c>
      <c r="F37" s="37">
        <v>-0.5</v>
      </c>
      <c r="G37" s="38">
        <f t="shared" si="0"/>
        <v>-22561500</v>
      </c>
      <c r="H37" s="26"/>
      <c r="I37" s="26"/>
      <c r="J37" s="40" t="s">
        <v>126</v>
      </c>
      <c r="K37" s="94" t="s">
        <v>127</v>
      </c>
      <c r="L37" s="40"/>
      <c r="M37" s="49">
        <v>2931.1286093346685</v>
      </c>
      <c r="N37" s="49">
        <v>3437.8576424061498</v>
      </c>
      <c r="O37" s="49">
        <v>4405.5603095163397</v>
      </c>
      <c r="P37" s="49">
        <v>4757.6322430900273</v>
      </c>
      <c r="Q37" s="49">
        <v>4647.5848253613603</v>
      </c>
      <c r="R37" s="49">
        <v>5126.8933225293968</v>
      </c>
      <c r="S37" s="49">
        <v>5906.6889566512145</v>
      </c>
      <c r="T37" s="49">
        <v>7248.8482077868885</v>
      </c>
      <c r="U37" s="49">
        <v>8747.2568249365868</v>
      </c>
      <c r="V37" s="49">
        <v>9453.7368823463821</v>
      </c>
      <c r="W37" s="49">
        <v>11550.284719232792</v>
      </c>
      <c r="X37" s="49">
        <v>14516.886432076994</v>
      </c>
      <c r="Y37" s="49">
        <v>17960.038411419144</v>
      </c>
      <c r="Z37" s="49">
        <v>19919.479140651412</v>
      </c>
      <c r="AA37" s="49">
        <v>18371.847786157479</v>
      </c>
      <c r="AB37" s="49">
        <v>17913.901677608257</v>
      </c>
      <c r="AC37" s="49">
        <v>17905.347063120087</v>
      </c>
      <c r="AD37" s="49">
        <v>17529.95708062455</v>
      </c>
      <c r="AE37" s="49">
        <v>17478.951665823595</v>
      </c>
      <c r="AF37" s="49">
        <v>17712.678912769421</v>
      </c>
      <c r="AG37" s="49">
        <v>17490.211385806619</v>
      </c>
      <c r="AH37" s="49">
        <v>17549.345528037396</v>
      </c>
      <c r="AI37" s="49">
        <v>18030.514036</v>
      </c>
      <c r="AJ37" s="44">
        <f>SUMPRODUCT(E356:E374,F356:F374)/SUM(E356:E374)</f>
        <v>-0.31677438905694238</v>
      </c>
      <c r="AK37" s="26"/>
      <c r="AL37" s="26"/>
      <c r="AM37" s="26"/>
      <c r="AN37" s="26"/>
      <c r="AO37" s="90">
        <v>37346</v>
      </c>
      <c r="AP37" s="91">
        <v>40432.299999999996</v>
      </c>
      <c r="AQ37" s="20">
        <v>8182.2212014280867</v>
      </c>
      <c r="AR37" s="92">
        <f t="shared" si="67"/>
        <v>48614.521201428084</v>
      </c>
      <c r="AS37" s="91">
        <v>40432.299999999996</v>
      </c>
      <c r="AT37" s="20">
        <v>8182.2212014280867</v>
      </c>
      <c r="AU37" s="92">
        <f t="shared" si="68"/>
        <v>48614.521201428084</v>
      </c>
      <c r="AV37" s="91">
        <v>40432.299999999996</v>
      </c>
      <c r="AW37" s="20">
        <v>8182.2212014280867</v>
      </c>
      <c r="AX37" s="92">
        <f t="shared" si="69"/>
        <v>48614.521201428084</v>
      </c>
      <c r="AY37" s="104">
        <f t="shared" si="70"/>
        <v>0.21684973608570512</v>
      </c>
      <c r="AZ37" s="90">
        <v>37346</v>
      </c>
      <c r="BA37" s="97">
        <f t="shared" si="71"/>
        <v>0.10431367473216491</v>
      </c>
      <c r="BB37" s="97">
        <f t="shared" si="72"/>
        <v>0.10431367473216491</v>
      </c>
      <c r="BC37" s="97">
        <f t="shared" si="73"/>
        <v>0.10431367473216491</v>
      </c>
      <c r="BD37" s="26"/>
      <c r="BE37" s="90">
        <v>37346</v>
      </c>
      <c r="BF37" s="97">
        <f t="shared" si="74"/>
        <v>8.1907885303359462E-2</v>
      </c>
      <c r="BG37" s="97">
        <f t="shared" si="75"/>
        <v>8.1907885303359462E-2</v>
      </c>
      <c r="BH37" s="97">
        <f t="shared" si="76"/>
        <v>8.1907885303359462E-2</v>
      </c>
      <c r="BI37" s="26"/>
      <c r="BJ37" s="26"/>
      <c r="BL37" s="429"/>
      <c r="BM37" s="429" t="s">
        <v>1284</v>
      </c>
      <c r="BN37" s="433">
        <f t="shared" si="56"/>
        <v>4.7504535264669911</v>
      </c>
      <c r="BO37" s="433">
        <f t="shared" si="57"/>
        <v>-80</v>
      </c>
      <c r="BP37" s="479">
        <f t="shared" si="58"/>
        <v>-80</v>
      </c>
      <c r="BQ37" s="479">
        <f t="shared" si="59"/>
        <v>-80</v>
      </c>
      <c r="BR37" s="354" t="s">
        <v>1146</v>
      </c>
      <c r="BX37" s="305">
        <v>39721</v>
      </c>
      <c r="BY37" s="489">
        <f t="shared" si="13"/>
        <v>8.3729054144620951E-2</v>
      </c>
      <c r="BZ37" s="301"/>
      <c r="CA37" s="301"/>
    </row>
    <row r="38" spans="1:79" ht="14.25" customHeight="1">
      <c r="A38" s="26" t="s">
        <v>95</v>
      </c>
      <c r="B38" s="26" t="s">
        <v>177</v>
      </c>
      <c r="C38" s="26" t="s">
        <v>184</v>
      </c>
      <c r="D38" s="26" t="s">
        <v>199</v>
      </c>
      <c r="E38" s="19">
        <v>14529000</v>
      </c>
      <c r="F38" s="37">
        <v>-0.5</v>
      </c>
      <c r="G38" s="38">
        <f t="shared" si="0"/>
        <v>-7264500</v>
      </c>
      <c r="H38" s="26"/>
      <c r="I38" s="26"/>
      <c r="J38" s="40" t="s">
        <v>131</v>
      </c>
      <c r="K38" s="504" t="s">
        <v>200</v>
      </c>
      <c r="L38" s="505"/>
      <c r="M38" s="49">
        <v>1056.8472923027177</v>
      </c>
      <c r="N38" s="49">
        <v>1038.6415197966332</v>
      </c>
      <c r="O38" s="49">
        <v>1250.1184826227254</v>
      </c>
      <c r="P38" s="49">
        <v>1375.0929310840306</v>
      </c>
      <c r="Q38" s="49">
        <v>1460.2704485237812</v>
      </c>
      <c r="R38" s="49">
        <v>1621.0981453294735</v>
      </c>
      <c r="S38" s="49">
        <v>1801.5546264169918</v>
      </c>
      <c r="T38" s="49">
        <v>2235.3225012783068</v>
      </c>
      <c r="U38" s="49">
        <v>2718.3080810831884</v>
      </c>
      <c r="V38" s="49">
        <v>3128.1397521777762</v>
      </c>
      <c r="W38" s="49">
        <v>3590.5524172812957</v>
      </c>
      <c r="X38" s="49">
        <v>4043.8456875017137</v>
      </c>
      <c r="Y38" s="49">
        <v>4794.6772300492112</v>
      </c>
      <c r="Z38" s="49">
        <v>5274.1733022197877</v>
      </c>
      <c r="AA38" s="49">
        <v>5445.2878129261871</v>
      </c>
      <c r="AB38" s="49">
        <v>5448.5457642108868</v>
      </c>
      <c r="AC38" s="49">
        <v>5476.4819925910069</v>
      </c>
      <c r="AD38" s="49">
        <v>5632.6087711611071</v>
      </c>
      <c r="AE38" s="49">
        <v>5778.8589524189192</v>
      </c>
      <c r="AF38" s="49">
        <v>5854.7400537123585</v>
      </c>
      <c r="AG38" s="49">
        <v>6153.7661182490383</v>
      </c>
      <c r="AH38" s="49">
        <v>6747.0963197893025</v>
      </c>
      <c r="AI38" s="49">
        <v>7446.9398250000004</v>
      </c>
      <c r="AJ38" s="44">
        <f>SUMPRODUCT(E375:E405,F375:F405)/SUM(E375:E405)</f>
        <v>-0.61837167656011627</v>
      </c>
      <c r="AK38" s="26"/>
      <c r="AL38" s="26"/>
      <c r="AM38" s="26"/>
      <c r="AN38" s="26"/>
      <c r="AO38" s="90">
        <v>37437</v>
      </c>
      <c r="AP38" s="91">
        <v>42932.4</v>
      </c>
      <c r="AQ38" s="20">
        <v>9557.3706466897838</v>
      </c>
      <c r="AR38" s="92">
        <f t="shared" si="67"/>
        <v>52489.770646689787</v>
      </c>
      <c r="AS38" s="91">
        <v>42932.4</v>
      </c>
      <c r="AT38" s="20">
        <v>9557.3706466897838</v>
      </c>
      <c r="AU38" s="92">
        <f t="shared" si="68"/>
        <v>52489.770646689787</v>
      </c>
      <c r="AV38" s="91">
        <v>42932.4</v>
      </c>
      <c r="AW38" s="20">
        <v>9557.3706466897838</v>
      </c>
      <c r="AX38" s="92">
        <f t="shared" si="69"/>
        <v>52489.770646689787</v>
      </c>
      <c r="AY38" s="104">
        <f t="shared" si="70"/>
        <v>0.2195255084653415</v>
      </c>
      <c r="AZ38" s="90">
        <v>37437</v>
      </c>
      <c r="BA38" s="97">
        <f t="shared" si="71"/>
        <v>7.5971426812556198E-2</v>
      </c>
      <c r="BB38" s="97">
        <f t="shared" si="72"/>
        <v>7.5971426812556198E-2</v>
      </c>
      <c r="BC38" s="97">
        <f t="shared" si="73"/>
        <v>7.5971426812556198E-2</v>
      </c>
      <c r="BD38" s="26"/>
      <c r="BE38" s="90">
        <v>37437</v>
      </c>
      <c r="BF38" s="97">
        <f t="shared" si="74"/>
        <v>7.6734377854347446E-2</v>
      </c>
      <c r="BG38" s="97">
        <f t="shared" si="75"/>
        <v>7.6734377854347446E-2</v>
      </c>
      <c r="BH38" s="97">
        <f t="shared" si="76"/>
        <v>7.6734377854347446E-2</v>
      </c>
      <c r="BI38" s="26"/>
      <c r="BJ38" s="26"/>
      <c r="BL38" s="429"/>
      <c r="BM38" s="429" t="s">
        <v>1285</v>
      </c>
      <c r="BN38" s="433">
        <f t="shared" si="56"/>
        <v>3.8008424031322097</v>
      </c>
      <c r="BO38" s="433">
        <f t="shared" si="57"/>
        <v>-50</v>
      </c>
      <c r="BP38" s="479">
        <f t="shared" si="58"/>
        <v>-50</v>
      </c>
      <c r="BQ38" s="479">
        <f t="shared" si="59"/>
        <v>-50</v>
      </c>
      <c r="BR38" s="354" t="s">
        <v>1146</v>
      </c>
      <c r="BX38" s="305">
        <v>39813</v>
      </c>
      <c r="BY38" s="489">
        <f t="shared" si="13"/>
        <v>4.5093843475745521E-2</v>
      </c>
      <c r="BZ38" s="301"/>
      <c r="CA38" s="301"/>
    </row>
    <row r="39" spans="1:79" ht="14.25" customHeight="1">
      <c r="A39" s="26" t="s">
        <v>95</v>
      </c>
      <c r="B39" s="26" t="s">
        <v>201</v>
      </c>
      <c r="C39" s="26" t="s">
        <v>202</v>
      </c>
      <c r="D39" s="26" t="s">
        <v>203</v>
      </c>
      <c r="E39" s="19">
        <v>4702000</v>
      </c>
      <c r="F39" s="37">
        <v>-0.7</v>
      </c>
      <c r="G39" s="38">
        <f t="shared" si="0"/>
        <v>-3291400</v>
      </c>
      <c r="H39" s="26"/>
      <c r="I39" s="26"/>
      <c r="J39" s="40" t="s">
        <v>136</v>
      </c>
      <c r="K39" s="504" t="s">
        <v>204</v>
      </c>
      <c r="L39" s="505"/>
      <c r="M39" s="49">
        <v>7535.0396174340194</v>
      </c>
      <c r="N39" s="49">
        <v>8738.6687750878173</v>
      </c>
      <c r="O39" s="49">
        <v>10098.121005498759</v>
      </c>
      <c r="P39" s="49">
        <v>12270.647861843787</v>
      </c>
      <c r="Q39" s="49">
        <v>12882.456586123782</v>
      </c>
      <c r="R39" s="49">
        <v>13174.278850311362</v>
      </c>
      <c r="S39" s="49">
        <v>12247.122528038271</v>
      </c>
      <c r="T39" s="49">
        <v>12231.976677535427</v>
      </c>
      <c r="U39" s="49">
        <v>12669.028785522463</v>
      </c>
      <c r="V39" s="49">
        <v>13557.174897468445</v>
      </c>
      <c r="W39" s="49">
        <v>13405.046026541204</v>
      </c>
      <c r="X39" s="49">
        <v>14430.323827307495</v>
      </c>
      <c r="Y39" s="49">
        <v>15840.091230713384</v>
      </c>
      <c r="Z39" s="49">
        <v>16297.528605273685</v>
      </c>
      <c r="AA39" s="49">
        <v>17501.197609871819</v>
      </c>
      <c r="AB39" s="49">
        <v>17286.879124151448</v>
      </c>
      <c r="AC39" s="49">
        <v>16550.384219885811</v>
      </c>
      <c r="AD39" s="49">
        <v>16106.789412605389</v>
      </c>
      <c r="AE39" s="49">
        <v>15271.154495389999</v>
      </c>
      <c r="AF39" s="49">
        <v>15395.766705779797</v>
      </c>
      <c r="AG39" s="49">
        <v>15618.424413459999</v>
      </c>
      <c r="AH39" s="49">
        <v>15604.740232226137</v>
      </c>
      <c r="AI39" s="49">
        <v>15998.351862</v>
      </c>
      <c r="AJ39" s="44">
        <v>-0.05</v>
      </c>
      <c r="AK39" s="26"/>
      <c r="AL39" s="26"/>
      <c r="AM39" s="26"/>
      <c r="AN39" s="26"/>
      <c r="AO39" s="90">
        <v>37529</v>
      </c>
      <c r="AP39" s="91">
        <v>47271.500000000007</v>
      </c>
      <c r="AQ39" s="20">
        <v>10275.425904328667</v>
      </c>
      <c r="AR39" s="92">
        <f t="shared" si="67"/>
        <v>57546.925904328673</v>
      </c>
      <c r="AS39" s="91">
        <v>47271.500000000007</v>
      </c>
      <c r="AT39" s="20">
        <v>10275.425904328667</v>
      </c>
      <c r="AU39" s="92">
        <f t="shared" si="68"/>
        <v>57546.925904328673</v>
      </c>
      <c r="AV39" s="91">
        <v>47271.500000000007</v>
      </c>
      <c r="AW39" s="20">
        <v>10275.425904328667</v>
      </c>
      <c r="AX39" s="92">
        <f t="shared" si="69"/>
        <v>57546.925904328673</v>
      </c>
      <c r="AY39" s="104">
        <f t="shared" si="70"/>
        <v>0.21964780775382922</v>
      </c>
      <c r="AZ39" s="90">
        <v>37529</v>
      </c>
      <c r="BA39" s="97">
        <f t="shared" si="71"/>
        <v>0.11439032141653049</v>
      </c>
      <c r="BB39" s="97">
        <f t="shared" si="72"/>
        <v>0.11439032141653049</v>
      </c>
      <c r="BC39" s="97">
        <f t="shared" si="73"/>
        <v>0.11439032141653049</v>
      </c>
      <c r="BD39" s="26"/>
      <c r="BE39" s="90">
        <v>37529</v>
      </c>
      <c r="BF39" s="97">
        <f t="shared" si="74"/>
        <v>9.0290178706653901E-2</v>
      </c>
      <c r="BG39" s="97">
        <f t="shared" si="75"/>
        <v>9.0290178706653901E-2</v>
      </c>
      <c r="BH39" s="97">
        <f t="shared" si="76"/>
        <v>9.0290178706653901E-2</v>
      </c>
      <c r="BI39" s="26"/>
      <c r="BJ39" s="26"/>
      <c r="BL39" s="429"/>
      <c r="BM39" s="429" t="s">
        <v>1286</v>
      </c>
      <c r="BN39" s="433">
        <f t="shared" si="56"/>
        <v>-3.2108024381612643</v>
      </c>
      <c r="BO39" s="433">
        <f t="shared" si="57"/>
        <v>0</v>
      </c>
      <c r="BP39" s="479">
        <f t="shared" si="58"/>
        <v>0</v>
      </c>
      <c r="BQ39" s="479">
        <f t="shared" si="59"/>
        <v>0</v>
      </c>
      <c r="BR39" s="354" t="s">
        <v>1147</v>
      </c>
      <c r="BX39" s="305">
        <v>39903</v>
      </c>
      <c r="BY39" s="489">
        <f t="shared" si="13"/>
        <v>-4.1570361445021908E-2</v>
      </c>
      <c r="BZ39" s="301"/>
      <c r="CA39" s="301"/>
    </row>
    <row r="40" spans="1:79" ht="14.25" customHeight="1">
      <c r="A40" s="26" t="s">
        <v>95</v>
      </c>
      <c r="B40" s="26" t="s">
        <v>201</v>
      </c>
      <c r="C40" s="26" t="s">
        <v>202</v>
      </c>
      <c r="D40" s="26" t="s">
        <v>205</v>
      </c>
      <c r="E40" s="19">
        <v>113993000</v>
      </c>
      <c r="F40" s="37">
        <v>-0.3</v>
      </c>
      <c r="G40" s="38">
        <f t="shared" si="0"/>
        <v>-34197900</v>
      </c>
      <c r="H40" s="26"/>
      <c r="I40" s="26"/>
      <c r="J40" s="40" t="s">
        <v>140</v>
      </c>
      <c r="K40" s="94" t="s">
        <v>141</v>
      </c>
      <c r="L40" s="40"/>
      <c r="M40" s="49">
        <v>3072.4757529592957</v>
      </c>
      <c r="N40" s="49">
        <v>3676.0275229099502</v>
      </c>
      <c r="O40" s="49">
        <v>4126.0343350903895</v>
      </c>
      <c r="P40" s="49">
        <v>5285.4911295675138</v>
      </c>
      <c r="Q40" s="49">
        <v>6141.7912049216038</v>
      </c>
      <c r="R40" s="49">
        <v>6852.590826264006</v>
      </c>
      <c r="S40" s="49">
        <v>6990.7284746206169</v>
      </c>
      <c r="T40" s="49">
        <v>7553.7474179305582</v>
      </c>
      <c r="U40" s="49">
        <v>8502.1197200963943</v>
      </c>
      <c r="V40" s="49">
        <v>9223.125853334408</v>
      </c>
      <c r="W40" s="49">
        <v>10096.288234084053</v>
      </c>
      <c r="X40" s="49">
        <v>10436.74601055216</v>
      </c>
      <c r="Y40" s="49">
        <v>11612.924237480778</v>
      </c>
      <c r="Z40" s="49">
        <v>12722.236117853858</v>
      </c>
      <c r="AA40" s="49">
        <v>13136.609609735033</v>
      </c>
      <c r="AB40" s="49">
        <v>13769.782642065353</v>
      </c>
      <c r="AC40" s="49">
        <v>14002.572843275917</v>
      </c>
      <c r="AD40" s="49">
        <v>13910.547135330617</v>
      </c>
      <c r="AE40" s="49">
        <v>13817.9291588</v>
      </c>
      <c r="AF40" s="49">
        <v>13587.094836650898</v>
      </c>
      <c r="AG40" s="49">
        <v>13347.808241520001</v>
      </c>
      <c r="AH40" s="49">
        <v>14390.018169538505</v>
      </c>
      <c r="AI40" s="49">
        <v>15090.602192</v>
      </c>
      <c r="AJ40" s="44">
        <v>-0.05</v>
      </c>
      <c r="AK40" s="26"/>
      <c r="AL40" s="26"/>
      <c r="AM40" s="26"/>
      <c r="AN40" s="26"/>
      <c r="AO40" s="90">
        <v>37621</v>
      </c>
      <c r="AP40" s="91">
        <v>43963.1</v>
      </c>
      <c r="AQ40" s="20">
        <v>8471.1812295176351</v>
      </c>
      <c r="AR40" s="92">
        <f t="shared" si="67"/>
        <v>52434.281229517634</v>
      </c>
      <c r="AS40" s="91">
        <v>43963.1</v>
      </c>
      <c r="AT40" s="20">
        <v>8471.1812295176351</v>
      </c>
      <c r="AU40" s="92">
        <f t="shared" si="68"/>
        <v>52434.281229517634</v>
      </c>
      <c r="AV40" s="91">
        <v>43963.1</v>
      </c>
      <c r="AW40" s="20">
        <v>8471.1812295176351</v>
      </c>
      <c r="AX40" s="92">
        <f t="shared" si="69"/>
        <v>52434.281229517634</v>
      </c>
      <c r="AY40" s="104">
        <f t="shared" si="70"/>
        <v>0.20897104960881385</v>
      </c>
      <c r="AZ40" s="90">
        <v>37621</v>
      </c>
      <c r="BA40" s="97">
        <f t="shared" si="71"/>
        <v>7.2090514715654974E-2</v>
      </c>
      <c r="BB40" s="97">
        <f t="shared" si="72"/>
        <v>7.2090514715654974E-2</v>
      </c>
      <c r="BC40" s="97">
        <f t="shared" si="73"/>
        <v>7.2090514715654974E-2</v>
      </c>
      <c r="BD40" s="26"/>
      <c r="BE40" s="90">
        <v>37621</v>
      </c>
      <c r="BF40" s="97">
        <f t="shared" si="74"/>
        <v>9.1703322005364463E-2</v>
      </c>
      <c r="BG40" s="97">
        <f t="shared" si="75"/>
        <v>9.1703322005364463E-2</v>
      </c>
      <c r="BH40" s="97">
        <f t="shared" si="76"/>
        <v>9.1703322005364463E-2</v>
      </c>
      <c r="BI40" s="26"/>
      <c r="BJ40" s="26"/>
      <c r="BM40" s="429"/>
      <c r="BX40" s="305">
        <v>39994</v>
      </c>
      <c r="BY40" s="489">
        <f t="shared" si="13"/>
        <v>-4.6903405165997891E-2</v>
      </c>
      <c r="BZ40" s="301"/>
      <c r="CA40" s="301"/>
    </row>
    <row r="41" spans="1:79" ht="14.25" customHeight="1">
      <c r="A41" s="26" t="s">
        <v>95</v>
      </c>
      <c r="B41" s="26" t="s">
        <v>201</v>
      </c>
      <c r="C41" s="26" t="s">
        <v>202</v>
      </c>
      <c r="D41" s="26" t="s">
        <v>209</v>
      </c>
      <c r="E41" s="19">
        <v>327451000</v>
      </c>
      <c r="F41" s="37">
        <v>-0.7</v>
      </c>
      <c r="G41" s="38">
        <f t="shared" si="0"/>
        <v>-229215700</v>
      </c>
      <c r="H41" s="26"/>
      <c r="I41" s="26"/>
      <c r="J41" s="40" t="s">
        <v>144</v>
      </c>
      <c r="K41" s="504" t="s">
        <v>210</v>
      </c>
      <c r="L41" s="505"/>
      <c r="M41" s="49">
        <v>2887.6480739467574</v>
      </c>
      <c r="N41" s="49">
        <v>3877.6371587390831</v>
      </c>
      <c r="O41" s="49">
        <v>4846.8145389397432</v>
      </c>
      <c r="P41" s="49">
        <v>6230.367972732357</v>
      </c>
      <c r="Q41" s="49">
        <v>7289.037673969302</v>
      </c>
      <c r="R41" s="49">
        <v>7652.3547821475158</v>
      </c>
      <c r="S41" s="49">
        <v>7718.6946753784368</v>
      </c>
      <c r="T41" s="49">
        <v>8139.5076646361249</v>
      </c>
      <c r="U41" s="49">
        <v>8669.1503009122698</v>
      </c>
      <c r="V41" s="49">
        <v>9450.1244360432811</v>
      </c>
      <c r="W41" s="49">
        <v>9927.2636557412243</v>
      </c>
      <c r="X41" s="49">
        <v>10396.782076314395</v>
      </c>
      <c r="Y41" s="49">
        <v>11416.325415645895</v>
      </c>
      <c r="Z41" s="49">
        <v>12373.689148095709</v>
      </c>
      <c r="AA41" s="49">
        <v>13029.863236533567</v>
      </c>
      <c r="AB41" s="49">
        <v>13233.197811446444</v>
      </c>
      <c r="AC41" s="49">
        <v>13571.81539681992</v>
      </c>
      <c r="AD41" s="49">
        <v>13597.200557127302</v>
      </c>
      <c r="AE41" s="49">
        <v>13543.596654729999</v>
      </c>
      <c r="AF41" s="49">
        <v>13535.8075674873</v>
      </c>
      <c r="AG41" s="49">
        <v>13966.091100530002</v>
      </c>
      <c r="AH41" s="49">
        <v>14668.656618243662</v>
      </c>
      <c r="AI41" s="49">
        <v>15220.801826000001</v>
      </c>
      <c r="AJ41" s="44">
        <v>0</v>
      </c>
      <c r="AK41" s="26"/>
      <c r="AL41" s="26"/>
      <c r="AM41" s="26"/>
      <c r="AN41" s="26"/>
      <c r="AO41" s="90">
        <v>37711</v>
      </c>
      <c r="AP41" s="91">
        <v>44910.9</v>
      </c>
      <c r="AQ41" s="20">
        <v>8458.8437918035033</v>
      </c>
      <c r="AR41" s="92">
        <f t="shared" si="67"/>
        <v>53369.743791803507</v>
      </c>
      <c r="AS41" s="91">
        <v>44910.9</v>
      </c>
      <c r="AT41" s="20">
        <v>8458.8437918035033</v>
      </c>
      <c r="AU41" s="92">
        <f t="shared" si="68"/>
        <v>53369.743791803507</v>
      </c>
      <c r="AV41" s="91">
        <v>44910.9</v>
      </c>
      <c r="AW41" s="20">
        <v>8458.8437918035033</v>
      </c>
      <c r="AX41" s="92">
        <f t="shared" si="69"/>
        <v>53369.743791803507</v>
      </c>
      <c r="AY41" s="104">
        <f t="shared" si="70"/>
        <v>0.20528955037075816</v>
      </c>
      <c r="AZ41" s="90">
        <v>37711</v>
      </c>
      <c r="BA41" s="97">
        <f t="shared" si="71"/>
        <v>9.781486010471574E-2</v>
      </c>
      <c r="BB41" s="97">
        <f t="shared" si="72"/>
        <v>9.781486010471574E-2</v>
      </c>
      <c r="BC41" s="97">
        <f t="shared" si="73"/>
        <v>9.781486010471574E-2</v>
      </c>
      <c r="BD41" s="26"/>
      <c r="BE41" s="90">
        <v>37711</v>
      </c>
      <c r="BF41" s="97">
        <f t="shared" si="74"/>
        <v>9.0399795954326345E-2</v>
      </c>
      <c r="BG41" s="97">
        <f t="shared" si="75"/>
        <v>9.0399795954326345E-2</v>
      </c>
      <c r="BH41" s="97">
        <f t="shared" si="76"/>
        <v>9.0399795954326345E-2</v>
      </c>
      <c r="BI41" s="26"/>
      <c r="BJ41" s="26"/>
      <c r="BM41" s="434" t="s">
        <v>1306</v>
      </c>
      <c r="BX41" s="305">
        <v>40086</v>
      </c>
      <c r="BY41" s="489">
        <f t="shared" si="13"/>
        <v>-6.5665875850453581E-2</v>
      </c>
      <c r="BZ41" s="301"/>
      <c r="CA41" s="301"/>
    </row>
    <row r="42" spans="1:79" ht="14.25" customHeight="1">
      <c r="A42" s="26" t="s">
        <v>95</v>
      </c>
      <c r="B42" s="26" t="s">
        <v>201</v>
      </c>
      <c r="C42" s="26" t="s">
        <v>202</v>
      </c>
      <c r="D42" s="26" t="s">
        <v>211</v>
      </c>
      <c r="E42" s="19">
        <v>197843000</v>
      </c>
      <c r="F42" s="37">
        <v>-0.7</v>
      </c>
      <c r="G42" s="38">
        <f t="shared" si="0"/>
        <v>-138490100</v>
      </c>
      <c r="H42" s="26"/>
      <c r="I42" s="26"/>
      <c r="J42" s="40" t="s">
        <v>148</v>
      </c>
      <c r="K42" s="94" t="s">
        <v>149</v>
      </c>
      <c r="L42" s="40"/>
      <c r="M42" s="49">
        <v>540.66499297016423</v>
      </c>
      <c r="N42" s="49">
        <v>725.89990709327742</v>
      </c>
      <c r="O42" s="49">
        <v>875.14054673752514</v>
      </c>
      <c r="P42" s="49">
        <v>992.68166653193703</v>
      </c>
      <c r="Q42" s="49">
        <v>1367.9792881383701</v>
      </c>
      <c r="R42" s="49">
        <v>1461.2395753205219</v>
      </c>
      <c r="S42" s="49">
        <v>1798.4736297080065</v>
      </c>
      <c r="T42" s="49">
        <v>2261.8942132128573</v>
      </c>
      <c r="U42" s="49">
        <v>2172.8823899136814</v>
      </c>
      <c r="V42" s="49">
        <v>2335.0955692167859</v>
      </c>
      <c r="W42" s="49">
        <v>2733.004237413676</v>
      </c>
      <c r="X42" s="49">
        <v>3297.2751962871198</v>
      </c>
      <c r="Y42" s="49">
        <v>3474.98842013274</v>
      </c>
      <c r="Z42" s="49">
        <v>3935.638731837159</v>
      </c>
      <c r="AA42" s="49">
        <v>4020.2325656091766</v>
      </c>
      <c r="AB42" s="49">
        <v>4432.3572778012731</v>
      </c>
      <c r="AC42" s="49">
        <v>4712.7340730864998</v>
      </c>
      <c r="AD42" s="49">
        <v>4690.9299391688828</v>
      </c>
      <c r="AE42" s="49">
        <v>4980.4171547449359</v>
      </c>
      <c r="AF42" s="49">
        <v>5012.928103020422</v>
      </c>
      <c r="AG42" s="49">
        <v>4837.1416855965354</v>
      </c>
      <c r="AH42" s="49">
        <v>5475.6271387479037</v>
      </c>
      <c r="AI42" s="49">
        <v>5960.832813</v>
      </c>
      <c r="AJ42" s="44">
        <v>-0.8</v>
      </c>
      <c r="AK42" s="26"/>
      <c r="AL42" s="26"/>
      <c r="AM42" s="26"/>
      <c r="AN42" s="26"/>
      <c r="AO42" s="90">
        <v>37802</v>
      </c>
      <c r="AP42" s="91">
        <v>48313.899999999987</v>
      </c>
      <c r="AQ42" s="20">
        <v>10022.119887517811</v>
      </c>
      <c r="AR42" s="92">
        <f t="shared" si="67"/>
        <v>58336.019887517796</v>
      </c>
      <c r="AS42" s="91">
        <v>48313.899999999987</v>
      </c>
      <c r="AT42" s="20">
        <v>10022.119887517811</v>
      </c>
      <c r="AU42" s="92">
        <f t="shared" si="68"/>
        <v>58336.019887517796</v>
      </c>
      <c r="AV42" s="91">
        <v>48313.899999999987</v>
      </c>
      <c r="AW42" s="20">
        <v>10022.119887517811</v>
      </c>
      <c r="AX42" s="92">
        <f t="shared" si="69"/>
        <v>58336.019887517796</v>
      </c>
      <c r="AY42" s="104">
        <f t="shared" si="70"/>
        <v>0.20181986287046155</v>
      </c>
      <c r="AZ42" s="90">
        <v>37802</v>
      </c>
      <c r="BA42" s="97">
        <f t="shared" si="71"/>
        <v>0.11137882998535642</v>
      </c>
      <c r="BB42" s="97">
        <f t="shared" si="72"/>
        <v>0.11137882998535642</v>
      </c>
      <c r="BC42" s="97">
        <f t="shared" si="73"/>
        <v>0.11137882998535642</v>
      </c>
      <c r="BD42" s="26"/>
      <c r="BE42" s="90">
        <v>37802</v>
      </c>
      <c r="BF42" s="97">
        <f t="shared" si="74"/>
        <v>9.9351095929868682E-2</v>
      </c>
      <c r="BG42" s="97">
        <f t="shared" si="75"/>
        <v>9.9351095929868682E-2</v>
      </c>
      <c r="BH42" s="97">
        <f t="shared" si="76"/>
        <v>9.9351095929868682E-2</v>
      </c>
      <c r="BI42" s="26"/>
      <c r="BJ42" s="26"/>
      <c r="BM42" s="354" t="s">
        <v>1264</v>
      </c>
      <c r="BN42" s="354" t="s">
        <v>1162</v>
      </c>
      <c r="BO42" s="354" t="s">
        <v>1164</v>
      </c>
      <c r="BP42" s="354" t="s">
        <v>1163</v>
      </c>
      <c r="BX42" s="305">
        <v>40178</v>
      </c>
      <c r="BY42" s="489">
        <f t="shared" si="13"/>
        <v>-2.7384102641876074E-2</v>
      </c>
      <c r="BZ42" s="301"/>
      <c r="CA42" s="301"/>
    </row>
    <row r="43" spans="1:79" ht="14.25" customHeight="1">
      <c r="A43" s="26" t="s">
        <v>95</v>
      </c>
      <c r="B43" s="26" t="s">
        <v>201</v>
      </c>
      <c r="C43" s="26" t="s">
        <v>202</v>
      </c>
      <c r="D43" s="26" t="s">
        <v>212</v>
      </c>
      <c r="E43" s="19">
        <v>156212000</v>
      </c>
      <c r="F43" s="37">
        <v>-0.7</v>
      </c>
      <c r="G43" s="38">
        <f t="shared" si="0"/>
        <v>-109348400</v>
      </c>
      <c r="H43" s="26"/>
      <c r="I43" s="26"/>
      <c r="J43" s="40" t="s">
        <v>152</v>
      </c>
      <c r="K43" s="94" t="s">
        <v>153</v>
      </c>
      <c r="L43" s="40"/>
      <c r="M43" s="49">
        <v>1285.0096764689695</v>
      </c>
      <c r="N43" s="49">
        <v>1305.4667075667683</v>
      </c>
      <c r="O43" s="49">
        <v>1431.7888142267675</v>
      </c>
      <c r="P43" s="49">
        <v>1642.0253885907059</v>
      </c>
      <c r="Q43" s="49">
        <v>1840.3103216405602</v>
      </c>
      <c r="R43" s="49">
        <v>1979.1098534375392</v>
      </c>
      <c r="S43" s="49">
        <v>2143.7315908507376</v>
      </c>
      <c r="T43" s="49">
        <v>2407.9096083014106</v>
      </c>
      <c r="U43" s="49">
        <v>2757.8968456000248</v>
      </c>
      <c r="V43" s="49">
        <v>2943.7597679486753</v>
      </c>
      <c r="W43" s="49">
        <v>3218.5902366200617</v>
      </c>
      <c r="X43" s="49">
        <v>3456.6070953389412</v>
      </c>
      <c r="Y43" s="49">
        <v>3616.0606159005797</v>
      </c>
      <c r="Z43" s="49">
        <v>3855.0671975689379</v>
      </c>
      <c r="AA43" s="49">
        <v>4011.4867995148948</v>
      </c>
      <c r="AB43" s="49">
        <v>3990.9881920511266</v>
      </c>
      <c r="AC43" s="49">
        <v>4140.5092579869288</v>
      </c>
      <c r="AD43" s="49">
        <v>4307.8857398950804</v>
      </c>
      <c r="AE43" s="49">
        <v>4451.6821946262016</v>
      </c>
      <c r="AF43" s="49">
        <v>4723.002052697806</v>
      </c>
      <c r="AG43" s="49">
        <v>4663.2375024420107</v>
      </c>
      <c r="AH43" s="49">
        <v>5107.3209826812872</v>
      </c>
      <c r="AI43" s="49">
        <v>5153.0628649999999</v>
      </c>
      <c r="AJ43" s="44">
        <v>-0.5</v>
      </c>
      <c r="AK43" s="26"/>
      <c r="AL43" s="26"/>
      <c r="AM43" s="26"/>
      <c r="AN43" s="26"/>
      <c r="AO43" s="90">
        <v>37894</v>
      </c>
      <c r="AP43" s="91">
        <v>52881</v>
      </c>
      <c r="AQ43" s="20">
        <v>10586.371911850409</v>
      </c>
      <c r="AR43" s="92">
        <f t="shared" si="67"/>
        <v>63467.371911850409</v>
      </c>
      <c r="AS43" s="91">
        <v>52881</v>
      </c>
      <c r="AT43" s="20">
        <v>10586.371911850409</v>
      </c>
      <c r="AU43" s="92">
        <f t="shared" si="68"/>
        <v>63467.371911850409</v>
      </c>
      <c r="AV43" s="91">
        <v>52881</v>
      </c>
      <c r="AW43" s="20">
        <v>10586.371911850409</v>
      </c>
      <c r="AX43" s="92">
        <f t="shared" si="69"/>
        <v>63467.371911850409</v>
      </c>
      <c r="AY43" s="104">
        <f t="shared" si="70"/>
        <v>0.19749952159816445</v>
      </c>
      <c r="AZ43" s="90">
        <v>37894</v>
      </c>
      <c r="BA43" s="97">
        <f t="shared" si="71"/>
        <v>0.10288031748845161</v>
      </c>
      <c r="BB43" s="97">
        <f t="shared" si="72"/>
        <v>0.10288031748845161</v>
      </c>
      <c r="BC43" s="97">
        <f t="shared" si="73"/>
        <v>0.10288031748845161</v>
      </c>
      <c r="BD43" s="26"/>
      <c r="BE43" s="90">
        <v>37894</v>
      </c>
      <c r="BF43" s="97">
        <f t="shared" si="74"/>
        <v>9.6587904018418103E-2</v>
      </c>
      <c r="BG43" s="97">
        <f t="shared" si="75"/>
        <v>9.6587904018418103E-2</v>
      </c>
      <c r="BH43" s="97">
        <f t="shared" si="76"/>
        <v>9.6587904018418103E-2</v>
      </c>
      <c r="BI43" s="26"/>
      <c r="BJ43" s="26"/>
      <c r="BM43" s="354" t="s">
        <v>1254</v>
      </c>
      <c r="BN43" s="484">
        <f>SUM(AW4:AZ4)/SUM($AS4:$AV4)-1</f>
        <v>3.0000000000000027E-2</v>
      </c>
      <c r="BO43" s="484">
        <f>SUM(BA4:BD4)/SUM($AS4:$AV4)-1</f>
        <v>3.0000000000000027E-2</v>
      </c>
      <c r="BP43" s="484">
        <f>SUM(BE4:BH4)/SUM($AS4:$AV4)-1</f>
        <v>3.0000000000000027E-2</v>
      </c>
      <c r="BX43" s="305">
        <v>40268</v>
      </c>
      <c r="BY43" s="489">
        <f t="shared" si="13"/>
        <v>-1.3784446132146466E-2</v>
      </c>
      <c r="BZ43" s="301"/>
      <c r="CA43" s="301"/>
    </row>
    <row r="44" spans="1:79" ht="14.25" customHeight="1">
      <c r="A44" s="26" t="s">
        <v>95</v>
      </c>
      <c r="B44" s="26" t="s">
        <v>201</v>
      </c>
      <c r="C44" s="26" t="s">
        <v>213</v>
      </c>
      <c r="D44" s="26" t="s">
        <v>213</v>
      </c>
      <c r="E44" s="19">
        <v>867000</v>
      </c>
      <c r="F44" s="37">
        <v>-0.7</v>
      </c>
      <c r="G44" s="38">
        <f t="shared" si="0"/>
        <v>-606900</v>
      </c>
      <c r="H44" s="26"/>
      <c r="I44" s="26"/>
      <c r="J44" s="40" t="s">
        <v>157</v>
      </c>
      <c r="K44" s="504" t="s">
        <v>214</v>
      </c>
      <c r="L44" s="505"/>
      <c r="M44" s="49">
        <v>171.65633018363806</v>
      </c>
      <c r="N44" s="49">
        <v>195.50652565699968</v>
      </c>
      <c r="O44" s="49">
        <v>225.52254396460259</v>
      </c>
      <c r="P44" s="49">
        <v>257.58540058781381</v>
      </c>
      <c r="Q44" s="49">
        <v>284.74916512852468</v>
      </c>
      <c r="R44" s="49">
        <v>325.56145746324535</v>
      </c>
      <c r="S44" s="49">
        <v>334.25060416923327</v>
      </c>
      <c r="T44" s="49">
        <v>370.94294425966245</v>
      </c>
      <c r="U44" s="49">
        <v>408.70758254186819</v>
      </c>
      <c r="V44" s="49">
        <v>433.86549191933216</v>
      </c>
      <c r="W44" s="49">
        <v>463.44436111769795</v>
      </c>
      <c r="X44" s="49">
        <v>497.67910022164131</v>
      </c>
      <c r="Y44" s="49">
        <v>546.94894847597436</v>
      </c>
      <c r="Z44" s="49">
        <v>582.60335399999997</v>
      </c>
      <c r="AA44" s="49">
        <v>531.38033800000005</v>
      </c>
      <c r="AB44" s="49">
        <v>480.96344399999998</v>
      </c>
      <c r="AC44" s="49">
        <v>394.37887799999999</v>
      </c>
      <c r="AD44" s="49">
        <v>344.05009799999999</v>
      </c>
      <c r="AE44" s="49">
        <v>306.55219499999998</v>
      </c>
      <c r="AF44" s="49">
        <v>188.57182700000001</v>
      </c>
      <c r="AG44" s="49">
        <v>151.469301</v>
      </c>
      <c r="AH44" s="49">
        <v>131.0595445939465</v>
      </c>
      <c r="AI44" s="49">
        <v>131.147852</v>
      </c>
      <c r="AJ44" s="44">
        <v>0</v>
      </c>
      <c r="AK44" s="26"/>
      <c r="AL44" s="26"/>
      <c r="AM44" s="26"/>
      <c r="AN44" s="26"/>
      <c r="AO44" s="90">
        <v>37986</v>
      </c>
      <c r="AP44" s="91">
        <v>47829.5</v>
      </c>
      <c r="AQ44" s="20">
        <v>9570.4889967475447</v>
      </c>
      <c r="AR44" s="92">
        <f t="shared" si="67"/>
        <v>57399.988996747546</v>
      </c>
      <c r="AS44" s="91">
        <v>47829.5</v>
      </c>
      <c r="AT44" s="20">
        <v>9570.4889967475447</v>
      </c>
      <c r="AU44" s="92">
        <f t="shared" si="68"/>
        <v>57399.988996747546</v>
      </c>
      <c r="AV44" s="91">
        <v>47829.5</v>
      </c>
      <c r="AW44" s="20">
        <v>9570.4889967475447</v>
      </c>
      <c r="AX44" s="92">
        <f t="shared" si="69"/>
        <v>57399.988996747546</v>
      </c>
      <c r="AY44" s="104">
        <f t="shared" si="70"/>
        <v>0.19923048866255536</v>
      </c>
      <c r="AZ44" s="90">
        <v>37986</v>
      </c>
      <c r="BA44" s="97">
        <f t="shared" si="71"/>
        <v>9.4703458325170908E-2</v>
      </c>
      <c r="BB44" s="97">
        <f t="shared" si="72"/>
        <v>9.4703458325170908E-2</v>
      </c>
      <c r="BC44" s="97">
        <f t="shared" si="73"/>
        <v>9.4703458325170908E-2</v>
      </c>
      <c r="BD44" s="26"/>
      <c r="BE44" s="90">
        <v>37986</v>
      </c>
      <c r="BF44" s="97">
        <f t="shared" si="74"/>
        <v>0.10179583964595817</v>
      </c>
      <c r="BG44" s="97">
        <f t="shared" si="75"/>
        <v>0.10179583964595817</v>
      </c>
      <c r="BH44" s="97">
        <f t="shared" si="76"/>
        <v>0.10179583964595817</v>
      </c>
      <c r="BI44" s="26"/>
      <c r="BJ44" s="26"/>
      <c r="BL44" s="446"/>
      <c r="BM44" s="354" t="s">
        <v>1307</v>
      </c>
      <c r="BN44" s="484">
        <f t="shared" ref="BN44:BN62" si="77">SUM(AW5:AZ5)/SUM($AS5:$AV5)-1</f>
        <v>-8.693256652697412E-2</v>
      </c>
      <c r="BO44" s="484">
        <f t="shared" ref="BO44:BO62" si="78">SUM(BA5:BD5)/SUM($AS5:$AV5)-1</f>
        <v>-7.0216339712487197E-2</v>
      </c>
      <c r="BP44" s="484">
        <f t="shared" ref="BP44:BP62" si="79">SUM(BE5:BH5)/SUM($AS5:$AV5)-1</f>
        <v>-4.506751516726748E-2</v>
      </c>
      <c r="BX44" s="305">
        <v>40359</v>
      </c>
      <c r="BY44" s="489">
        <f t="shared" si="13"/>
        <v>-2.2877804197279583E-2</v>
      </c>
      <c r="BZ44" s="301"/>
      <c r="CA44" s="301"/>
    </row>
    <row r="45" spans="1:79" ht="14.25" customHeight="1">
      <c r="A45" s="26" t="s">
        <v>95</v>
      </c>
      <c r="B45" s="26" t="s">
        <v>201</v>
      </c>
      <c r="C45" s="26" t="s">
        <v>215</v>
      </c>
      <c r="D45" s="26" t="s">
        <v>216</v>
      </c>
      <c r="E45" s="19">
        <v>306327000</v>
      </c>
      <c r="F45" s="37">
        <v>-0.7</v>
      </c>
      <c r="G45" s="38">
        <f t="shared" si="0"/>
        <v>-214428900</v>
      </c>
      <c r="H45" s="26"/>
      <c r="I45" s="26"/>
      <c r="J45" s="40" t="s">
        <v>217</v>
      </c>
      <c r="K45" s="504" t="s">
        <v>218</v>
      </c>
      <c r="L45" s="505"/>
      <c r="M45" s="49" t="s">
        <v>219</v>
      </c>
      <c r="N45" s="49" t="s">
        <v>219</v>
      </c>
      <c r="O45" s="49" t="s">
        <v>219</v>
      </c>
      <c r="P45" s="49" t="s">
        <v>219</v>
      </c>
      <c r="Q45" s="49" t="s">
        <v>219</v>
      </c>
      <c r="R45" s="49" t="s">
        <v>219</v>
      </c>
      <c r="S45" s="49" t="s">
        <v>219</v>
      </c>
      <c r="T45" s="49" t="s">
        <v>219</v>
      </c>
      <c r="U45" s="49" t="s">
        <v>219</v>
      </c>
      <c r="V45" s="49" t="s">
        <v>219</v>
      </c>
      <c r="W45" s="49" t="s">
        <v>219</v>
      </c>
      <c r="X45" s="49" t="s">
        <v>219</v>
      </c>
      <c r="Y45" s="49" t="s">
        <v>219</v>
      </c>
      <c r="Z45" s="49" t="s">
        <v>219</v>
      </c>
      <c r="AA45" s="49" t="s">
        <v>219</v>
      </c>
      <c r="AB45" s="49" t="s">
        <v>219</v>
      </c>
      <c r="AC45" s="49" t="s">
        <v>219</v>
      </c>
      <c r="AD45" s="49" t="s">
        <v>219</v>
      </c>
      <c r="AE45" s="49" t="s">
        <v>219</v>
      </c>
      <c r="AF45" s="49" t="s">
        <v>219</v>
      </c>
      <c r="AG45" s="49" t="s">
        <v>219</v>
      </c>
      <c r="AH45" s="49" t="s">
        <v>219</v>
      </c>
      <c r="AI45" s="49" t="s">
        <v>219</v>
      </c>
      <c r="AJ45" s="44">
        <v>0</v>
      </c>
      <c r="AK45" s="26"/>
      <c r="AL45" s="26"/>
      <c r="AM45" s="26"/>
      <c r="AN45" s="26"/>
      <c r="AO45" s="90">
        <v>38077</v>
      </c>
      <c r="AP45" s="91">
        <v>48922.799999999996</v>
      </c>
      <c r="AQ45" s="20">
        <v>8799</v>
      </c>
      <c r="AR45" s="92">
        <f t="shared" si="67"/>
        <v>57721.799999999996</v>
      </c>
      <c r="AS45" s="91">
        <v>48922.799999999996</v>
      </c>
      <c r="AT45" s="20">
        <v>8799</v>
      </c>
      <c r="AU45" s="92">
        <f t="shared" si="68"/>
        <v>57721.799999999996</v>
      </c>
      <c r="AV45" s="91">
        <v>48922.799999999996</v>
      </c>
      <c r="AW45" s="20">
        <v>8799</v>
      </c>
      <c r="AX45" s="92">
        <f t="shared" si="69"/>
        <v>57721.799999999996</v>
      </c>
      <c r="AY45" s="104">
        <f t="shared" si="70"/>
        <v>0.19691099846886326</v>
      </c>
      <c r="AZ45" s="90">
        <v>38077</v>
      </c>
      <c r="BA45" s="97">
        <f t="shared" si="71"/>
        <v>8.1545383188908582E-2</v>
      </c>
      <c r="BB45" s="97">
        <f t="shared" si="72"/>
        <v>8.1545383188908582E-2</v>
      </c>
      <c r="BC45" s="97">
        <f t="shared" si="73"/>
        <v>8.1545383188908582E-2</v>
      </c>
      <c r="BD45" s="26"/>
      <c r="BE45" s="90">
        <v>38077</v>
      </c>
      <c r="BF45" s="97">
        <f t="shared" si="74"/>
        <v>9.7685270277924063E-2</v>
      </c>
      <c r="BG45" s="97">
        <f t="shared" si="75"/>
        <v>9.7685270277924063E-2</v>
      </c>
      <c r="BH45" s="97">
        <f t="shared" si="76"/>
        <v>9.7685270277924063E-2</v>
      </c>
      <c r="BI45" s="26"/>
      <c r="BJ45" s="26"/>
      <c r="BL45" s="446"/>
      <c r="BM45" s="354" t="s">
        <v>1308</v>
      </c>
      <c r="BN45" s="484">
        <f t="shared" si="77"/>
        <v>-0.10669742242579616</v>
      </c>
      <c r="BO45" s="484">
        <f t="shared" si="78"/>
        <v>-8.6654668603439511E-2</v>
      </c>
      <c r="BP45" s="484">
        <f t="shared" si="79"/>
        <v>-5.661623375589131E-2</v>
      </c>
      <c r="BX45" s="305">
        <v>40451</v>
      </c>
      <c r="BY45" s="489">
        <f t="shared" si="13"/>
        <v>1.7741074042725069E-2</v>
      </c>
      <c r="BZ45" s="301"/>
      <c r="CA45" s="301"/>
    </row>
    <row r="46" spans="1:79" ht="14.25" customHeight="1">
      <c r="A46" s="26" t="s">
        <v>95</v>
      </c>
      <c r="B46" s="26" t="s">
        <v>201</v>
      </c>
      <c r="C46" s="26" t="s">
        <v>215</v>
      </c>
      <c r="D46" s="26" t="s">
        <v>220</v>
      </c>
      <c r="E46" s="19">
        <v>95970000</v>
      </c>
      <c r="F46" s="37">
        <v>-0.7</v>
      </c>
      <c r="G46" s="38">
        <f t="shared" si="0"/>
        <v>-67179000</v>
      </c>
      <c r="H46" s="26"/>
      <c r="I46" s="26"/>
      <c r="J46" s="80" t="s">
        <v>221</v>
      </c>
      <c r="K46" s="109"/>
      <c r="L46" s="109"/>
      <c r="M46" s="110">
        <v>97165.432038871149</v>
      </c>
      <c r="N46" s="110">
        <v>108195.50176471793</v>
      </c>
      <c r="O46" s="110">
        <v>123295.12658158237</v>
      </c>
      <c r="P46" s="110">
        <v>134180.53716276196</v>
      </c>
      <c r="Q46" s="110">
        <v>138489.80585847504</v>
      </c>
      <c r="R46" s="110">
        <v>147822.759040637</v>
      </c>
      <c r="S46" s="110">
        <v>159357.78943031284</v>
      </c>
      <c r="T46" s="110">
        <v>174599.10552021244</v>
      </c>
      <c r="U46" s="110">
        <v>193935.49902460101</v>
      </c>
      <c r="V46" s="110">
        <v>210898.50204334519</v>
      </c>
      <c r="W46" s="110">
        <v>227098.77506822901</v>
      </c>
      <c r="X46" s="110">
        <v>247176.29723377869</v>
      </c>
      <c r="Y46" s="110">
        <v>272580.74032397656</v>
      </c>
      <c r="Z46" s="110">
        <v>293609.35638710036</v>
      </c>
      <c r="AA46" s="110">
        <v>283030.87858804676</v>
      </c>
      <c r="AB46" s="110">
        <v>279150.8471778988</v>
      </c>
      <c r="AC46" s="110">
        <v>284482.73633666884</v>
      </c>
      <c r="AD46" s="110">
        <v>278373.35216646537</v>
      </c>
      <c r="AE46" s="110">
        <v>276217.61317899171</v>
      </c>
      <c r="AF46" s="111">
        <v>276364.80819107004</v>
      </c>
      <c r="AG46" s="111">
        <v>281466.2298344408</v>
      </c>
      <c r="AH46" s="111">
        <v>291037.11640469643</v>
      </c>
      <c r="AI46" s="111">
        <v>302659.21902900003</v>
      </c>
      <c r="AJ46" s="26"/>
      <c r="AK46" s="26"/>
      <c r="AL46" s="26"/>
      <c r="AM46" s="26"/>
      <c r="AN46" s="26"/>
      <c r="AO46" s="90">
        <v>38168</v>
      </c>
      <c r="AP46" s="91">
        <v>52785.900000000009</v>
      </c>
      <c r="AQ46" s="20">
        <v>10062</v>
      </c>
      <c r="AR46" s="92">
        <f t="shared" si="67"/>
        <v>62847.900000000009</v>
      </c>
      <c r="AS46" s="91">
        <v>52785.900000000009</v>
      </c>
      <c r="AT46" s="20">
        <v>10062</v>
      </c>
      <c r="AU46" s="92">
        <f t="shared" si="68"/>
        <v>62847.900000000009</v>
      </c>
      <c r="AV46" s="91">
        <v>52785.900000000009</v>
      </c>
      <c r="AW46" s="20">
        <v>10062</v>
      </c>
      <c r="AX46" s="92">
        <f t="shared" si="69"/>
        <v>62847.900000000009</v>
      </c>
      <c r="AY46" s="104">
        <f t="shared" si="70"/>
        <v>0.19275770731530384</v>
      </c>
      <c r="AZ46" s="90">
        <v>38168</v>
      </c>
      <c r="BA46" s="97">
        <f t="shared" si="71"/>
        <v>7.7342954167629596E-2</v>
      </c>
      <c r="BB46" s="97">
        <f t="shared" si="72"/>
        <v>7.7342954167629596E-2</v>
      </c>
      <c r="BC46" s="97">
        <f t="shared" si="73"/>
        <v>7.7342954167629596E-2</v>
      </c>
      <c r="BD46" s="26"/>
      <c r="BE46" s="90">
        <v>38168</v>
      </c>
      <c r="BF46" s="97">
        <f t="shared" si="74"/>
        <v>8.908999037239429E-2</v>
      </c>
      <c r="BG46" s="97">
        <f t="shared" si="75"/>
        <v>8.908999037239429E-2</v>
      </c>
      <c r="BH46" s="97">
        <f t="shared" si="76"/>
        <v>8.908999037239429E-2</v>
      </c>
      <c r="BI46" s="26"/>
      <c r="BJ46" s="26"/>
      <c r="BL46" s="446"/>
      <c r="BM46" s="354" t="s">
        <v>1309</v>
      </c>
      <c r="BN46" s="484">
        <f t="shared" si="77"/>
        <v>0</v>
      </c>
      <c r="BO46" s="484">
        <f t="shared" si="78"/>
        <v>0</v>
      </c>
      <c r="BP46" s="484">
        <f t="shared" si="79"/>
        <v>0</v>
      </c>
      <c r="BX46" s="305">
        <v>40543</v>
      </c>
      <c r="BY46" s="489">
        <f t="shared" si="13"/>
        <v>-6.5683640005916866E-3</v>
      </c>
      <c r="BZ46" s="301"/>
      <c r="CA46" s="301"/>
    </row>
    <row r="47" spans="1:79" ht="14.25" customHeight="1">
      <c r="A47" s="26" t="s">
        <v>95</v>
      </c>
      <c r="B47" s="26" t="s">
        <v>222</v>
      </c>
      <c r="C47" s="26" t="s">
        <v>223</v>
      </c>
      <c r="D47" s="26" t="s">
        <v>224</v>
      </c>
      <c r="E47" s="19">
        <v>4556000</v>
      </c>
      <c r="F47" s="37">
        <v>-0.7</v>
      </c>
      <c r="G47" s="38">
        <f t="shared" si="0"/>
        <v>-3189200</v>
      </c>
      <c r="H47" s="26"/>
      <c r="I47" s="26"/>
      <c r="J47" s="112" t="s">
        <v>225</v>
      </c>
      <c r="K47" s="113"/>
      <c r="L47" s="113"/>
      <c r="M47" s="114">
        <v>20095.804939379472</v>
      </c>
      <c r="N47" s="114">
        <v>20650.92531004902</v>
      </c>
      <c r="O47" s="114">
        <v>23664.764846791641</v>
      </c>
      <c r="P47" s="114">
        <v>27873.915871469198</v>
      </c>
      <c r="Q47" s="114">
        <v>27927.40495987931</v>
      </c>
      <c r="R47" s="114">
        <v>31548.041922564073</v>
      </c>
      <c r="S47" s="114">
        <v>33996.470090722396</v>
      </c>
      <c r="T47" s="114">
        <v>36486.198981964175</v>
      </c>
      <c r="U47" s="114">
        <v>38637.824587919269</v>
      </c>
      <c r="V47" s="114">
        <v>40094.730214686278</v>
      </c>
      <c r="W47" s="114">
        <v>42916.077451879872</v>
      </c>
      <c r="X47" s="114">
        <v>47268.45193997633</v>
      </c>
      <c r="Y47" s="114">
        <v>50210.631259841997</v>
      </c>
      <c r="Z47" s="114">
        <v>53125.804174160126</v>
      </c>
      <c r="AA47" s="114">
        <v>47739.874358392655</v>
      </c>
      <c r="AB47" s="114">
        <v>49673.316463279312</v>
      </c>
      <c r="AC47" s="114">
        <v>48732.066559747065</v>
      </c>
      <c r="AD47" s="114">
        <v>52136.061014832499</v>
      </c>
      <c r="AE47" s="114">
        <v>54991.448236623313</v>
      </c>
      <c r="AF47" s="115">
        <v>54977.963247104701</v>
      </c>
      <c r="AG47" s="115">
        <v>58229.843394629104</v>
      </c>
      <c r="AH47" s="115">
        <v>60131.543212458229</v>
      </c>
      <c r="AI47" s="115">
        <v>63766.908828939027</v>
      </c>
      <c r="AJ47" s="26"/>
      <c r="AK47" s="26"/>
      <c r="AL47" s="26"/>
      <c r="AM47" s="26"/>
      <c r="AN47" s="26"/>
      <c r="AO47" s="90">
        <v>38260</v>
      </c>
      <c r="AP47" s="91">
        <v>57276.800000000003</v>
      </c>
      <c r="AQ47" s="20">
        <v>10711</v>
      </c>
      <c r="AR47" s="92">
        <f t="shared" si="67"/>
        <v>67987.8</v>
      </c>
      <c r="AS47" s="91">
        <v>57276.800000000003</v>
      </c>
      <c r="AT47" s="20">
        <v>10711</v>
      </c>
      <c r="AU47" s="92">
        <f t="shared" si="68"/>
        <v>67987.8</v>
      </c>
      <c r="AV47" s="91">
        <v>57276.800000000003</v>
      </c>
      <c r="AW47" s="20">
        <v>10711</v>
      </c>
      <c r="AX47" s="92">
        <f t="shared" si="69"/>
        <v>67987.8</v>
      </c>
      <c r="AY47" s="104">
        <f t="shared" si="70"/>
        <v>0.18926329810094794</v>
      </c>
      <c r="AZ47" s="90">
        <v>38260</v>
      </c>
      <c r="BA47" s="97">
        <f t="shared" si="71"/>
        <v>7.122444103133807E-2</v>
      </c>
      <c r="BB47" s="97">
        <f t="shared" si="72"/>
        <v>7.122444103133807E-2</v>
      </c>
      <c r="BC47" s="97">
        <f t="shared" si="73"/>
        <v>7.122444103133807E-2</v>
      </c>
      <c r="BD47" s="26"/>
      <c r="BE47" s="90">
        <v>38260</v>
      </c>
      <c r="BF47" s="97">
        <f t="shared" si="74"/>
        <v>8.0621591477023413E-2</v>
      </c>
      <c r="BG47" s="97">
        <f t="shared" si="75"/>
        <v>8.0621591477023413E-2</v>
      </c>
      <c r="BH47" s="97">
        <f t="shared" si="76"/>
        <v>8.0621591477023413E-2</v>
      </c>
      <c r="BI47" s="26"/>
      <c r="BJ47" s="26"/>
      <c r="BL47" s="446"/>
      <c r="BM47" s="354" t="s">
        <v>1310</v>
      </c>
      <c r="BN47" s="484">
        <f t="shared" si="77"/>
        <v>0</v>
      </c>
      <c r="BO47" s="484">
        <f t="shared" si="78"/>
        <v>0</v>
      </c>
      <c r="BP47" s="484">
        <f t="shared" si="79"/>
        <v>0</v>
      </c>
      <c r="BX47" s="305">
        <v>40633</v>
      </c>
      <c r="BY47" s="489">
        <f t="shared" si="13"/>
        <v>-3.0424764132553905E-3</v>
      </c>
      <c r="BZ47" s="301"/>
      <c r="CA47" s="301"/>
    </row>
    <row r="48" spans="1:79" ht="14.25" customHeight="1">
      <c r="A48" s="26" t="s">
        <v>95</v>
      </c>
      <c r="B48" s="26" t="s">
        <v>222</v>
      </c>
      <c r="C48" s="26" t="s">
        <v>223</v>
      </c>
      <c r="D48" s="26" t="s">
        <v>226</v>
      </c>
      <c r="E48" s="19">
        <v>254385000</v>
      </c>
      <c r="F48" s="37">
        <v>-0.7</v>
      </c>
      <c r="G48" s="38">
        <f t="shared" si="0"/>
        <v>-178069500</v>
      </c>
      <c r="H48" s="26"/>
      <c r="I48" s="26"/>
      <c r="J48" s="116" t="s">
        <v>227</v>
      </c>
      <c r="K48" s="109"/>
      <c r="L48" s="109"/>
      <c r="M48" s="110">
        <v>117261.23697825061</v>
      </c>
      <c r="N48" s="110">
        <v>128846.42707476695</v>
      </c>
      <c r="O48" s="110">
        <v>146959.89142837402</v>
      </c>
      <c r="P48" s="110">
        <v>162054.45303423115</v>
      </c>
      <c r="Q48" s="110">
        <v>166417.21081835436</v>
      </c>
      <c r="R48" s="110">
        <v>179370.80096320107</v>
      </c>
      <c r="S48" s="110">
        <v>193354.25952103524</v>
      </c>
      <c r="T48" s="110">
        <v>211085.30450217662</v>
      </c>
      <c r="U48" s="110">
        <v>232573.3236125203</v>
      </c>
      <c r="V48" s="110">
        <v>250993.23225803146</v>
      </c>
      <c r="W48" s="110">
        <v>270014.85252010886</v>
      </c>
      <c r="X48" s="110">
        <v>294444.749173755</v>
      </c>
      <c r="Y48" s="110">
        <v>322791.37158381857</v>
      </c>
      <c r="Z48" s="110">
        <v>346735.16056126048</v>
      </c>
      <c r="AA48" s="110">
        <v>330770.75294643943</v>
      </c>
      <c r="AB48" s="110">
        <v>328824.16364117811</v>
      </c>
      <c r="AC48" s="110">
        <v>333214.80289641593</v>
      </c>
      <c r="AD48" s="110">
        <v>330509.41318129789</v>
      </c>
      <c r="AE48" s="110">
        <v>331209.06141561503</v>
      </c>
      <c r="AF48" s="111">
        <v>331342.77143817476</v>
      </c>
      <c r="AG48" s="111">
        <v>339696.07322906994</v>
      </c>
      <c r="AH48" s="111">
        <v>351168.65961715463</v>
      </c>
      <c r="AI48" s="111">
        <v>366426.12785793905</v>
      </c>
      <c r="AJ48" s="26"/>
      <c r="AK48" s="26"/>
      <c r="AL48" s="26"/>
      <c r="AM48" s="26"/>
      <c r="AN48" s="26"/>
      <c r="AO48" s="90">
        <v>38352</v>
      </c>
      <c r="AP48" s="91">
        <v>51912.800000000003</v>
      </c>
      <c r="AQ48" s="20">
        <v>10523</v>
      </c>
      <c r="AR48" s="92">
        <f t="shared" si="67"/>
        <v>62435.8</v>
      </c>
      <c r="AS48" s="91">
        <v>51912.800000000003</v>
      </c>
      <c r="AT48" s="20">
        <v>10523</v>
      </c>
      <c r="AU48" s="92">
        <f t="shared" si="68"/>
        <v>62435.8</v>
      </c>
      <c r="AV48" s="91">
        <v>51912.800000000003</v>
      </c>
      <c r="AW48" s="20">
        <v>10523</v>
      </c>
      <c r="AX48" s="92">
        <f t="shared" si="69"/>
        <v>62435.8</v>
      </c>
      <c r="AY48" s="104">
        <f t="shared" si="70"/>
        <v>0.19011533046970983</v>
      </c>
      <c r="AZ48" s="90">
        <v>38352</v>
      </c>
      <c r="BA48" s="97">
        <f t="shared" si="71"/>
        <v>8.7731915829074358E-2</v>
      </c>
      <c r="BB48" s="97">
        <f t="shared" si="72"/>
        <v>8.7731915829074358E-2</v>
      </c>
      <c r="BC48" s="97">
        <f t="shared" si="73"/>
        <v>8.7731915829074358E-2</v>
      </c>
      <c r="BD48" s="26"/>
      <c r="BE48" s="90">
        <v>38352</v>
      </c>
      <c r="BF48" s="97">
        <f t="shared" si="74"/>
        <v>7.9201650855911243E-2</v>
      </c>
      <c r="BG48" s="97">
        <f t="shared" si="75"/>
        <v>7.9201650855911243E-2</v>
      </c>
      <c r="BH48" s="97">
        <f t="shared" si="76"/>
        <v>7.9201650855911243E-2</v>
      </c>
      <c r="BI48" s="26"/>
      <c r="BJ48" s="26"/>
      <c r="BL48" s="446"/>
      <c r="BM48" s="354" t="s">
        <v>1257</v>
      </c>
      <c r="BN48" s="484">
        <f t="shared" si="77"/>
        <v>-0.12879241278951359</v>
      </c>
      <c r="BO48" s="484">
        <f t="shared" si="78"/>
        <v>-0.10441327643063325</v>
      </c>
      <c r="BP48" s="484">
        <f t="shared" si="79"/>
        <v>-6.7869278705996128E-2</v>
      </c>
      <c r="BX48" s="305">
        <v>40724</v>
      </c>
      <c r="BY48" s="489">
        <f t="shared" si="13"/>
        <v>2.6164087106390843E-2</v>
      </c>
      <c r="BZ48" s="301"/>
      <c r="CA48" s="301"/>
    </row>
    <row r="49" spans="1:79" ht="14.25" customHeight="1">
      <c r="A49" s="26" t="s">
        <v>95</v>
      </c>
      <c r="B49" s="26" t="s">
        <v>222</v>
      </c>
      <c r="C49" s="26" t="s">
        <v>228</v>
      </c>
      <c r="D49" s="26" t="s">
        <v>228</v>
      </c>
      <c r="E49" s="19">
        <v>436569000</v>
      </c>
      <c r="F49" s="37">
        <v>-0.7</v>
      </c>
      <c r="G49" s="38">
        <f t="shared" si="0"/>
        <v>-305598300</v>
      </c>
      <c r="H49" s="26"/>
      <c r="I49" s="26"/>
      <c r="J49" s="26"/>
      <c r="K49" s="26"/>
      <c r="L49" s="26"/>
      <c r="M49" s="26"/>
      <c r="N49" s="440"/>
      <c r="O49" s="440"/>
      <c r="P49" s="440"/>
      <c r="Q49" s="440"/>
      <c r="R49" s="440"/>
      <c r="S49" s="440"/>
      <c r="T49" s="440"/>
      <c r="U49" s="440"/>
      <c r="V49" s="440"/>
      <c r="W49" s="440"/>
      <c r="X49" s="440"/>
      <c r="Y49" s="440"/>
      <c r="Z49" s="440"/>
      <c r="AA49" s="440"/>
      <c r="AB49" s="440"/>
      <c r="AC49" s="440"/>
      <c r="AD49" s="440"/>
      <c r="AE49" s="440"/>
      <c r="AF49" s="440"/>
      <c r="AG49" s="440"/>
      <c r="AH49" s="440"/>
      <c r="AI49" s="440"/>
      <c r="AJ49" s="26"/>
      <c r="AK49" s="26"/>
      <c r="AL49" s="26"/>
      <c r="AM49" s="26"/>
      <c r="AN49" s="26"/>
      <c r="AO49" s="90">
        <v>38442</v>
      </c>
      <c r="AP49" s="91">
        <v>52026.9</v>
      </c>
      <c r="AQ49" s="20">
        <v>8451.7109612625354</v>
      </c>
      <c r="AR49" s="92">
        <f t="shared" si="67"/>
        <v>60478.610961262537</v>
      </c>
      <c r="AS49" s="91">
        <v>52026.9</v>
      </c>
      <c r="AT49" s="20">
        <v>8451.7109612625354</v>
      </c>
      <c r="AU49" s="92">
        <f t="shared" si="68"/>
        <v>60478.610961262537</v>
      </c>
      <c r="AV49" s="91">
        <v>52026.9</v>
      </c>
      <c r="AW49" s="20">
        <v>8451.7109612625354</v>
      </c>
      <c r="AX49" s="92">
        <f t="shared" si="69"/>
        <v>60478.610961262537</v>
      </c>
      <c r="AY49" s="104">
        <f t="shared" si="70"/>
        <v>0.18573488410065744</v>
      </c>
      <c r="AZ49" s="90">
        <v>38442</v>
      </c>
      <c r="BA49" s="97">
        <f t="shared" si="71"/>
        <v>4.776030825896882E-2</v>
      </c>
      <c r="BB49" s="97">
        <f t="shared" si="72"/>
        <v>4.776030825896882E-2</v>
      </c>
      <c r="BC49" s="97">
        <f t="shared" si="73"/>
        <v>4.776030825896882E-2</v>
      </c>
      <c r="BD49" s="26"/>
      <c r="BE49" s="90">
        <v>38442</v>
      </c>
      <c r="BF49" s="97">
        <f t="shared" si="74"/>
        <v>7.1013685031754425E-2</v>
      </c>
      <c r="BG49" s="97">
        <f t="shared" si="75"/>
        <v>7.1013685031754425E-2</v>
      </c>
      <c r="BH49" s="97">
        <f t="shared" si="76"/>
        <v>7.1013685031754425E-2</v>
      </c>
      <c r="BI49" s="26"/>
      <c r="BJ49" s="26"/>
      <c r="BL49" s="446"/>
      <c r="BM49" s="354" t="s">
        <v>1311</v>
      </c>
      <c r="BN49" s="484">
        <f t="shared" si="77"/>
        <v>-0.13790796325997678</v>
      </c>
      <c r="BO49" s="484">
        <f t="shared" si="78"/>
        <v>-0.11115836681365254</v>
      </c>
      <c r="BP49" s="484">
        <f t="shared" si="79"/>
        <v>-7.0532456504419194E-2</v>
      </c>
      <c r="BX49" s="305">
        <v>40816</v>
      </c>
      <c r="BY49" s="489">
        <f t="shared" si="13"/>
        <v>1.5022709323893269E-2</v>
      </c>
      <c r="BZ49" s="301"/>
      <c r="CA49" s="301"/>
    </row>
    <row r="50" spans="1:79" ht="14.25" customHeight="1">
      <c r="A50" s="26" t="s">
        <v>95</v>
      </c>
      <c r="B50" s="26" t="s">
        <v>229</v>
      </c>
      <c r="C50" s="26" t="s">
        <v>230</v>
      </c>
      <c r="D50" s="26" t="s">
        <v>230</v>
      </c>
      <c r="E50" s="19">
        <v>920890000</v>
      </c>
      <c r="F50" s="37">
        <v>-0.4</v>
      </c>
      <c r="G50" s="38">
        <f t="shared" si="0"/>
        <v>-368356000</v>
      </c>
      <c r="H50" s="26"/>
      <c r="I50" s="26"/>
      <c r="J50" s="26"/>
      <c r="K50" s="26"/>
      <c r="L50" s="26"/>
      <c r="M50" s="26"/>
      <c r="N50" s="93">
        <f t="shared" ref="N50:AI50" si="80">N39/M39-1</f>
        <v>0.15973760175977425</v>
      </c>
      <c r="O50" s="93">
        <f t="shared" si="80"/>
        <v>0.15556742856377226</v>
      </c>
      <c r="P50" s="93">
        <f t="shared" si="80"/>
        <v>0.21514169370341429</v>
      </c>
      <c r="Q50" s="93">
        <f t="shared" si="80"/>
        <v>4.9859529111127676E-2</v>
      </c>
      <c r="R50" s="93">
        <f t="shared" si="80"/>
        <v>2.265268757062322E-2</v>
      </c>
      <c r="S50" s="93">
        <f t="shared" si="80"/>
        <v>-7.0376248507232564E-2</v>
      </c>
      <c r="T50" s="93">
        <f t="shared" si="80"/>
        <v>-1.2366864517089349E-3</v>
      </c>
      <c r="U50" s="93">
        <f t="shared" si="80"/>
        <v>3.5730292781681161E-2</v>
      </c>
      <c r="V50" s="93">
        <f t="shared" si="80"/>
        <v>7.0103725153810581E-2</v>
      </c>
      <c r="W50" s="93">
        <f t="shared" si="80"/>
        <v>-1.1221281135470829E-2</v>
      </c>
      <c r="X50" s="93">
        <f t="shared" si="80"/>
        <v>7.6484467023559821E-2</v>
      </c>
      <c r="Y50" s="93">
        <f t="shared" si="80"/>
        <v>9.7694786359408647E-2</v>
      </c>
      <c r="Z50" s="93">
        <f t="shared" si="80"/>
        <v>2.8878455805440462E-2</v>
      </c>
      <c r="AA50" s="93">
        <f t="shared" si="80"/>
        <v>7.3855922192315848E-2</v>
      </c>
      <c r="AB50" s="93">
        <f t="shared" si="80"/>
        <v>-1.2245932564036721E-2</v>
      </c>
      <c r="AC50" s="93">
        <f t="shared" si="80"/>
        <v>-4.2604272233076612E-2</v>
      </c>
      <c r="AD50" s="93">
        <f t="shared" si="80"/>
        <v>-2.68026893748744E-2</v>
      </c>
      <c r="AE50" s="93">
        <f t="shared" si="80"/>
        <v>-5.1880911571452581E-2</v>
      </c>
      <c r="AF50" s="93">
        <f t="shared" si="80"/>
        <v>8.1599731328378944E-3</v>
      </c>
      <c r="AG50" s="93">
        <f t="shared" si="80"/>
        <v>1.44622682283575E-2</v>
      </c>
      <c r="AH50" s="93">
        <f t="shared" si="80"/>
        <v>-8.7615631843562802E-4</v>
      </c>
      <c r="AI50" s="93">
        <f t="shared" si="80"/>
        <v>2.5223850183740737E-2</v>
      </c>
      <c r="AJ50" s="26"/>
      <c r="AK50" s="26"/>
      <c r="AL50" s="26"/>
      <c r="AM50" s="26"/>
      <c r="AN50" s="26"/>
      <c r="AO50" s="90">
        <v>38533</v>
      </c>
      <c r="AP50" s="91">
        <v>57109.200000000004</v>
      </c>
      <c r="AQ50" s="20">
        <v>10760.355366974045</v>
      </c>
      <c r="AR50" s="92">
        <f t="shared" si="67"/>
        <v>67869.555366974048</v>
      </c>
      <c r="AS50" s="91">
        <v>57109.200000000004</v>
      </c>
      <c r="AT50" s="20">
        <v>10760.355366974045</v>
      </c>
      <c r="AU50" s="92">
        <f t="shared" si="68"/>
        <v>67869.555366974048</v>
      </c>
      <c r="AV50" s="91">
        <v>57109.200000000004</v>
      </c>
      <c r="AW50" s="20">
        <v>10760.355366974045</v>
      </c>
      <c r="AX50" s="92">
        <f t="shared" si="69"/>
        <v>67869.555366974048</v>
      </c>
      <c r="AY50" s="104">
        <f t="shared" si="70"/>
        <v>0.18525563563170336</v>
      </c>
      <c r="AZ50" s="90">
        <v>38533</v>
      </c>
      <c r="BA50" s="97">
        <f t="shared" si="71"/>
        <v>7.9901720932187725E-2</v>
      </c>
      <c r="BB50" s="97">
        <f t="shared" si="72"/>
        <v>7.9901720932187725E-2</v>
      </c>
      <c r="BC50" s="97">
        <f t="shared" si="73"/>
        <v>7.9901720932187725E-2</v>
      </c>
      <c r="BD50" s="26"/>
      <c r="BE50" s="90">
        <v>38533</v>
      </c>
      <c r="BF50" s="97">
        <f t="shared" si="74"/>
        <v>7.1798030320627371E-2</v>
      </c>
      <c r="BG50" s="97">
        <f t="shared" si="75"/>
        <v>7.1798030320627371E-2</v>
      </c>
      <c r="BH50" s="97">
        <f t="shared" si="76"/>
        <v>7.1798030320627371E-2</v>
      </c>
      <c r="BI50" s="26"/>
      <c r="BJ50" s="26"/>
      <c r="BL50" s="446"/>
      <c r="BM50" s="354" t="s">
        <v>1312</v>
      </c>
      <c r="BN50" s="484">
        <f t="shared" si="77"/>
        <v>-0.2383718518897977</v>
      </c>
      <c r="BO50" s="484">
        <f t="shared" si="78"/>
        <v>-0.19236135400351528</v>
      </c>
      <c r="BP50" s="484">
        <f t="shared" si="79"/>
        <v>-0.16703725330428643</v>
      </c>
      <c r="BX50" s="305">
        <v>40908</v>
      </c>
      <c r="BY50" s="489">
        <f t="shared" si="13"/>
        <v>1.3685336335493181E-2</v>
      </c>
      <c r="BZ50" s="301"/>
      <c r="CA50" s="301"/>
    </row>
    <row r="51" spans="1:79" ht="14.25" customHeight="1">
      <c r="A51" s="26" t="s">
        <v>95</v>
      </c>
      <c r="B51" s="26" t="s">
        <v>229</v>
      </c>
      <c r="C51" s="26" t="s">
        <v>231</v>
      </c>
      <c r="D51" s="26" t="s">
        <v>232</v>
      </c>
      <c r="E51" s="19">
        <v>311660000</v>
      </c>
      <c r="F51" s="37">
        <v>-0.4</v>
      </c>
      <c r="G51" s="38">
        <f t="shared" si="0"/>
        <v>-124664000</v>
      </c>
      <c r="H51" s="26"/>
      <c r="I51" s="26"/>
      <c r="J51" s="26"/>
      <c r="K51" s="26"/>
      <c r="L51" s="26"/>
      <c r="M51" s="26"/>
      <c r="N51" s="93">
        <f t="shared" ref="N51:AI51" si="81">N40/M40-1</f>
        <v>0.19643825321301089</v>
      </c>
      <c r="O51" s="93">
        <f t="shared" si="81"/>
        <v>0.12241660579957059</v>
      </c>
      <c r="P51" s="93">
        <f t="shared" si="81"/>
        <v>0.28100997236411129</v>
      </c>
      <c r="Q51" s="93">
        <f t="shared" si="81"/>
        <v>0.16200955679669393</v>
      </c>
      <c r="R51" s="93">
        <f t="shared" si="81"/>
        <v>0.11573164857392371</v>
      </c>
      <c r="S51" s="93">
        <f t="shared" si="81"/>
        <v>2.0158455664267771E-2</v>
      </c>
      <c r="T51" s="93">
        <f t="shared" si="81"/>
        <v>8.0537950423041682E-2</v>
      </c>
      <c r="U51" s="93">
        <f t="shared" si="81"/>
        <v>0.12554990916358366</v>
      </c>
      <c r="V51" s="93">
        <f t="shared" si="81"/>
        <v>8.4803102870190994E-2</v>
      </c>
      <c r="W51" s="93">
        <f t="shared" si="81"/>
        <v>9.4670981902949203E-2</v>
      </c>
      <c r="X51" s="93">
        <f t="shared" si="81"/>
        <v>3.37210832906647E-2</v>
      </c>
      <c r="Y51" s="93">
        <f t="shared" si="81"/>
        <v>0.11269587529862601</v>
      </c>
      <c r="Z51" s="93">
        <f t="shared" si="81"/>
        <v>9.5523905752589844E-2</v>
      </c>
      <c r="AA51" s="93">
        <f t="shared" si="81"/>
        <v>3.2570806581687428E-2</v>
      </c>
      <c r="AB51" s="93">
        <f t="shared" si="81"/>
        <v>4.8199120712326016E-2</v>
      </c>
      <c r="AC51" s="93">
        <f t="shared" si="81"/>
        <v>1.6905873335967714E-2</v>
      </c>
      <c r="AD51" s="93">
        <f t="shared" si="81"/>
        <v>-6.5720570766030217E-3</v>
      </c>
      <c r="AE51" s="93">
        <f t="shared" si="81"/>
        <v>-6.6581116924856465E-3</v>
      </c>
      <c r="AF51" s="93">
        <f t="shared" si="81"/>
        <v>-1.6705420869963961E-2</v>
      </c>
      <c r="AG51" s="93">
        <f t="shared" si="81"/>
        <v>-1.7611314118852528E-2</v>
      </c>
      <c r="AH51" s="93">
        <f t="shared" si="81"/>
        <v>7.8080978476794627E-2</v>
      </c>
      <c r="AI51" s="93">
        <f t="shared" si="81"/>
        <v>4.8685416113269708E-2</v>
      </c>
      <c r="AJ51" s="26"/>
      <c r="AK51" s="26"/>
      <c r="AL51" s="26"/>
      <c r="AM51" s="26"/>
      <c r="AN51" s="26"/>
      <c r="AO51" s="90">
        <v>38625</v>
      </c>
      <c r="AP51" s="91">
        <v>61514.1</v>
      </c>
      <c r="AQ51" s="20">
        <v>12369.30509664069</v>
      </c>
      <c r="AR51" s="92">
        <f t="shared" si="67"/>
        <v>73883.405096640694</v>
      </c>
      <c r="AS51" s="91">
        <v>61514.1</v>
      </c>
      <c r="AT51" s="20">
        <v>12369.30509664069</v>
      </c>
      <c r="AU51" s="92">
        <f t="shared" si="68"/>
        <v>73883.405096640694</v>
      </c>
      <c r="AV51" s="91">
        <v>61514.1</v>
      </c>
      <c r="AW51" s="20">
        <v>12369.30509664069</v>
      </c>
      <c r="AX51" s="92">
        <f t="shared" si="69"/>
        <v>73883.405096640694</v>
      </c>
      <c r="AY51" s="104">
        <f t="shared" si="70"/>
        <v>0.18917956454971069</v>
      </c>
      <c r="AZ51" s="90">
        <v>38625</v>
      </c>
      <c r="BA51" s="97">
        <f t="shared" si="71"/>
        <v>8.6715632755298699E-2</v>
      </c>
      <c r="BB51" s="97">
        <f t="shared" si="72"/>
        <v>8.6715632755298699E-2</v>
      </c>
      <c r="BC51" s="97">
        <f t="shared" si="73"/>
        <v>8.6715632755298699E-2</v>
      </c>
      <c r="BD51" s="26"/>
      <c r="BE51" s="90">
        <v>38625</v>
      </c>
      <c r="BF51" s="97">
        <f t="shared" si="74"/>
        <v>7.6069578139078997E-2</v>
      </c>
      <c r="BG51" s="97">
        <f t="shared" si="75"/>
        <v>7.6069578139078997E-2</v>
      </c>
      <c r="BH51" s="97">
        <f t="shared" si="76"/>
        <v>7.6069578139078997E-2</v>
      </c>
      <c r="BI51" s="26"/>
      <c r="BJ51" s="26"/>
      <c r="BL51" s="446"/>
      <c r="BM51" s="354" t="s">
        <v>1313</v>
      </c>
      <c r="BN51" s="484">
        <f t="shared" si="77"/>
        <v>-0.42768491075423143</v>
      </c>
      <c r="BO51" s="484">
        <f t="shared" si="78"/>
        <v>-0.33679971348774229</v>
      </c>
      <c r="BP51" s="484">
        <f t="shared" si="79"/>
        <v>-0.30749045954172149</v>
      </c>
      <c r="BX51" s="305">
        <v>40999</v>
      </c>
      <c r="BY51" s="489">
        <f t="shared" si="13"/>
        <v>-3.1829270294887468E-3</v>
      </c>
      <c r="BZ51" s="301"/>
      <c r="CA51" s="301"/>
    </row>
    <row r="52" spans="1:79" ht="14.25" customHeight="1">
      <c r="A52" s="26" t="s">
        <v>95</v>
      </c>
      <c r="B52" s="26" t="s">
        <v>229</v>
      </c>
      <c r="C52" s="26" t="s">
        <v>231</v>
      </c>
      <c r="D52" s="26" t="s">
        <v>233</v>
      </c>
      <c r="E52" s="19">
        <v>163053000</v>
      </c>
      <c r="F52" s="37">
        <v>-0.4</v>
      </c>
      <c r="G52" s="38">
        <f t="shared" si="0"/>
        <v>-65221200</v>
      </c>
      <c r="H52" s="26"/>
      <c r="I52" s="26"/>
      <c r="J52" s="26"/>
      <c r="K52" s="26"/>
      <c r="L52" s="26"/>
      <c r="M52" s="26"/>
      <c r="N52" s="93">
        <f t="shared" ref="N52:AI52" si="82">N41/M41-1</f>
        <v>0.34283578172988238</v>
      </c>
      <c r="O52" s="93">
        <f t="shared" si="82"/>
        <v>0.24994019309321192</v>
      </c>
      <c r="P52" s="93">
        <f t="shared" si="82"/>
        <v>0.28545623577651291</v>
      </c>
      <c r="Q52" s="93">
        <f t="shared" si="82"/>
        <v>0.16992089486051021</v>
      </c>
      <c r="R52" s="93">
        <f t="shared" si="82"/>
        <v>4.9844317511994252E-2</v>
      </c>
      <c r="S52" s="93">
        <f t="shared" si="82"/>
        <v>8.6692129572569776E-3</v>
      </c>
      <c r="T52" s="93">
        <f t="shared" si="82"/>
        <v>5.451867277507727E-2</v>
      </c>
      <c r="U52" s="93">
        <f t="shared" si="82"/>
        <v>6.5070598628132359E-2</v>
      </c>
      <c r="V52" s="93">
        <f t="shared" si="82"/>
        <v>9.0086583808430154E-2</v>
      </c>
      <c r="W52" s="93">
        <f t="shared" si="82"/>
        <v>5.049025787196082E-2</v>
      </c>
      <c r="X52" s="93">
        <f t="shared" si="82"/>
        <v>4.7295854815101457E-2</v>
      </c>
      <c r="Y52" s="93">
        <f t="shared" si="82"/>
        <v>9.8063355742945557E-2</v>
      </c>
      <c r="Z52" s="93">
        <f t="shared" si="82"/>
        <v>8.3859183896226597E-2</v>
      </c>
      <c r="AA52" s="93">
        <f t="shared" si="82"/>
        <v>5.3029786071427276E-2</v>
      </c>
      <c r="AB52" s="93">
        <f t="shared" si="82"/>
        <v>1.5605273149971399E-2</v>
      </c>
      <c r="AC52" s="93">
        <f t="shared" si="82"/>
        <v>2.5588492683195518E-2</v>
      </c>
      <c r="AD52" s="93">
        <f t="shared" si="82"/>
        <v>1.8704321835478765E-3</v>
      </c>
      <c r="AE52" s="93">
        <f t="shared" si="82"/>
        <v>-3.9422748949013986E-3</v>
      </c>
      <c r="AF52" s="93">
        <f t="shared" si="82"/>
        <v>-5.7511216859662539E-4</v>
      </c>
      <c r="AG52" s="93">
        <f t="shared" si="82"/>
        <v>3.1788537986919385E-2</v>
      </c>
      <c r="AH52" s="93">
        <f t="shared" si="82"/>
        <v>5.0305093433551828E-2</v>
      </c>
      <c r="AI52" s="93">
        <f t="shared" si="82"/>
        <v>3.7641157068850184E-2</v>
      </c>
      <c r="AJ52" s="26"/>
      <c r="AK52" s="26"/>
      <c r="AL52" s="26"/>
      <c r="AM52" s="26"/>
      <c r="AN52" s="26"/>
      <c r="AO52" s="90">
        <v>38717</v>
      </c>
      <c r="AP52" s="91">
        <v>56448.5</v>
      </c>
      <c r="AQ52" s="20">
        <v>11334.706027002605</v>
      </c>
      <c r="AR52" s="92">
        <f t="shared" si="67"/>
        <v>67783.206027002598</v>
      </c>
      <c r="AS52" s="91">
        <v>56448.5</v>
      </c>
      <c r="AT52" s="20">
        <v>11334.706027002605</v>
      </c>
      <c r="AU52" s="92">
        <f t="shared" si="68"/>
        <v>67783.206027002598</v>
      </c>
      <c r="AV52" s="91">
        <v>56448.5</v>
      </c>
      <c r="AW52" s="20">
        <v>11334.706027002605</v>
      </c>
      <c r="AX52" s="92">
        <f t="shared" si="69"/>
        <v>67783.206027002598</v>
      </c>
      <c r="AY52" s="104">
        <f t="shared" si="70"/>
        <v>0.18897544306453481</v>
      </c>
      <c r="AZ52" s="90">
        <v>38717</v>
      </c>
      <c r="BA52" s="97">
        <f t="shared" si="71"/>
        <v>8.5646472488581704E-2</v>
      </c>
      <c r="BB52" s="97">
        <f t="shared" si="72"/>
        <v>8.5646472488581704E-2</v>
      </c>
      <c r="BC52" s="97">
        <f t="shared" si="73"/>
        <v>8.5646472488581704E-2</v>
      </c>
      <c r="BD52" s="26"/>
      <c r="BE52" s="90">
        <v>38717</v>
      </c>
      <c r="BF52" s="97">
        <f t="shared" si="74"/>
        <v>7.578480163366863E-2</v>
      </c>
      <c r="BG52" s="97">
        <f t="shared" si="75"/>
        <v>7.578480163366863E-2</v>
      </c>
      <c r="BH52" s="97">
        <f t="shared" si="76"/>
        <v>7.578480163366863E-2</v>
      </c>
      <c r="BI52" s="26"/>
      <c r="BJ52" s="26"/>
      <c r="BL52" s="446"/>
      <c r="BM52" s="354" t="s">
        <v>1259</v>
      </c>
      <c r="BN52" s="484">
        <f t="shared" si="77"/>
        <v>-1.7684658696757394E-2</v>
      </c>
      <c r="BO52" s="484">
        <f t="shared" si="78"/>
        <v>-1.42736625089811E-2</v>
      </c>
      <c r="BP52" s="484">
        <f t="shared" si="79"/>
        <v>-9.2011285254721686E-3</v>
      </c>
      <c r="BX52" s="305">
        <v>41090</v>
      </c>
      <c r="BY52" s="489">
        <f t="shared" si="13"/>
        <v>-1.3295433037738946E-2</v>
      </c>
      <c r="BZ52" s="301"/>
      <c r="CA52" s="301"/>
    </row>
    <row r="53" spans="1:79" ht="14.25" customHeight="1">
      <c r="A53" s="26" t="s">
        <v>95</v>
      </c>
      <c r="B53" s="26" t="s">
        <v>229</v>
      </c>
      <c r="C53" s="26" t="s">
        <v>231</v>
      </c>
      <c r="D53" s="26" t="s">
        <v>234</v>
      </c>
      <c r="E53" s="19">
        <v>334348000</v>
      </c>
      <c r="F53" s="37">
        <v>-0.4</v>
      </c>
      <c r="G53" s="38">
        <f t="shared" si="0"/>
        <v>-133739200</v>
      </c>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90">
        <v>38807</v>
      </c>
      <c r="AP53" s="91">
        <v>57067.5</v>
      </c>
      <c r="AQ53" s="20">
        <v>9872.1229558718132</v>
      </c>
      <c r="AR53" s="92">
        <f t="shared" si="67"/>
        <v>66939.622955871819</v>
      </c>
      <c r="AS53" s="91">
        <v>57067.5</v>
      </c>
      <c r="AT53" s="20">
        <v>9872.1229558718132</v>
      </c>
      <c r="AU53" s="92">
        <f t="shared" si="68"/>
        <v>66939.622955871819</v>
      </c>
      <c r="AV53" s="91">
        <v>57067.5</v>
      </c>
      <c r="AW53" s="20">
        <v>9872.1229558718132</v>
      </c>
      <c r="AX53" s="92">
        <f t="shared" si="69"/>
        <v>66939.622955871819</v>
      </c>
      <c r="AY53" s="104">
        <f t="shared" si="70"/>
        <v>0.1909908811066853</v>
      </c>
      <c r="AZ53" s="90">
        <v>38807</v>
      </c>
      <c r="BA53" s="97">
        <f t="shared" si="71"/>
        <v>0.10683135561343593</v>
      </c>
      <c r="BB53" s="97">
        <f t="shared" si="72"/>
        <v>0.10683135561343593</v>
      </c>
      <c r="BC53" s="97">
        <f t="shared" si="73"/>
        <v>0.10683135561343593</v>
      </c>
      <c r="BD53" s="26"/>
      <c r="BE53" s="90">
        <v>38807</v>
      </c>
      <c r="BF53" s="97">
        <f t="shared" si="74"/>
        <v>8.9559284916710391E-2</v>
      </c>
      <c r="BG53" s="97">
        <f t="shared" si="75"/>
        <v>8.9559284916710391E-2</v>
      </c>
      <c r="BH53" s="97">
        <f t="shared" si="76"/>
        <v>8.9559284916710391E-2</v>
      </c>
      <c r="BI53" s="26"/>
      <c r="BJ53" s="26"/>
      <c r="BL53" s="446"/>
      <c r="BM53" s="354" t="s">
        <v>1314</v>
      </c>
      <c r="BN53" s="484">
        <f t="shared" si="77"/>
        <v>-4.2618403487201917E-2</v>
      </c>
      <c r="BO53" s="484">
        <f t="shared" si="78"/>
        <v>-3.4595731308966537E-2</v>
      </c>
      <c r="BP53" s="484">
        <f t="shared" si="79"/>
        <v>-2.2567577959143881E-2</v>
      </c>
      <c r="BX53" s="305">
        <v>41182</v>
      </c>
      <c r="BY53" s="489">
        <f t="shared" si="13"/>
        <v>-5.6698231096949936E-3</v>
      </c>
      <c r="BZ53" s="301"/>
      <c r="CA53" s="301"/>
    </row>
    <row r="54" spans="1:79" ht="14.25" customHeight="1">
      <c r="A54" s="26" t="s">
        <v>95</v>
      </c>
      <c r="B54" s="26" t="s">
        <v>229</v>
      </c>
      <c r="C54" s="26" t="s">
        <v>231</v>
      </c>
      <c r="D54" s="26" t="s">
        <v>235</v>
      </c>
      <c r="E54" s="19">
        <v>139334000</v>
      </c>
      <c r="F54" s="37">
        <v>-0.4</v>
      </c>
      <c r="G54" s="38">
        <f t="shared" si="0"/>
        <v>-55733600</v>
      </c>
      <c r="H54" s="26"/>
      <c r="I54" s="26"/>
      <c r="J54" s="26"/>
      <c r="K54" s="26"/>
      <c r="L54" s="26"/>
      <c r="M54" s="26"/>
      <c r="N54" s="117">
        <f t="shared" ref="N54:AI54" si="83">SUM(N26:N27)</f>
        <v>426.07717020882154</v>
      </c>
      <c r="O54" s="117">
        <f t="shared" si="83"/>
        <v>524.63747610782457</v>
      </c>
      <c r="P54" s="117">
        <f t="shared" si="83"/>
        <v>489.0639878324418</v>
      </c>
      <c r="Q54" s="117">
        <f t="shared" si="83"/>
        <v>474.30089932183296</v>
      </c>
      <c r="R54" s="117">
        <f t="shared" si="83"/>
        <v>565.16855132704654</v>
      </c>
      <c r="S54" s="117">
        <f t="shared" si="83"/>
        <v>632.8706693742015</v>
      </c>
      <c r="T54" s="117">
        <f t="shared" si="83"/>
        <v>691.72426857956384</v>
      </c>
      <c r="U54" s="117">
        <f t="shared" si="83"/>
        <v>786.62192656535092</v>
      </c>
      <c r="V54" s="117">
        <f t="shared" si="83"/>
        <v>929.45451430240587</v>
      </c>
      <c r="W54" s="117">
        <f t="shared" si="83"/>
        <v>1084.9778701097698</v>
      </c>
      <c r="X54" s="117">
        <f t="shared" si="83"/>
        <v>1084.1878341302706</v>
      </c>
      <c r="Y54" s="117">
        <f t="shared" si="83"/>
        <v>1397.0015018628383</v>
      </c>
      <c r="Z54" s="117">
        <f t="shared" si="83"/>
        <v>1788.0687126869748</v>
      </c>
      <c r="AA54" s="117">
        <f t="shared" si="83"/>
        <v>1626.6038917012254</v>
      </c>
      <c r="AB54" s="117">
        <f t="shared" si="83"/>
        <v>1670.8251930817046</v>
      </c>
      <c r="AC54" s="117">
        <f t="shared" si="83"/>
        <v>1575.8611060613907</v>
      </c>
      <c r="AD54" s="117">
        <f t="shared" si="83"/>
        <v>1563.9099941838108</v>
      </c>
      <c r="AE54" s="117">
        <f t="shared" si="83"/>
        <v>1614.3472764013402</v>
      </c>
      <c r="AF54" s="117">
        <f t="shared" si="83"/>
        <v>1670.8223545131414</v>
      </c>
      <c r="AG54" s="117">
        <f t="shared" si="83"/>
        <v>1879.146457861352</v>
      </c>
      <c r="AH54" s="117">
        <f t="shared" si="83"/>
        <v>1988.1007051491883</v>
      </c>
      <c r="AI54" s="117">
        <f t="shared" si="83"/>
        <v>2382.3380040000002</v>
      </c>
      <c r="AJ54" s="26"/>
      <c r="AK54" s="26"/>
      <c r="AL54" s="26"/>
      <c r="AM54" s="26"/>
      <c r="AN54" s="26"/>
      <c r="AO54" s="90">
        <v>38898</v>
      </c>
      <c r="AP54" s="91">
        <v>61975.700000000004</v>
      </c>
      <c r="AQ54" s="20">
        <v>11825.99147975083</v>
      </c>
      <c r="AR54" s="92">
        <f t="shared" si="67"/>
        <v>73801.691479750836</v>
      </c>
      <c r="AS54" s="91">
        <v>61975.700000000004</v>
      </c>
      <c r="AT54" s="20">
        <v>11825.99147975083</v>
      </c>
      <c r="AU54" s="92">
        <f t="shared" si="68"/>
        <v>73801.691479750836</v>
      </c>
      <c r="AV54" s="91">
        <v>61975.700000000004</v>
      </c>
      <c r="AW54" s="20">
        <v>11825.99147975083</v>
      </c>
      <c r="AX54" s="92">
        <f t="shared" si="69"/>
        <v>73801.691479750836</v>
      </c>
      <c r="AY54" s="104">
        <f t="shared" si="70"/>
        <v>0.19156546193918433</v>
      </c>
      <c r="AZ54" s="90">
        <v>38898</v>
      </c>
      <c r="BA54" s="97">
        <f t="shared" si="71"/>
        <v>8.7404965020051018E-2</v>
      </c>
      <c r="BB54" s="97">
        <f t="shared" si="72"/>
        <v>8.7404965020051018E-2</v>
      </c>
      <c r="BC54" s="97">
        <f t="shared" si="73"/>
        <v>8.7404965020051018E-2</v>
      </c>
      <c r="BD54" s="26"/>
      <c r="BE54" s="90">
        <v>38898</v>
      </c>
      <c r="BF54" s="97">
        <f t="shared" si="74"/>
        <v>9.1339791687506944E-2</v>
      </c>
      <c r="BG54" s="97">
        <f t="shared" si="75"/>
        <v>9.1339791687506944E-2</v>
      </c>
      <c r="BH54" s="97">
        <f t="shared" si="76"/>
        <v>9.1339791687506944E-2</v>
      </c>
      <c r="BI54" s="26"/>
      <c r="BJ54" s="26"/>
      <c r="BL54" s="446"/>
      <c r="BM54" s="354" t="s">
        <v>1315</v>
      </c>
      <c r="BN54" s="484">
        <f t="shared" si="77"/>
        <v>-0.22002456398503012</v>
      </c>
      <c r="BO54" s="484">
        <f t="shared" si="78"/>
        <v>-0.17845463977771558</v>
      </c>
      <c r="BP54" s="484">
        <f t="shared" si="79"/>
        <v>-0.11615812829753513</v>
      </c>
      <c r="BX54" s="305">
        <v>41274</v>
      </c>
      <c r="BY54" s="489">
        <f t="shared" si="13"/>
        <v>-1.0007256666575315E-2</v>
      </c>
      <c r="BZ54" s="301"/>
      <c r="CA54" s="301"/>
    </row>
    <row r="55" spans="1:79" ht="14.25" customHeight="1">
      <c r="A55" s="26" t="s">
        <v>95</v>
      </c>
      <c r="B55" s="26" t="s">
        <v>229</v>
      </c>
      <c r="C55" s="26" t="s">
        <v>231</v>
      </c>
      <c r="D55" s="26" t="s">
        <v>236</v>
      </c>
      <c r="E55" s="19">
        <v>198500000</v>
      </c>
      <c r="F55" s="37">
        <v>-0.4</v>
      </c>
      <c r="G55" s="38">
        <f t="shared" si="0"/>
        <v>-79400000</v>
      </c>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90">
        <v>38990</v>
      </c>
      <c r="AP55" s="91">
        <v>66923.100000000006</v>
      </c>
      <c r="AQ55" s="20">
        <v>12912.21726078288</v>
      </c>
      <c r="AR55" s="92">
        <f t="shared" si="67"/>
        <v>79835.317260782889</v>
      </c>
      <c r="AS55" s="91">
        <v>66923.100000000006</v>
      </c>
      <c r="AT55" s="20">
        <v>12912.21726078288</v>
      </c>
      <c r="AU55" s="92">
        <f t="shared" si="68"/>
        <v>79835.317260782889</v>
      </c>
      <c r="AV55" s="91">
        <v>66923.100000000006</v>
      </c>
      <c r="AW55" s="20">
        <v>12912.21726078288</v>
      </c>
      <c r="AX55" s="92">
        <f t="shared" si="69"/>
        <v>79835.317260782889</v>
      </c>
      <c r="AY55" s="104">
        <f t="shared" si="70"/>
        <v>0.18953066282837566</v>
      </c>
      <c r="AZ55" s="90">
        <v>38990</v>
      </c>
      <c r="BA55" s="97">
        <f t="shared" si="71"/>
        <v>8.055817346746541E-2</v>
      </c>
      <c r="BB55" s="97">
        <f t="shared" si="72"/>
        <v>8.055817346746541E-2</v>
      </c>
      <c r="BC55" s="97">
        <f t="shared" si="73"/>
        <v>8.055817346746541E-2</v>
      </c>
      <c r="BD55" s="26"/>
      <c r="BE55" s="90">
        <v>38990</v>
      </c>
      <c r="BF55" s="97">
        <f t="shared" si="74"/>
        <v>8.9517896259666774E-2</v>
      </c>
      <c r="BG55" s="97">
        <f t="shared" si="75"/>
        <v>8.9517896259666774E-2</v>
      </c>
      <c r="BH55" s="97">
        <f t="shared" si="76"/>
        <v>8.9517896259666774E-2</v>
      </c>
      <c r="BI55" s="26"/>
      <c r="BJ55" s="26"/>
      <c r="BL55" s="446"/>
      <c r="BM55" s="354" t="s">
        <v>1316</v>
      </c>
      <c r="BN55" s="484">
        <f t="shared" si="77"/>
        <v>-0.13535497739393487</v>
      </c>
      <c r="BO55" s="484">
        <f t="shared" si="78"/>
        <v>-0.10970108173325233</v>
      </c>
      <c r="BP55" s="484">
        <f t="shared" si="79"/>
        <v>-7.1300994713812793E-2</v>
      </c>
      <c r="BX55" s="305">
        <v>41364</v>
      </c>
      <c r="BY55" s="489">
        <f t="shared" si="13"/>
        <v>9.101577878844358E-3</v>
      </c>
      <c r="BZ55" s="301"/>
      <c r="CA55" s="301"/>
    </row>
    <row r="56" spans="1:79" ht="14.25" customHeight="1">
      <c r="A56" s="26" t="s">
        <v>95</v>
      </c>
      <c r="B56" s="26" t="s">
        <v>237</v>
      </c>
      <c r="C56" s="26" t="s">
        <v>238</v>
      </c>
      <c r="D56" s="26" t="s">
        <v>239</v>
      </c>
      <c r="E56" s="19">
        <v>340969000</v>
      </c>
      <c r="F56" s="37">
        <v>-0.4</v>
      </c>
      <c r="G56" s="38">
        <f t="shared" si="0"/>
        <v>-136387600</v>
      </c>
      <c r="H56" s="26"/>
      <c r="I56" s="26"/>
      <c r="J56" s="26"/>
      <c r="L56" s="118" t="s">
        <v>240</v>
      </c>
      <c r="M56" s="119">
        <v>1995</v>
      </c>
      <c r="N56" s="119">
        <v>1996</v>
      </c>
      <c r="O56" s="119">
        <v>1997</v>
      </c>
      <c r="P56" s="119">
        <v>1998</v>
      </c>
      <c r="Q56" s="119">
        <v>1999</v>
      </c>
      <c r="R56" s="119">
        <v>2000</v>
      </c>
      <c r="S56" s="119">
        <v>2001</v>
      </c>
      <c r="T56" s="119">
        <v>2002</v>
      </c>
      <c r="U56" s="119">
        <v>2003</v>
      </c>
      <c r="V56" s="119">
        <v>2004</v>
      </c>
      <c r="W56" s="119">
        <v>2005</v>
      </c>
      <c r="X56" s="119">
        <v>2006</v>
      </c>
      <c r="Y56" s="119">
        <v>2007</v>
      </c>
      <c r="Z56" s="119">
        <v>2008</v>
      </c>
      <c r="AA56" s="119">
        <v>2009</v>
      </c>
      <c r="AB56" s="119">
        <v>2010</v>
      </c>
      <c r="AC56" s="119">
        <v>2011</v>
      </c>
      <c r="AD56" s="119">
        <v>2012</v>
      </c>
      <c r="AE56" s="119">
        <v>2013</v>
      </c>
      <c r="AF56" s="119">
        <v>2014</v>
      </c>
      <c r="AG56" s="119">
        <v>2015</v>
      </c>
      <c r="AH56" s="119">
        <v>2016</v>
      </c>
      <c r="AI56" s="119">
        <v>2017</v>
      </c>
      <c r="AJ56" s="119">
        <v>2018</v>
      </c>
      <c r="AK56" s="119">
        <v>2019</v>
      </c>
      <c r="AL56" s="119">
        <v>2020</v>
      </c>
      <c r="AM56" s="26"/>
      <c r="AN56" s="26"/>
      <c r="AO56" s="90">
        <v>39082</v>
      </c>
      <c r="AP56" s="91">
        <v>61210.1</v>
      </c>
      <c r="AQ56" s="20">
        <v>12658.120243570811</v>
      </c>
      <c r="AR56" s="92">
        <f t="shared" si="67"/>
        <v>73868.220243570802</v>
      </c>
      <c r="AS56" s="91">
        <v>61210.1</v>
      </c>
      <c r="AT56" s="20">
        <v>12658.120243570811</v>
      </c>
      <c r="AU56" s="92">
        <f t="shared" si="68"/>
        <v>73868.220243570802</v>
      </c>
      <c r="AV56" s="91">
        <v>61210.1</v>
      </c>
      <c r="AW56" s="20">
        <v>12658.120243570811</v>
      </c>
      <c r="AX56" s="92">
        <f t="shared" si="69"/>
        <v>73868.220243570802</v>
      </c>
      <c r="AY56" s="104">
        <f t="shared" si="70"/>
        <v>0.19123367740599964</v>
      </c>
      <c r="AZ56" s="90">
        <v>39082</v>
      </c>
      <c r="BA56" s="97">
        <f t="shared" si="71"/>
        <v>8.9771708557782492E-2</v>
      </c>
      <c r="BB56" s="97">
        <f t="shared" si="72"/>
        <v>8.9771708557782492E-2</v>
      </c>
      <c r="BC56" s="97">
        <f t="shared" si="73"/>
        <v>8.9771708557782492E-2</v>
      </c>
      <c r="BD56" s="26"/>
      <c r="BE56" s="90">
        <v>39082</v>
      </c>
      <c r="BF56" s="97">
        <f t="shared" si="74"/>
        <v>9.0476805449843267E-2</v>
      </c>
      <c r="BG56" s="97">
        <f t="shared" si="75"/>
        <v>9.0476805449843267E-2</v>
      </c>
      <c r="BH56" s="97">
        <f t="shared" si="76"/>
        <v>9.0476805449843267E-2</v>
      </c>
      <c r="BI56" s="26"/>
      <c r="BJ56" s="26"/>
      <c r="BL56" s="446"/>
      <c r="BM56" s="354" t="s">
        <v>1317</v>
      </c>
      <c r="BN56" s="484">
        <f t="shared" si="77"/>
        <v>-0.27104303919885231</v>
      </c>
      <c r="BO56" s="484">
        <f t="shared" si="78"/>
        <v>-0.22045220482416439</v>
      </c>
      <c r="BP56" s="484">
        <f t="shared" si="79"/>
        <v>-0.14339757771986894</v>
      </c>
      <c r="BX56" s="305">
        <v>41455</v>
      </c>
      <c r="BY56" s="489">
        <f t="shared" si="13"/>
        <v>1.1789753148005344E-2</v>
      </c>
      <c r="BZ56" s="301"/>
      <c r="CA56" s="301"/>
    </row>
    <row r="57" spans="1:79" ht="14.25" customHeight="1">
      <c r="A57" s="26" t="s">
        <v>95</v>
      </c>
      <c r="B57" s="26" t="s">
        <v>237</v>
      </c>
      <c r="C57" s="26" t="s">
        <v>238</v>
      </c>
      <c r="D57" s="26" t="s">
        <v>241</v>
      </c>
      <c r="E57" s="19">
        <v>70071000</v>
      </c>
      <c r="F57" s="37">
        <v>0</v>
      </c>
      <c r="G57" s="38">
        <f t="shared" si="0"/>
        <v>0</v>
      </c>
      <c r="H57" s="26"/>
      <c r="I57" s="26"/>
      <c r="J57" s="26"/>
      <c r="L57" s="26" t="s">
        <v>242</v>
      </c>
      <c r="M57" s="117">
        <f t="shared" ref="M57:AI57" si="84">M2</f>
        <v>6692.14652850939</v>
      </c>
      <c r="N57" s="117">
        <f t="shared" si="84"/>
        <v>7295.8345731815616</v>
      </c>
      <c r="O57" s="117">
        <f t="shared" si="84"/>
        <v>7760.5216337422607</v>
      </c>
      <c r="P57" s="117">
        <f t="shared" si="84"/>
        <v>8708.777156567643</v>
      </c>
      <c r="Q57" s="117">
        <f t="shared" si="84"/>
        <v>9081.1538675187167</v>
      </c>
      <c r="R57" s="117">
        <f t="shared" si="84"/>
        <v>8969.6206754221021</v>
      </c>
      <c r="S57" s="117">
        <f t="shared" si="84"/>
        <v>9630.5581958168441</v>
      </c>
      <c r="T57" s="117">
        <f t="shared" si="84"/>
        <v>10323.759481062994</v>
      </c>
      <c r="U57" s="117">
        <f t="shared" si="84"/>
        <v>9240.2151674265442</v>
      </c>
      <c r="V57" s="117">
        <f t="shared" si="84"/>
        <v>11194.747107598354</v>
      </c>
      <c r="W57" s="117">
        <f t="shared" si="84"/>
        <v>10540.38772804733</v>
      </c>
      <c r="X57" s="117">
        <f t="shared" si="84"/>
        <v>11836.555906432677</v>
      </c>
      <c r="Y57" s="117">
        <f t="shared" si="84"/>
        <v>12029.30918575278</v>
      </c>
      <c r="Z57" s="117">
        <f t="shared" si="84"/>
        <v>13800.412182701606</v>
      </c>
      <c r="AA57" s="117">
        <f t="shared" si="84"/>
        <v>13373.303477106065</v>
      </c>
      <c r="AB57" s="117">
        <f t="shared" si="84"/>
        <v>12158.857503092979</v>
      </c>
      <c r="AC57" s="117">
        <f t="shared" si="84"/>
        <v>12263.371853074932</v>
      </c>
      <c r="AD57" s="117">
        <f t="shared" si="84"/>
        <v>11039.279971272468</v>
      </c>
      <c r="AE57" s="117">
        <f t="shared" si="84"/>
        <v>11602.727646247509</v>
      </c>
      <c r="AF57" s="117">
        <f t="shared" si="84"/>
        <v>9900.7687625172348</v>
      </c>
      <c r="AG57" s="117">
        <f t="shared" si="84"/>
        <v>10227.931677629154</v>
      </c>
      <c r="AH57" s="117">
        <f t="shared" si="84"/>
        <v>10922.754333339015</v>
      </c>
      <c r="AI57" s="117">
        <f t="shared" si="84"/>
        <v>10757.485675</v>
      </c>
      <c r="AJ57" s="117">
        <f>SUM(AO4:AR4)/1000000</f>
        <v>10935.989307023205</v>
      </c>
      <c r="AK57" s="117">
        <f>SUM(AS4:AV4)/1000000</f>
        <v>11122.204390563737</v>
      </c>
      <c r="AL57" s="117">
        <f>SUM(AW4:AZ4)/1000000</f>
        <v>11455.870522280649</v>
      </c>
      <c r="AM57" s="26"/>
      <c r="AO57" s="90">
        <v>39172</v>
      </c>
      <c r="AP57" s="91">
        <v>62979</v>
      </c>
      <c r="AQ57" s="20">
        <v>10583.566373699563</v>
      </c>
      <c r="AR57" s="92">
        <f t="shared" si="67"/>
        <v>73562.566373699563</v>
      </c>
      <c r="AS57" s="91">
        <v>62979</v>
      </c>
      <c r="AT57" s="20">
        <v>10583.566373699563</v>
      </c>
      <c r="AU57" s="92">
        <f t="shared" si="68"/>
        <v>73562.566373699563</v>
      </c>
      <c r="AV57" s="91">
        <v>62979</v>
      </c>
      <c r="AW57" s="20">
        <v>10583.566373699563</v>
      </c>
      <c r="AX57" s="92">
        <f t="shared" si="69"/>
        <v>73562.566373699563</v>
      </c>
      <c r="AY57" s="104">
        <f t="shared" si="70"/>
        <v>0.1895779899307872</v>
      </c>
      <c r="AZ57" s="90">
        <v>39172</v>
      </c>
      <c r="BA57" s="97">
        <f t="shared" si="71"/>
        <v>9.8939060684487989E-2</v>
      </c>
      <c r="BB57" s="97">
        <f t="shared" si="72"/>
        <v>9.8939060684487989E-2</v>
      </c>
      <c r="BC57" s="97">
        <f t="shared" si="73"/>
        <v>9.8939060684487989E-2</v>
      </c>
      <c r="BD57" s="26"/>
      <c r="BE57" s="90">
        <v>39172</v>
      </c>
      <c r="BF57" s="97">
        <f t="shared" si="74"/>
        <v>8.8948135243772208E-2</v>
      </c>
      <c r="BG57" s="97">
        <f t="shared" si="75"/>
        <v>8.8948135243772208E-2</v>
      </c>
      <c r="BH57" s="97">
        <f t="shared" si="76"/>
        <v>8.8948135243772208E-2</v>
      </c>
      <c r="BI57" s="26"/>
      <c r="BJ57" s="26"/>
      <c r="BL57" s="446"/>
      <c r="BM57" s="354" t="s">
        <v>1318</v>
      </c>
      <c r="BN57" s="484">
        <f t="shared" si="77"/>
        <v>-2.146356197490551E-2</v>
      </c>
      <c r="BO57" s="484">
        <f t="shared" si="78"/>
        <v>-1.7423502306340044E-2</v>
      </c>
      <c r="BP57" s="484">
        <f t="shared" si="79"/>
        <v>-1.1339743210503905E-2</v>
      </c>
      <c r="BX57" s="305">
        <v>41547</v>
      </c>
      <c r="BY57" s="489">
        <f t="shared" si="13"/>
        <v>-4.0750946288817813E-3</v>
      </c>
      <c r="BZ57" s="301"/>
      <c r="CA57" s="301"/>
    </row>
    <row r="58" spans="1:79" ht="14.25" customHeight="1">
      <c r="A58" s="26" t="s">
        <v>95</v>
      </c>
      <c r="B58" s="26" t="s">
        <v>237</v>
      </c>
      <c r="C58" s="26" t="s">
        <v>238</v>
      </c>
      <c r="D58" s="26" t="s">
        <v>243</v>
      </c>
      <c r="E58" s="19">
        <v>205495000</v>
      </c>
      <c r="F58" s="37">
        <v>-0.2</v>
      </c>
      <c r="G58" s="38">
        <f t="shared" si="0"/>
        <v>-41099000</v>
      </c>
      <c r="H58" s="26"/>
      <c r="I58" s="26"/>
      <c r="J58" s="26"/>
      <c r="L58" s="26" t="s">
        <v>244</v>
      </c>
      <c r="M58" s="117">
        <f t="shared" ref="M58:AI58" si="85">SUM(M3:M29)</f>
        <v>25665.838352878818</v>
      </c>
      <c r="N58" s="117">
        <f t="shared" si="85"/>
        <v>25813.830608197088</v>
      </c>
      <c r="O58" s="117">
        <f t="shared" si="85"/>
        <v>30109.492709820217</v>
      </c>
      <c r="P58" s="117">
        <f t="shared" si="85"/>
        <v>31427.10108367636</v>
      </c>
      <c r="Q58" s="117">
        <f t="shared" si="85"/>
        <v>32724.396569691948</v>
      </c>
      <c r="R58" s="117">
        <f t="shared" si="85"/>
        <v>36440.094756792489</v>
      </c>
      <c r="S58" s="117">
        <f t="shared" si="85"/>
        <v>37454.998068723376</v>
      </c>
      <c r="T58" s="117">
        <f t="shared" si="85"/>
        <v>39255.285230018031</v>
      </c>
      <c r="U58" s="117">
        <f t="shared" si="85"/>
        <v>42078.060117778732</v>
      </c>
      <c r="V58" s="117">
        <f t="shared" si="85"/>
        <v>46992.187788737712</v>
      </c>
      <c r="W58" s="117">
        <f t="shared" si="85"/>
        <v>48370.59906763256</v>
      </c>
      <c r="X58" s="117">
        <f t="shared" si="85"/>
        <v>51087.429084538162</v>
      </c>
      <c r="Y58" s="117">
        <f t="shared" si="85"/>
        <v>54202.283673749567</v>
      </c>
      <c r="Z58" s="117">
        <f t="shared" si="85"/>
        <v>56896.159650396003</v>
      </c>
      <c r="AA58" s="117">
        <f t="shared" si="85"/>
        <v>55416.154311107333</v>
      </c>
      <c r="AB58" s="117">
        <f t="shared" si="85"/>
        <v>55676.48794229365</v>
      </c>
      <c r="AC58" s="117">
        <f t="shared" si="85"/>
        <v>58227.293344136306</v>
      </c>
      <c r="AD58" s="117">
        <f t="shared" si="85"/>
        <v>58649.994462600349</v>
      </c>
      <c r="AE58" s="117">
        <f t="shared" si="85"/>
        <v>57003.174541540218</v>
      </c>
      <c r="AF58" s="117">
        <f t="shared" si="85"/>
        <v>57839.899516023579</v>
      </c>
      <c r="AG58" s="117">
        <f t="shared" si="85"/>
        <v>58436.969739518812</v>
      </c>
      <c r="AH58" s="117">
        <f t="shared" si="85"/>
        <v>60143.097722526079</v>
      </c>
      <c r="AI58" s="117">
        <f t="shared" si="85"/>
        <v>61128.337861</v>
      </c>
      <c r="AJ58" s="117">
        <f>SUM(AO5:AR8)/1000000</f>
        <v>61987.234205845132</v>
      </c>
      <c r="AK58" s="117">
        <f>SUM(AS5:AV8)/1000000</f>
        <v>62933.299934852577</v>
      </c>
      <c r="AL58" s="117">
        <f>SUM(AW5:AZ8)/1000000</f>
        <v>57707.938577784516</v>
      </c>
      <c r="AM58" s="26"/>
      <c r="AO58" s="90">
        <v>39263</v>
      </c>
      <c r="AP58" s="91">
        <v>68387.199999999997</v>
      </c>
      <c r="AQ58" s="20">
        <v>12745.191961181008</v>
      </c>
      <c r="AR58" s="92">
        <f t="shared" si="67"/>
        <v>81132.391961181012</v>
      </c>
      <c r="AS58" s="91">
        <v>68387.199999999997</v>
      </c>
      <c r="AT58" s="20">
        <v>12745.191961181008</v>
      </c>
      <c r="AU58" s="92">
        <f t="shared" si="68"/>
        <v>81132.391961181012</v>
      </c>
      <c r="AV58" s="91">
        <v>68387.199999999997</v>
      </c>
      <c r="AW58" s="20">
        <v>12745.191961181008</v>
      </c>
      <c r="AX58" s="92">
        <f t="shared" si="69"/>
        <v>81132.391961181012</v>
      </c>
      <c r="AY58" s="104">
        <f t="shared" si="70"/>
        <v>0.18843625780727918</v>
      </c>
      <c r="AZ58" s="90">
        <v>39263</v>
      </c>
      <c r="BA58" s="97">
        <f t="shared" si="71"/>
        <v>9.9329708228184987E-2</v>
      </c>
      <c r="BB58" s="97">
        <f t="shared" si="72"/>
        <v>9.9329708228184987E-2</v>
      </c>
      <c r="BC58" s="97">
        <f t="shared" si="73"/>
        <v>9.9329708228184987E-2</v>
      </c>
      <c r="BD58" s="26"/>
      <c r="BE58" s="90">
        <v>39263</v>
      </c>
      <c r="BF58" s="97">
        <f t="shared" si="74"/>
        <v>9.2032014429120457E-2</v>
      </c>
      <c r="BG58" s="97">
        <f t="shared" si="75"/>
        <v>9.2032014429120457E-2</v>
      </c>
      <c r="BH58" s="97">
        <f t="shared" si="76"/>
        <v>9.2032014429120457E-2</v>
      </c>
      <c r="BI58" s="26"/>
      <c r="BJ58" s="26"/>
      <c r="BL58" s="446"/>
      <c r="BM58" s="354" t="s">
        <v>1282</v>
      </c>
      <c r="BN58" s="484">
        <f t="shared" si="77"/>
        <v>-2.1442644570899394E-2</v>
      </c>
      <c r="BO58" s="484">
        <f t="shared" si="78"/>
        <v>-1.7403067086245283E-2</v>
      </c>
      <c r="BP58" s="484">
        <f t="shared" si="79"/>
        <v>-1.133042588874944E-2</v>
      </c>
      <c r="BX58" s="305">
        <v>41639</v>
      </c>
      <c r="BY58" s="489">
        <f t="shared" si="13"/>
        <v>-7.212658315819076E-3</v>
      </c>
      <c r="BZ58" s="301"/>
      <c r="CA58" s="301"/>
    </row>
    <row r="59" spans="1:79" ht="14.25" customHeight="1">
      <c r="A59" s="26" t="s">
        <v>95</v>
      </c>
      <c r="B59" s="26" t="s">
        <v>245</v>
      </c>
      <c r="C59" s="26" t="s">
        <v>246</v>
      </c>
      <c r="D59" s="26" t="s">
        <v>247</v>
      </c>
      <c r="E59" s="19">
        <v>38884000</v>
      </c>
      <c r="F59" s="37">
        <v>-0.2</v>
      </c>
      <c r="G59" s="38">
        <f t="shared" si="0"/>
        <v>-7776800</v>
      </c>
      <c r="H59" s="26"/>
      <c r="I59" s="26"/>
      <c r="J59" s="26"/>
      <c r="L59" s="26" t="s">
        <v>248</v>
      </c>
      <c r="M59" s="117">
        <f t="shared" ref="M59:AI59" si="86">M30</f>
        <v>5740.4519571575911</v>
      </c>
      <c r="N59" s="117">
        <f t="shared" si="86"/>
        <v>7402.5391547863219</v>
      </c>
      <c r="O59" s="117">
        <f t="shared" si="86"/>
        <v>9219.3568276528149</v>
      </c>
      <c r="P59" s="117">
        <f t="shared" si="86"/>
        <v>9377.3424700431842</v>
      </c>
      <c r="Q59" s="117">
        <f t="shared" si="86"/>
        <v>7650.7179555611756</v>
      </c>
      <c r="R59" s="117">
        <f t="shared" si="86"/>
        <v>7252.5269248929562</v>
      </c>
      <c r="S59" s="117">
        <f t="shared" si="86"/>
        <v>8717.4919942140114</v>
      </c>
      <c r="T59" s="117">
        <f t="shared" si="86"/>
        <v>10169.620527952618</v>
      </c>
      <c r="U59" s="117">
        <f t="shared" si="86"/>
        <v>13655.266575740619</v>
      </c>
      <c r="V59" s="117">
        <f t="shared" si="86"/>
        <v>15751.62385644909</v>
      </c>
      <c r="W59" s="117">
        <f t="shared" si="86"/>
        <v>17581.290860650955</v>
      </c>
      <c r="X59" s="117">
        <f t="shared" si="86"/>
        <v>19829.165255497541</v>
      </c>
      <c r="Y59" s="117">
        <f t="shared" si="86"/>
        <v>22108.947992631674</v>
      </c>
      <c r="Z59" s="117">
        <f t="shared" si="86"/>
        <v>24921.797321753409</v>
      </c>
      <c r="AA59" s="117">
        <f t="shared" si="86"/>
        <v>22602.079696506469</v>
      </c>
      <c r="AB59" s="117">
        <f t="shared" si="86"/>
        <v>17237.038869302713</v>
      </c>
      <c r="AC59" s="117">
        <f t="shared" si="86"/>
        <v>16158.275544303388</v>
      </c>
      <c r="AD59" s="117">
        <f t="shared" si="86"/>
        <v>14026.769521646233</v>
      </c>
      <c r="AE59" s="117">
        <f t="shared" si="86"/>
        <v>13812.614421779686</v>
      </c>
      <c r="AF59" s="117">
        <f t="shared" si="86"/>
        <v>13726.251024339175</v>
      </c>
      <c r="AG59" s="117">
        <f t="shared" si="86"/>
        <v>14138.112338595689</v>
      </c>
      <c r="AH59" s="117">
        <f t="shared" si="86"/>
        <v>14509.399365002906</v>
      </c>
      <c r="AI59" s="117">
        <f t="shared" si="86"/>
        <v>15253.23893</v>
      </c>
      <c r="AJ59" s="117">
        <f t="shared" ref="AJ59:AJ60" si="87">SUM(AO9:AR9)/1000000</f>
        <v>16248.605083272478</v>
      </c>
      <c r="AK59" s="117">
        <f t="shared" ref="AK59:AK60" si="88">SUM(AS9:AV9)/1000000</f>
        <v>17777.279345781419</v>
      </c>
      <c r="AL59" s="117">
        <f t="shared" ref="AL59:AL60" si="89">SUM(AW9:AZ9)/1000000</f>
        <v>15487.700646005043</v>
      </c>
      <c r="AM59" s="26"/>
      <c r="AO59" s="90">
        <v>39355</v>
      </c>
      <c r="AP59" s="91">
        <v>73694.7</v>
      </c>
      <c r="AQ59" s="20">
        <v>13561.662398651029</v>
      </c>
      <c r="AR59" s="92">
        <f t="shared" si="67"/>
        <v>87256.362398651021</v>
      </c>
      <c r="AS59" s="91">
        <v>73694.7</v>
      </c>
      <c r="AT59" s="20">
        <v>13561.662398651029</v>
      </c>
      <c r="AU59" s="92">
        <f t="shared" si="68"/>
        <v>87256.362398651021</v>
      </c>
      <c r="AV59" s="91">
        <v>73694.7</v>
      </c>
      <c r="AW59" s="20">
        <v>13561.662398651029</v>
      </c>
      <c r="AX59" s="92">
        <f t="shared" si="69"/>
        <v>87256.362398651021</v>
      </c>
      <c r="AY59" s="104">
        <f t="shared" si="70"/>
        <v>0.18608312950754086</v>
      </c>
      <c r="AZ59" s="90">
        <v>39355</v>
      </c>
      <c r="BA59" s="97">
        <f t="shared" si="71"/>
        <v>9.29544140674885E-2</v>
      </c>
      <c r="BB59" s="97">
        <f t="shared" si="72"/>
        <v>9.29544140674885E-2</v>
      </c>
      <c r="BC59" s="97">
        <f t="shared" si="73"/>
        <v>9.29544140674885E-2</v>
      </c>
      <c r="BD59" s="26"/>
      <c r="BE59" s="90">
        <v>39355</v>
      </c>
      <c r="BF59" s="97">
        <f t="shared" si="74"/>
        <v>9.5227211495497288E-2</v>
      </c>
      <c r="BG59" s="97">
        <f t="shared" si="75"/>
        <v>9.5227211495497288E-2</v>
      </c>
      <c r="BH59" s="97">
        <f t="shared" si="76"/>
        <v>9.5227211495497288E-2</v>
      </c>
      <c r="BI59" s="26"/>
      <c r="BJ59" s="26"/>
      <c r="BL59" s="446"/>
      <c r="BM59" s="354" t="s">
        <v>1319</v>
      </c>
      <c r="BN59" s="484">
        <f t="shared" si="77"/>
        <v>0</v>
      </c>
      <c r="BO59" s="484">
        <f t="shared" si="78"/>
        <v>0</v>
      </c>
      <c r="BP59" s="484">
        <f t="shared" si="79"/>
        <v>0</v>
      </c>
      <c r="BX59" s="305">
        <v>41729</v>
      </c>
      <c r="BY59" s="489">
        <f t="shared" si="13"/>
        <v>-1.7579296179211057E-2</v>
      </c>
      <c r="BZ59" s="301"/>
      <c r="CA59" s="301"/>
    </row>
    <row r="60" spans="1:79" ht="14.25" customHeight="1">
      <c r="A60" s="26" t="s">
        <v>95</v>
      </c>
      <c r="B60" s="26" t="s">
        <v>245</v>
      </c>
      <c r="C60" s="26" t="s">
        <v>246</v>
      </c>
      <c r="D60" s="26" t="s">
        <v>249</v>
      </c>
      <c r="E60" s="19">
        <v>1162273000</v>
      </c>
      <c r="F60" s="37">
        <v>-0.7</v>
      </c>
      <c r="G60" s="38">
        <f t="shared" si="0"/>
        <v>-813591100</v>
      </c>
      <c r="H60" s="26"/>
      <c r="I60" s="26"/>
      <c r="J60" s="26"/>
      <c r="L60" s="26" t="s">
        <v>250</v>
      </c>
      <c r="M60" s="117">
        <f t="shared" ref="M60:AI60" si="90">M31</f>
        <v>12975.192014188478</v>
      </c>
      <c r="N60" s="117">
        <f t="shared" si="90"/>
        <v>14978.148014617695</v>
      </c>
      <c r="O60" s="117">
        <f t="shared" si="90"/>
        <v>17323.382958341765</v>
      </c>
      <c r="P60" s="117">
        <f t="shared" si="90"/>
        <v>17955.693910968497</v>
      </c>
      <c r="Q60" s="117">
        <f t="shared" si="90"/>
        <v>15680.109242359311</v>
      </c>
      <c r="R60" s="117">
        <f t="shared" si="90"/>
        <v>16531.512270915187</v>
      </c>
      <c r="S60" s="117">
        <f t="shared" si="90"/>
        <v>19818.861039872962</v>
      </c>
      <c r="T60" s="117">
        <f t="shared" si="90"/>
        <v>22988.887081429031</v>
      </c>
      <c r="U60" s="117">
        <f t="shared" si="90"/>
        <v>26984.520871707773</v>
      </c>
      <c r="V60" s="117">
        <f t="shared" si="90"/>
        <v>26586.270073432926</v>
      </c>
      <c r="W60" s="117">
        <f t="shared" si="90"/>
        <v>29348.840500805622</v>
      </c>
      <c r="X60" s="117">
        <f t="shared" si="90"/>
        <v>32729.155435464629</v>
      </c>
      <c r="Y60" s="117">
        <f t="shared" si="90"/>
        <v>34981.083634642899</v>
      </c>
      <c r="Z60" s="117">
        <f t="shared" si="90"/>
        <v>37865.821197250109</v>
      </c>
      <c r="AA60" s="117">
        <f t="shared" si="90"/>
        <v>32325.008662617925</v>
      </c>
      <c r="AB60" s="117">
        <f t="shared" si="90"/>
        <v>33331.915978570498</v>
      </c>
      <c r="AC60" s="117">
        <f t="shared" si="90"/>
        <v>34049.920009524896</v>
      </c>
      <c r="AD60" s="117">
        <f t="shared" si="90"/>
        <v>33507.907069323082</v>
      </c>
      <c r="AE60" s="117">
        <f t="shared" si="90"/>
        <v>32806.983339874285</v>
      </c>
      <c r="AF60" s="117">
        <f t="shared" si="90"/>
        <v>32894.209304712553</v>
      </c>
      <c r="AG60" s="117">
        <f t="shared" si="90"/>
        <v>34758.403294220581</v>
      </c>
      <c r="AH60" s="117">
        <f t="shared" si="90"/>
        <v>34383.211802443067</v>
      </c>
      <c r="AI60" s="117">
        <f t="shared" si="90"/>
        <v>36158.656210000001</v>
      </c>
      <c r="AJ60" s="117">
        <f t="shared" si="87"/>
        <v>38475.565968621777</v>
      </c>
      <c r="AK60" s="117">
        <f t="shared" si="88"/>
        <v>40543.996423282428</v>
      </c>
      <c r="AL60" s="117">
        <f t="shared" si="89"/>
        <v>34952.656454127762</v>
      </c>
      <c r="AM60" s="26"/>
      <c r="AO60" s="90">
        <v>39447</v>
      </c>
      <c r="AP60" s="91">
        <v>67519.7</v>
      </c>
      <c r="AQ60" s="20">
        <v>13320.210526310391</v>
      </c>
      <c r="AR60" s="92">
        <f t="shared" si="67"/>
        <v>80839.910526310385</v>
      </c>
      <c r="AS60" s="91">
        <v>67519.7</v>
      </c>
      <c r="AT60" s="20">
        <v>13320.210526310391</v>
      </c>
      <c r="AU60" s="92">
        <f t="shared" si="68"/>
        <v>80839.910526310385</v>
      </c>
      <c r="AV60" s="91">
        <v>67519.7</v>
      </c>
      <c r="AW60" s="20">
        <v>13320.210526310391</v>
      </c>
      <c r="AX60" s="92">
        <f t="shared" si="69"/>
        <v>80839.910526310385</v>
      </c>
      <c r="AY60" s="104">
        <f t="shared" si="70"/>
        <v>0.18420471324753845</v>
      </c>
      <c r="AZ60" s="90">
        <v>39447</v>
      </c>
      <c r="BA60" s="97">
        <f t="shared" si="71"/>
        <v>9.4380103646078739E-2</v>
      </c>
      <c r="BB60" s="97">
        <f t="shared" si="72"/>
        <v>9.4380103646078739E-2</v>
      </c>
      <c r="BC60" s="97">
        <f t="shared" si="73"/>
        <v>9.4380103646078739E-2</v>
      </c>
      <c r="BD60" s="26"/>
      <c r="BE60" s="90">
        <v>39447</v>
      </c>
      <c r="BF60" s="97">
        <f t="shared" si="74"/>
        <v>9.6270588985010175E-2</v>
      </c>
      <c r="BG60" s="97">
        <f t="shared" si="75"/>
        <v>9.6270588985010175E-2</v>
      </c>
      <c r="BH60" s="97">
        <f t="shared" si="76"/>
        <v>9.6270588985010175E-2</v>
      </c>
      <c r="BI60" s="26"/>
      <c r="BJ60" s="26"/>
      <c r="BL60" s="446"/>
      <c r="BM60" s="354" t="s">
        <v>1322</v>
      </c>
      <c r="BN60" s="484">
        <f t="shared" si="77"/>
        <v>-0.34426784972528912</v>
      </c>
      <c r="BO60" s="484">
        <f t="shared" si="78"/>
        <v>-0.27888077996051586</v>
      </c>
      <c r="BP60" s="484">
        <f t="shared" si="79"/>
        <v>-0.24232516372701052</v>
      </c>
      <c r="BX60" s="305">
        <v>41820</v>
      </c>
      <c r="BY60" s="489">
        <f t="shared" si="13"/>
        <v>-5.3059314644829936E-3</v>
      </c>
      <c r="BZ60" s="301"/>
      <c r="CA60" s="301"/>
    </row>
    <row r="61" spans="1:79" ht="14.25" customHeight="1">
      <c r="A61" s="26" t="s">
        <v>95</v>
      </c>
      <c r="B61" s="26" t="s">
        <v>245</v>
      </c>
      <c r="C61" s="26" t="s">
        <v>246</v>
      </c>
      <c r="D61" s="26" t="s">
        <v>251</v>
      </c>
      <c r="E61" s="19">
        <v>116981000</v>
      </c>
      <c r="F61" s="37">
        <v>-0.7</v>
      </c>
      <c r="G61" s="38">
        <f t="shared" si="0"/>
        <v>-81886700</v>
      </c>
      <c r="H61" s="26"/>
      <c r="I61" s="26"/>
      <c r="J61" s="26"/>
      <c r="L61" s="26" t="s">
        <v>252</v>
      </c>
      <c r="M61" s="117">
        <f t="shared" ref="M61:AI61" si="91">SUM(M32:M34,M37:M38,M42:M44)</f>
        <v>18596.863354452977</v>
      </c>
      <c r="N61" s="117">
        <f t="shared" si="91"/>
        <v>20527.734615796588</v>
      </c>
      <c r="O61" s="117">
        <f t="shared" si="91"/>
        <v>23702.172053095623</v>
      </c>
      <c r="P61" s="117">
        <f t="shared" si="91"/>
        <v>25408.73153499508</v>
      </c>
      <c r="Q61" s="117">
        <f t="shared" si="91"/>
        <v>26794.685850790374</v>
      </c>
      <c r="R61" s="117">
        <f t="shared" si="91"/>
        <v>30534.001546769141</v>
      </c>
      <c r="S61" s="117">
        <f t="shared" si="91"/>
        <v>34528.444852575754</v>
      </c>
      <c r="T61" s="117">
        <f t="shared" si="91"/>
        <v>39576.051244775983</v>
      </c>
      <c r="U61" s="117">
        <f t="shared" si="91"/>
        <v>44621.530696788941</v>
      </c>
      <c r="V61" s="117">
        <f t="shared" si="91"/>
        <v>48888.330539094</v>
      </c>
      <c r="W61" s="117">
        <f t="shared" si="91"/>
        <v>54633.694298352726</v>
      </c>
      <c r="X61" s="117">
        <f t="shared" si="91"/>
        <v>60611.990694681597</v>
      </c>
      <c r="Y61" s="117">
        <f t="shared" si="91"/>
        <v>68225.836666135743</v>
      </c>
      <c r="Z61" s="117">
        <f t="shared" si="91"/>
        <v>74255.031777163545</v>
      </c>
      <c r="AA61" s="117">
        <f t="shared" si="91"/>
        <v>70919.656189934176</v>
      </c>
      <c r="AB61" s="117">
        <f t="shared" si="91"/>
        <v>71274.395374502899</v>
      </c>
      <c r="AC61" s="117">
        <f t="shared" si="91"/>
        <v>71987.082922967282</v>
      </c>
      <c r="AD61" s="117">
        <f t="shared" si="91"/>
        <v>71499.428295814869</v>
      </c>
      <c r="AE61" s="117">
        <f t="shared" si="91"/>
        <v>73498.950431174191</v>
      </c>
      <c r="AF61" s="117">
        <f t="shared" si="91"/>
        <v>73764.321054140324</v>
      </c>
      <c r="AG61" s="117">
        <f t="shared" si="91"/>
        <v>75048.853246341459</v>
      </c>
      <c r="AH61" s="117">
        <f t="shared" si="91"/>
        <v>79717.790512766995</v>
      </c>
      <c r="AI61" s="117">
        <f t="shared" si="91"/>
        <v>85179.675057</v>
      </c>
      <c r="AJ61" s="117">
        <f>(SUM(AO11:AR13)+SUM(AO16:AR17)+SUM(AO21:AR23))/1000000</f>
        <v>89488.096818547288</v>
      </c>
      <c r="AK61" s="117">
        <f>(SUM(AS11:AV13)+SUM(AS16:AV17)+SUM(AS21:AV23))/1000000</f>
        <v>94248.619386235121</v>
      </c>
      <c r="AL61" s="117">
        <f>(SUM(AW11:AZ13)+SUM(AW16:AZ17)+SUM(AW21:AZ23))/1000000</f>
        <v>72301.528058685639</v>
      </c>
      <c r="AM61" s="26"/>
      <c r="AO61" s="90">
        <v>39538</v>
      </c>
      <c r="AP61" s="91">
        <v>67783</v>
      </c>
      <c r="AQ61" s="20">
        <v>11637.839725087928</v>
      </c>
      <c r="AR61" s="92">
        <f t="shared" si="67"/>
        <v>79420.839725087921</v>
      </c>
      <c r="AS61" s="91">
        <v>67783</v>
      </c>
      <c r="AT61" s="20">
        <v>11637.839725087928</v>
      </c>
      <c r="AU61" s="92">
        <f t="shared" si="68"/>
        <v>79420.839725087921</v>
      </c>
      <c r="AV61" s="91">
        <v>67783</v>
      </c>
      <c r="AW61" s="20">
        <v>11637.839725087928</v>
      </c>
      <c r="AX61" s="92">
        <f t="shared" si="69"/>
        <v>79420.839725087921</v>
      </c>
      <c r="AY61" s="104">
        <f t="shared" si="70"/>
        <v>0.18481525150001246</v>
      </c>
      <c r="AZ61" s="90">
        <v>39538</v>
      </c>
      <c r="BA61" s="97">
        <f t="shared" si="71"/>
        <v>7.9636609218174836E-2</v>
      </c>
      <c r="BB61" s="97">
        <f t="shared" si="72"/>
        <v>7.9636609218174836E-2</v>
      </c>
      <c r="BC61" s="97">
        <f t="shared" si="73"/>
        <v>7.9636609218174836E-2</v>
      </c>
      <c r="BD61" s="26"/>
      <c r="BE61" s="90">
        <v>39538</v>
      </c>
      <c r="BF61" s="97">
        <f t="shared" si="74"/>
        <v>9.1612951231289097E-2</v>
      </c>
      <c r="BG61" s="97">
        <f t="shared" si="75"/>
        <v>9.1612951231289097E-2</v>
      </c>
      <c r="BH61" s="97">
        <f t="shared" si="76"/>
        <v>9.1612951231289097E-2</v>
      </c>
      <c r="BI61" s="26"/>
      <c r="BJ61" s="26"/>
      <c r="BL61" s="446"/>
      <c r="BM61" s="354" t="s">
        <v>1320</v>
      </c>
      <c r="BN61" s="484">
        <f t="shared" si="77"/>
        <v>-0.2145737756588969</v>
      </c>
      <c r="BO61" s="484">
        <f t="shared" si="78"/>
        <v>-0.17338772382939405</v>
      </c>
      <c r="BP61" s="484">
        <f t="shared" si="79"/>
        <v>-0.11116969014244193</v>
      </c>
      <c r="BX61" s="305">
        <v>41912</v>
      </c>
      <c r="BY61" s="489">
        <f t="shared" si="13"/>
        <v>9.5865061478226377E-3</v>
      </c>
      <c r="BZ61" s="301"/>
      <c r="CA61" s="301"/>
    </row>
    <row r="62" spans="1:79" ht="14.25" customHeight="1">
      <c r="A62" s="26" t="s">
        <v>95</v>
      </c>
      <c r="B62" s="26" t="s">
        <v>245</v>
      </c>
      <c r="C62" s="26" t="s">
        <v>246</v>
      </c>
      <c r="D62" s="26" t="s">
        <v>253</v>
      </c>
      <c r="E62" s="19">
        <v>12751000</v>
      </c>
      <c r="F62" s="37">
        <v>-0.7</v>
      </c>
      <c r="G62" s="38">
        <f t="shared" si="0"/>
        <v>-8925700</v>
      </c>
      <c r="H62" s="26"/>
      <c r="I62" s="26"/>
      <c r="J62" s="26"/>
      <c r="L62" s="26" t="s">
        <v>254</v>
      </c>
      <c r="M62" s="117">
        <f t="shared" ref="M62:AI62" si="92">M35</f>
        <v>4004.5051547966714</v>
      </c>
      <c r="N62" s="117">
        <f t="shared" si="92"/>
        <v>5241.5963571517887</v>
      </c>
      <c r="O62" s="117">
        <f t="shared" si="92"/>
        <v>4847.9560885334895</v>
      </c>
      <c r="P62" s="117">
        <f t="shared" si="92"/>
        <v>5258.4188195912329</v>
      </c>
      <c r="Q62" s="117">
        <f t="shared" si="92"/>
        <v>7002.1944651579934</v>
      </c>
      <c r="R62" s="117">
        <f t="shared" si="92"/>
        <v>6549.6977520729743</v>
      </c>
      <c r="S62" s="117">
        <f t="shared" si="92"/>
        <v>7670.4606135004424</v>
      </c>
      <c r="T62" s="117">
        <f t="shared" si="92"/>
        <v>8728.3286133461588</v>
      </c>
      <c r="U62" s="117">
        <f t="shared" si="92"/>
        <v>10622.551327828143</v>
      </c>
      <c r="V62" s="117">
        <f t="shared" si="92"/>
        <v>11110.791730440647</v>
      </c>
      <c r="W62" s="117">
        <f t="shared" si="92"/>
        <v>13610.32535911941</v>
      </c>
      <c r="X62" s="117">
        <f t="shared" si="92"/>
        <v>14429.227370221754</v>
      </c>
      <c r="Y62" s="117">
        <f t="shared" si="92"/>
        <v>16697.31819784889</v>
      </c>
      <c r="Z62" s="117">
        <f t="shared" si="92"/>
        <v>18312.243432295756</v>
      </c>
      <c r="AA62" s="117">
        <f t="shared" si="92"/>
        <v>18465.282658909484</v>
      </c>
      <c r="AB62" s="117">
        <f t="shared" si="92"/>
        <v>19244.890096628023</v>
      </c>
      <c r="AC62" s="117">
        <f t="shared" si="92"/>
        <v>20541.418040433295</v>
      </c>
      <c r="AD62" s="117">
        <f t="shared" si="92"/>
        <v>18767.005724078768</v>
      </c>
      <c r="AE62" s="117">
        <f t="shared" si="92"/>
        <v>17706.775960166564</v>
      </c>
      <c r="AF62" s="117">
        <f t="shared" si="92"/>
        <v>18185.149709613735</v>
      </c>
      <c r="AG62" s="117">
        <f t="shared" si="92"/>
        <v>17994.579785865757</v>
      </c>
      <c r="AH62" s="117">
        <f t="shared" si="92"/>
        <v>18459.561556743789</v>
      </c>
      <c r="AI62" s="117">
        <f t="shared" si="92"/>
        <v>19152.655332999999</v>
      </c>
      <c r="AJ62" s="117">
        <f t="shared" ref="AJ62:AJ63" si="93">SUM(AO14:AR14)/1000000</f>
        <v>19491.886036351443</v>
      </c>
      <c r="AK62" s="117">
        <f t="shared" ref="AK62:AK63" si="94">SUM(AS14:AV14)/1000000</f>
        <v>20047.201365209439</v>
      </c>
      <c r="AL62" s="117">
        <f t="shared" ref="AL62:AL63" si="95">SUM(AW14:AZ14)/1000000</f>
        <v>19192.821648637757</v>
      </c>
      <c r="AM62" s="26"/>
      <c r="AO62" s="90">
        <v>39629</v>
      </c>
      <c r="AP62" s="91">
        <v>74422.399999999994</v>
      </c>
      <c r="AQ62" s="20">
        <v>13844.316560504776</v>
      </c>
      <c r="AR62" s="92">
        <f t="shared" si="67"/>
        <v>88266.716560504778</v>
      </c>
      <c r="AS62" s="91">
        <v>74422.399999999994</v>
      </c>
      <c r="AT62" s="20">
        <v>13844.316560504776</v>
      </c>
      <c r="AU62" s="92">
        <f t="shared" si="68"/>
        <v>88266.716560504778</v>
      </c>
      <c r="AV62" s="91">
        <v>74422.399999999994</v>
      </c>
      <c r="AW62" s="20">
        <v>13844.316560504776</v>
      </c>
      <c r="AX62" s="92">
        <f t="shared" si="69"/>
        <v>88266.716560504778</v>
      </c>
      <c r="AY62" s="104">
        <f t="shared" si="70"/>
        <v>0.18475783699852347</v>
      </c>
      <c r="AZ62" s="90">
        <v>39629</v>
      </c>
      <c r="BA62" s="97">
        <f t="shared" si="71"/>
        <v>8.7934355525192576E-2</v>
      </c>
      <c r="BB62" s="97">
        <f t="shared" si="72"/>
        <v>8.7934355525192576E-2</v>
      </c>
      <c r="BC62" s="97">
        <f t="shared" si="73"/>
        <v>8.7934355525192576E-2</v>
      </c>
      <c r="BD62" s="26"/>
      <c r="BE62" s="90">
        <v>39629</v>
      </c>
      <c r="BF62" s="97">
        <f t="shared" si="74"/>
        <v>8.8798530929267594E-2</v>
      </c>
      <c r="BG62" s="97">
        <f t="shared" si="75"/>
        <v>8.8798530929267594E-2</v>
      </c>
      <c r="BH62" s="97">
        <f t="shared" si="76"/>
        <v>8.8798530929267594E-2</v>
      </c>
      <c r="BI62" s="26"/>
      <c r="BJ62" s="26"/>
      <c r="BL62" s="446"/>
      <c r="BM62" s="354" t="s">
        <v>1321</v>
      </c>
      <c r="BN62" s="484">
        <f t="shared" si="77"/>
        <v>0</v>
      </c>
      <c r="BO62" s="484">
        <f t="shared" si="78"/>
        <v>0</v>
      </c>
      <c r="BP62" s="484">
        <f t="shared" si="79"/>
        <v>0</v>
      </c>
      <c r="BX62" s="305">
        <v>42004</v>
      </c>
      <c r="BY62" s="489">
        <f t="shared" si="13"/>
        <v>1.275773092650434E-2</v>
      </c>
      <c r="BZ62" s="301"/>
      <c r="CA62" s="301"/>
    </row>
    <row r="63" spans="1:79" ht="14.25" customHeight="1">
      <c r="A63" s="26" t="s">
        <v>95</v>
      </c>
      <c r="B63" s="26" t="s">
        <v>245</v>
      </c>
      <c r="C63" s="26" t="s">
        <v>255</v>
      </c>
      <c r="D63" s="26" t="s">
        <v>255</v>
      </c>
      <c r="E63" s="19">
        <v>7174000</v>
      </c>
      <c r="F63" s="37">
        <v>-0.7</v>
      </c>
      <c r="G63" s="38">
        <f t="shared" si="0"/>
        <v>-5021800</v>
      </c>
      <c r="H63" s="26"/>
      <c r="I63" s="26"/>
      <c r="J63" s="26"/>
      <c r="L63" s="26" t="s">
        <v>256</v>
      </c>
      <c r="M63" s="117">
        <f t="shared" ref="M63:AI63" si="96">M36</f>
        <v>9995.2712325471457</v>
      </c>
      <c r="N63" s="117">
        <f t="shared" si="96"/>
        <v>10643.484984250052</v>
      </c>
      <c r="O63" s="117">
        <f t="shared" si="96"/>
        <v>11261.274430867315</v>
      </c>
      <c r="P63" s="117">
        <f t="shared" si="96"/>
        <v>12257.965222776291</v>
      </c>
      <c r="Q63" s="117">
        <f t="shared" si="96"/>
        <v>13243.26244238085</v>
      </c>
      <c r="R63" s="117">
        <f t="shared" si="96"/>
        <v>13866.080655049243</v>
      </c>
      <c r="S63" s="117">
        <f t="shared" si="96"/>
        <v>14580.428987572117</v>
      </c>
      <c r="T63" s="117">
        <f t="shared" si="96"/>
        <v>15631.941581525509</v>
      </c>
      <c r="U63" s="117">
        <f t="shared" si="96"/>
        <v>16893.05546079914</v>
      </c>
      <c r="V63" s="117">
        <f t="shared" si="96"/>
        <v>18144.125760746298</v>
      </c>
      <c r="W63" s="117">
        <f t="shared" si="96"/>
        <v>19585.039337253867</v>
      </c>
      <c r="X63" s="117">
        <f t="shared" si="96"/>
        <v>21388.921572768304</v>
      </c>
      <c r="Y63" s="117">
        <f t="shared" si="96"/>
        <v>25466.62008937493</v>
      </c>
      <c r="Z63" s="117">
        <f t="shared" si="96"/>
        <v>26164.436954316687</v>
      </c>
      <c r="AA63" s="117">
        <f t="shared" si="96"/>
        <v>26261.723135724864</v>
      </c>
      <c r="AB63" s="117">
        <f t="shared" si="96"/>
        <v>25937.401835844787</v>
      </c>
      <c r="AC63" s="117">
        <f t="shared" si="96"/>
        <v>27130.602162247102</v>
      </c>
      <c r="AD63" s="117">
        <f t="shared" si="96"/>
        <v>27268.43001666624</v>
      </c>
      <c r="AE63" s="117">
        <f t="shared" si="96"/>
        <v>27153.706529289324</v>
      </c>
      <c r="AF63" s="117">
        <f t="shared" si="96"/>
        <v>27535.539709805445</v>
      </c>
      <c r="AG63" s="117">
        <f t="shared" si="96"/>
        <v>27929.05599675938</v>
      </c>
      <c r="AH63" s="117">
        <f t="shared" si="96"/>
        <v>28237.886091866265</v>
      </c>
      <c r="AI63" s="117">
        <f t="shared" si="96"/>
        <v>28719.414083</v>
      </c>
      <c r="AJ63" s="117">
        <f t="shared" si="93"/>
        <v>29415.894097456989</v>
      </c>
      <c r="AK63" s="117">
        <f t="shared" si="94"/>
        <v>30120.417246928686</v>
      </c>
      <c r="AL63" s="117">
        <f t="shared" si="95"/>
        <v>23493.185575126019</v>
      </c>
      <c r="AM63" s="26"/>
      <c r="AO63" s="90">
        <v>39721</v>
      </c>
      <c r="AP63" s="91">
        <v>79492.600000000006</v>
      </c>
      <c r="AQ63" s="20">
        <v>15069.655090390319</v>
      </c>
      <c r="AR63" s="92">
        <f t="shared" si="67"/>
        <v>94562.255090390332</v>
      </c>
      <c r="AS63" s="91">
        <v>79492.600000000006</v>
      </c>
      <c r="AT63" s="20">
        <v>15069.655090390319</v>
      </c>
      <c r="AU63" s="92">
        <f t="shared" si="68"/>
        <v>94562.255090390332</v>
      </c>
      <c r="AV63" s="91">
        <v>79492.600000000006</v>
      </c>
      <c r="AW63" s="20">
        <v>15069.655090390319</v>
      </c>
      <c r="AX63" s="92">
        <f t="shared" si="69"/>
        <v>94562.255090390332</v>
      </c>
      <c r="AY63" s="104">
        <f t="shared" si="70"/>
        <v>0.18626806693467726</v>
      </c>
      <c r="AZ63" s="90">
        <v>39721</v>
      </c>
      <c r="BA63" s="97">
        <f t="shared" si="71"/>
        <v>8.3729054144620951E-2</v>
      </c>
      <c r="BB63" s="97">
        <f t="shared" si="72"/>
        <v>8.3729054144620951E-2</v>
      </c>
      <c r="BC63" s="97">
        <f t="shared" si="73"/>
        <v>8.3729054144620951E-2</v>
      </c>
      <c r="BD63" s="26"/>
      <c r="BE63" s="90">
        <v>39721</v>
      </c>
      <c r="BF63" s="97">
        <f t="shared" si="74"/>
        <v>8.6347351531259831E-2</v>
      </c>
      <c r="BG63" s="97">
        <f t="shared" si="75"/>
        <v>8.6347351531259831E-2</v>
      </c>
      <c r="BH63" s="97">
        <f t="shared" si="76"/>
        <v>8.6347351531259831E-2</v>
      </c>
      <c r="BI63" s="26"/>
      <c r="BJ63" s="26"/>
      <c r="BL63" s="446"/>
      <c r="BM63" s="446"/>
      <c r="BN63" s="446"/>
      <c r="BO63" s="446"/>
      <c r="BX63" s="305">
        <v>42094</v>
      </c>
      <c r="BY63" s="489">
        <f t="shared" si="13"/>
        <v>1.9894059828710953E-2</v>
      </c>
      <c r="BZ63" s="301"/>
      <c r="CA63" s="301"/>
    </row>
    <row r="64" spans="1:79" ht="14.25" customHeight="1">
      <c r="A64" s="26" t="s">
        <v>95</v>
      </c>
      <c r="B64" s="26" t="s">
        <v>257</v>
      </c>
      <c r="C64" s="26" t="s">
        <v>258</v>
      </c>
      <c r="D64" s="26" t="s">
        <v>259</v>
      </c>
      <c r="E64" s="19">
        <v>116299000</v>
      </c>
      <c r="F64" s="37">
        <v>-0.3</v>
      </c>
      <c r="G64" s="38">
        <f t="shared" si="0"/>
        <v>-34889700</v>
      </c>
      <c r="H64" s="26"/>
      <c r="I64" s="26"/>
      <c r="J64" s="26"/>
      <c r="L64" s="26" t="s">
        <v>260</v>
      </c>
      <c r="M64" s="117">
        <f t="shared" ref="M64:AI64" si="97">SUM(M39:M41)</f>
        <v>13495.163444340073</v>
      </c>
      <c r="N64" s="117">
        <f t="shared" si="97"/>
        <v>16292.333456736851</v>
      </c>
      <c r="O64" s="117">
        <f t="shared" si="97"/>
        <v>19070.969879528893</v>
      </c>
      <c r="P64" s="117">
        <f t="shared" si="97"/>
        <v>23786.50696414366</v>
      </c>
      <c r="Q64" s="117">
        <f t="shared" si="97"/>
        <v>26313.285465014687</v>
      </c>
      <c r="R64" s="117">
        <f t="shared" si="97"/>
        <v>27679.224458722885</v>
      </c>
      <c r="S64" s="117">
        <f t="shared" si="97"/>
        <v>26956.545678037324</v>
      </c>
      <c r="T64" s="117">
        <f t="shared" si="97"/>
        <v>27925.231760102113</v>
      </c>
      <c r="U64" s="117">
        <f t="shared" si="97"/>
        <v>29840.298806531129</v>
      </c>
      <c r="V64" s="117">
        <f t="shared" si="97"/>
        <v>32230.425186846136</v>
      </c>
      <c r="W64" s="117">
        <f t="shared" si="97"/>
        <v>33428.597916366482</v>
      </c>
      <c r="X64" s="117">
        <f t="shared" si="97"/>
        <v>35263.851914174054</v>
      </c>
      <c r="Y64" s="117">
        <f t="shared" si="97"/>
        <v>38869.340883840057</v>
      </c>
      <c r="Z64" s="117">
        <f t="shared" si="97"/>
        <v>41393.453871223246</v>
      </c>
      <c r="AA64" s="117">
        <f t="shared" si="97"/>
        <v>43667.670456140419</v>
      </c>
      <c r="AB64" s="117">
        <f t="shared" si="97"/>
        <v>44289.859577663243</v>
      </c>
      <c r="AC64" s="117">
        <f t="shared" si="97"/>
        <v>44124.77245998165</v>
      </c>
      <c r="AD64" s="117">
        <f t="shared" si="97"/>
        <v>43614.537105063311</v>
      </c>
      <c r="AE64" s="117">
        <f t="shared" si="97"/>
        <v>42632.680308919997</v>
      </c>
      <c r="AF64" s="117">
        <f t="shared" si="97"/>
        <v>42518.669109917995</v>
      </c>
      <c r="AG64" s="117">
        <f t="shared" si="97"/>
        <v>42932.323755509999</v>
      </c>
      <c r="AH64" s="117">
        <f t="shared" si="97"/>
        <v>44663.41502000831</v>
      </c>
      <c r="AI64" s="117">
        <f t="shared" si="97"/>
        <v>46309.755880000004</v>
      </c>
      <c r="AJ64" s="117">
        <f>SUM(AO18:AR20)/1000000</f>
        <v>48843.167464496219</v>
      </c>
      <c r="AK64" s="117">
        <f>SUM(AS18:AV20)/1000000</f>
        <v>51443.193260892454</v>
      </c>
      <c r="AL64" s="117">
        <f>SUM(AW18:AZ20)/1000000</f>
        <v>50703.584064314491</v>
      </c>
      <c r="AM64" s="26"/>
      <c r="AO64" s="90">
        <v>39813</v>
      </c>
      <c r="AP64" s="91">
        <v>71911.299999999988</v>
      </c>
      <c r="AQ64" s="20">
        <v>12573.992798177107</v>
      </c>
      <c r="AR64" s="92">
        <f t="shared" si="67"/>
        <v>84485.292798177092</v>
      </c>
      <c r="AS64" s="91">
        <v>71911.299999999988</v>
      </c>
      <c r="AT64" s="20">
        <v>12573.992798177107</v>
      </c>
      <c r="AU64" s="92">
        <f t="shared" si="68"/>
        <v>84485.292798177092</v>
      </c>
      <c r="AV64" s="91">
        <v>71911.299999999988</v>
      </c>
      <c r="AW64" s="20">
        <v>12573.992798177107</v>
      </c>
      <c r="AX64" s="92">
        <f t="shared" si="69"/>
        <v>84485.292798177092</v>
      </c>
      <c r="AY64" s="104">
        <f t="shared" si="70"/>
        <v>0.18094046807836173</v>
      </c>
      <c r="AZ64" s="90">
        <v>39813</v>
      </c>
      <c r="BA64" s="97">
        <f t="shared" si="71"/>
        <v>4.5093843475745521E-2</v>
      </c>
      <c r="BB64" s="97">
        <f t="shared" si="72"/>
        <v>4.5093843475745521E-2</v>
      </c>
      <c r="BC64" s="97">
        <f t="shared" si="73"/>
        <v>4.5093843475745521E-2</v>
      </c>
      <c r="BD64" s="26"/>
      <c r="BE64" s="90">
        <v>39813</v>
      </c>
      <c r="BF64" s="97">
        <f t="shared" si="74"/>
        <v>7.4177581655072045E-2</v>
      </c>
      <c r="BG64" s="97">
        <f t="shared" si="75"/>
        <v>7.4177581655072045E-2</v>
      </c>
      <c r="BH64" s="97">
        <f t="shared" si="76"/>
        <v>7.4177581655072045E-2</v>
      </c>
      <c r="BI64" s="26"/>
      <c r="BJ64" s="26"/>
      <c r="BL64" s="446"/>
      <c r="BM64" s="446"/>
      <c r="BN64" s="478"/>
      <c r="BO64" s="446"/>
      <c r="BX64" s="305">
        <v>42185</v>
      </c>
      <c r="BY64" s="489">
        <f t="shared" si="13"/>
        <v>2.2230727096354874E-2</v>
      </c>
      <c r="BZ64" s="301"/>
      <c r="CA64" s="301"/>
    </row>
    <row r="65" spans="1:79" ht="14.25" customHeight="1">
      <c r="A65" s="26" t="s">
        <v>95</v>
      </c>
      <c r="B65" s="26" t="s">
        <v>257</v>
      </c>
      <c r="C65" s="26" t="s">
        <v>258</v>
      </c>
      <c r="D65" s="26" t="s">
        <v>261</v>
      </c>
      <c r="E65" s="19">
        <v>-1011000</v>
      </c>
      <c r="F65" s="37">
        <v>-0.3</v>
      </c>
      <c r="G65" s="38">
        <f t="shared" si="0"/>
        <v>303300</v>
      </c>
      <c r="H65" s="26"/>
      <c r="I65" s="26"/>
      <c r="J65" s="26"/>
      <c r="K65" s="26"/>
      <c r="L65" s="119" t="s">
        <v>262</v>
      </c>
      <c r="M65" s="120">
        <f t="shared" ref="M65:AL65" si="98">SUM(M57:M64)</f>
        <v>97165.432038871149</v>
      </c>
      <c r="N65" s="120">
        <f t="shared" si="98"/>
        <v>108195.50176471795</v>
      </c>
      <c r="O65" s="120">
        <f t="shared" si="98"/>
        <v>123295.12658158239</v>
      </c>
      <c r="P65" s="120">
        <f t="shared" si="98"/>
        <v>134180.53716276193</v>
      </c>
      <c r="Q65" s="120">
        <f t="shared" si="98"/>
        <v>138489.80585847507</v>
      </c>
      <c r="R65" s="120">
        <f t="shared" si="98"/>
        <v>147822.75904063697</v>
      </c>
      <c r="S65" s="120">
        <f t="shared" si="98"/>
        <v>159357.78943031284</v>
      </c>
      <c r="T65" s="120">
        <f t="shared" si="98"/>
        <v>174599.10552021247</v>
      </c>
      <c r="U65" s="120">
        <f t="shared" si="98"/>
        <v>193935.49902460101</v>
      </c>
      <c r="V65" s="120">
        <f t="shared" si="98"/>
        <v>210898.50204334519</v>
      </c>
      <c r="W65" s="120">
        <f t="shared" si="98"/>
        <v>227098.77506822895</v>
      </c>
      <c r="X65" s="120">
        <f t="shared" si="98"/>
        <v>247176.29723377869</v>
      </c>
      <c r="Y65" s="120">
        <f t="shared" si="98"/>
        <v>272580.7403239765</v>
      </c>
      <c r="Z65" s="120">
        <f t="shared" si="98"/>
        <v>293609.35638710036</v>
      </c>
      <c r="AA65" s="120">
        <f t="shared" si="98"/>
        <v>283030.87858804676</v>
      </c>
      <c r="AB65" s="120">
        <f t="shared" si="98"/>
        <v>279150.8471778988</v>
      </c>
      <c r="AC65" s="120">
        <f t="shared" si="98"/>
        <v>284482.73633666884</v>
      </c>
      <c r="AD65" s="120">
        <f t="shared" si="98"/>
        <v>278373.35216646531</v>
      </c>
      <c r="AE65" s="120">
        <f t="shared" si="98"/>
        <v>276217.61317899177</v>
      </c>
      <c r="AF65" s="120">
        <f t="shared" si="98"/>
        <v>276364.80819107004</v>
      </c>
      <c r="AG65" s="120">
        <f t="shared" si="98"/>
        <v>281466.22983444086</v>
      </c>
      <c r="AH65" s="120">
        <f t="shared" si="98"/>
        <v>291037.11640469637</v>
      </c>
      <c r="AI65" s="120">
        <f t="shared" si="98"/>
        <v>302659.21902900003</v>
      </c>
      <c r="AJ65" s="120">
        <f t="shared" si="98"/>
        <v>314886.43898161454</v>
      </c>
      <c r="AK65" s="120">
        <f t="shared" si="98"/>
        <v>328236.21135374589</v>
      </c>
      <c r="AL65" s="120">
        <f t="shared" si="98"/>
        <v>285295.28554696188</v>
      </c>
      <c r="AM65" s="26"/>
      <c r="AN65" s="26"/>
      <c r="AO65" s="90">
        <v>39903</v>
      </c>
      <c r="AP65" s="91">
        <v>66247</v>
      </c>
      <c r="AQ65" s="20">
        <v>9872.286711448869</v>
      </c>
      <c r="AR65" s="92">
        <f t="shared" si="67"/>
        <v>76119.286711448862</v>
      </c>
      <c r="AS65" s="91">
        <v>66247</v>
      </c>
      <c r="AT65" s="20">
        <v>9872.286711448869</v>
      </c>
      <c r="AU65" s="92">
        <f t="shared" si="68"/>
        <v>76119.286711448862</v>
      </c>
      <c r="AV65" s="91">
        <v>66247</v>
      </c>
      <c r="AW65" s="20">
        <v>9872.286711448869</v>
      </c>
      <c r="AX65" s="92">
        <f t="shared" si="69"/>
        <v>76119.286711448862</v>
      </c>
      <c r="AY65" s="104">
        <f t="shared" si="70"/>
        <v>0.17584712865065402</v>
      </c>
      <c r="AZ65" s="90">
        <v>39903</v>
      </c>
      <c r="BA65" s="97">
        <f t="shared" si="71"/>
        <v>-4.1570361445021908E-2</v>
      </c>
      <c r="BB65" s="97">
        <f t="shared" si="72"/>
        <v>-4.1570361445021908E-2</v>
      </c>
      <c r="BC65" s="97">
        <f t="shared" si="73"/>
        <v>-4.1570361445021908E-2</v>
      </c>
      <c r="BD65" s="26"/>
      <c r="BE65" s="90">
        <v>39903</v>
      </c>
      <c r="BF65" s="97">
        <f t="shared" si="74"/>
        <v>4.4984235003729056E-2</v>
      </c>
      <c r="BG65" s="97">
        <f t="shared" si="75"/>
        <v>4.4984235003729056E-2</v>
      </c>
      <c r="BH65" s="97">
        <f t="shared" si="76"/>
        <v>4.4984235003729056E-2</v>
      </c>
      <c r="BI65" s="26"/>
      <c r="BJ65" s="26"/>
      <c r="BL65" s="446"/>
      <c r="BM65" s="446"/>
      <c r="BN65" s="446"/>
      <c r="BO65" s="446"/>
      <c r="BX65" s="305">
        <v>42277</v>
      </c>
      <c r="BY65" s="489">
        <f t="shared" si="13"/>
        <v>3.0891396348644795E-2</v>
      </c>
      <c r="BZ65" s="301"/>
      <c r="CA65" s="301"/>
    </row>
    <row r="66" spans="1:79" ht="14.25" customHeight="1">
      <c r="A66" s="26" t="s">
        <v>95</v>
      </c>
      <c r="B66" s="26" t="s">
        <v>257</v>
      </c>
      <c r="C66" s="26" t="s">
        <v>258</v>
      </c>
      <c r="D66" s="26" t="s">
        <v>263</v>
      </c>
      <c r="E66" s="19">
        <v>8507000</v>
      </c>
      <c r="F66" s="37">
        <v>-0.3</v>
      </c>
      <c r="G66" s="38">
        <f t="shared" si="0"/>
        <v>-2552100</v>
      </c>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90">
        <v>39994</v>
      </c>
      <c r="AP66" s="91">
        <v>72763.500000000015</v>
      </c>
      <c r="AQ66" s="20">
        <v>11363.206990995115</v>
      </c>
      <c r="AR66" s="92">
        <f t="shared" si="67"/>
        <v>84126.706990995124</v>
      </c>
      <c r="AS66" s="91">
        <v>72763.500000000015</v>
      </c>
      <c r="AT66" s="20">
        <v>11363.206990995115</v>
      </c>
      <c r="AU66" s="92">
        <f t="shared" si="68"/>
        <v>84126.706990995124</v>
      </c>
      <c r="AV66" s="91">
        <v>72763.500000000015</v>
      </c>
      <c r="AW66" s="20">
        <v>11363.206990995115</v>
      </c>
      <c r="AX66" s="92">
        <f t="shared" si="69"/>
        <v>84126.706990995124</v>
      </c>
      <c r="AY66" s="104">
        <f t="shared" si="70"/>
        <v>0.1683082574108288</v>
      </c>
      <c r="AZ66" s="90">
        <v>39994</v>
      </c>
      <c r="BA66" s="97">
        <f t="shared" si="71"/>
        <v>-4.6903405165997891E-2</v>
      </c>
      <c r="BB66" s="97">
        <f t="shared" si="72"/>
        <v>-4.6903405165997891E-2</v>
      </c>
      <c r="BC66" s="97">
        <f t="shared" si="73"/>
        <v>-4.6903405165997891E-2</v>
      </c>
      <c r="BD66" s="26"/>
      <c r="BE66" s="90">
        <v>39994</v>
      </c>
      <c r="BF66" s="97">
        <f t="shared" si="74"/>
        <v>1.0452297207727002E-2</v>
      </c>
      <c r="BG66" s="97">
        <f t="shared" si="75"/>
        <v>1.0452297207727002E-2</v>
      </c>
      <c r="BH66" s="97">
        <f t="shared" si="76"/>
        <v>1.0452297207727002E-2</v>
      </c>
      <c r="BI66" s="26"/>
      <c r="BJ66" s="26"/>
      <c r="BL66" s="446"/>
      <c r="BM66" s="446"/>
      <c r="BN66" s="478"/>
      <c r="BO66" s="446"/>
      <c r="BX66" s="305">
        <v>42369</v>
      </c>
      <c r="BY66" s="489">
        <f t="shared" si="13"/>
        <v>2.6725437220459947E-2</v>
      </c>
      <c r="BZ66" s="301"/>
      <c r="CA66" s="301"/>
    </row>
    <row r="67" spans="1:79" ht="14.25" customHeight="1">
      <c r="A67" s="26" t="s">
        <v>95</v>
      </c>
      <c r="B67" s="26" t="s">
        <v>257</v>
      </c>
      <c r="C67" s="26" t="s">
        <v>258</v>
      </c>
      <c r="D67" s="26" t="s">
        <v>264</v>
      </c>
      <c r="E67" s="19">
        <v>30048000</v>
      </c>
      <c r="F67" s="37">
        <v>-0.3</v>
      </c>
      <c r="G67" s="38">
        <f t="shared" si="0"/>
        <v>-9014400</v>
      </c>
      <c r="H67" s="26"/>
      <c r="I67" s="26"/>
      <c r="J67" s="26"/>
      <c r="K67" s="26"/>
      <c r="L67" s="118" t="s">
        <v>265</v>
      </c>
      <c r="M67" s="119">
        <v>1995</v>
      </c>
      <c r="N67" s="119">
        <v>1996</v>
      </c>
      <c r="O67" s="119">
        <v>1997</v>
      </c>
      <c r="P67" s="119">
        <v>1998</v>
      </c>
      <c r="Q67" s="119">
        <v>1999</v>
      </c>
      <c r="R67" s="119">
        <v>2000</v>
      </c>
      <c r="S67" s="119">
        <v>2001</v>
      </c>
      <c r="T67" s="119">
        <v>2002</v>
      </c>
      <c r="U67" s="119">
        <v>2003</v>
      </c>
      <c r="V67" s="119">
        <v>2004</v>
      </c>
      <c r="W67" s="119">
        <v>2005</v>
      </c>
      <c r="X67" s="119">
        <v>2006</v>
      </c>
      <c r="Y67" s="119">
        <v>2007</v>
      </c>
      <c r="Z67" s="119">
        <v>2008</v>
      </c>
      <c r="AA67" s="119">
        <v>2009</v>
      </c>
      <c r="AB67" s="119">
        <v>2010</v>
      </c>
      <c r="AC67" s="119">
        <v>2011</v>
      </c>
      <c r="AD67" s="119">
        <v>2012</v>
      </c>
      <c r="AE67" s="119">
        <v>2013</v>
      </c>
      <c r="AF67" s="119">
        <v>2014</v>
      </c>
      <c r="AG67" s="119">
        <v>2015</v>
      </c>
      <c r="AH67" s="119">
        <v>2016</v>
      </c>
      <c r="AI67" s="119">
        <v>2017</v>
      </c>
      <c r="AJ67" s="119">
        <v>2018</v>
      </c>
      <c r="AK67" s="119">
        <v>2019</v>
      </c>
      <c r="AL67" s="119">
        <v>2020</v>
      </c>
      <c r="AM67" s="26"/>
      <c r="AN67" s="26"/>
      <c r="AO67" s="90">
        <v>40086</v>
      </c>
      <c r="AP67" s="91">
        <v>75143.600000000006</v>
      </c>
      <c r="AQ67" s="20">
        <v>13209.141787485831</v>
      </c>
      <c r="AR67" s="92">
        <f t="shared" si="67"/>
        <v>88352.741787485837</v>
      </c>
      <c r="AS67" s="91">
        <v>75143.600000000006</v>
      </c>
      <c r="AT67" s="20">
        <v>13209.141787485831</v>
      </c>
      <c r="AU67" s="92">
        <f t="shared" si="68"/>
        <v>88352.741787485837</v>
      </c>
      <c r="AV67" s="91">
        <v>75143.600000000006</v>
      </c>
      <c r="AW67" s="20">
        <v>13209.141787485831</v>
      </c>
      <c r="AX67" s="92">
        <f t="shared" si="69"/>
        <v>88352.741787485837</v>
      </c>
      <c r="AY67" s="104">
        <f t="shared" si="70"/>
        <v>0.16436321305584986</v>
      </c>
      <c r="AZ67" s="90">
        <v>40086</v>
      </c>
      <c r="BA67" s="97">
        <f t="shared" si="71"/>
        <v>-6.5665875850453581E-2</v>
      </c>
      <c r="BB67" s="97">
        <f t="shared" si="72"/>
        <v>-6.5665875850453581E-2</v>
      </c>
      <c r="BC67" s="97">
        <f t="shared" si="73"/>
        <v>-6.5665875850453581E-2</v>
      </c>
      <c r="BD67" s="26"/>
      <c r="BE67" s="90">
        <v>40086</v>
      </c>
      <c r="BF67" s="97">
        <f t="shared" si="74"/>
        <v>-2.9163489826244171E-2</v>
      </c>
      <c r="BG67" s="97">
        <f t="shared" si="75"/>
        <v>-2.9163489826244171E-2</v>
      </c>
      <c r="BH67" s="97">
        <f t="shared" si="76"/>
        <v>-2.9163489826244171E-2</v>
      </c>
      <c r="BI67" s="26"/>
      <c r="BJ67" s="26"/>
      <c r="BL67" s="446"/>
      <c r="BM67" s="446"/>
      <c r="BN67" s="446"/>
      <c r="BO67" s="446"/>
      <c r="BX67" s="305">
        <v>42460</v>
      </c>
      <c r="BY67" s="489">
        <f t="shared" ref="BY67:BY81" si="99">BA93</f>
        <v>2.1073999013515365E-2</v>
      </c>
      <c r="BZ67" s="301"/>
      <c r="CA67" s="301"/>
    </row>
    <row r="68" spans="1:79" ht="14.25" customHeight="1">
      <c r="A68" s="26" t="s">
        <v>95</v>
      </c>
      <c r="B68" s="26" t="s">
        <v>257</v>
      </c>
      <c r="C68" s="26" t="s">
        <v>266</v>
      </c>
      <c r="D68" s="26" t="s">
        <v>266</v>
      </c>
      <c r="E68" s="19">
        <v>185192000</v>
      </c>
      <c r="F68" s="37">
        <v>-0.3</v>
      </c>
      <c r="G68" s="38">
        <f t="shared" si="0"/>
        <v>-55557600</v>
      </c>
      <c r="H68" s="26"/>
      <c r="I68" s="26"/>
      <c r="J68" s="26"/>
      <c r="K68" s="26"/>
      <c r="L68" s="26" t="s">
        <v>242</v>
      </c>
      <c r="M68" s="117"/>
      <c r="N68" s="37">
        <f t="shared" ref="N68:AL68" si="100">(N57/M57-1)*M57/M$65</f>
        <v>6.2129919252627407E-3</v>
      </c>
      <c r="O68" s="37">
        <f t="shared" si="100"/>
        <v>4.2948833637391683E-3</v>
      </c>
      <c r="P68" s="37">
        <f t="shared" si="100"/>
        <v>7.6909408272348677E-3</v>
      </c>
      <c r="Q68" s="37">
        <f t="shared" si="100"/>
        <v>2.7751916844644827E-3</v>
      </c>
      <c r="R68" s="37">
        <f t="shared" si="100"/>
        <v>-8.0535308288750033E-4</v>
      </c>
      <c r="S68" s="37">
        <f t="shared" si="100"/>
        <v>4.4711485882430917E-3</v>
      </c>
      <c r="T68" s="37">
        <f t="shared" si="100"/>
        <v>4.3499680042266547E-3</v>
      </c>
      <c r="U68" s="37">
        <f t="shared" si="100"/>
        <v>-6.2058984231795743E-3</v>
      </c>
      <c r="V68" s="37">
        <f t="shared" si="100"/>
        <v>1.0078257719716778E-2</v>
      </c>
      <c r="W68" s="37">
        <f t="shared" si="100"/>
        <v>-3.102721798453249E-3</v>
      </c>
      <c r="X68" s="37">
        <f t="shared" si="100"/>
        <v>5.7075084530769874E-3</v>
      </c>
      <c r="Y68" s="37">
        <f t="shared" si="100"/>
        <v>7.7982104868978114E-4</v>
      </c>
      <c r="Z68" s="37">
        <f t="shared" si="100"/>
        <v>6.4975353535388384E-3</v>
      </c>
      <c r="AA68" s="37">
        <f t="shared" si="100"/>
        <v>-1.4546835661205294E-3</v>
      </c>
      <c r="AB68" s="37">
        <f t="shared" si="100"/>
        <v>-4.2908603473641458E-3</v>
      </c>
      <c r="AC68" s="37">
        <f t="shared" si="100"/>
        <v>3.7440097724420157E-4</v>
      </c>
      <c r="AD68" s="37">
        <f t="shared" si="100"/>
        <v>-4.302868770053668E-3</v>
      </c>
      <c r="AE68" s="37">
        <f t="shared" si="100"/>
        <v>2.0240718825633272E-3</v>
      </c>
      <c r="AF68" s="37">
        <f t="shared" si="100"/>
        <v>-6.1616595123765256E-3</v>
      </c>
      <c r="AG68" s="37">
        <f t="shared" si="100"/>
        <v>1.1838081601392909E-3</v>
      </c>
      <c r="AH68" s="37">
        <f t="shared" si="100"/>
        <v>2.4685826648495552E-3</v>
      </c>
      <c r="AI68" s="37">
        <f t="shared" si="100"/>
        <v>-5.6786110438643658E-4</v>
      </c>
      <c r="AJ68" s="37">
        <f t="shared" si="100"/>
        <v>5.8978422199027901E-4</v>
      </c>
      <c r="AK68" s="37">
        <f t="shared" si="100"/>
        <v>5.9137219164717746E-4</v>
      </c>
      <c r="AL68" s="37">
        <f t="shared" si="100"/>
        <v>1.016542721903753E-3</v>
      </c>
      <c r="AM68" s="26"/>
      <c r="AN68" s="26"/>
      <c r="AO68" s="90">
        <v>40178</v>
      </c>
      <c r="AP68" s="91">
        <v>68876.500000000015</v>
      </c>
      <c r="AQ68" s="20">
        <v>13295.238868462837</v>
      </c>
      <c r="AR68" s="92">
        <f t="shared" si="67"/>
        <v>82171.738868462853</v>
      </c>
      <c r="AS68" s="91">
        <v>68876.500000000015</v>
      </c>
      <c r="AT68" s="20">
        <v>13295.238868462837</v>
      </c>
      <c r="AU68" s="92">
        <f t="shared" si="68"/>
        <v>82171.738868462853</v>
      </c>
      <c r="AV68" s="91">
        <v>68876.500000000015</v>
      </c>
      <c r="AW68" s="20">
        <v>13295.238868462837</v>
      </c>
      <c r="AX68" s="92">
        <f t="shared" si="69"/>
        <v>82171.738868462853</v>
      </c>
      <c r="AY68" s="104">
        <f t="shared" si="70"/>
        <v>0.16867389730436444</v>
      </c>
      <c r="AZ68" s="90">
        <v>40178</v>
      </c>
      <c r="BA68" s="97">
        <f t="shared" si="71"/>
        <v>-2.7384102641876074E-2</v>
      </c>
      <c r="BB68" s="97">
        <f t="shared" si="72"/>
        <v>-2.7384102641876074E-2</v>
      </c>
      <c r="BC68" s="97">
        <f t="shared" si="73"/>
        <v>-2.7384102641876074E-2</v>
      </c>
      <c r="BD68" s="26"/>
      <c r="BE68" s="90">
        <v>40178</v>
      </c>
      <c r="BF68" s="97">
        <f t="shared" si="74"/>
        <v>-4.6042727210420242E-2</v>
      </c>
      <c r="BG68" s="97">
        <f t="shared" si="75"/>
        <v>-4.6042727210420242E-2</v>
      </c>
      <c r="BH68" s="97">
        <f t="shared" si="76"/>
        <v>-4.6042727210420242E-2</v>
      </c>
      <c r="BI68" s="26"/>
      <c r="BJ68" s="26"/>
      <c r="BL68" s="446"/>
      <c r="BM68" s="446"/>
      <c r="BN68" s="446"/>
      <c r="BO68" s="446"/>
      <c r="BX68" s="305">
        <v>42551</v>
      </c>
      <c r="BY68" s="489">
        <f t="shared" si="99"/>
        <v>2.722742710540893E-2</v>
      </c>
      <c r="BZ68" s="301"/>
      <c r="CA68" s="301"/>
    </row>
    <row r="69" spans="1:79" ht="14.25" customHeight="1">
      <c r="A69" s="26" t="s">
        <v>95</v>
      </c>
      <c r="B69" s="26" t="s">
        <v>257</v>
      </c>
      <c r="C69" s="26" t="s">
        <v>267</v>
      </c>
      <c r="D69" s="26" t="s">
        <v>268</v>
      </c>
      <c r="E69" s="19">
        <v>209596000</v>
      </c>
      <c r="F69" s="37">
        <v>0</v>
      </c>
      <c r="G69" s="38">
        <f t="shared" si="0"/>
        <v>0</v>
      </c>
      <c r="H69" s="26"/>
      <c r="I69" s="26"/>
      <c r="J69" s="26"/>
      <c r="K69" s="26"/>
      <c r="L69" s="26" t="s">
        <v>244</v>
      </c>
      <c r="M69" s="117"/>
      <c r="N69" s="37">
        <f t="shared" ref="N69:AL69" si="101">(N58/M58-1)*M58/M$65</f>
        <v>1.5230957369598865E-3</v>
      </c>
      <c r="O69" s="37">
        <f t="shared" si="101"/>
        <v>3.9702779057899124E-2</v>
      </c>
      <c r="P69" s="37">
        <f t="shared" si="101"/>
        <v>1.0686621688849178E-2</v>
      </c>
      <c r="Q69" s="37">
        <f t="shared" si="101"/>
        <v>9.668283593483885E-3</v>
      </c>
      <c r="R69" s="37">
        <f t="shared" si="101"/>
        <v>2.6830120557015363E-2</v>
      </c>
      <c r="S69" s="37">
        <f t="shared" si="101"/>
        <v>6.8656769669133691E-3</v>
      </c>
      <c r="T69" s="37">
        <f t="shared" si="101"/>
        <v>1.1297139397644049E-2</v>
      </c>
      <c r="U69" s="37">
        <f t="shared" si="101"/>
        <v>1.6167178401918697E-2</v>
      </c>
      <c r="V69" s="37">
        <f t="shared" si="101"/>
        <v>2.5338979690023734E-2</v>
      </c>
      <c r="W69" s="37">
        <f t="shared" si="101"/>
        <v>6.5358988591182696E-3</v>
      </c>
      <c r="X69" s="37">
        <f t="shared" si="101"/>
        <v>1.1963208591016688E-2</v>
      </c>
      <c r="Y69" s="37">
        <f t="shared" si="101"/>
        <v>1.260175277350881E-2</v>
      </c>
      <c r="Z69" s="37">
        <f t="shared" si="101"/>
        <v>9.8828551622709097E-3</v>
      </c>
      <c r="AA69" s="37">
        <f t="shared" si="101"/>
        <v>-5.0407294832164702E-3</v>
      </c>
      <c r="AB69" s="37">
        <f t="shared" si="101"/>
        <v>9.198064624080524E-4</v>
      </c>
      <c r="AC69" s="37">
        <f t="shared" si="101"/>
        <v>9.1377311859529072E-3</v>
      </c>
      <c r="AD69" s="37">
        <f t="shared" si="101"/>
        <v>1.4858585934149709E-3</v>
      </c>
      <c r="AE69" s="37">
        <f t="shared" si="101"/>
        <v>-5.9158676943881702E-3</v>
      </c>
      <c r="AF69" s="37">
        <f t="shared" si="101"/>
        <v>3.0292238241199803E-3</v>
      </c>
      <c r="AG69" s="37">
        <f t="shared" si="101"/>
        <v>2.1604423059626001E-3</v>
      </c>
      <c r="AH69" s="37">
        <f t="shared" si="101"/>
        <v>6.0615725872720646E-3</v>
      </c>
      <c r="AI69" s="37">
        <f t="shared" si="101"/>
        <v>3.385273159124872E-3</v>
      </c>
      <c r="AJ69" s="37">
        <f t="shared" si="101"/>
        <v>2.837833083692844E-3</v>
      </c>
      <c r="AK69" s="37">
        <f t="shared" si="101"/>
        <v>3.0044664103895465E-3</v>
      </c>
      <c r="AL69" s="37">
        <f t="shared" si="101"/>
        <v>-1.5919515203752448E-2</v>
      </c>
      <c r="AM69" s="26"/>
      <c r="AN69" s="26"/>
      <c r="AO69" s="90">
        <v>40268</v>
      </c>
      <c r="AP69" s="91">
        <v>64384.400000000009</v>
      </c>
      <c r="AQ69" s="20">
        <v>10685.624504157473</v>
      </c>
      <c r="AR69" s="92">
        <f t="shared" si="67"/>
        <v>75070.024504157482</v>
      </c>
      <c r="AS69" s="91">
        <v>64384.400000000009</v>
      </c>
      <c r="AT69" s="20">
        <v>10685.624504157473</v>
      </c>
      <c r="AU69" s="92">
        <f t="shared" si="68"/>
        <v>75070.024504157482</v>
      </c>
      <c r="AV69" s="91">
        <v>64384.400000000009</v>
      </c>
      <c r="AW69" s="20">
        <v>10685.624504157473</v>
      </c>
      <c r="AX69" s="92">
        <f t="shared" si="69"/>
        <v>75070.024504157482</v>
      </c>
      <c r="AY69" s="104">
        <f t="shared" si="70"/>
        <v>0.1726839901806082</v>
      </c>
      <c r="AZ69" s="90">
        <v>40268</v>
      </c>
      <c r="BA69" s="97">
        <f t="shared" si="71"/>
        <v>-1.3784446132146466E-2</v>
      </c>
      <c r="BB69" s="97">
        <f t="shared" si="72"/>
        <v>-1.3784446132146466E-2</v>
      </c>
      <c r="BC69" s="97">
        <f t="shared" si="73"/>
        <v>-1.3784446132146466E-2</v>
      </c>
      <c r="BD69" s="26"/>
      <c r="BE69" s="90">
        <v>40268</v>
      </c>
      <c r="BF69" s="97">
        <f t="shared" si="74"/>
        <v>-3.9927196871369697E-2</v>
      </c>
      <c r="BG69" s="97">
        <f t="shared" si="75"/>
        <v>-3.9927196871369697E-2</v>
      </c>
      <c r="BH69" s="97">
        <f t="shared" si="76"/>
        <v>-3.9927196871369697E-2</v>
      </c>
      <c r="BI69" s="26"/>
      <c r="BJ69" s="26"/>
      <c r="BL69" s="446"/>
      <c r="BM69" s="446"/>
      <c r="BN69" s="478"/>
      <c r="BO69" s="446"/>
      <c r="BX69" s="305">
        <v>42643</v>
      </c>
      <c r="BY69" s="489">
        <f t="shared" si="99"/>
        <v>4.8650043297508994E-2</v>
      </c>
      <c r="BZ69" s="301"/>
      <c r="CA69" s="301"/>
    </row>
    <row r="70" spans="1:79" ht="14.25" customHeight="1">
      <c r="A70" s="26" t="s">
        <v>95</v>
      </c>
      <c r="B70" s="26" t="s">
        <v>257</v>
      </c>
      <c r="C70" s="26" t="s">
        <v>267</v>
      </c>
      <c r="D70" s="26" t="s">
        <v>269</v>
      </c>
      <c r="E70" s="19">
        <v>120310000</v>
      </c>
      <c r="F70" s="37">
        <v>0</v>
      </c>
      <c r="G70" s="38">
        <f t="shared" si="0"/>
        <v>0</v>
      </c>
      <c r="H70" s="26"/>
      <c r="I70" s="26"/>
      <c r="J70" s="26"/>
      <c r="K70" s="26"/>
      <c r="L70" s="26" t="s">
        <v>248</v>
      </c>
      <c r="M70" s="117"/>
      <c r="N70" s="37">
        <f t="shared" ref="N70:AL70" si="102">(N59/M59-1)*M59/M$65</f>
        <v>1.7105745971096081E-2</v>
      </c>
      <c r="O70" s="37">
        <f t="shared" si="102"/>
        <v>1.6791988975820325E-2</v>
      </c>
      <c r="P70" s="37">
        <f t="shared" si="102"/>
        <v>1.2813616139631704E-3</v>
      </c>
      <c r="Q70" s="37">
        <f t="shared" si="102"/>
        <v>-1.2867920720779353E-2</v>
      </c>
      <c r="R70" s="37">
        <f t="shared" si="102"/>
        <v>-2.875237120883375E-3</v>
      </c>
      <c r="S70" s="37">
        <f t="shared" si="102"/>
        <v>9.9102809258101512E-3</v>
      </c>
      <c r="T70" s="37">
        <f t="shared" si="102"/>
        <v>9.1123787480349196E-3</v>
      </c>
      <c r="U70" s="37">
        <f t="shared" si="102"/>
        <v>1.9963710795668912E-2</v>
      </c>
      <c r="V70" s="37">
        <f t="shared" si="102"/>
        <v>1.0809559318701863E-2</v>
      </c>
      <c r="W70" s="37">
        <f t="shared" si="102"/>
        <v>8.675580843271323E-3</v>
      </c>
      <c r="X70" s="37">
        <f t="shared" si="102"/>
        <v>9.8982233355122268E-3</v>
      </c>
      <c r="Y70" s="37">
        <f t="shared" si="102"/>
        <v>9.2233064523088992E-3</v>
      </c>
      <c r="Z70" s="37">
        <f t="shared" si="102"/>
        <v>1.0319325297079008E-2</v>
      </c>
      <c r="AA70" s="37">
        <f t="shared" si="102"/>
        <v>-7.9006938123204005E-3</v>
      </c>
      <c r="AB70" s="37">
        <f t="shared" si="102"/>
        <v>-1.895567315470411E-2</v>
      </c>
      <c r="AC70" s="37">
        <f t="shared" si="102"/>
        <v>-3.8644458216952646E-3</v>
      </c>
      <c r="AD70" s="37">
        <f t="shared" si="102"/>
        <v>-7.4925672120034785E-3</v>
      </c>
      <c r="AE70" s="37">
        <f t="shared" si="102"/>
        <v>-7.6930890905995287E-4</v>
      </c>
      <c r="AF70" s="37">
        <f t="shared" si="102"/>
        <v>-3.1266433898459131E-4</v>
      </c>
      <c r="AG70" s="37">
        <f t="shared" si="102"/>
        <v>1.4902813312314578E-3</v>
      </c>
      <c r="AH70" s="37">
        <f t="shared" si="102"/>
        <v>1.3191174892476767E-3</v>
      </c>
      <c r="AI70" s="37">
        <f t="shared" si="102"/>
        <v>2.5558237182461609E-3</v>
      </c>
      <c r="AJ70" s="37">
        <f t="shared" si="102"/>
        <v>3.2887356164660766E-3</v>
      </c>
      <c r="AK70" s="37">
        <f t="shared" si="102"/>
        <v>4.8546843346219662E-3</v>
      </c>
      <c r="AL70" s="37">
        <f t="shared" si="102"/>
        <v>-6.9753994854298857E-3</v>
      </c>
      <c r="AM70" s="26"/>
      <c r="AN70" s="26"/>
      <c r="AO70" s="90">
        <v>40359</v>
      </c>
      <c r="AP70" s="91">
        <v>69859.200000000012</v>
      </c>
      <c r="AQ70" s="20">
        <v>12342.872660693218</v>
      </c>
      <c r="AR70" s="92">
        <f t="shared" si="67"/>
        <v>82202.072660693229</v>
      </c>
      <c r="AS70" s="91">
        <v>69859.200000000012</v>
      </c>
      <c r="AT70" s="20">
        <v>12342.872660693218</v>
      </c>
      <c r="AU70" s="92">
        <f t="shared" si="68"/>
        <v>82202.072660693229</v>
      </c>
      <c r="AV70" s="91">
        <v>69859.200000000012</v>
      </c>
      <c r="AW70" s="20">
        <v>12342.872660693218</v>
      </c>
      <c r="AX70" s="92">
        <f t="shared" si="69"/>
        <v>82202.072660693229</v>
      </c>
      <c r="AY70" s="104">
        <f t="shared" si="70"/>
        <v>0.17800696900385982</v>
      </c>
      <c r="AZ70" s="90">
        <v>40359</v>
      </c>
      <c r="BA70" s="97">
        <f t="shared" si="71"/>
        <v>-2.2877804197279583E-2</v>
      </c>
      <c r="BB70" s="97">
        <f t="shared" si="72"/>
        <v>-2.2877804197279583E-2</v>
      </c>
      <c r="BC70" s="97">
        <f t="shared" si="73"/>
        <v>-2.2877804197279583E-2</v>
      </c>
      <c r="BD70" s="26"/>
      <c r="BE70" s="90">
        <v>40359</v>
      </c>
      <c r="BF70" s="97">
        <f t="shared" si="74"/>
        <v>-3.3885006228826509E-2</v>
      </c>
      <c r="BG70" s="97">
        <f t="shared" si="75"/>
        <v>-3.3885006228826509E-2</v>
      </c>
      <c r="BH70" s="97">
        <f t="shared" si="76"/>
        <v>-3.3885006228826509E-2</v>
      </c>
      <c r="BI70" s="26"/>
      <c r="BJ70" s="26"/>
      <c r="BL70" s="446"/>
      <c r="BM70" s="446"/>
      <c r="BN70" s="446"/>
      <c r="BO70" s="446"/>
      <c r="BX70" s="305">
        <v>42735</v>
      </c>
      <c r="BY70" s="489">
        <f t="shared" si="99"/>
        <v>3.5175834802768646E-2</v>
      </c>
      <c r="BZ70" s="301"/>
      <c r="CA70" s="301"/>
    </row>
    <row r="71" spans="1:79" ht="14.25" customHeight="1">
      <c r="A71" s="26" t="s">
        <v>95</v>
      </c>
      <c r="B71" s="26" t="s">
        <v>257</v>
      </c>
      <c r="C71" s="26" t="s">
        <v>270</v>
      </c>
      <c r="D71" s="26" t="s">
        <v>271</v>
      </c>
      <c r="E71" s="19">
        <v>2535000</v>
      </c>
      <c r="F71" s="37">
        <v>-0.3</v>
      </c>
      <c r="G71" s="38">
        <f t="shared" si="0"/>
        <v>-760500</v>
      </c>
      <c r="H71" s="26"/>
      <c r="I71" s="26"/>
      <c r="J71" s="26"/>
      <c r="K71" s="26"/>
      <c r="L71" s="26" t="s">
        <v>250</v>
      </c>
      <c r="M71" s="117"/>
      <c r="N71" s="37">
        <f t="shared" ref="N71:AL71" si="103">(N60/M60-1)*M60/M$65</f>
        <v>2.0613874280185681E-2</v>
      </c>
      <c r="O71" s="37">
        <f t="shared" si="103"/>
        <v>2.167590061945477E-2</v>
      </c>
      <c r="P71" s="37">
        <f t="shared" si="103"/>
        <v>5.128434271149734E-3</v>
      </c>
      <c r="Q71" s="37">
        <f t="shared" si="103"/>
        <v>-1.6959126239365744E-2</v>
      </c>
      <c r="R71" s="37">
        <f t="shared" si="103"/>
        <v>6.1477667852747097E-3</v>
      </c>
      <c r="S71" s="37">
        <f t="shared" si="103"/>
        <v>2.2238448194936408E-2</v>
      </c>
      <c r="T71" s="37">
        <f t="shared" si="103"/>
        <v>1.9892507626320468E-2</v>
      </c>
      <c r="U71" s="37">
        <f t="shared" si="103"/>
        <v>2.2884617755479789E-2</v>
      </c>
      <c r="V71" s="37">
        <f t="shared" si="103"/>
        <v>-2.0535219198024612E-3</v>
      </c>
      <c r="W71" s="37">
        <f t="shared" si="103"/>
        <v>1.3099051916475519E-2</v>
      </c>
      <c r="X71" s="37">
        <f t="shared" si="103"/>
        <v>1.4884778368546616E-2</v>
      </c>
      <c r="Y71" s="37">
        <f t="shared" si="103"/>
        <v>9.1106154772130112E-3</v>
      </c>
      <c r="Z71" s="37">
        <f t="shared" si="103"/>
        <v>1.0583057185839852E-2</v>
      </c>
      <c r="AA71" s="37">
        <f t="shared" si="103"/>
        <v>-1.8871375908494782E-2</v>
      </c>
      <c r="AB71" s="37">
        <f t="shared" si="103"/>
        <v>3.5575882072504681E-3</v>
      </c>
      <c r="AC71" s="37">
        <f t="shared" si="103"/>
        <v>2.5721004905165891E-3</v>
      </c>
      <c r="AD71" s="37">
        <f t="shared" si="103"/>
        <v>-1.9052577572242298E-3</v>
      </c>
      <c r="AE71" s="37">
        <f t="shared" si="103"/>
        <v>-2.51792682019955E-3</v>
      </c>
      <c r="AF71" s="37">
        <f t="shared" si="103"/>
        <v>3.157871210107852E-4</v>
      </c>
      <c r="AG71" s="37">
        <f t="shared" si="103"/>
        <v>6.7454101761725968E-3</v>
      </c>
      <c r="AH71" s="37">
        <f t="shared" si="103"/>
        <v>-1.3329893678477966E-3</v>
      </c>
      <c r="AI71" s="37">
        <f t="shared" si="103"/>
        <v>6.1004054379377474E-3</v>
      </c>
      <c r="AJ71" s="37">
        <f t="shared" si="103"/>
        <v>7.6551765581598652E-3</v>
      </c>
      <c r="AK71" s="37">
        <f t="shared" si="103"/>
        <v>6.5688140186355255E-3</v>
      </c>
      <c r="AL71" s="37">
        <f t="shared" si="103"/>
        <v>-1.7034500691115957E-2</v>
      </c>
      <c r="AM71" s="26"/>
      <c r="AN71" s="26"/>
      <c r="AO71" s="90">
        <v>40451</v>
      </c>
      <c r="AP71" s="91">
        <v>75264.5</v>
      </c>
      <c r="AQ71" s="20">
        <v>14655.714321415389</v>
      </c>
      <c r="AR71" s="92">
        <f t="shared" si="67"/>
        <v>89920.214321415391</v>
      </c>
      <c r="AS71" s="91">
        <v>75264.5</v>
      </c>
      <c r="AT71" s="20">
        <v>14655.714321415389</v>
      </c>
      <c r="AU71" s="92">
        <f t="shared" si="68"/>
        <v>89920.214321415391</v>
      </c>
      <c r="AV71" s="91">
        <v>75264.5</v>
      </c>
      <c r="AW71" s="20">
        <v>14655.714321415389</v>
      </c>
      <c r="AX71" s="92">
        <f t="shared" si="69"/>
        <v>89920.214321415391</v>
      </c>
      <c r="AY71" s="104">
        <f t="shared" si="70"/>
        <v>0.18312597160449579</v>
      </c>
      <c r="AZ71" s="90">
        <v>40451</v>
      </c>
      <c r="BA71" s="97">
        <f t="shared" si="71"/>
        <v>1.7741074042725069E-2</v>
      </c>
      <c r="BB71" s="97">
        <f t="shared" si="72"/>
        <v>1.7741074042725069E-2</v>
      </c>
      <c r="BC71" s="97">
        <f t="shared" si="73"/>
        <v>1.7741074042725069E-2</v>
      </c>
      <c r="BD71" s="26"/>
      <c r="BE71" s="90">
        <v>40451</v>
      </c>
      <c r="BF71" s="97">
        <f t="shared" si="74"/>
        <v>-1.1168286730819488E-2</v>
      </c>
      <c r="BG71" s="97">
        <f t="shared" si="75"/>
        <v>-1.1168286730819488E-2</v>
      </c>
      <c r="BH71" s="97">
        <f t="shared" si="76"/>
        <v>-1.1168286730819488E-2</v>
      </c>
      <c r="BI71" s="26"/>
      <c r="BJ71" s="26"/>
      <c r="BL71" s="446"/>
      <c r="BM71" s="446"/>
      <c r="BN71" s="446"/>
      <c r="BO71" s="446"/>
      <c r="BX71" s="305">
        <v>42825</v>
      </c>
      <c r="BY71" s="489">
        <f t="shared" si="99"/>
        <v>3.3333378404829528E-2</v>
      </c>
      <c r="BZ71" s="301"/>
      <c r="CA71" s="301"/>
    </row>
    <row r="72" spans="1:79" ht="14.25" customHeight="1">
      <c r="A72" s="26" t="s">
        <v>95</v>
      </c>
      <c r="B72" s="26" t="s">
        <v>257</v>
      </c>
      <c r="C72" s="26" t="s">
        <v>270</v>
      </c>
      <c r="D72" s="26" t="s">
        <v>272</v>
      </c>
      <c r="E72" s="19">
        <v>10007000</v>
      </c>
      <c r="F72" s="37">
        <v>-0.3</v>
      </c>
      <c r="G72" s="38">
        <f t="shared" si="0"/>
        <v>-3002100</v>
      </c>
      <c r="H72" s="26"/>
      <c r="I72" s="26"/>
      <c r="J72" s="26"/>
      <c r="K72" s="26"/>
      <c r="L72" s="26" t="s">
        <v>252</v>
      </c>
      <c r="M72" s="117"/>
      <c r="N72" s="37">
        <f t="shared" ref="N72:AL72" si="104">(N61/M61-1)*M61/M$65</f>
        <v>1.9871997899120773E-2</v>
      </c>
      <c r="O72" s="37">
        <f t="shared" si="104"/>
        <v>2.9339828232435857E-2</v>
      </c>
      <c r="P72" s="37">
        <f t="shared" si="104"/>
        <v>1.3841256578541678E-2</v>
      </c>
      <c r="Q72" s="37">
        <f t="shared" si="104"/>
        <v>1.0329026437821775E-2</v>
      </c>
      <c r="R72" s="37">
        <f t="shared" si="104"/>
        <v>2.7000656638944482E-2</v>
      </c>
      <c r="S72" s="37">
        <f t="shared" si="104"/>
        <v>2.7021842453289122E-2</v>
      </c>
      <c r="T72" s="37">
        <f t="shared" si="104"/>
        <v>3.167467627559898E-2</v>
      </c>
      <c r="U72" s="37">
        <f t="shared" si="104"/>
        <v>2.8897510310720718E-2</v>
      </c>
      <c r="V72" s="37">
        <f t="shared" si="104"/>
        <v>2.2001128538946892E-2</v>
      </c>
      <c r="W72" s="37">
        <f t="shared" si="104"/>
        <v>2.7242316581641238E-2</v>
      </c>
      <c r="X72" s="37">
        <f t="shared" si="104"/>
        <v>2.6324652761921617E-2</v>
      </c>
      <c r="Y72" s="37">
        <f t="shared" si="104"/>
        <v>3.0803301354793717E-2</v>
      </c>
      <c r="Z72" s="37">
        <f t="shared" si="104"/>
        <v>2.2118932921899731E-2</v>
      </c>
      <c r="AA72" s="37">
        <f t="shared" si="104"/>
        <v>-1.1359909058320135E-2</v>
      </c>
      <c r="AB72" s="37">
        <f t="shared" si="104"/>
        <v>1.2533585958479445E-3</v>
      </c>
      <c r="AC72" s="37">
        <f t="shared" si="104"/>
        <v>2.5530552949036855E-3</v>
      </c>
      <c r="AD72" s="37">
        <f t="shared" si="104"/>
        <v>-1.7141800357800951E-3</v>
      </c>
      <c r="AE72" s="37">
        <f t="shared" si="104"/>
        <v>7.1828791074931234E-3</v>
      </c>
      <c r="AF72" s="37">
        <f t="shared" si="104"/>
        <v>9.6073027317840007E-4</v>
      </c>
      <c r="AG72" s="37">
        <f t="shared" si="104"/>
        <v>4.6479586189318613E-3</v>
      </c>
      <c r="AH72" s="37">
        <f t="shared" si="104"/>
        <v>1.6587912763715261E-2</v>
      </c>
      <c r="AI72" s="37">
        <f t="shared" si="104"/>
        <v>1.8766969009678079E-2</v>
      </c>
      <c r="AJ72" s="37">
        <f t="shared" si="104"/>
        <v>1.4235223943845797E-2</v>
      </c>
      <c r="AK72" s="37">
        <f t="shared" si="104"/>
        <v>1.5118220343448265E-2</v>
      </c>
      <c r="AL72" s="37">
        <f t="shared" si="104"/>
        <v>-6.6863711462647607E-2</v>
      </c>
      <c r="AM72" s="26"/>
      <c r="AN72" s="26"/>
      <c r="AO72" s="90">
        <v>40543</v>
      </c>
      <c r="AP72" s="91">
        <v>69642.899999999994</v>
      </c>
      <c r="AQ72" s="20">
        <v>11989.10497701323</v>
      </c>
      <c r="AR72" s="92">
        <f t="shared" si="67"/>
        <v>81632.004977013217</v>
      </c>
      <c r="AS72" s="91">
        <v>69642.899999999994</v>
      </c>
      <c r="AT72" s="20">
        <v>11989.10497701323</v>
      </c>
      <c r="AU72" s="92">
        <f t="shared" si="68"/>
        <v>81632.004977013217</v>
      </c>
      <c r="AV72" s="91">
        <v>69642.899999999994</v>
      </c>
      <c r="AW72" s="20">
        <v>11989.10497701323</v>
      </c>
      <c r="AX72" s="92">
        <f t="shared" si="69"/>
        <v>81632.004977013217</v>
      </c>
      <c r="AY72" s="104">
        <f t="shared" si="70"/>
        <v>0.17794425405346681</v>
      </c>
      <c r="AZ72" s="90">
        <v>40543</v>
      </c>
      <c r="BA72" s="97">
        <f t="shared" si="71"/>
        <v>-6.5683640005916866E-3</v>
      </c>
      <c r="BB72" s="97">
        <f t="shared" si="72"/>
        <v>-6.5683640005916866E-3</v>
      </c>
      <c r="BC72" s="97">
        <f t="shared" si="73"/>
        <v>-6.5683640005916866E-3</v>
      </c>
      <c r="BD72" s="26"/>
      <c r="BE72" s="90">
        <v>40543</v>
      </c>
      <c r="BF72" s="97">
        <f t="shared" si="74"/>
        <v>-5.8837110503541235E-3</v>
      </c>
      <c r="BG72" s="97">
        <f t="shared" si="75"/>
        <v>-5.8837110503541235E-3</v>
      </c>
      <c r="BH72" s="97">
        <f t="shared" si="76"/>
        <v>-5.8837110503541235E-3</v>
      </c>
      <c r="BI72" s="26"/>
      <c r="BJ72" s="26"/>
      <c r="BL72" s="446"/>
      <c r="BM72" s="446"/>
      <c r="BN72" s="446"/>
      <c r="BO72" s="446"/>
      <c r="BX72" s="305">
        <v>42916</v>
      </c>
      <c r="BY72" s="489">
        <f t="shared" si="99"/>
        <v>4.9779017745077425E-2</v>
      </c>
      <c r="BZ72" s="301"/>
      <c r="CA72" s="301"/>
    </row>
    <row r="73" spans="1:79" ht="14.25" customHeight="1">
      <c r="A73" s="26" t="s">
        <v>95</v>
      </c>
      <c r="B73" s="26" t="s">
        <v>257</v>
      </c>
      <c r="C73" s="26" t="s">
        <v>270</v>
      </c>
      <c r="D73" s="26" t="s">
        <v>273</v>
      </c>
      <c r="E73" s="19">
        <v>155548000</v>
      </c>
      <c r="F73" s="37">
        <v>-0.3</v>
      </c>
      <c r="G73" s="38">
        <f t="shared" si="0"/>
        <v>-46664400</v>
      </c>
      <c r="H73" s="26"/>
      <c r="I73" s="26"/>
      <c r="J73" s="26"/>
      <c r="K73" s="26"/>
      <c r="L73" s="26" t="s">
        <v>254</v>
      </c>
      <c r="M73" s="117"/>
      <c r="N73" s="37">
        <f t="shared" ref="N73:AL73" si="105">(N62/M62-1)*M62/M$65</f>
        <v>1.2731803650707977E-2</v>
      </c>
      <c r="O73" s="37">
        <f t="shared" si="105"/>
        <v>-3.6382313700463213E-3</v>
      </c>
      <c r="P73" s="37">
        <f t="shared" si="105"/>
        <v>3.3291075035812323E-3</v>
      </c>
      <c r="Q73" s="37">
        <f t="shared" si="105"/>
        <v>1.2995742023685213E-2</v>
      </c>
      <c r="R73" s="37">
        <f t="shared" si="105"/>
        <v>-3.2673647730247554E-3</v>
      </c>
      <c r="S73" s="37">
        <f t="shared" si="105"/>
        <v>7.5818018057650181E-3</v>
      </c>
      <c r="T73" s="37">
        <f t="shared" si="105"/>
        <v>6.6383199944444601E-3</v>
      </c>
      <c r="U73" s="37">
        <f t="shared" si="105"/>
        <v>1.0848982924844939E-2</v>
      </c>
      <c r="V73" s="37">
        <f t="shared" si="105"/>
        <v>2.5175401361179892E-3</v>
      </c>
      <c r="W73" s="37">
        <f t="shared" si="105"/>
        <v>1.1851832063582137E-2</v>
      </c>
      <c r="X73" s="37">
        <f t="shared" si="105"/>
        <v>3.6059287896040627E-3</v>
      </c>
      <c r="Y73" s="37">
        <f t="shared" si="105"/>
        <v>9.1760045482111204E-3</v>
      </c>
      <c r="Z73" s="37">
        <f t="shared" si="105"/>
        <v>5.9245757148045173E-3</v>
      </c>
      <c r="AA73" s="37">
        <f t="shared" si="105"/>
        <v>5.2123416125730902E-4</v>
      </c>
      <c r="AB73" s="37">
        <f t="shared" si="105"/>
        <v>2.7544960521896423E-3</v>
      </c>
      <c r="AC73" s="37">
        <f t="shared" si="105"/>
        <v>4.6445423931635553E-3</v>
      </c>
      <c r="AD73" s="37">
        <f t="shared" si="105"/>
        <v>-6.2373286309177411E-3</v>
      </c>
      <c r="AE73" s="37">
        <f t="shared" si="105"/>
        <v>-3.8086611224130199E-3</v>
      </c>
      <c r="AF73" s="37">
        <f t="shared" si="105"/>
        <v>1.7318727214443862E-3</v>
      </c>
      <c r="AG73" s="37">
        <f t="shared" si="105"/>
        <v>-6.8955930024283403E-4</v>
      </c>
      <c r="AH73" s="37">
        <f t="shared" si="105"/>
        <v>1.6519984338850679E-3</v>
      </c>
      <c r="AI73" s="37">
        <f t="shared" si="105"/>
        <v>2.381461803972936E-3</v>
      </c>
      <c r="AJ73" s="37">
        <f t="shared" si="105"/>
        <v>1.1208338686651393E-3</v>
      </c>
      <c r="AK73" s="37">
        <f t="shared" si="105"/>
        <v>1.7635415823366752E-3</v>
      </c>
      <c r="AL73" s="37">
        <f t="shared" si="105"/>
        <v>-2.6029416835149349E-3</v>
      </c>
      <c r="AM73" s="26"/>
      <c r="AN73" s="26"/>
      <c r="AO73" s="90">
        <v>40633</v>
      </c>
      <c r="AP73" s="91">
        <v>64822.9</v>
      </c>
      <c r="AQ73" s="20">
        <v>10018.72572526108</v>
      </c>
      <c r="AR73" s="92">
        <f t="shared" si="67"/>
        <v>74841.625725261081</v>
      </c>
      <c r="AS73" s="91">
        <v>64822.9</v>
      </c>
      <c r="AT73" s="20">
        <v>10018.72572526108</v>
      </c>
      <c r="AU73" s="92">
        <f t="shared" si="68"/>
        <v>74841.625725261081</v>
      </c>
      <c r="AV73" s="91">
        <v>64822.9</v>
      </c>
      <c r="AW73" s="20">
        <v>10018.72572526108</v>
      </c>
      <c r="AX73" s="92">
        <f t="shared" si="69"/>
        <v>74841.625725261081</v>
      </c>
      <c r="AY73" s="104">
        <f t="shared" si="70"/>
        <v>0.17527989314471007</v>
      </c>
      <c r="AZ73" s="90">
        <v>40633</v>
      </c>
      <c r="BA73" s="97">
        <f t="shared" si="71"/>
        <v>-3.0424764132553905E-3</v>
      </c>
      <c r="BB73" s="97">
        <f t="shared" si="72"/>
        <v>-3.0424764132553905E-3</v>
      </c>
      <c r="BC73" s="97">
        <f t="shared" si="73"/>
        <v>-3.0424764132553905E-3</v>
      </c>
      <c r="BD73" s="26"/>
      <c r="BE73" s="90">
        <v>40633</v>
      </c>
      <c r="BF73" s="97">
        <f t="shared" si="74"/>
        <v>-3.4128664618725546E-3</v>
      </c>
      <c r="BG73" s="97">
        <f t="shared" si="75"/>
        <v>-3.4128664618725546E-3</v>
      </c>
      <c r="BH73" s="97">
        <f t="shared" si="76"/>
        <v>-3.4128664618725546E-3</v>
      </c>
      <c r="BI73" s="26"/>
      <c r="BJ73" s="26"/>
      <c r="BL73" s="446"/>
      <c r="BM73" s="446"/>
      <c r="BN73" s="446"/>
      <c r="BO73" s="446"/>
      <c r="BX73" s="305">
        <v>43008</v>
      </c>
      <c r="BY73" s="489">
        <f t="shared" si="99"/>
        <v>4.7255262259657371E-2</v>
      </c>
      <c r="BZ73" s="301"/>
      <c r="CA73" s="301"/>
    </row>
    <row r="74" spans="1:79" ht="14.25" customHeight="1">
      <c r="A74" s="26" t="s">
        <v>95</v>
      </c>
      <c r="B74" s="26" t="s">
        <v>280</v>
      </c>
      <c r="C74" s="26" t="s">
        <v>281</v>
      </c>
      <c r="D74" s="26" t="s">
        <v>281</v>
      </c>
      <c r="E74" s="19">
        <v>2139877000</v>
      </c>
      <c r="F74" s="37">
        <v>0</v>
      </c>
      <c r="G74" s="38">
        <f t="shared" si="0"/>
        <v>0</v>
      </c>
      <c r="H74" s="26"/>
      <c r="I74" s="26"/>
      <c r="J74" s="26"/>
      <c r="K74" s="26"/>
      <c r="L74" s="26" t="s">
        <v>256</v>
      </c>
      <c r="M74" s="117"/>
      <c r="N74" s="37">
        <f t="shared" ref="N74:AL74" si="106">(N63/M63-1)*M63/M$65</f>
        <v>6.6712383005057569E-3</v>
      </c>
      <c r="O74" s="37">
        <f t="shared" si="106"/>
        <v>5.7099365180699451E-3</v>
      </c>
      <c r="P74" s="37">
        <f t="shared" si="106"/>
        <v>8.0837809209716102E-3</v>
      </c>
      <c r="Q74" s="37">
        <f t="shared" si="106"/>
        <v>7.343071062604155E-3</v>
      </c>
      <c r="R74" s="37">
        <f t="shared" si="106"/>
        <v>4.4972134144289303E-3</v>
      </c>
      <c r="S74" s="37">
        <f t="shared" si="106"/>
        <v>4.8324651573205786E-3</v>
      </c>
      <c r="T74" s="37">
        <f t="shared" si="106"/>
        <v>6.5984386311609636E-3</v>
      </c>
      <c r="U74" s="37">
        <f t="shared" si="106"/>
        <v>7.2229114548793489E-3</v>
      </c>
      <c r="V74" s="37">
        <f t="shared" si="106"/>
        <v>6.4509607897441004E-3</v>
      </c>
      <c r="W74" s="37">
        <f t="shared" si="106"/>
        <v>6.8322608389670891E-3</v>
      </c>
      <c r="X74" s="37">
        <f t="shared" si="106"/>
        <v>7.9431614502213192E-3</v>
      </c>
      <c r="Y74" s="37">
        <f t="shared" si="106"/>
        <v>1.6497125987569718E-2</v>
      </c>
      <c r="Z74" s="37">
        <f t="shared" si="106"/>
        <v>2.5600373089909637E-3</v>
      </c>
      <c r="AA74" s="37">
        <f t="shared" si="106"/>
        <v>3.3134564444845156E-4</v>
      </c>
      <c r="AB74" s="37">
        <f t="shared" si="106"/>
        <v>-1.1458866308086809E-3</v>
      </c>
      <c r="AC74" s="37">
        <f t="shared" si="106"/>
        <v>4.2743926391951943E-3</v>
      </c>
      <c r="AD74" s="37">
        <f t="shared" si="106"/>
        <v>4.844858292421238E-4</v>
      </c>
      <c r="AE74" s="37">
        <f t="shared" si="106"/>
        <v>-4.1212093932149415E-4</v>
      </c>
      <c r="AF74" s="37">
        <f t="shared" si="106"/>
        <v>1.3823636230926816E-3</v>
      </c>
      <c r="AG74" s="37">
        <f t="shared" si="106"/>
        <v>1.4239015796898029E-3</v>
      </c>
      <c r="AH74" s="37">
        <f t="shared" si="106"/>
        <v>1.0972189995529535E-3</v>
      </c>
      <c r="AI74" s="37">
        <f t="shared" si="106"/>
        <v>1.6545243338109375E-3</v>
      </c>
      <c r="AJ74" s="37">
        <f t="shared" si="106"/>
        <v>2.3012020472776428E-3</v>
      </c>
      <c r="AK74" s="37">
        <f t="shared" si="106"/>
        <v>2.2373880302696543E-3</v>
      </c>
      <c r="AL74" s="37">
        <f t="shared" si="106"/>
        <v>-2.0190434335291489E-2</v>
      </c>
      <c r="AM74" s="26"/>
      <c r="AN74" s="26"/>
      <c r="AO74" s="90">
        <v>40724</v>
      </c>
      <c r="AP74" s="91">
        <v>72010.799999999988</v>
      </c>
      <c r="AQ74" s="20">
        <v>12342.014850113479</v>
      </c>
      <c r="AR74" s="92">
        <f t="shared" si="67"/>
        <v>84352.814850113471</v>
      </c>
      <c r="AS74" s="91">
        <v>72010.799999999988</v>
      </c>
      <c r="AT74" s="20">
        <v>12342.014850113479</v>
      </c>
      <c r="AU74" s="92">
        <f t="shared" si="68"/>
        <v>84352.814850113471</v>
      </c>
      <c r="AV74" s="91">
        <v>72010.799999999988</v>
      </c>
      <c r="AW74" s="20">
        <v>12342.014850113479</v>
      </c>
      <c r="AX74" s="92">
        <f t="shared" si="69"/>
        <v>84352.814850113471</v>
      </c>
      <c r="AY74" s="104">
        <f t="shared" si="70"/>
        <v>0.17393827124904102</v>
      </c>
      <c r="AZ74" s="90">
        <v>40724</v>
      </c>
      <c r="BA74" s="97">
        <f t="shared" si="71"/>
        <v>2.6164087106390843E-2</v>
      </c>
      <c r="BB74" s="97">
        <f t="shared" si="72"/>
        <v>2.6164087106390843E-2</v>
      </c>
      <c r="BC74" s="97">
        <f t="shared" si="73"/>
        <v>2.6164087106390843E-2</v>
      </c>
      <c r="BD74" s="26"/>
      <c r="BE74" s="90">
        <v>40724</v>
      </c>
      <c r="BF74" s="97">
        <f t="shared" si="74"/>
        <v>8.9997341418752708E-3</v>
      </c>
      <c r="BG74" s="97">
        <f t="shared" si="75"/>
        <v>8.9997341418752708E-3</v>
      </c>
      <c r="BH74" s="97">
        <f t="shared" si="76"/>
        <v>8.9997341418752708E-3</v>
      </c>
      <c r="BI74" s="26"/>
      <c r="BJ74" s="26"/>
      <c r="BL74" s="446"/>
      <c r="BM74" s="446"/>
      <c r="BN74" s="446"/>
      <c r="BO74" s="446"/>
      <c r="BX74" s="305">
        <v>43100</v>
      </c>
      <c r="BY74" s="489">
        <f t="shared" si="99"/>
        <v>4.1694277748465014E-2</v>
      </c>
      <c r="BZ74" s="301"/>
      <c r="CA74" s="301"/>
    </row>
    <row r="75" spans="1:79" ht="14.25" customHeight="1">
      <c r="A75" s="26" t="s">
        <v>95</v>
      </c>
      <c r="B75" s="26" t="s">
        <v>282</v>
      </c>
      <c r="C75" s="26" t="s">
        <v>283</v>
      </c>
      <c r="D75" s="26" t="s">
        <v>284</v>
      </c>
      <c r="E75" s="19">
        <v>9606000</v>
      </c>
      <c r="F75" s="37">
        <v>-0.3</v>
      </c>
      <c r="G75" s="38">
        <f t="shared" si="0"/>
        <v>-2881800</v>
      </c>
      <c r="H75" s="26"/>
      <c r="I75" s="26"/>
      <c r="J75" s="26"/>
      <c r="K75" s="26"/>
      <c r="L75" s="26" t="s">
        <v>260</v>
      </c>
      <c r="M75" s="117"/>
      <c r="N75" s="37">
        <f t="shared" ref="N75:AL75" si="107">(N64/M64-1)*M64/M$65</f>
        <v>2.8787707250432094E-2</v>
      </c>
      <c r="O75" s="37">
        <f t="shared" si="107"/>
        <v>2.5681626107104418E-2</v>
      </c>
      <c r="P75" s="37">
        <f t="shared" si="107"/>
        <v>3.8245932465907899E-2</v>
      </c>
      <c r="Q75" s="37">
        <f t="shared" si="107"/>
        <v>1.8831184867042418E-2</v>
      </c>
      <c r="R75" s="37">
        <f t="shared" si="107"/>
        <v>9.8631013686601172E-3</v>
      </c>
      <c r="S75" s="37">
        <f t="shared" si="107"/>
        <v>-4.8888194576783284E-3</v>
      </c>
      <c r="T75" s="37">
        <f t="shared" si="107"/>
        <v>6.078686743382529E-3</v>
      </c>
      <c r="U75" s="37">
        <f t="shared" si="107"/>
        <v>1.0968366880936371E-2</v>
      </c>
      <c r="V75" s="37">
        <f t="shared" si="107"/>
        <v>1.2324336660055283E-2</v>
      </c>
      <c r="W75" s="37">
        <f t="shared" si="107"/>
        <v>5.6812766231695974E-3</v>
      </c>
      <c r="X75" s="37">
        <f t="shared" si="107"/>
        <v>8.0813029363817311E-3</v>
      </c>
      <c r="Y75" s="37">
        <f t="shared" si="107"/>
        <v>1.4586710012311325E-2</v>
      </c>
      <c r="Z75" s="37">
        <f t="shared" si="107"/>
        <v>9.2600562474925742E-3</v>
      </c>
      <c r="AA75" s="37">
        <f t="shared" si="107"/>
        <v>7.7457224555160407E-3</v>
      </c>
      <c r="AB75" s="37">
        <f t="shared" si="107"/>
        <v>2.1983082716159129E-3</v>
      </c>
      <c r="AC75" s="37">
        <f t="shared" si="107"/>
        <v>-5.913903516702744E-4</v>
      </c>
      <c r="AD75" s="37">
        <f t="shared" si="107"/>
        <v>-1.7935547214172748E-3</v>
      </c>
      <c r="AE75" s="37">
        <f t="shared" si="107"/>
        <v>-3.5271220772459927E-3</v>
      </c>
      <c r="AF75" s="37">
        <f t="shared" si="107"/>
        <v>-4.1275861336228343E-4</v>
      </c>
      <c r="AG75" s="37">
        <f t="shared" si="107"/>
        <v>1.4967703315757123E-3</v>
      </c>
      <c r="AH75" s="37">
        <f t="shared" si="107"/>
        <v>6.1502627349523916E-3</v>
      </c>
      <c r="AI75" s="37">
        <f t="shared" si="107"/>
        <v>5.6568072152776766E-3</v>
      </c>
      <c r="AJ75" s="37">
        <f t="shared" si="107"/>
        <v>8.3705085628119277E-3</v>
      </c>
      <c r="AK75" s="37">
        <f t="shared" si="107"/>
        <v>8.2570268977129567E-3</v>
      </c>
      <c r="AL75" s="37">
        <f t="shared" si="107"/>
        <v>-2.2532833703130663E-3</v>
      </c>
      <c r="AM75" s="26"/>
      <c r="AN75" s="26"/>
      <c r="AO75" s="90">
        <v>40816</v>
      </c>
      <c r="AP75" s="91">
        <v>76992.099999999991</v>
      </c>
      <c r="AQ75" s="20">
        <v>14278.959563508204</v>
      </c>
      <c r="AR75" s="92">
        <f t="shared" si="67"/>
        <v>91271.059563508199</v>
      </c>
      <c r="AS75" s="91">
        <v>76992.099999999991</v>
      </c>
      <c r="AT75" s="20">
        <v>14278.959563508204</v>
      </c>
      <c r="AU75" s="92">
        <f t="shared" si="68"/>
        <v>91271.059563508199</v>
      </c>
      <c r="AV75" s="91">
        <v>76992.099999999991</v>
      </c>
      <c r="AW75" s="20">
        <v>14278.959563508204</v>
      </c>
      <c r="AX75" s="92">
        <f t="shared" si="69"/>
        <v>91271.059563508199</v>
      </c>
      <c r="AY75" s="104">
        <f t="shared" si="70"/>
        <v>0.17154911676631673</v>
      </c>
      <c r="AZ75" s="90">
        <v>40816</v>
      </c>
      <c r="BA75" s="97">
        <f t="shared" si="71"/>
        <v>1.5022709323893269E-2</v>
      </c>
      <c r="BB75" s="97">
        <f t="shared" si="72"/>
        <v>1.5022709323893269E-2</v>
      </c>
      <c r="BC75" s="97">
        <f t="shared" si="73"/>
        <v>1.5022709323893269E-2</v>
      </c>
      <c r="BD75" s="26"/>
      <c r="BE75" s="90">
        <v>40816</v>
      </c>
      <c r="BF75" s="97">
        <f t="shared" si="74"/>
        <v>8.2991897817115134E-3</v>
      </c>
      <c r="BG75" s="97">
        <f t="shared" si="75"/>
        <v>8.2991897817115134E-3</v>
      </c>
      <c r="BH75" s="97">
        <f t="shared" si="76"/>
        <v>8.2991897817115134E-3</v>
      </c>
      <c r="BI75" s="26"/>
      <c r="BJ75" s="26"/>
      <c r="BL75" s="446"/>
      <c r="BM75" s="446"/>
      <c r="BN75" s="446"/>
      <c r="BO75" s="446"/>
      <c r="BX75" s="305">
        <v>43190</v>
      </c>
      <c r="BY75" s="489">
        <f t="shared" si="99"/>
        <v>4.7285178871425249E-2</v>
      </c>
      <c r="BZ75" s="301"/>
      <c r="CA75" s="301"/>
    </row>
    <row r="76" spans="1:79" ht="14.25" customHeight="1">
      <c r="A76" s="26" t="s">
        <v>95</v>
      </c>
      <c r="B76" s="26" t="s">
        <v>282</v>
      </c>
      <c r="C76" s="26" t="s">
        <v>283</v>
      </c>
      <c r="D76" s="26" t="s">
        <v>285</v>
      </c>
      <c r="E76" s="19">
        <v>203531000</v>
      </c>
      <c r="F76" s="37">
        <v>-0.3</v>
      </c>
      <c r="G76" s="38">
        <f t="shared" si="0"/>
        <v>-61059300</v>
      </c>
      <c r="H76" s="26"/>
      <c r="I76" s="26"/>
      <c r="J76" s="26"/>
      <c r="K76" s="26"/>
      <c r="L76" s="119" t="s">
        <v>262</v>
      </c>
      <c r="M76" s="120"/>
      <c r="N76" s="132">
        <f t="shared" ref="N76:AL76" si="108">N65/M65-1</f>
        <v>0.11351845501427094</v>
      </c>
      <c r="O76" s="132">
        <f t="shared" si="108"/>
        <v>0.13955871150447741</v>
      </c>
      <c r="P76" s="132">
        <f t="shared" si="108"/>
        <v>8.8287435870199271E-2</v>
      </c>
      <c r="Q76" s="132">
        <f t="shared" si="108"/>
        <v>3.2115452708957104E-2</v>
      </c>
      <c r="R76" s="132">
        <f t="shared" si="108"/>
        <v>6.7390903787527767E-2</v>
      </c>
      <c r="S76" s="132">
        <f t="shared" si="108"/>
        <v>7.8032844634599474E-2</v>
      </c>
      <c r="T76" s="132">
        <f t="shared" si="108"/>
        <v>9.5642115420813134E-2</v>
      </c>
      <c r="U76" s="132">
        <f t="shared" si="108"/>
        <v>0.11074738010126906</v>
      </c>
      <c r="V76" s="132">
        <f t="shared" si="108"/>
        <v>8.7467240933504442E-2</v>
      </c>
      <c r="W76" s="132">
        <f t="shared" si="108"/>
        <v>7.6815495927771815E-2</v>
      </c>
      <c r="X76" s="132">
        <f t="shared" si="108"/>
        <v>8.8408764686281227E-2</v>
      </c>
      <c r="Y76" s="132">
        <f t="shared" si="108"/>
        <v>0.10277863765460626</v>
      </c>
      <c r="Z76" s="132">
        <f t="shared" si="108"/>
        <v>7.7146375191916583E-2</v>
      </c>
      <c r="AA76" s="132">
        <f t="shared" si="108"/>
        <v>-3.6029089567250483E-2</v>
      </c>
      <c r="AB76" s="132">
        <f t="shared" si="108"/>
        <v>-1.3708862543564959E-2</v>
      </c>
      <c r="AC76" s="132">
        <f t="shared" si="108"/>
        <v>1.9100386807610503E-2</v>
      </c>
      <c r="AD76" s="132">
        <f t="shared" si="108"/>
        <v>-2.1475412704739405E-2</v>
      </c>
      <c r="AE76" s="132">
        <f t="shared" si="108"/>
        <v>-7.7440565725717114E-3</v>
      </c>
      <c r="AF76" s="132">
        <f t="shared" si="108"/>
        <v>5.328950981229319E-4</v>
      </c>
      <c r="AG76" s="132">
        <f t="shared" si="108"/>
        <v>1.845901320346055E-2</v>
      </c>
      <c r="AH76" s="132">
        <f t="shared" si="108"/>
        <v>3.400367630562684E-2</v>
      </c>
      <c r="AI76" s="132">
        <f t="shared" si="108"/>
        <v>3.9933403573662263E-2</v>
      </c>
      <c r="AJ76" s="132">
        <f t="shared" si="108"/>
        <v>4.0399297902909526E-2</v>
      </c>
      <c r="AK76" s="132">
        <f t="shared" si="108"/>
        <v>4.2395513809061924E-2</v>
      </c>
      <c r="AL76" s="132">
        <f t="shared" si="108"/>
        <v>-0.13082324351016172</v>
      </c>
      <c r="AM76" s="26"/>
      <c r="AN76" s="26"/>
      <c r="AO76" s="90">
        <v>40908</v>
      </c>
      <c r="AP76" s="91">
        <v>70656.800000000003</v>
      </c>
      <c r="AQ76" s="20">
        <v>12092.366420864297</v>
      </c>
      <c r="AR76" s="92">
        <f t="shared" si="67"/>
        <v>82749.166420864305</v>
      </c>
      <c r="AS76" s="91">
        <v>70656.800000000003</v>
      </c>
      <c r="AT76" s="20">
        <v>12092.366420864297</v>
      </c>
      <c r="AU76" s="92">
        <f t="shared" si="68"/>
        <v>82749.166420864305</v>
      </c>
      <c r="AV76" s="91">
        <v>70656.800000000003</v>
      </c>
      <c r="AW76" s="20">
        <v>12092.366420864297</v>
      </c>
      <c r="AX76" s="92">
        <f t="shared" si="69"/>
        <v>82749.166420864305</v>
      </c>
      <c r="AY76" s="104">
        <f t="shared" si="70"/>
        <v>0.17130069311707311</v>
      </c>
      <c r="AZ76" s="90">
        <v>40908</v>
      </c>
      <c r="BA76" s="97">
        <f t="shared" si="71"/>
        <v>1.3685336335493181E-2</v>
      </c>
      <c r="BB76" s="97">
        <f t="shared" si="72"/>
        <v>1.3685336335493181E-2</v>
      </c>
      <c r="BC76" s="97">
        <f t="shared" si="73"/>
        <v>1.3685336335493181E-2</v>
      </c>
      <c r="BD76" s="26"/>
      <c r="BE76" s="90">
        <v>40908</v>
      </c>
      <c r="BF76" s="97">
        <f t="shared" si="74"/>
        <v>1.3351658854457105E-2</v>
      </c>
      <c r="BG76" s="97">
        <f t="shared" si="75"/>
        <v>1.3351658854457105E-2</v>
      </c>
      <c r="BH76" s="97">
        <f t="shared" si="76"/>
        <v>1.3351658854457105E-2</v>
      </c>
      <c r="BI76" s="26"/>
      <c r="BJ76" s="26"/>
      <c r="BL76" s="446"/>
      <c r="BM76" s="446"/>
      <c r="BN76" s="446"/>
      <c r="BO76" s="446"/>
      <c r="BX76" s="305">
        <v>43281</v>
      </c>
      <c r="BY76" s="489">
        <f t="shared" si="99"/>
        <v>4.8092847936285654E-2</v>
      </c>
      <c r="BZ76" s="301"/>
      <c r="CA76" s="301"/>
    </row>
    <row r="77" spans="1:79" ht="14.25" customHeight="1">
      <c r="A77" s="26" t="s">
        <v>95</v>
      </c>
      <c r="B77" s="26" t="s">
        <v>282</v>
      </c>
      <c r="C77" s="26" t="s">
        <v>286</v>
      </c>
      <c r="D77" s="26" t="s">
        <v>287</v>
      </c>
      <c r="E77" s="19">
        <v>285916000</v>
      </c>
      <c r="F77" s="37">
        <v>-0.3</v>
      </c>
      <c r="G77" s="38">
        <f t="shared" si="0"/>
        <v>-85774800</v>
      </c>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90">
        <v>40999</v>
      </c>
      <c r="AP77" s="91">
        <v>63732.599999999991</v>
      </c>
      <c r="AQ77" s="20">
        <v>10870.810291809274</v>
      </c>
      <c r="AR77" s="92">
        <f t="shared" si="67"/>
        <v>74603.410291809269</v>
      </c>
      <c r="AS77" s="91">
        <v>63732.599999999991</v>
      </c>
      <c r="AT77" s="20">
        <v>10870.810291809274</v>
      </c>
      <c r="AU77" s="92">
        <f t="shared" si="68"/>
        <v>74603.410291809269</v>
      </c>
      <c r="AV77" s="91">
        <v>63732.599999999991</v>
      </c>
      <c r="AW77" s="20">
        <v>10870.810291809274</v>
      </c>
      <c r="AX77" s="92">
        <f t="shared" si="69"/>
        <v>74603.410291809269</v>
      </c>
      <c r="AY77" s="104">
        <f t="shared" si="70"/>
        <v>0.17496647271748481</v>
      </c>
      <c r="AZ77" s="90">
        <v>40999</v>
      </c>
      <c r="BA77" s="97">
        <f t="shared" si="71"/>
        <v>-3.1829270294887468E-3</v>
      </c>
      <c r="BB77" s="97">
        <f t="shared" si="72"/>
        <v>-3.1829270294887468E-3</v>
      </c>
      <c r="BC77" s="97">
        <f t="shared" si="73"/>
        <v>-3.1829270294887468E-3</v>
      </c>
      <c r="BD77" s="26"/>
      <c r="BE77" s="90">
        <v>40999</v>
      </c>
      <c r="BF77" s="97">
        <f t="shared" si="74"/>
        <v>1.3331064709452445E-2</v>
      </c>
      <c r="BG77" s="97">
        <f t="shared" si="75"/>
        <v>1.3331064709452445E-2</v>
      </c>
      <c r="BH77" s="97">
        <f t="shared" si="76"/>
        <v>1.3331064709452445E-2</v>
      </c>
      <c r="BI77" s="26"/>
      <c r="BJ77" s="26"/>
      <c r="BL77" s="446"/>
      <c r="BM77" s="446"/>
      <c r="BN77" s="446"/>
      <c r="BO77" s="446"/>
      <c r="BX77" s="305">
        <v>43373</v>
      </c>
      <c r="BY77" s="489">
        <f t="shared" si="99"/>
        <v>4.7805534727318522E-2</v>
      </c>
      <c r="BZ77" s="301"/>
      <c r="CA77" s="301"/>
    </row>
    <row r="78" spans="1:79" ht="14.25" customHeight="1">
      <c r="A78" s="26" t="s">
        <v>95</v>
      </c>
      <c r="B78" s="26" t="s">
        <v>282</v>
      </c>
      <c r="C78" s="26" t="s">
        <v>286</v>
      </c>
      <c r="D78" s="26" t="s">
        <v>288</v>
      </c>
      <c r="E78" s="19">
        <v>322291000</v>
      </c>
      <c r="F78" s="37">
        <v>-0.3</v>
      </c>
      <c r="G78" s="38">
        <f t="shared" si="0"/>
        <v>-96687300</v>
      </c>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90">
        <v>41090</v>
      </c>
      <c r="AP78" s="91">
        <v>70088.100000000006</v>
      </c>
      <c r="AQ78" s="20">
        <v>13143.207648728985</v>
      </c>
      <c r="AR78" s="92">
        <f t="shared" si="67"/>
        <v>83231.307648728995</v>
      </c>
      <c r="AS78" s="91">
        <v>70088.100000000006</v>
      </c>
      <c r="AT78" s="20">
        <v>13143.207648728985</v>
      </c>
      <c r="AU78" s="92">
        <f t="shared" si="68"/>
        <v>83231.307648728995</v>
      </c>
      <c r="AV78" s="91">
        <v>70088.100000000006</v>
      </c>
      <c r="AW78" s="20">
        <v>13143.207648728985</v>
      </c>
      <c r="AX78" s="92">
        <f t="shared" si="69"/>
        <v>83231.307648728995</v>
      </c>
      <c r="AY78" s="104">
        <f t="shared" si="70"/>
        <v>0.17900811997072069</v>
      </c>
      <c r="AZ78" s="90">
        <v>41090</v>
      </c>
      <c r="BA78" s="97">
        <f t="shared" si="71"/>
        <v>-1.3295433037738946E-2</v>
      </c>
      <c r="BB78" s="97">
        <f t="shared" si="72"/>
        <v>-1.3295433037738946E-2</v>
      </c>
      <c r="BC78" s="97">
        <f t="shared" si="73"/>
        <v>-1.3295433037738946E-2</v>
      </c>
      <c r="BD78" s="26"/>
      <c r="BE78" s="90">
        <v>41090</v>
      </c>
      <c r="BF78" s="97">
        <f t="shared" si="74"/>
        <v>3.3508548552854123E-3</v>
      </c>
      <c r="BG78" s="97">
        <f t="shared" si="75"/>
        <v>3.3508548552854123E-3</v>
      </c>
      <c r="BH78" s="97">
        <f t="shared" si="76"/>
        <v>3.3508548552854123E-3</v>
      </c>
      <c r="BI78" s="26"/>
      <c r="BJ78" s="26"/>
      <c r="BL78" s="446"/>
      <c r="BM78" s="446"/>
      <c r="BN78" s="478"/>
      <c r="BO78" s="446"/>
      <c r="BX78" s="305">
        <v>43465</v>
      </c>
      <c r="BY78" s="489">
        <f t="shared" si="99"/>
        <v>3.7240296115026661E-2</v>
      </c>
      <c r="BZ78" s="301"/>
      <c r="CA78" s="301"/>
    </row>
    <row r="79" spans="1:79" ht="14.25" customHeight="1">
      <c r="A79" s="26" t="s">
        <v>95</v>
      </c>
      <c r="B79" s="26" t="s">
        <v>282</v>
      </c>
      <c r="C79" s="26" t="s">
        <v>286</v>
      </c>
      <c r="D79" s="26" t="s">
        <v>289</v>
      </c>
      <c r="E79" s="19">
        <v>486440000</v>
      </c>
      <c r="F79" s="37">
        <v>-0.4</v>
      </c>
      <c r="G79" s="38">
        <f t="shared" si="0"/>
        <v>-194576000</v>
      </c>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90">
        <v>41182</v>
      </c>
      <c r="AP79" s="91">
        <v>75706.400000000009</v>
      </c>
      <c r="AQ79" s="20">
        <v>15047.168800748663</v>
      </c>
      <c r="AR79" s="92">
        <f t="shared" si="67"/>
        <v>90753.568800748675</v>
      </c>
      <c r="AS79" s="91">
        <v>75706.400000000009</v>
      </c>
      <c r="AT79" s="20">
        <v>15047.168800748663</v>
      </c>
      <c r="AU79" s="92">
        <f t="shared" si="68"/>
        <v>90753.568800748675</v>
      </c>
      <c r="AV79" s="91">
        <v>75706.400000000009</v>
      </c>
      <c r="AW79" s="20">
        <v>15047.168800748663</v>
      </c>
      <c r="AX79" s="92">
        <f t="shared" si="69"/>
        <v>90753.568800748675</v>
      </c>
      <c r="AY79" s="104">
        <f t="shared" si="70"/>
        <v>0.18257135103819747</v>
      </c>
      <c r="AZ79" s="90">
        <v>41182</v>
      </c>
      <c r="BA79" s="97">
        <f t="shared" si="71"/>
        <v>-5.6698231096949936E-3</v>
      </c>
      <c r="BB79" s="97">
        <f t="shared" si="72"/>
        <v>-5.6698231096949936E-3</v>
      </c>
      <c r="BC79" s="97">
        <f t="shared" si="73"/>
        <v>-5.6698231096949936E-3</v>
      </c>
      <c r="BD79" s="26"/>
      <c r="BE79" s="90">
        <v>41182</v>
      </c>
      <c r="BF79" s="97">
        <f t="shared" si="74"/>
        <v>-2.288640962477162E-3</v>
      </c>
      <c r="BG79" s="97">
        <f t="shared" si="75"/>
        <v>-2.288640962477162E-3</v>
      </c>
      <c r="BH79" s="97">
        <f t="shared" si="76"/>
        <v>-2.288640962477162E-3</v>
      </c>
      <c r="BI79" s="26"/>
      <c r="BJ79" s="26"/>
      <c r="BL79" s="446"/>
      <c r="BM79" s="446"/>
      <c r="BN79" s="446"/>
      <c r="BO79" s="446"/>
      <c r="BX79" s="305">
        <v>43555</v>
      </c>
      <c r="BY79" s="489">
        <f t="shared" si="99"/>
        <v>5.7032453116140136E-2</v>
      </c>
      <c r="BZ79" s="301"/>
      <c r="CA79" s="301"/>
    </row>
    <row r="80" spans="1:79" ht="14.25" customHeight="1">
      <c r="A80" s="26" t="s">
        <v>95</v>
      </c>
      <c r="B80" s="26" t="s">
        <v>282</v>
      </c>
      <c r="C80" s="26" t="s">
        <v>286</v>
      </c>
      <c r="D80" s="26" t="s">
        <v>290</v>
      </c>
      <c r="E80" s="19">
        <v>467101000</v>
      </c>
      <c r="F80" s="37">
        <v>-0.3</v>
      </c>
      <c r="G80" s="38">
        <f t="shared" si="0"/>
        <v>-140130300</v>
      </c>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90">
        <v>41274</v>
      </c>
      <c r="AP80" s="91">
        <v>68846.2</v>
      </c>
      <c r="AQ80" s="20">
        <v>13074.874273545565</v>
      </c>
      <c r="AR80" s="92">
        <f t="shared" si="67"/>
        <v>81921.074273545557</v>
      </c>
      <c r="AS80" s="91">
        <v>68846.2</v>
      </c>
      <c r="AT80" s="20">
        <v>13074.874273545565</v>
      </c>
      <c r="AU80" s="92">
        <f t="shared" si="68"/>
        <v>81921.074273545557</v>
      </c>
      <c r="AV80" s="91">
        <v>68846.2</v>
      </c>
      <c r="AW80" s="20">
        <v>13074.874273545565</v>
      </c>
      <c r="AX80" s="92">
        <f t="shared" si="69"/>
        <v>81921.074273545557</v>
      </c>
      <c r="AY80" s="104">
        <f t="shared" si="70"/>
        <v>0.18728829602132271</v>
      </c>
      <c r="AZ80" s="90">
        <v>41274</v>
      </c>
      <c r="BA80" s="97">
        <f t="shared" si="71"/>
        <v>-1.0007256666575315E-2</v>
      </c>
      <c r="BB80" s="97">
        <f t="shared" si="72"/>
        <v>-1.0007256666575315E-2</v>
      </c>
      <c r="BC80" s="97">
        <f t="shared" si="73"/>
        <v>-1.0007256666575315E-2</v>
      </c>
      <c r="BD80" s="26"/>
      <c r="BE80" s="90">
        <v>41274</v>
      </c>
      <c r="BF80" s="97">
        <f t="shared" si="74"/>
        <v>-8.1188069326159074E-3</v>
      </c>
      <c r="BG80" s="97">
        <f t="shared" si="75"/>
        <v>-8.1188069326159074E-3</v>
      </c>
      <c r="BH80" s="97">
        <f t="shared" si="76"/>
        <v>-8.1188069326159074E-3</v>
      </c>
      <c r="BI80" s="26"/>
      <c r="BJ80" s="26"/>
      <c r="BL80" s="446"/>
      <c r="BM80" s="446"/>
      <c r="BN80" s="446"/>
      <c r="BO80" s="446"/>
      <c r="BX80" s="305">
        <v>43646</v>
      </c>
      <c r="BY80" s="489">
        <f t="shared" si="99"/>
        <v>3.8039337533102291E-2</v>
      </c>
      <c r="BZ80" s="301"/>
      <c r="CA80" s="301"/>
    </row>
    <row r="81" spans="1:79" ht="14.25" customHeight="1">
      <c r="A81" s="26" t="s">
        <v>95</v>
      </c>
      <c r="B81" s="26" t="s">
        <v>291</v>
      </c>
      <c r="C81" s="26" t="s">
        <v>292</v>
      </c>
      <c r="D81" s="26" t="s">
        <v>293</v>
      </c>
      <c r="E81" s="19">
        <v>152964000</v>
      </c>
      <c r="F81" s="37">
        <v>-0.3</v>
      </c>
      <c r="G81" s="38">
        <f t="shared" si="0"/>
        <v>-45889200</v>
      </c>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90">
        <v>41364</v>
      </c>
      <c r="AP81" s="91">
        <v>63740.599999999991</v>
      </c>
      <c r="AQ81" s="20">
        <v>11541.819040607556</v>
      </c>
      <c r="AR81" s="92">
        <f t="shared" si="67"/>
        <v>75282.41904060755</v>
      </c>
      <c r="AS81" s="91">
        <v>63740.599999999991</v>
      </c>
      <c r="AT81" s="20">
        <v>11541.819040607556</v>
      </c>
      <c r="AU81" s="92">
        <f t="shared" si="68"/>
        <v>75282.41904060755</v>
      </c>
      <c r="AV81" s="91">
        <v>63740.599999999991</v>
      </c>
      <c r="AW81" s="20">
        <v>11541.819040607556</v>
      </c>
      <c r="AX81" s="92">
        <f t="shared" si="69"/>
        <v>75282.41904060755</v>
      </c>
      <c r="AY81" s="104">
        <f t="shared" si="70"/>
        <v>0.18969330829201092</v>
      </c>
      <c r="AZ81" s="90">
        <v>41364</v>
      </c>
      <c r="BA81" s="97">
        <f t="shared" si="71"/>
        <v>9.101577878844358E-3</v>
      </c>
      <c r="BB81" s="97">
        <f t="shared" si="72"/>
        <v>9.101577878844358E-3</v>
      </c>
      <c r="BC81" s="97">
        <f t="shared" si="73"/>
        <v>9.101577878844358E-3</v>
      </c>
      <c r="BD81" s="26"/>
      <c r="BE81" s="90">
        <v>41364</v>
      </c>
      <c r="BF81" s="97">
        <f t="shared" si="74"/>
        <v>-5.3699934533396609E-3</v>
      </c>
      <c r="BG81" s="97">
        <f t="shared" si="75"/>
        <v>-5.3699934533396609E-3</v>
      </c>
      <c r="BH81" s="97">
        <f t="shared" si="76"/>
        <v>-5.3699934533396609E-3</v>
      </c>
      <c r="BI81" s="26"/>
      <c r="BJ81" s="26"/>
      <c r="BL81" s="446"/>
      <c r="BM81" s="446"/>
      <c r="BN81" s="478"/>
      <c r="BO81" s="446"/>
      <c r="BX81" s="305">
        <v>43738</v>
      </c>
      <c r="BY81" s="489">
        <f t="shared" si="99"/>
        <v>4.3045852374723692E-2</v>
      </c>
      <c r="BZ81" s="301"/>
      <c r="CA81" s="301"/>
    </row>
    <row r="82" spans="1:79" ht="14.25" customHeight="1">
      <c r="A82" s="26" t="s">
        <v>95</v>
      </c>
      <c r="B82" s="26" t="s">
        <v>291</v>
      </c>
      <c r="C82" s="26" t="s">
        <v>292</v>
      </c>
      <c r="D82" s="26" t="s">
        <v>294</v>
      </c>
      <c r="E82" s="19">
        <v>100551000</v>
      </c>
      <c r="F82" s="37">
        <v>-0.3</v>
      </c>
      <c r="G82" s="38">
        <f t="shared" si="0"/>
        <v>-30165300</v>
      </c>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90">
        <v>41455</v>
      </c>
      <c r="AP82" s="91">
        <v>69733.199999999983</v>
      </c>
      <c r="AQ82" s="20">
        <v>14479.384220093209</v>
      </c>
      <c r="AR82" s="92">
        <f t="shared" si="67"/>
        <v>84212.584220093195</v>
      </c>
      <c r="AS82" s="91">
        <v>69733.199999999983</v>
      </c>
      <c r="AT82" s="20">
        <v>14479.384220093209</v>
      </c>
      <c r="AU82" s="92">
        <f t="shared" si="68"/>
        <v>84212.584220093195</v>
      </c>
      <c r="AV82" s="91">
        <v>69733.199999999983</v>
      </c>
      <c r="AW82" s="20">
        <v>14479.384220093209</v>
      </c>
      <c r="AX82" s="92">
        <f t="shared" si="69"/>
        <v>84212.584220093195</v>
      </c>
      <c r="AY82" s="104">
        <f t="shared" si="70"/>
        <v>0.19474138547632525</v>
      </c>
      <c r="AZ82" s="90">
        <v>41455</v>
      </c>
      <c r="BA82" s="97">
        <f t="shared" si="71"/>
        <v>1.1789753148005344E-2</v>
      </c>
      <c r="BB82" s="97">
        <f t="shared" si="72"/>
        <v>1.1789753148005344E-2</v>
      </c>
      <c r="BC82" s="97">
        <f t="shared" si="73"/>
        <v>1.1789753148005344E-2</v>
      </c>
      <c r="BD82" s="26"/>
      <c r="BE82" s="90">
        <v>41455</v>
      </c>
      <c r="BF82" s="97">
        <f t="shared" si="74"/>
        <v>9.4831315864163379E-4</v>
      </c>
      <c r="BG82" s="97">
        <f t="shared" si="75"/>
        <v>9.4831315864163379E-4</v>
      </c>
      <c r="BH82" s="97">
        <f t="shared" si="76"/>
        <v>9.4831315864163379E-4</v>
      </c>
      <c r="BI82" s="26"/>
      <c r="BJ82" s="26"/>
      <c r="BL82" s="446"/>
      <c r="BM82" s="446"/>
      <c r="BN82" s="446"/>
      <c r="BO82" s="446"/>
      <c r="BX82" s="305">
        <v>43830</v>
      </c>
      <c r="BY82" s="489">
        <f>BA108</f>
        <v>4.274182772688162E-2</v>
      </c>
      <c r="BZ82" s="301"/>
      <c r="CA82" s="301"/>
    </row>
    <row r="83" spans="1:79" ht="14.25" customHeight="1">
      <c r="A83" s="26" t="s">
        <v>95</v>
      </c>
      <c r="B83" s="26" t="s">
        <v>291</v>
      </c>
      <c r="C83" s="26" t="s">
        <v>295</v>
      </c>
      <c r="D83" s="26" t="s">
        <v>295</v>
      </c>
      <c r="E83" s="19">
        <v>1247000</v>
      </c>
      <c r="F83" s="37">
        <v>-0.3</v>
      </c>
      <c r="G83" s="38">
        <f t="shared" si="0"/>
        <v>-374100</v>
      </c>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90">
        <v>41547</v>
      </c>
      <c r="AP83" s="91">
        <v>74905.399999999994</v>
      </c>
      <c r="AQ83" s="20">
        <v>15478.339419976895</v>
      </c>
      <c r="AR83" s="92">
        <f t="shared" si="67"/>
        <v>90383.73941997689</v>
      </c>
      <c r="AS83" s="91">
        <v>74905.399999999994</v>
      </c>
      <c r="AT83" s="20">
        <v>15478.339419976895</v>
      </c>
      <c r="AU83" s="92">
        <f t="shared" si="68"/>
        <v>90383.73941997689</v>
      </c>
      <c r="AV83" s="91">
        <v>74905.399999999994</v>
      </c>
      <c r="AW83" s="20">
        <v>15478.339419976895</v>
      </c>
      <c r="AX83" s="92">
        <f t="shared" si="69"/>
        <v>90383.73941997689</v>
      </c>
      <c r="AY83" s="104">
        <f t="shared" si="70"/>
        <v>0.19685936769943604</v>
      </c>
      <c r="AZ83" s="90">
        <v>41547</v>
      </c>
      <c r="BA83" s="97">
        <f t="shared" si="71"/>
        <v>-4.0750946288817813E-3</v>
      </c>
      <c r="BB83" s="97">
        <f t="shared" si="72"/>
        <v>-4.0750946288817813E-3</v>
      </c>
      <c r="BC83" s="97">
        <f t="shared" si="73"/>
        <v>-4.0750946288817813E-3</v>
      </c>
      <c r="BD83" s="26"/>
      <c r="BE83" s="90">
        <v>41547</v>
      </c>
      <c r="BF83" s="97">
        <f t="shared" si="74"/>
        <v>1.395446810070311E-3</v>
      </c>
      <c r="BG83" s="97">
        <f t="shared" si="75"/>
        <v>1.395446810070311E-3</v>
      </c>
      <c r="BH83" s="97">
        <f t="shared" si="76"/>
        <v>1.395446810070311E-3</v>
      </c>
      <c r="BI83" s="26"/>
      <c r="BJ83" s="26"/>
      <c r="BL83" s="446"/>
      <c r="BM83" s="446"/>
      <c r="BN83" s="478"/>
      <c r="BO83" s="446"/>
      <c r="BX83" s="301"/>
      <c r="BY83" s="305"/>
      <c r="BZ83" s="301"/>
      <c r="CA83" s="301"/>
    </row>
    <row r="84" spans="1:79" ht="14.25" customHeight="1">
      <c r="A84" s="26" t="s">
        <v>95</v>
      </c>
      <c r="B84" s="26" t="s">
        <v>291</v>
      </c>
      <c r="C84" s="26" t="s">
        <v>296</v>
      </c>
      <c r="D84" s="26" t="s">
        <v>297</v>
      </c>
      <c r="E84" s="19">
        <v>17311000</v>
      </c>
      <c r="F84" s="37">
        <v>-0.3</v>
      </c>
      <c r="G84" s="38">
        <f t="shared" si="0"/>
        <v>-5193300</v>
      </c>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90">
        <v>41639</v>
      </c>
      <c r="AP84" s="91">
        <v>67838.299999999988</v>
      </c>
      <c r="AQ84" s="20">
        <v>13491.90555594565</v>
      </c>
      <c r="AR84" s="92">
        <f t="shared" si="67"/>
        <v>81330.205555945635</v>
      </c>
      <c r="AS84" s="91">
        <v>67838.299999999988</v>
      </c>
      <c r="AT84" s="20">
        <v>13491.90555594565</v>
      </c>
      <c r="AU84" s="92">
        <f t="shared" si="68"/>
        <v>81330.205555945635</v>
      </c>
      <c r="AV84" s="91">
        <v>67838.299999999988</v>
      </c>
      <c r="AW84" s="20">
        <v>13491.90555594565</v>
      </c>
      <c r="AX84" s="92">
        <f t="shared" si="69"/>
        <v>81330.205555945635</v>
      </c>
      <c r="AY84" s="104">
        <f t="shared" si="70"/>
        <v>0.1990874880723463</v>
      </c>
      <c r="AZ84" s="90">
        <v>41639</v>
      </c>
      <c r="BA84" s="97">
        <f t="shared" si="71"/>
        <v>-7.212658315819076E-3</v>
      </c>
      <c r="BB84" s="97">
        <f t="shared" si="72"/>
        <v>-7.212658315819076E-3</v>
      </c>
      <c r="BC84" s="97">
        <f t="shared" si="73"/>
        <v>-7.212658315819076E-3</v>
      </c>
      <c r="BD84" s="26"/>
      <c r="BE84" s="90">
        <v>41639</v>
      </c>
      <c r="BF84" s="97">
        <f t="shared" si="74"/>
        <v>2.1166941221957281E-3</v>
      </c>
      <c r="BG84" s="97">
        <f t="shared" si="75"/>
        <v>2.1166941221957281E-3</v>
      </c>
      <c r="BH84" s="97">
        <f t="shared" si="76"/>
        <v>2.1166941221957281E-3</v>
      </c>
      <c r="BI84" s="26"/>
      <c r="BJ84" s="26"/>
      <c r="BL84" s="446"/>
      <c r="BM84" s="446"/>
      <c r="BN84" s="446"/>
      <c r="BO84" s="446"/>
      <c r="BX84" s="301" t="s">
        <v>9</v>
      </c>
      <c r="BY84" s="301" t="s">
        <v>1162</v>
      </c>
      <c r="BZ84" s="301" t="s">
        <v>1164</v>
      </c>
      <c r="CA84" s="301" t="s">
        <v>1163</v>
      </c>
    </row>
    <row r="85" spans="1:79" ht="14.25" customHeight="1">
      <c r="A85" s="26" t="s">
        <v>95</v>
      </c>
      <c r="B85" s="26" t="s">
        <v>291</v>
      </c>
      <c r="C85" s="26" t="s">
        <v>296</v>
      </c>
      <c r="D85" s="26" t="s">
        <v>298</v>
      </c>
      <c r="E85" s="19">
        <v>16843000</v>
      </c>
      <c r="F85" s="37">
        <v>-0.3</v>
      </c>
      <c r="G85" s="38">
        <f t="shared" si="0"/>
        <v>-5052900</v>
      </c>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90">
        <v>41729</v>
      </c>
      <c r="AP85" s="91">
        <v>63331.099999999991</v>
      </c>
      <c r="AQ85" s="20">
        <v>10627.907099205248</v>
      </c>
      <c r="AR85" s="92">
        <f t="shared" si="67"/>
        <v>73959.007099205235</v>
      </c>
      <c r="AS85" s="91">
        <v>63331.099999999991</v>
      </c>
      <c r="AT85" s="20">
        <v>10627.907099205248</v>
      </c>
      <c r="AU85" s="92">
        <f t="shared" si="68"/>
        <v>73959.007099205235</v>
      </c>
      <c r="AV85" s="91">
        <v>63331.099999999991</v>
      </c>
      <c r="AW85" s="20">
        <v>10627.907099205248</v>
      </c>
      <c r="AX85" s="92">
        <f t="shared" si="69"/>
        <v>73959.007099205235</v>
      </c>
      <c r="AY85" s="104">
        <f t="shared" si="70"/>
        <v>0.19606949869191978</v>
      </c>
      <c r="AZ85" s="90">
        <v>41729</v>
      </c>
      <c r="BA85" s="97">
        <f t="shared" si="71"/>
        <v>-1.7579296179211057E-2</v>
      </c>
      <c r="BB85" s="97">
        <f t="shared" si="72"/>
        <v>-1.7579296179211057E-2</v>
      </c>
      <c r="BC85" s="97">
        <f t="shared" si="73"/>
        <v>-1.7579296179211057E-2</v>
      </c>
      <c r="BD85" s="26"/>
      <c r="BE85" s="90">
        <v>41729</v>
      </c>
      <c r="BF85" s="97">
        <f t="shared" si="74"/>
        <v>-3.9338140688324197E-3</v>
      </c>
      <c r="BG85" s="97">
        <f t="shared" si="75"/>
        <v>-3.9338140688324197E-3</v>
      </c>
      <c r="BH85" s="97">
        <f t="shared" si="76"/>
        <v>-3.9338140688324197E-3</v>
      </c>
      <c r="BI85" s="26"/>
      <c r="BJ85" s="26"/>
      <c r="BL85" s="446"/>
      <c r="BM85" s="446"/>
      <c r="BN85" s="446"/>
      <c r="BO85" s="446"/>
      <c r="BX85" s="305">
        <v>43830</v>
      </c>
      <c r="BY85" s="489">
        <f>$BY$82</f>
        <v>4.274182772688162E-2</v>
      </c>
      <c r="BZ85" s="489">
        <f t="shared" ref="BZ85:CA85" si="109">$BY$82</f>
        <v>4.274182772688162E-2</v>
      </c>
      <c r="CA85" s="489">
        <f t="shared" si="109"/>
        <v>4.274182772688162E-2</v>
      </c>
    </row>
    <row r="86" spans="1:79" ht="14.25" customHeight="1">
      <c r="A86" s="26" t="s">
        <v>95</v>
      </c>
      <c r="B86" s="26" t="s">
        <v>291</v>
      </c>
      <c r="C86" s="26" t="s">
        <v>299</v>
      </c>
      <c r="D86" s="26" t="s">
        <v>300</v>
      </c>
      <c r="E86" s="19">
        <v>549034000</v>
      </c>
      <c r="F86" s="37">
        <v>-0.4</v>
      </c>
      <c r="G86" s="38">
        <f t="shared" si="0"/>
        <v>-219613600</v>
      </c>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90">
        <v>41820</v>
      </c>
      <c r="AP86" s="91">
        <v>69886</v>
      </c>
      <c r="AQ86" s="20">
        <v>13879.758019774375</v>
      </c>
      <c r="AR86" s="92">
        <f t="shared" si="67"/>
        <v>83765.758019774381</v>
      </c>
      <c r="AS86" s="91">
        <v>69886</v>
      </c>
      <c r="AT86" s="20">
        <v>13879.758019774375</v>
      </c>
      <c r="AU86" s="92">
        <f t="shared" si="68"/>
        <v>83765.758019774381</v>
      </c>
      <c r="AV86" s="91">
        <v>69886</v>
      </c>
      <c r="AW86" s="20">
        <v>13879.758019774375</v>
      </c>
      <c r="AX86" s="92">
        <f t="shared" si="69"/>
        <v>83765.758019774381</v>
      </c>
      <c r="AY86" s="104">
        <f t="shared" si="70"/>
        <v>0.19378806734471768</v>
      </c>
      <c r="AZ86" s="90">
        <v>41820</v>
      </c>
      <c r="BA86" s="97">
        <f t="shared" si="71"/>
        <v>-5.3059314644829936E-3</v>
      </c>
      <c r="BB86" s="97">
        <f t="shared" si="72"/>
        <v>-5.3059314644829936E-3</v>
      </c>
      <c r="BC86" s="97">
        <f t="shared" si="73"/>
        <v>-5.3059314644829936E-3</v>
      </c>
      <c r="BD86" s="26"/>
      <c r="BE86" s="90">
        <v>41820</v>
      </c>
      <c r="BF86" s="97">
        <f t="shared" si="74"/>
        <v>-8.221510514957453E-3</v>
      </c>
      <c r="BG86" s="97">
        <f t="shared" si="75"/>
        <v>-8.221510514957453E-3</v>
      </c>
      <c r="BH86" s="97">
        <f t="shared" si="76"/>
        <v>-8.221510514957453E-3</v>
      </c>
      <c r="BI86" s="26"/>
      <c r="BJ86" s="26"/>
      <c r="BL86" s="446"/>
      <c r="BM86" s="446"/>
      <c r="BN86" s="478"/>
      <c r="BO86" s="446"/>
      <c r="BX86" s="314">
        <v>43921</v>
      </c>
      <c r="BY86" s="490">
        <f>BA109</f>
        <v>-2.6251936062721026E-2</v>
      </c>
      <c r="BZ86" s="490">
        <f>BB109</f>
        <v>-2.6251936062721026E-2</v>
      </c>
      <c r="CA86" s="490">
        <f>BC109</f>
        <v>-2.6251936062721026E-2</v>
      </c>
    </row>
    <row r="87" spans="1:79" ht="14.25" customHeight="1">
      <c r="A87" s="26" t="s">
        <v>95</v>
      </c>
      <c r="B87" s="26" t="s">
        <v>291</v>
      </c>
      <c r="C87" s="26" t="s">
        <v>299</v>
      </c>
      <c r="D87" s="26" t="s">
        <v>301</v>
      </c>
      <c r="E87" s="19">
        <v>21016000</v>
      </c>
      <c r="F87" s="37">
        <v>-0.4</v>
      </c>
      <c r="G87" s="38">
        <f t="shared" si="0"/>
        <v>-8406400</v>
      </c>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90">
        <v>41912</v>
      </c>
      <c r="AP87" s="91">
        <v>74924.499999999985</v>
      </c>
      <c r="AQ87" s="20">
        <v>16325.703693589712</v>
      </c>
      <c r="AR87" s="92">
        <f t="shared" si="67"/>
        <v>91250.20369358969</v>
      </c>
      <c r="AS87" s="91">
        <v>74924.499999999985</v>
      </c>
      <c r="AT87" s="20">
        <v>16325.703693589712</v>
      </c>
      <c r="AU87" s="92">
        <f t="shared" si="68"/>
        <v>91250.20369358969</v>
      </c>
      <c r="AV87" s="91">
        <v>74924.499999999985</v>
      </c>
      <c r="AW87" s="20">
        <v>16325.703693589712</v>
      </c>
      <c r="AX87" s="92">
        <f t="shared" si="69"/>
        <v>91250.20369358969</v>
      </c>
      <c r="AY87" s="104">
        <f t="shared" si="70"/>
        <v>0.19684503968772724</v>
      </c>
      <c r="AZ87" s="90">
        <v>41912</v>
      </c>
      <c r="BA87" s="97">
        <f t="shared" si="71"/>
        <v>9.5865061478226377E-3</v>
      </c>
      <c r="BB87" s="97">
        <f t="shared" si="72"/>
        <v>9.5865061478226377E-3</v>
      </c>
      <c r="BC87" s="97">
        <f t="shared" si="73"/>
        <v>9.5865061478226377E-3</v>
      </c>
      <c r="BD87" s="26"/>
      <c r="BE87" s="90">
        <v>41912</v>
      </c>
      <c r="BF87" s="97">
        <f t="shared" si="74"/>
        <v>-4.5046516282873927E-3</v>
      </c>
      <c r="BG87" s="97">
        <f t="shared" si="75"/>
        <v>-4.5046516282873927E-3</v>
      </c>
      <c r="BH87" s="97">
        <f t="shared" si="76"/>
        <v>-4.5046516282873927E-3</v>
      </c>
      <c r="BI87" s="26"/>
      <c r="BJ87" s="26"/>
      <c r="BL87" s="446"/>
      <c r="BM87" s="446"/>
      <c r="BN87" s="478"/>
      <c r="BO87" s="446"/>
      <c r="BX87" s="314">
        <v>44012</v>
      </c>
      <c r="BY87" s="490">
        <f t="shared" ref="BY87:CA87" si="110">BA110</f>
        <v>-0.25416729893932566</v>
      </c>
      <c r="BZ87" s="490">
        <f t="shared" si="110"/>
        <v>-0.25416729893932566</v>
      </c>
      <c r="CA87" s="490">
        <f t="shared" si="110"/>
        <v>-0.25416729893932566</v>
      </c>
    </row>
    <row r="88" spans="1:79" ht="14.25" customHeight="1">
      <c r="A88" s="26" t="s">
        <v>95</v>
      </c>
      <c r="B88" s="26" t="s">
        <v>291</v>
      </c>
      <c r="C88" s="26" t="s">
        <v>302</v>
      </c>
      <c r="D88" s="26" t="s">
        <v>303</v>
      </c>
      <c r="E88" s="19">
        <v>237237000</v>
      </c>
      <c r="F88" s="37">
        <v>-0.4</v>
      </c>
      <c r="G88" s="38">
        <f t="shared" si="0"/>
        <v>-94894800</v>
      </c>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90">
        <v>42004</v>
      </c>
      <c r="AP88" s="91">
        <v>68223.200000000012</v>
      </c>
      <c r="AQ88" s="20">
        <v>14144.594434625671</v>
      </c>
      <c r="AR88" s="92">
        <f t="shared" si="67"/>
        <v>82367.794434625685</v>
      </c>
      <c r="AS88" s="91">
        <v>68223.200000000012</v>
      </c>
      <c r="AT88" s="20">
        <v>14144.594434625671</v>
      </c>
      <c r="AU88" s="92">
        <f t="shared" si="68"/>
        <v>82367.794434625685</v>
      </c>
      <c r="AV88" s="91">
        <v>68223.200000000012</v>
      </c>
      <c r="AW88" s="20">
        <v>14144.594434625671</v>
      </c>
      <c r="AX88" s="92">
        <f t="shared" si="69"/>
        <v>82367.794434625685</v>
      </c>
      <c r="AY88" s="104">
        <f t="shared" si="70"/>
        <v>0.19893258203358391</v>
      </c>
      <c r="AZ88" s="90">
        <v>42004</v>
      </c>
      <c r="BA88" s="97">
        <f t="shared" si="71"/>
        <v>1.275773092650434E-2</v>
      </c>
      <c r="BB88" s="97">
        <f t="shared" si="72"/>
        <v>1.275773092650434E-2</v>
      </c>
      <c r="BC88" s="97">
        <f t="shared" si="73"/>
        <v>1.275773092650434E-2</v>
      </c>
      <c r="BD88" s="26"/>
      <c r="BE88" s="90">
        <v>42004</v>
      </c>
      <c r="BF88" s="97">
        <f t="shared" si="74"/>
        <v>4.0401991336347365E-4</v>
      </c>
      <c r="BG88" s="97">
        <f t="shared" si="75"/>
        <v>4.0401991336347365E-4</v>
      </c>
      <c r="BH88" s="97">
        <f t="shared" si="76"/>
        <v>4.0401991336347365E-4</v>
      </c>
      <c r="BI88" s="26"/>
      <c r="BJ88" s="26"/>
      <c r="BL88" s="446"/>
      <c r="BM88" s="446"/>
      <c r="BN88" s="478"/>
      <c r="BO88" s="446"/>
      <c r="BX88" s="314">
        <v>44104</v>
      </c>
      <c r="BY88" s="490">
        <f t="shared" ref="BY88:CA88" si="111">BA111</f>
        <v>-0.20212915629453421</v>
      </c>
      <c r="BZ88" s="490">
        <f t="shared" si="111"/>
        <v>-0.14814775114580403</v>
      </c>
      <c r="CA88" s="490">
        <f t="shared" si="111"/>
        <v>-8.6064452375167799E-2</v>
      </c>
    </row>
    <row r="89" spans="1:79" ht="14.25" customHeight="1">
      <c r="A89" s="26" t="s">
        <v>95</v>
      </c>
      <c r="B89" s="26" t="s">
        <v>291</v>
      </c>
      <c r="C89" s="26" t="s">
        <v>302</v>
      </c>
      <c r="D89" s="26" t="s">
        <v>304</v>
      </c>
      <c r="E89" s="19">
        <v>85106000</v>
      </c>
      <c r="F89" s="37">
        <v>-0.4</v>
      </c>
      <c r="G89" s="38">
        <f t="shared" si="0"/>
        <v>-34042400</v>
      </c>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90">
        <v>42094</v>
      </c>
      <c r="AP89" s="91">
        <v>63782.600000000013</v>
      </c>
      <c r="AQ89" s="20">
        <v>11647.75201130887</v>
      </c>
      <c r="AR89" s="92">
        <f t="shared" si="67"/>
        <v>75430.352011308889</v>
      </c>
      <c r="AS89" s="91">
        <v>63782.600000000013</v>
      </c>
      <c r="AT89" s="20">
        <v>11647.75201130887</v>
      </c>
      <c r="AU89" s="92">
        <f t="shared" si="68"/>
        <v>75430.352011308889</v>
      </c>
      <c r="AV89" s="91">
        <v>63782.600000000013</v>
      </c>
      <c r="AW89" s="20">
        <v>11647.75201130887</v>
      </c>
      <c r="AX89" s="92">
        <f t="shared" si="69"/>
        <v>75430.352011308889</v>
      </c>
      <c r="AY89" s="104">
        <f t="shared" si="70"/>
        <v>0.20229230778425483</v>
      </c>
      <c r="AZ89" s="90">
        <v>42094</v>
      </c>
      <c r="BA89" s="97">
        <f t="shared" si="71"/>
        <v>1.9894059828710953E-2</v>
      </c>
      <c r="BB89" s="97">
        <f t="shared" si="72"/>
        <v>1.9894059828710953E-2</v>
      </c>
      <c r="BC89" s="97">
        <f t="shared" si="73"/>
        <v>1.9894059828710953E-2</v>
      </c>
      <c r="BD89" s="26"/>
      <c r="BE89" s="90">
        <v>42094</v>
      </c>
      <c r="BF89" s="97">
        <f t="shared" si="74"/>
        <v>8.8775394549485132E-3</v>
      </c>
      <c r="BG89" s="97">
        <f t="shared" si="75"/>
        <v>8.8775394549485132E-3</v>
      </c>
      <c r="BH89" s="97">
        <f t="shared" si="76"/>
        <v>8.8775394549485132E-3</v>
      </c>
      <c r="BI89" s="26"/>
      <c r="BJ89" s="26"/>
      <c r="BL89" s="446"/>
      <c r="BM89" s="446"/>
      <c r="BN89" s="478"/>
      <c r="BO89" s="446"/>
      <c r="BX89" s="314">
        <v>44196</v>
      </c>
      <c r="BY89" s="490">
        <f t="shared" ref="BY89:CA89" si="112">BA112</f>
        <v>-0.10070873203246888</v>
      </c>
      <c r="BZ89" s="490">
        <f t="shared" si="112"/>
        <v>-6.0631306089902748E-2</v>
      </c>
      <c r="CA89" s="490">
        <f t="shared" si="112"/>
        <v>-2.0553880147337056E-2</v>
      </c>
    </row>
    <row r="90" spans="1:79" ht="14.25" customHeight="1">
      <c r="A90" s="26" t="s">
        <v>95</v>
      </c>
      <c r="B90" s="26" t="s">
        <v>291</v>
      </c>
      <c r="C90" s="26" t="s">
        <v>302</v>
      </c>
      <c r="D90" s="26" t="s">
        <v>305</v>
      </c>
      <c r="E90" s="19">
        <v>214304000</v>
      </c>
      <c r="F90" s="37">
        <v>-0.4</v>
      </c>
      <c r="G90" s="38">
        <f t="shared" si="0"/>
        <v>-85721600</v>
      </c>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90">
        <v>42185</v>
      </c>
      <c r="AP90" s="91">
        <v>71154.900000000009</v>
      </c>
      <c r="AQ90" s="20">
        <v>14473.031726331272</v>
      </c>
      <c r="AR90" s="92">
        <f t="shared" si="67"/>
        <v>85627.931726331284</v>
      </c>
      <c r="AS90" s="91">
        <v>71154.900000000009</v>
      </c>
      <c r="AT90" s="20">
        <v>14473.031726331272</v>
      </c>
      <c r="AU90" s="92">
        <f t="shared" si="68"/>
        <v>85627.931726331284</v>
      </c>
      <c r="AV90" s="91">
        <v>71154.900000000009</v>
      </c>
      <c r="AW90" s="20">
        <v>14473.031726331272</v>
      </c>
      <c r="AX90" s="92">
        <f t="shared" si="69"/>
        <v>85627.931726331284</v>
      </c>
      <c r="AY90" s="104">
        <f t="shared" si="70"/>
        <v>0.20350267423744781</v>
      </c>
      <c r="AZ90" s="90">
        <v>42185</v>
      </c>
      <c r="BA90" s="97">
        <f t="shared" si="71"/>
        <v>2.2230727096354874E-2</v>
      </c>
      <c r="BB90" s="97">
        <f t="shared" si="72"/>
        <v>2.2230727096354874E-2</v>
      </c>
      <c r="BC90" s="97">
        <f t="shared" si="73"/>
        <v>2.2230727096354874E-2</v>
      </c>
      <c r="BD90" s="26"/>
      <c r="BE90" s="90">
        <v>42185</v>
      </c>
      <c r="BF90" s="97">
        <f t="shared" si="74"/>
        <v>1.5898470976421164E-2</v>
      </c>
      <c r="BG90" s="97">
        <f t="shared" si="75"/>
        <v>1.5898470976421164E-2</v>
      </c>
      <c r="BH90" s="97">
        <f t="shared" si="76"/>
        <v>1.5898470976421164E-2</v>
      </c>
      <c r="BI90" s="26"/>
      <c r="BJ90" s="26"/>
      <c r="BL90" s="446"/>
      <c r="BM90" s="446"/>
      <c r="BN90" s="478"/>
      <c r="BO90" s="446"/>
    </row>
    <row r="91" spans="1:79" ht="14.25" customHeight="1">
      <c r="A91" s="26" t="s">
        <v>95</v>
      </c>
      <c r="B91" s="26" t="s">
        <v>291</v>
      </c>
      <c r="C91" s="26" t="s">
        <v>302</v>
      </c>
      <c r="D91" s="26" t="s">
        <v>306</v>
      </c>
      <c r="E91" s="19">
        <v>157356000</v>
      </c>
      <c r="F91" s="37">
        <v>-0.4</v>
      </c>
      <c r="G91" s="38">
        <f t="shared" si="0"/>
        <v>-62942400</v>
      </c>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90">
        <v>42277</v>
      </c>
      <c r="AP91" s="91">
        <v>76759.5</v>
      </c>
      <c r="AQ91" s="20">
        <v>17309.549902782939</v>
      </c>
      <c r="AR91" s="92">
        <f t="shared" si="67"/>
        <v>94069.049902782936</v>
      </c>
      <c r="AS91" s="91">
        <v>76759.5</v>
      </c>
      <c r="AT91" s="20">
        <v>17309.549902782939</v>
      </c>
      <c r="AU91" s="92">
        <f t="shared" si="68"/>
        <v>94069.049902782936</v>
      </c>
      <c r="AV91" s="91">
        <v>76759.5</v>
      </c>
      <c r="AW91" s="20">
        <v>17309.549902782939</v>
      </c>
      <c r="AX91" s="92">
        <f t="shared" si="69"/>
        <v>94069.049902782936</v>
      </c>
      <c r="AY91" s="104">
        <f t="shared" si="70"/>
        <v>0.20568336288359593</v>
      </c>
      <c r="AZ91" s="90">
        <v>42277</v>
      </c>
      <c r="BA91" s="97">
        <f t="shared" si="71"/>
        <v>3.0891396348644795E-2</v>
      </c>
      <c r="BB91" s="97">
        <f t="shared" si="72"/>
        <v>3.0891396348644795E-2</v>
      </c>
      <c r="BC91" s="97">
        <f t="shared" si="73"/>
        <v>3.0891396348644795E-2</v>
      </c>
      <c r="BD91" s="26"/>
      <c r="BE91" s="90">
        <v>42277</v>
      </c>
      <c r="BF91" s="97">
        <f t="shared" si="74"/>
        <v>2.1767608455664611E-2</v>
      </c>
      <c r="BG91" s="97">
        <f t="shared" si="75"/>
        <v>2.1767608455664611E-2</v>
      </c>
      <c r="BH91" s="97">
        <f t="shared" si="76"/>
        <v>2.1767608455664611E-2</v>
      </c>
      <c r="BI91" s="26"/>
      <c r="BJ91" s="26"/>
      <c r="BL91" s="446"/>
      <c r="BM91" s="446"/>
      <c r="BN91" s="446"/>
      <c r="BO91" s="446"/>
      <c r="BX91" s="301" t="s">
        <v>9</v>
      </c>
      <c r="BY91" s="301" t="s">
        <v>1162</v>
      </c>
      <c r="BZ91" s="301" t="s">
        <v>1164</v>
      </c>
      <c r="CA91" s="301" t="s">
        <v>1163</v>
      </c>
    </row>
    <row r="92" spans="1:79" ht="14.25" customHeight="1">
      <c r="A92" s="26" t="s">
        <v>95</v>
      </c>
      <c r="B92" s="26" t="s">
        <v>291</v>
      </c>
      <c r="C92" s="26" t="s">
        <v>302</v>
      </c>
      <c r="D92" s="26" t="s">
        <v>307</v>
      </c>
      <c r="E92" s="19">
        <v>42449000</v>
      </c>
      <c r="F92" s="37">
        <v>-0.4</v>
      </c>
      <c r="G92" s="38">
        <f t="shared" si="0"/>
        <v>-16979600</v>
      </c>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90">
        <v>42369</v>
      </c>
      <c r="AP92" s="91">
        <v>69769.600000000006</v>
      </c>
      <c r="AQ92" s="20">
        <v>14799.509753776016</v>
      </c>
      <c r="AR92" s="92">
        <f t="shared" si="67"/>
        <v>84569.109753776022</v>
      </c>
      <c r="AS92" s="91">
        <v>69769.600000000006</v>
      </c>
      <c r="AT92" s="20">
        <v>14799.509753776016</v>
      </c>
      <c r="AU92" s="92">
        <f t="shared" si="68"/>
        <v>84569.109753776022</v>
      </c>
      <c r="AV92" s="91">
        <v>69769.600000000006</v>
      </c>
      <c r="AW92" s="20">
        <v>14799.509753776016</v>
      </c>
      <c r="AX92" s="92">
        <f t="shared" si="69"/>
        <v>84569.109753776022</v>
      </c>
      <c r="AY92" s="104">
        <f t="shared" si="70"/>
        <v>0.20688011790457228</v>
      </c>
      <c r="AZ92" s="90">
        <v>42369</v>
      </c>
      <c r="BA92" s="97">
        <f t="shared" si="71"/>
        <v>2.6725437220459947E-2</v>
      </c>
      <c r="BB92" s="97">
        <f t="shared" si="72"/>
        <v>2.6725437220459947E-2</v>
      </c>
      <c r="BC92" s="97">
        <f t="shared" si="73"/>
        <v>2.6725437220459947E-2</v>
      </c>
      <c r="BD92" s="26"/>
      <c r="BE92" s="90">
        <v>42369</v>
      </c>
      <c r="BF92" s="97">
        <f t="shared" si="74"/>
        <v>2.5211596792207525E-2</v>
      </c>
      <c r="BG92" s="97">
        <f t="shared" si="75"/>
        <v>2.5211596792207525E-2</v>
      </c>
      <c r="BH92" s="97">
        <f t="shared" si="76"/>
        <v>2.5211596792207525E-2</v>
      </c>
      <c r="BI92" s="26"/>
      <c r="BJ92" s="26"/>
      <c r="BL92" s="446"/>
      <c r="BM92" s="446"/>
      <c r="BN92" s="446"/>
      <c r="BO92" s="446"/>
      <c r="BX92" s="314">
        <v>44196</v>
      </c>
      <c r="BY92" s="490">
        <f>BF112</f>
        <v>-0.15146418833110664</v>
      </c>
      <c r="BZ92" s="490">
        <f t="shared" ref="BZ92:CA92" si="113">BG112</f>
        <v>-0.12635128164491405</v>
      </c>
      <c r="CA92" s="490">
        <f t="shared" si="113"/>
        <v>-9.8952096455805605E-2</v>
      </c>
    </row>
    <row r="93" spans="1:79" ht="14.25" customHeight="1">
      <c r="A93" s="26" t="s">
        <v>95</v>
      </c>
      <c r="B93" s="26" t="s">
        <v>291</v>
      </c>
      <c r="C93" s="26" t="s">
        <v>308</v>
      </c>
      <c r="D93" s="26" t="s">
        <v>308</v>
      </c>
      <c r="E93" s="19">
        <v>298938000</v>
      </c>
      <c r="F93" s="37">
        <v>-0.4</v>
      </c>
      <c r="G93" s="38">
        <f t="shared" si="0"/>
        <v>-119575200</v>
      </c>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90">
        <v>42460</v>
      </c>
      <c r="AP93" s="91">
        <v>65624.3</v>
      </c>
      <c r="AQ93" s="20">
        <v>11395.671175184318</v>
      </c>
      <c r="AR93" s="92">
        <f t="shared" si="67"/>
        <v>77019.971175184328</v>
      </c>
      <c r="AS93" s="91">
        <v>65624.3</v>
      </c>
      <c r="AT93" s="20">
        <v>11395.671175184318</v>
      </c>
      <c r="AU93" s="92">
        <f t="shared" si="68"/>
        <v>77019.971175184328</v>
      </c>
      <c r="AV93" s="91">
        <v>65624.3</v>
      </c>
      <c r="AW93" s="20">
        <v>11395.671175184318</v>
      </c>
      <c r="AX93" s="92">
        <f t="shared" si="69"/>
        <v>77019.971175184328</v>
      </c>
      <c r="AY93" s="104">
        <f t="shared" si="70"/>
        <v>0.2046454782936982</v>
      </c>
      <c r="AZ93" s="90">
        <v>42460</v>
      </c>
      <c r="BA93" s="97">
        <f t="shared" si="71"/>
        <v>2.1073999013515365E-2</v>
      </c>
      <c r="BB93" s="97">
        <f t="shared" si="72"/>
        <v>2.1073999013515365E-2</v>
      </c>
      <c r="BC93" s="97">
        <f t="shared" si="73"/>
        <v>2.1073999013515365E-2</v>
      </c>
      <c r="BD93" s="26"/>
      <c r="BE93" s="90">
        <v>42460</v>
      </c>
      <c r="BF93" s="97">
        <f t="shared" si="74"/>
        <v>2.5455514628367037E-2</v>
      </c>
      <c r="BG93" s="97">
        <f t="shared" si="75"/>
        <v>2.5455514628367037E-2</v>
      </c>
      <c r="BH93" s="97">
        <f t="shared" si="76"/>
        <v>2.5455514628367037E-2</v>
      </c>
      <c r="BI93" s="26"/>
      <c r="BJ93" s="26"/>
      <c r="BL93" s="446"/>
      <c r="BM93" s="446"/>
      <c r="BN93" s="446"/>
      <c r="BO93" s="446"/>
    </row>
    <row r="94" spans="1:79" ht="14.25" customHeight="1">
      <c r="A94" s="26" t="s">
        <v>95</v>
      </c>
      <c r="B94" s="26" t="s">
        <v>291</v>
      </c>
      <c r="C94" s="26" t="s">
        <v>309</v>
      </c>
      <c r="D94" s="26" t="s">
        <v>310</v>
      </c>
      <c r="E94" s="19">
        <v>6185000</v>
      </c>
      <c r="F94" s="37">
        <v>-0.4</v>
      </c>
      <c r="G94" s="38">
        <f t="shared" si="0"/>
        <v>-2474000</v>
      </c>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90">
        <v>42551</v>
      </c>
      <c r="AP94" s="91">
        <v>72802.000000000015</v>
      </c>
      <c r="AQ94" s="20">
        <v>15157.359995596888</v>
      </c>
      <c r="AR94" s="92">
        <f t="shared" si="67"/>
        <v>87959.359995596897</v>
      </c>
      <c r="AS94" s="91">
        <v>72802.000000000015</v>
      </c>
      <c r="AT94" s="20">
        <v>15157.359995596888</v>
      </c>
      <c r="AU94" s="92">
        <f t="shared" si="68"/>
        <v>87959.359995596897</v>
      </c>
      <c r="AV94" s="91">
        <v>72802.000000000015</v>
      </c>
      <c r="AW94" s="20">
        <v>15157.359995596888</v>
      </c>
      <c r="AX94" s="92">
        <f t="shared" si="69"/>
        <v>87959.359995596897</v>
      </c>
      <c r="AY94" s="104">
        <f t="shared" si="70"/>
        <v>0.20586411356773784</v>
      </c>
      <c r="AZ94" s="90">
        <v>42551</v>
      </c>
      <c r="BA94" s="97">
        <f t="shared" si="71"/>
        <v>2.722742710540893E-2</v>
      </c>
      <c r="BB94" s="97">
        <f t="shared" si="72"/>
        <v>2.722742710540893E-2</v>
      </c>
      <c r="BC94" s="97">
        <f t="shared" si="73"/>
        <v>2.722742710540893E-2</v>
      </c>
      <c r="BD94" s="26"/>
      <c r="BE94" s="90">
        <v>42551</v>
      </c>
      <c r="BF94" s="97">
        <f t="shared" si="74"/>
        <v>2.6715992276585609E-2</v>
      </c>
      <c r="BG94" s="97">
        <f t="shared" si="75"/>
        <v>2.6715992276585609E-2</v>
      </c>
      <c r="BH94" s="97">
        <f t="shared" si="76"/>
        <v>2.6715992276585609E-2</v>
      </c>
      <c r="BI94" s="26"/>
      <c r="BJ94" s="26"/>
      <c r="BL94" s="446"/>
      <c r="BM94" s="446"/>
      <c r="BN94" s="395"/>
      <c r="BO94" s="446"/>
    </row>
    <row r="95" spans="1:79" ht="14.25" customHeight="1">
      <c r="A95" s="26" t="s">
        <v>95</v>
      </c>
      <c r="B95" s="26" t="s">
        <v>291</v>
      </c>
      <c r="C95" s="26" t="s">
        <v>309</v>
      </c>
      <c r="D95" s="26" t="s">
        <v>311</v>
      </c>
      <c r="E95" s="19">
        <v>183735000</v>
      </c>
      <c r="F95" s="37">
        <v>-0.4</v>
      </c>
      <c r="G95" s="38">
        <f t="shared" si="0"/>
        <v>-73494000</v>
      </c>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90">
        <v>42643</v>
      </c>
      <c r="AP95" s="91">
        <v>79836.699999999983</v>
      </c>
      <c r="AQ95" s="20">
        <v>18808.813253508881</v>
      </c>
      <c r="AR95" s="92">
        <f t="shared" si="67"/>
        <v>98645.513253508863</v>
      </c>
      <c r="AS95" s="91">
        <v>79836.699999999983</v>
      </c>
      <c r="AT95" s="20">
        <v>18808.813253508881</v>
      </c>
      <c r="AU95" s="92">
        <f t="shared" si="68"/>
        <v>98645.513253508863</v>
      </c>
      <c r="AV95" s="91">
        <v>79836.699999999983</v>
      </c>
      <c r="AW95" s="20">
        <v>18808.813253508881</v>
      </c>
      <c r="AX95" s="92">
        <f t="shared" si="69"/>
        <v>98645.513253508863</v>
      </c>
      <c r="AY95" s="104">
        <f t="shared" si="70"/>
        <v>0.20886994797834033</v>
      </c>
      <c r="AZ95" s="90">
        <v>42643</v>
      </c>
      <c r="BA95" s="97">
        <f t="shared" si="71"/>
        <v>4.8650043297508994E-2</v>
      </c>
      <c r="BB95" s="97">
        <f t="shared" si="72"/>
        <v>4.8650043297508994E-2</v>
      </c>
      <c r="BC95" s="97">
        <f t="shared" si="73"/>
        <v>4.8650043297508994E-2</v>
      </c>
      <c r="BD95" s="26"/>
      <c r="BE95" s="90">
        <v>42643</v>
      </c>
      <c r="BF95" s="97">
        <f t="shared" si="74"/>
        <v>3.1700683100344573E-2</v>
      </c>
      <c r="BG95" s="97">
        <f t="shared" si="75"/>
        <v>3.1700683100344573E-2</v>
      </c>
      <c r="BH95" s="97">
        <f t="shared" si="76"/>
        <v>3.1700683100344573E-2</v>
      </c>
      <c r="BI95" s="26"/>
      <c r="BJ95" s="26"/>
      <c r="BL95" s="446"/>
      <c r="BM95" s="446"/>
      <c r="BN95" s="395"/>
      <c r="BO95" s="446"/>
    </row>
    <row r="96" spans="1:79" ht="14.25" customHeight="1">
      <c r="A96" s="26" t="s">
        <v>95</v>
      </c>
      <c r="B96" s="26" t="s">
        <v>312</v>
      </c>
      <c r="C96" s="26" t="s">
        <v>313</v>
      </c>
      <c r="D96" s="26" t="s">
        <v>313</v>
      </c>
      <c r="E96" s="19">
        <v>47786000</v>
      </c>
      <c r="F96" s="37">
        <v>-0.4</v>
      </c>
      <c r="G96" s="38">
        <f t="shared" si="0"/>
        <v>-19114400</v>
      </c>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90">
        <v>42735</v>
      </c>
      <c r="AP96" s="91">
        <v>72774.200000000012</v>
      </c>
      <c r="AQ96" s="20">
        <v>14769.698787892044</v>
      </c>
      <c r="AR96" s="92">
        <f t="shared" si="67"/>
        <v>87543.89878789206</v>
      </c>
      <c r="AS96" s="91">
        <v>72774.200000000012</v>
      </c>
      <c r="AT96" s="20">
        <v>14769.698787892044</v>
      </c>
      <c r="AU96" s="92">
        <f t="shared" si="68"/>
        <v>87543.89878789206</v>
      </c>
      <c r="AV96" s="91">
        <v>72774.200000000012</v>
      </c>
      <c r="AW96" s="20">
        <v>14769.698787892044</v>
      </c>
      <c r="AX96" s="92">
        <f t="shared" si="69"/>
        <v>87543.89878789206</v>
      </c>
      <c r="AY96" s="104">
        <f t="shared" si="70"/>
        <v>0.20661119338758802</v>
      </c>
      <c r="AZ96" s="90">
        <v>42735</v>
      </c>
      <c r="BA96" s="97">
        <f t="shared" si="71"/>
        <v>3.5175834802768646E-2</v>
      </c>
      <c r="BB96" s="97">
        <f t="shared" si="72"/>
        <v>3.5175834802768646E-2</v>
      </c>
      <c r="BC96" s="97">
        <f t="shared" si="73"/>
        <v>3.5175834802768646E-2</v>
      </c>
      <c r="BD96" s="26"/>
      <c r="BE96" s="90">
        <v>42735</v>
      </c>
      <c r="BF96" s="97">
        <f t="shared" si="74"/>
        <v>3.3772210575281347E-2</v>
      </c>
      <c r="BG96" s="97">
        <f t="shared" si="75"/>
        <v>3.3772210575281347E-2</v>
      </c>
      <c r="BH96" s="97">
        <f t="shared" si="76"/>
        <v>3.3772210575281347E-2</v>
      </c>
      <c r="BI96" s="26"/>
      <c r="BJ96" s="26"/>
      <c r="BL96" s="446"/>
      <c r="BM96" s="446"/>
      <c r="BN96" s="446"/>
      <c r="BO96" s="446"/>
    </row>
    <row r="97" spans="1:67" ht="14.25" customHeight="1">
      <c r="A97" s="26" t="s">
        <v>95</v>
      </c>
      <c r="B97" s="26" t="s">
        <v>312</v>
      </c>
      <c r="C97" s="26" t="s">
        <v>314</v>
      </c>
      <c r="D97" s="26" t="s">
        <v>314</v>
      </c>
      <c r="E97" s="19">
        <v>89931000</v>
      </c>
      <c r="F97" s="37">
        <v>-0.4</v>
      </c>
      <c r="G97" s="38">
        <f t="shared" si="0"/>
        <v>-35972400</v>
      </c>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90">
        <v>42825</v>
      </c>
      <c r="AP97" s="91">
        <v>68176.3</v>
      </c>
      <c r="AQ97" s="20">
        <v>11411.007019095812</v>
      </c>
      <c r="AR97" s="92">
        <f t="shared" si="67"/>
        <v>79587.30701909581</v>
      </c>
      <c r="AS97" s="91">
        <v>68176.3</v>
      </c>
      <c r="AT97" s="20">
        <v>11411.007019095812</v>
      </c>
      <c r="AU97" s="92">
        <f t="shared" si="68"/>
        <v>79587.30701909581</v>
      </c>
      <c r="AV97" s="91">
        <v>68176.3</v>
      </c>
      <c r="AW97" s="20">
        <v>11411.007019095812</v>
      </c>
      <c r="AX97" s="92">
        <f t="shared" si="69"/>
        <v>79587.30701909581</v>
      </c>
      <c r="AY97" s="104">
        <f t="shared" si="70"/>
        <v>0.20486747828630489</v>
      </c>
      <c r="AZ97" s="90">
        <v>42825</v>
      </c>
      <c r="BA97" s="97">
        <f t="shared" si="71"/>
        <v>3.3333378404829528E-2</v>
      </c>
      <c r="BB97" s="97">
        <f t="shared" si="72"/>
        <v>3.3333378404829528E-2</v>
      </c>
      <c r="BC97" s="97">
        <f t="shared" si="73"/>
        <v>3.3333378404829528E-2</v>
      </c>
      <c r="BD97" s="26"/>
      <c r="BE97" s="90">
        <v>42825</v>
      </c>
      <c r="BF97" s="97">
        <f t="shared" si="74"/>
        <v>3.647970973294723E-2</v>
      </c>
      <c r="BG97" s="97">
        <f t="shared" si="75"/>
        <v>3.647970973294723E-2</v>
      </c>
      <c r="BH97" s="97">
        <f t="shared" si="76"/>
        <v>3.647970973294723E-2</v>
      </c>
      <c r="BI97" s="26"/>
      <c r="BJ97" s="26"/>
      <c r="BL97" s="446"/>
      <c r="BM97" s="446"/>
      <c r="BN97" s="395"/>
      <c r="BO97" s="446"/>
    </row>
    <row r="98" spans="1:67" ht="14.25" customHeight="1">
      <c r="A98" s="26" t="s">
        <v>95</v>
      </c>
      <c r="B98" s="26" t="s">
        <v>312</v>
      </c>
      <c r="C98" s="26" t="s">
        <v>315</v>
      </c>
      <c r="D98" s="26" t="s">
        <v>316</v>
      </c>
      <c r="E98" s="19">
        <v>9941000</v>
      </c>
      <c r="F98" s="37">
        <v>-0.4</v>
      </c>
      <c r="G98" s="38">
        <f t="shared" si="0"/>
        <v>-3976400</v>
      </c>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90">
        <v>42916</v>
      </c>
      <c r="AP98" s="91">
        <v>75872.3</v>
      </c>
      <c r="AQ98" s="20">
        <v>16465.590537663367</v>
      </c>
      <c r="AR98" s="92">
        <f t="shared" si="67"/>
        <v>92337.890537663363</v>
      </c>
      <c r="AS98" s="91">
        <v>75872.3</v>
      </c>
      <c r="AT98" s="20">
        <v>16465.590537663367</v>
      </c>
      <c r="AU98" s="92">
        <f t="shared" si="68"/>
        <v>92337.890537663363</v>
      </c>
      <c r="AV98" s="91">
        <v>75872.3</v>
      </c>
      <c r="AW98" s="20">
        <v>16465.590537663367</v>
      </c>
      <c r="AX98" s="92">
        <f t="shared" si="69"/>
        <v>92337.890537663363</v>
      </c>
      <c r="AY98" s="104">
        <f t="shared" si="70"/>
        <v>0.20715705918118285</v>
      </c>
      <c r="AZ98" s="90">
        <v>42916</v>
      </c>
      <c r="BA98" s="97">
        <f t="shared" si="71"/>
        <v>4.9779017745077425E-2</v>
      </c>
      <c r="BB98" s="97">
        <f t="shared" si="72"/>
        <v>4.9779017745077425E-2</v>
      </c>
      <c r="BC98" s="97">
        <f t="shared" si="73"/>
        <v>4.9779017745077425E-2</v>
      </c>
      <c r="BD98" s="26"/>
      <c r="BE98" s="90">
        <v>42916</v>
      </c>
      <c r="BF98" s="97">
        <f t="shared" si="74"/>
        <v>4.2189699761542077E-2</v>
      </c>
      <c r="BG98" s="97">
        <f t="shared" si="75"/>
        <v>4.2189699761542077E-2</v>
      </c>
      <c r="BH98" s="97">
        <f t="shared" si="76"/>
        <v>4.2189699761542077E-2</v>
      </c>
      <c r="BI98" s="26"/>
      <c r="BJ98" s="26"/>
      <c r="BL98" s="446"/>
      <c r="BM98" s="446"/>
      <c r="BN98" s="446"/>
      <c r="BO98" s="446"/>
    </row>
    <row r="99" spans="1:67" ht="14.25" customHeight="1">
      <c r="A99" s="26" t="s">
        <v>95</v>
      </c>
      <c r="B99" s="26" t="s">
        <v>312</v>
      </c>
      <c r="C99" s="26" t="s">
        <v>317</v>
      </c>
      <c r="D99" s="26" t="s">
        <v>318</v>
      </c>
      <c r="E99" s="19">
        <v>88221000</v>
      </c>
      <c r="F99" s="37">
        <v>-0.4</v>
      </c>
      <c r="G99" s="38">
        <f t="shared" si="0"/>
        <v>-35288400</v>
      </c>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90">
        <v>43008</v>
      </c>
      <c r="AP99" s="91">
        <v>83277.700000000012</v>
      </c>
      <c r="AQ99" s="20">
        <v>20029.332853041928</v>
      </c>
      <c r="AR99" s="92">
        <f t="shared" si="67"/>
        <v>103307.03285304194</v>
      </c>
      <c r="AS99" s="91">
        <v>83277.700000000012</v>
      </c>
      <c r="AT99" s="20">
        <v>20029.332853041928</v>
      </c>
      <c r="AU99" s="92">
        <f t="shared" si="68"/>
        <v>103307.03285304194</v>
      </c>
      <c r="AV99" s="91">
        <v>83277.700000000012</v>
      </c>
      <c r="AW99" s="20">
        <v>20029.332853041928</v>
      </c>
      <c r="AX99" s="92">
        <f t="shared" si="69"/>
        <v>103307.03285304194</v>
      </c>
      <c r="AY99" s="104">
        <f t="shared" si="70"/>
        <v>0.20884879964442962</v>
      </c>
      <c r="AZ99" s="90">
        <v>43008</v>
      </c>
      <c r="BA99" s="97">
        <f t="shared" si="71"/>
        <v>4.7255262259657371E-2</v>
      </c>
      <c r="BB99" s="97">
        <f t="shared" si="72"/>
        <v>4.7255262259657371E-2</v>
      </c>
      <c r="BC99" s="97">
        <f t="shared" si="73"/>
        <v>4.7255262259657371E-2</v>
      </c>
      <c r="BD99" s="26"/>
      <c r="BE99" s="90">
        <v>43008</v>
      </c>
      <c r="BF99" s="97">
        <f t="shared" si="74"/>
        <v>4.187946069899251E-2</v>
      </c>
      <c r="BG99" s="97">
        <f t="shared" si="75"/>
        <v>4.187946069899251E-2</v>
      </c>
      <c r="BH99" s="97">
        <f t="shared" si="76"/>
        <v>4.187946069899251E-2</v>
      </c>
      <c r="BI99" s="26"/>
      <c r="BJ99" s="26"/>
      <c r="BL99" s="446"/>
      <c r="BM99" s="446"/>
      <c r="BN99" s="446"/>
      <c r="BO99" s="446"/>
    </row>
    <row r="100" spans="1:67" ht="14.25" customHeight="1">
      <c r="A100" s="26" t="s">
        <v>95</v>
      </c>
      <c r="B100" s="26" t="s">
        <v>312</v>
      </c>
      <c r="C100" s="26" t="s">
        <v>319</v>
      </c>
      <c r="D100" s="26" t="s">
        <v>320</v>
      </c>
      <c r="E100" s="19">
        <v>266634000</v>
      </c>
      <c r="F100" s="37">
        <v>-0.4</v>
      </c>
      <c r="G100" s="38">
        <f t="shared" si="0"/>
        <v>-106653600</v>
      </c>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90">
        <v>43100</v>
      </c>
      <c r="AP100" s="91">
        <v>75333</v>
      </c>
      <c r="AQ100" s="20">
        <v>15860.978419137937</v>
      </c>
      <c r="AR100" s="92">
        <f t="shared" si="67"/>
        <v>91193.978419137944</v>
      </c>
      <c r="AS100" s="91">
        <v>75333</v>
      </c>
      <c r="AT100" s="20">
        <v>15860.978419137937</v>
      </c>
      <c r="AU100" s="92">
        <f t="shared" si="68"/>
        <v>91193.978419137944</v>
      </c>
      <c r="AV100" s="91">
        <v>75333</v>
      </c>
      <c r="AW100" s="20">
        <v>15860.978419137937</v>
      </c>
      <c r="AX100" s="92">
        <f t="shared" si="69"/>
        <v>91193.978419137944</v>
      </c>
      <c r="AY100" s="104">
        <f t="shared" si="70"/>
        <v>0.21068874747592106</v>
      </c>
      <c r="AZ100" s="90">
        <v>43100</v>
      </c>
      <c r="BA100" s="97">
        <f t="shared" si="71"/>
        <v>4.1694277748465014E-2</v>
      </c>
      <c r="BB100" s="97">
        <f t="shared" si="72"/>
        <v>4.1694277748465014E-2</v>
      </c>
      <c r="BC100" s="97">
        <f t="shared" si="73"/>
        <v>4.1694277748465014E-2</v>
      </c>
      <c r="BD100" s="26"/>
      <c r="BE100" s="90">
        <v>43100</v>
      </c>
      <c r="BF100" s="97">
        <f t="shared" si="74"/>
        <v>4.3447675545366105E-2</v>
      </c>
      <c r="BG100" s="97">
        <f t="shared" si="75"/>
        <v>4.3447675545366105E-2</v>
      </c>
      <c r="BH100" s="97">
        <f t="shared" si="76"/>
        <v>4.3447675545366105E-2</v>
      </c>
      <c r="BI100" s="26"/>
      <c r="BJ100" s="26"/>
      <c r="BL100" s="446"/>
      <c r="BM100" s="446"/>
      <c r="BN100" s="395"/>
      <c r="BO100" s="446"/>
    </row>
    <row r="101" spans="1:67" ht="14.25" customHeight="1">
      <c r="A101" s="26" t="s">
        <v>95</v>
      </c>
      <c r="B101" s="26" t="s">
        <v>312</v>
      </c>
      <c r="C101" s="26" t="s">
        <v>319</v>
      </c>
      <c r="D101" s="26" t="s">
        <v>321</v>
      </c>
      <c r="E101" s="19">
        <v>177421000</v>
      </c>
      <c r="F101" s="37">
        <v>-0.4</v>
      </c>
      <c r="G101" s="38">
        <f t="shared" si="0"/>
        <v>-70968400</v>
      </c>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90">
        <v>43190</v>
      </c>
      <c r="AP101" s="91">
        <v>70683</v>
      </c>
      <c r="AQ101" s="20">
        <v>12667.607067388784</v>
      </c>
      <c r="AR101" s="92">
        <f t="shared" si="67"/>
        <v>83350.607067388788</v>
      </c>
      <c r="AS101" s="91">
        <v>70683</v>
      </c>
      <c r="AT101" s="20">
        <v>12667.607067388784</v>
      </c>
      <c r="AU101" s="92">
        <f t="shared" si="68"/>
        <v>83350.607067388788</v>
      </c>
      <c r="AV101" s="91">
        <v>70683</v>
      </c>
      <c r="AW101" s="20">
        <v>12667.607067388784</v>
      </c>
      <c r="AX101" s="92">
        <f t="shared" si="69"/>
        <v>83350.607067388788</v>
      </c>
      <c r="AY101" s="104">
        <f t="shared" si="70"/>
        <v>0.21307586322602129</v>
      </c>
      <c r="AZ101" s="90">
        <v>43190</v>
      </c>
      <c r="BA101" s="97">
        <f t="shared" si="71"/>
        <v>4.7285178871425249E-2</v>
      </c>
      <c r="BB101" s="97">
        <f t="shared" si="72"/>
        <v>4.7285178871425249E-2</v>
      </c>
      <c r="BC101" s="97">
        <f t="shared" si="73"/>
        <v>4.7285178871425249E-2</v>
      </c>
      <c r="BD101" s="26"/>
      <c r="BE101" s="90">
        <v>43190</v>
      </c>
      <c r="BF101" s="97">
        <f t="shared" si="74"/>
        <v>4.651329280587535E-2</v>
      </c>
      <c r="BG101" s="97">
        <f t="shared" si="75"/>
        <v>4.651329280587535E-2</v>
      </c>
      <c r="BH101" s="97">
        <f t="shared" si="76"/>
        <v>4.651329280587535E-2</v>
      </c>
      <c r="BI101" s="26"/>
      <c r="BJ101" s="26"/>
      <c r="BL101" s="446"/>
      <c r="BM101" s="446"/>
      <c r="BN101" s="395"/>
      <c r="BO101" s="446"/>
    </row>
    <row r="102" spans="1:67" ht="14.25" customHeight="1">
      <c r="A102" s="26" t="s">
        <v>95</v>
      </c>
      <c r="B102" s="26" t="s">
        <v>322</v>
      </c>
      <c r="C102" s="26" t="s">
        <v>323</v>
      </c>
      <c r="D102" s="26" t="s">
        <v>324</v>
      </c>
      <c r="E102" s="19">
        <v>2028076000</v>
      </c>
      <c r="F102" s="37">
        <v>-0.4</v>
      </c>
      <c r="G102" s="38">
        <f t="shared" si="0"/>
        <v>-811230400</v>
      </c>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90">
        <v>43281</v>
      </c>
      <c r="AP102" s="91">
        <v>79396.899999999994</v>
      </c>
      <c r="AQ102" s="20">
        <v>17381.782666048606</v>
      </c>
      <c r="AR102" s="92">
        <f t="shared" si="67"/>
        <v>96778.682666048597</v>
      </c>
      <c r="AS102" s="91">
        <v>79396.899999999994</v>
      </c>
      <c r="AT102" s="20">
        <v>17381.782666048606</v>
      </c>
      <c r="AU102" s="92">
        <f t="shared" si="68"/>
        <v>96778.682666048597</v>
      </c>
      <c r="AV102" s="91">
        <v>79396.899999999994</v>
      </c>
      <c r="AW102" s="20">
        <v>17381.782666048606</v>
      </c>
      <c r="AX102" s="92">
        <f t="shared" si="69"/>
        <v>96778.682666048597</v>
      </c>
      <c r="AY102" s="104">
        <f t="shared" si="70"/>
        <v>0.21361097813026139</v>
      </c>
      <c r="AZ102" s="90">
        <v>43281</v>
      </c>
      <c r="BA102" s="97">
        <f t="shared" si="71"/>
        <v>4.8092847936285654E-2</v>
      </c>
      <c r="BB102" s="97">
        <f t="shared" si="72"/>
        <v>4.8092847936285654E-2</v>
      </c>
      <c r="BC102" s="97">
        <f t="shared" si="73"/>
        <v>4.8092847936285654E-2</v>
      </c>
      <c r="BD102" s="26"/>
      <c r="BE102" s="90">
        <v>43281</v>
      </c>
      <c r="BF102" s="97">
        <f t="shared" si="74"/>
        <v>4.6118451927971815E-2</v>
      </c>
      <c r="BG102" s="97">
        <f t="shared" si="75"/>
        <v>4.6118451927971815E-2</v>
      </c>
      <c r="BH102" s="97">
        <f t="shared" si="76"/>
        <v>4.6118451927971815E-2</v>
      </c>
      <c r="BI102" s="26"/>
      <c r="BJ102" s="26"/>
      <c r="BL102" s="446"/>
      <c r="BM102" s="446"/>
      <c r="BN102" s="446"/>
      <c r="BO102" s="446"/>
    </row>
    <row r="103" spans="1:67" ht="14.25" customHeight="1">
      <c r="A103" s="26" t="s">
        <v>95</v>
      </c>
      <c r="B103" s="26" t="s">
        <v>322</v>
      </c>
      <c r="C103" s="26" t="s">
        <v>323</v>
      </c>
      <c r="D103" s="26" t="s">
        <v>325</v>
      </c>
      <c r="E103" s="19">
        <v>98454000</v>
      </c>
      <c r="F103" s="37">
        <v>-0.4</v>
      </c>
      <c r="G103" s="38">
        <f t="shared" si="0"/>
        <v>-39381600</v>
      </c>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90">
        <v>43373</v>
      </c>
      <c r="AP103" s="91">
        <v>86842.4</v>
      </c>
      <c r="AQ103" s="20">
        <v>21403.280799674278</v>
      </c>
      <c r="AR103" s="92">
        <f t="shared" si="67"/>
        <v>108245.68079967427</v>
      </c>
      <c r="AS103" s="91">
        <v>86842.4</v>
      </c>
      <c r="AT103" s="20">
        <v>21403.280799674278</v>
      </c>
      <c r="AU103" s="92">
        <f t="shared" si="68"/>
        <v>108245.68079967427</v>
      </c>
      <c r="AV103" s="91">
        <v>86842.4</v>
      </c>
      <c r="AW103" s="20">
        <v>21403.280799674278</v>
      </c>
      <c r="AX103" s="92">
        <f t="shared" si="69"/>
        <v>108245.68079967427</v>
      </c>
      <c r="AY103" s="104">
        <f t="shared" si="70"/>
        <v>0.21557247852077968</v>
      </c>
      <c r="AZ103" s="90">
        <v>43373</v>
      </c>
      <c r="BA103" s="97">
        <f t="shared" si="71"/>
        <v>4.7805534727318522E-2</v>
      </c>
      <c r="BB103" s="97">
        <f t="shared" si="72"/>
        <v>4.7805534727318522E-2</v>
      </c>
      <c r="BC103" s="97">
        <f t="shared" si="73"/>
        <v>4.7805534727318522E-2</v>
      </c>
      <c r="BD103" s="26"/>
      <c r="BE103" s="90">
        <v>43373</v>
      </c>
      <c r="BF103" s="97">
        <f t="shared" si="74"/>
        <v>4.6289759449429591E-2</v>
      </c>
      <c r="BG103" s="97">
        <f t="shared" si="75"/>
        <v>4.6289759449429591E-2</v>
      </c>
      <c r="BH103" s="97">
        <f t="shared" si="76"/>
        <v>4.6289759449429591E-2</v>
      </c>
      <c r="BI103" s="26"/>
      <c r="BJ103" s="26"/>
      <c r="BL103" s="446"/>
      <c r="BM103" s="446"/>
      <c r="BN103" s="395"/>
      <c r="BO103" s="446"/>
    </row>
    <row r="104" spans="1:67" ht="14.25" customHeight="1">
      <c r="A104" s="26" t="s">
        <v>95</v>
      </c>
      <c r="B104" s="26" t="s">
        <v>322</v>
      </c>
      <c r="C104" s="26" t="s">
        <v>326</v>
      </c>
      <c r="D104" s="26" t="s">
        <v>327</v>
      </c>
      <c r="E104" s="19">
        <v>88943000</v>
      </c>
      <c r="F104" s="37">
        <v>-0.4</v>
      </c>
      <c r="G104" s="38">
        <f t="shared" si="0"/>
        <v>-35577200</v>
      </c>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90">
        <v>43465</v>
      </c>
      <c r="AP104" s="91">
        <v>77964</v>
      </c>
      <c r="AQ104" s="20">
        <v>16626.069179373997</v>
      </c>
      <c r="AR104" s="92">
        <f t="shared" si="67"/>
        <v>94590.069179373997</v>
      </c>
      <c r="AS104" s="91">
        <v>77964</v>
      </c>
      <c r="AT104" s="20">
        <v>16626.069179373997</v>
      </c>
      <c r="AU104" s="92">
        <f t="shared" si="68"/>
        <v>94590.069179373997</v>
      </c>
      <c r="AV104" s="91">
        <v>77964</v>
      </c>
      <c r="AW104" s="20">
        <v>16626.069179373997</v>
      </c>
      <c r="AX104" s="92">
        <f t="shared" si="69"/>
        <v>94590.069179373997</v>
      </c>
      <c r="AY104" s="104">
        <f t="shared" si="70"/>
        <v>0.21620102148771053</v>
      </c>
      <c r="AZ104" s="90">
        <v>43465</v>
      </c>
      <c r="BA104" s="97">
        <f t="shared" si="71"/>
        <v>3.7240296115026661E-2</v>
      </c>
      <c r="BB104" s="97">
        <f t="shared" si="72"/>
        <v>3.7240296115026661E-2</v>
      </c>
      <c r="BC104" s="97">
        <f t="shared" si="73"/>
        <v>3.7240296115026661E-2</v>
      </c>
      <c r="BD104" s="26"/>
      <c r="BE104" s="90">
        <v>43465</v>
      </c>
      <c r="BF104" s="97">
        <f t="shared" si="74"/>
        <v>4.5135502005718919E-2</v>
      </c>
      <c r="BG104" s="97">
        <f t="shared" si="75"/>
        <v>4.5135502005718919E-2</v>
      </c>
      <c r="BH104" s="97">
        <f t="shared" si="76"/>
        <v>4.5135502005718919E-2</v>
      </c>
      <c r="BI104" s="26"/>
      <c r="BJ104" s="26"/>
      <c r="BL104" s="446"/>
      <c r="BM104" s="446"/>
      <c r="BN104" s="395"/>
      <c r="BO104" s="446"/>
    </row>
    <row r="105" spans="1:67" ht="14.25" customHeight="1">
      <c r="A105" s="26" t="s">
        <v>95</v>
      </c>
      <c r="B105" s="26" t="s">
        <v>322</v>
      </c>
      <c r="C105" s="26" t="s">
        <v>326</v>
      </c>
      <c r="D105" s="26" t="s">
        <v>328</v>
      </c>
      <c r="E105" s="19">
        <v>59859000</v>
      </c>
      <c r="F105" s="37">
        <v>-0.4</v>
      </c>
      <c r="G105" s="38">
        <f t="shared" si="0"/>
        <v>-23943600</v>
      </c>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90">
        <v>43555</v>
      </c>
      <c r="AP105" s="91">
        <v>74012.400000000009</v>
      </c>
      <c r="AQ105" s="20">
        <v>14091.896657161449</v>
      </c>
      <c r="AR105" s="92">
        <f t="shared" si="67"/>
        <v>88104.296657161452</v>
      </c>
      <c r="AS105" s="91">
        <v>74012.400000000009</v>
      </c>
      <c r="AT105" s="20">
        <v>14091.896657161449</v>
      </c>
      <c r="AU105" s="92">
        <f t="shared" si="68"/>
        <v>88104.296657161452</v>
      </c>
      <c r="AV105" s="91">
        <v>74012.400000000009</v>
      </c>
      <c r="AW105" s="20">
        <v>14091.896657161449</v>
      </c>
      <c r="AX105" s="92">
        <f t="shared" si="69"/>
        <v>88104.296657161452</v>
      </c>
      <c r="AY105" s="104">
        <f t="shared" si="70"/>
        <v>0.21841483403319922</v>
      </c>
      <c r="AZ105" s="90">
        <v>43555</v>
      </c>
      <c r="BA105" s="97">
        <f t="shared" si="71"/>
        <v>5.7032453116140136E-2</v>
      </c>
      <c r="BB105" s="97">
        <f t="shared" si="72"/>
        <v>5.7032453116140136E-2</v>
      </c>
      <c r="BC105" s="97">
        <f t="shared" si="73"/>
        <v>5.7032453116140136E-2</v>
      </c>
      <c r="BD105" s="26"/>
      <c r="BE105" s="90">
        <v>43555</v>
      </c>
      <c r="BF105" s="97">
        <f t="shared" si="74"/>
        <v>4.7352018370784288E-2</v>
      </c>
      <c r="BG105" s="97">
        <f t="shared" si="75"/>
        <v>4.7352018370784288E-2</v>
      </c>
      <c r="BH105" s="97">
        <f t="shared" si="76"/>
        <v>4.7352018370784288E-2</v>
      </c>
      <c r="BI105" s="26"/>
      <c r="BJ105" s="26"/>
      <c r="BL105" s="446"/>
      <c r="BM105" s="446"/>
      <c r="BN105" s="446"/>
      <c r="BO105" s="446"/>
    </row>
    <row r="106" spans="1:67" ht="14.25" customHeight="1">
      <c r="A106" s="26" t="s">
        <v>95</v>
      </c>
      <c r="B106" s="26" t="s">
        <v>322</v>
      </c>
      <c r="C106" s="26" t="s">
        <v>329</v>
      </c>
      <c r="D106" s="26" t="s">
        <v>329</v>
      </c>
      <c r="E106" s="19">
        <v>272750000</v>
      </c>
      <c r="F106" s="37">
        <v>-0.4</v>
      </c>
      <c r="G106" s="38">
        <f t="shared" si="0"/>
        <v>-109100000</v>
      </c>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90">
        <v>43646</v>
      </c>
      <c r="AP106" s="91">
        <v>82470.600000000006</v>
      </c>
      <c r="AQ106" s="20">
        <v>17989.479641991398</v>
      </c>
      <c r="AR106" s="92">
        <f t="shared" si="67"/>
        <v>100460.07964199141</v>
      </c>
      <c r="AS106" s="91">
        <v>82470.600000000006</v>
      </c>
      <c r="AT106" s="20">
        <v>17989.479641991398</v>
      </c>
      <c r="AU106" s="92">
        <f t="shared" si="68"/>
        <v>100460.07964199141</v>
      </c>
      <c r="AV106" s="91">
        <v>82470.600000000006</v>
      </c>
      <c r="AW106" s="20">
        <v>17989.479641991398</v>
      </c>
      <c r="AX106" s="92">
        <f t="shared" si="69"/>
        <v>100460.07964199141</v>
      </c>
      <c r="AY106" s="104">
        <f t="shared" si="70"/>
        <v>0.21821674253243686</v>
      </c>
      <c r="AZ106" s="90">
        <v>43646</v>
      </c>
      <c r="BA106" s="97">
        <f t="shared" si="71"/>
        <v>3.8039337533102291E-2</v>
      </c>
      <c r="BB106" s="97">
        <f t="shared" si="72"/>
        <v>3.8039337533102291E-2</v>
      </c>
      <c r="BC106" s="97">
        <f t="shared" si="73"/>
        <v>3.8039337533102291E-2</v>
      </c>
      <c r="BD106" s="26"/>
      <c r="BE106" s="90">
        <v>43646</v>
      </c>
      <c r="BF106" s="97">
        <f t="shared" si="74"/>
        <v>4.4763664945330683E-2</v>
      </c>
      <c r="BG106" s="97">
        <f t="shared" si="75"/>
        <v>4.4763664945330683E-2</v>
      </c>
      <c r="BH106" s="97">
        <f t="shared" si="76"/>
        <v>4.4763664945330683E-2</v>
      </c>
      <c r="BI106" s="26"/>
      <c r="BJ106" s="26"/>
      <c r="BL106" s="446"/>
      <c r="BM106" s="446"/>
      <c r="BN106" s="395"/>
      <c r="BO106" s="446"/>
    </row>
    <row r="107" spans="1:67" ht="14.25" customHeight="1">
      <c r="A107" s="26" t="s">
        <v>95</v>
      </c>
      <c r="B107" s="26" t="s">
        <v>322</v>
      </c>
      <c r="C107" s="26" t="s">
        <v>330</v>
      </c>
      <c r="D107" s="26" t="s">
        <v>331</v>
      </c>
      <c r="E107" s="19">
        <v>459305000</v>
      </c>
      <c r="F107" s="37">
        <v>-0.4</v>
      </c>
      <c r="G107" s="38">
        <f t="shared" si="0"/>
        <v>-183722000</v>
      </c>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90">
        <v>43738</v>
      </c>
      <c r="AP107" s="91">
        <v>90670.299999999988</v>
      </c>
      <c r="AQ107" s="20">
        <v>22234.908395578514</v>
      </c>
      <c r="AR107" s="92">
        <f t="shared" si="67"/>
        <v>112905.20839557851</v>
      </c>
      <c r="AS107" s="91">
        <v>90670.299999999988</v>
      </c>
      <c r="AT107" s="20">
        <v>22234.908395578514</v>
      </c>
      <c r="AU107" s="92">
        <f t="shared" si="68"/>
        <v>112905.20839557851</v>
      </c>
      <c r="AV107" s="91">
        <v>90670.299999999988</v>
      </c>
      <c r="AW107" s="20">
        <v>22234.908395578514</v>
      </c>
      <c r="AX107" s="92">
        <f t="shared" si="69"/>
        <v>112905.20839557851</v>
      </c>
      <c r="AY107" s="104">
        <f t="shared" si="70"/>
        <v>0.21820541039835578</v>
      </c>
      <c r="AZ107" s="90">
        <v>43738</v>
      </c>
      <c r="BA107" s="97">
        <f t="shared" si="71"/>
        <v>4.3045852374723692E-2</v>
      </c>
      <c r="BB107" s="97">
        <f t="shared" si="72"/>
        <v>4.3045852374723692E-2</v>
      </c>
      <c r="BC107" s="97">
        <f t="shared" si="73"/>
        <v>4.3045852374723692E-2</v>
      </c>
      <c r="BD107" s="26"/>
      <c r="BE107" s="90">
        <v>43738</v>
      </c>
      <c r="BF107" s="97">
        <f t="shared" si="74"/>
        <v>4.3445874504161042E-2</v>
      </c>
      <c r="BG107" s="97">
        <f t="shared" si="75"/>
        <v>4.3445874504161042E-2</v>
      </c>
      <c r="BH107" s="97">
        <f t="shared" si="76"/>
        <v>4.3445874504161042E-2</v>
      </c>
      <c r="BI107" s="26"/>
      <c r="BJ107" s="26"/>
      <c r="BL107" s="446"/>
      <c r="BM107" s="446"/>
      <c r="BN107" s="395"/>
      <c r="BO107" s="446"/>
    </row>
    <row r="108" spans="1:67" ht="14.25" customHeight="1">
      <c r="A108" s="26" t="s">
        <v>95</v>
      </c>
      <c r="B108" s="26" t="s">
        <v>322</v>
      </c>
      <c r="C108" s="26" t="s">
        <v>330</v>
      </c>
      <c r="D108" s="26" t="s">
        <v>332</v>
      </c>
      <c r="E108" s="19">
        <v>627377000</v>
      </c>
      <c r="F108" s="37">
        <v>-0.4</v>
      </c>
      <c r="G108" s="38">
        <f t="shared" si="0"/>
        <v>-250950800</v>
      </c>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90">
        <v>43830</v>
      </c>
      <c r="AP108" s="91">
        <v>81083.299999999988</v>
      </c>
      <c r="AQ108" s="20">
        <v>17549.721620912616</v>
      </c>
      <c r="AR108" s="92">
        <f t="shared" si="67"/>
        <v>98633.021620912608</v>
      </c>
      <c r="AS108" s="91">
        <v>81083.299999999988</v>
      </c>
      <c r="AT108" s="20">
        <v>17549.721620912616</v>
      </c>
      <c r="AU108" s="92">
        <f t="shared" si="68"/>
        <v>98633.021620912608</v>
      </c>
      <c r="AV108" s="91">
        <v>81083.299999999988</v>
      </c>
      <c r="AW108" s="20">
        <v>17549.721620912616</v>
      </c>
      <c r="AX108" s="92">
        <f t="shared" si="69"/>
        <v>98633.021620912608</v>
      </c>
      <c r="AY108" s="104">
        <f t="shared" si="70"/>
        <v>0.21894574314882614</v>
      </c>
      <c r="AZ108" s="90">
        <v>43830</v>
      </c>
      <c r="BA108" s="97">
        <f t="shared" si="71"/>
        <v>4.274182772688162E-2</v>
      </c>
      <c r="BB108" s="97">
        <f t="shared" si="72"/>
        <v>4.274182772688162E-2</v>
      </c>
      <c r="BC108" s="97">
        <f t="shared" si="73"/>
        <v>4.274182772688162E-2</v>
      </c>
      <c r="BD108" s="26"/>
      <c r="BE108" s="90">
        <v>43830</v>
      </c>
      <c r="BF108" s="97">
        <f t="shared" si="74"/>
        <v>4.4749689465191089E-2</v>
      </c>
      <c r="BG108" s="97">
        <f t="shared" si="75"/>
        <v>4.4749689465191089E-2</v>
      </c>
      <c r="BH108" s="97">
        <f t="shared" si="76"/>
        <v>4.4749689465191089E-2</v>
      </c>
      <c r="BI108" s="26"/>
      <c r="BJ108" s="26"/>
      <c r="BL108" s="446"/>
      <c r="BM108" s="446"/>
      <c r="BN108" s="446"/>
      <c r="BO108" s="446"/>
    </row>
    <row r="109" spans="1:67" ht="14.25" customHeight="1">
      <c r="A109" s="26" t="s">
        <v>95</v>
      </c>
      <c r="B109" s="26" t="s">
        <v>322</v>
      </c>
      <c r="C109" s="26" t="s">
        <v>333</v>
      </c>
      <c r="D109" s="26" t="s">
        <v>334</v>
      </c>
      <c r="E109" s="19">
        <v>3976000</v>
      </c>
      <c r="F109" s="37">
        <v>-0.4</v>
      </c>
      <c r="G109" s="38">
        <f t="shared" si="0"/>
        <v>-1590400</v>
      </c>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88">
        <v>43921</v>
      </c>
      <c r="AP109" s="63">
        <f>AW24/1000000</f>
        <v>72093.6036087955</v>
      </c>
      <c r="AQ109" s="64">
        <f t="shared" ref="AQ109:AQ112" si="114">AP109*$BJ$2</f>
        <v>13697.784685671146</v>
      </c>
      <c r="AR109" s="65">
        <f t="shared" si="67"/>
        <v>85791.38829446664</v>
      </c>
      <c r="AS109" s="63">
        <f>BA24/1000000</f>
        <v>72093.6036087955</v>
      </c>
      <c r="AT109" s="64">
        <f t="shared" ref="AT109:AT112" si="115">AS109*$BJ$2</f>
        <v>13697.784685671146</v>
      </c>
      <c r="AU109" s="65">
        <f t="shared" si="68"/>
        <v>85791.38829446664</v>
      </c>
      <c r="AV109" s="63">
        <f>BE24/1000000</f>
        <v>72093.6036087955</v>
      </c>
      <c r="AW109" s="64">
        <f t="shared" ref="AW109:AW112" si="116">AV109*$BJ$2</f>
        <v>13697.784685671146</v>
      </c>
      <c r="AX109" s="65">
        <f t="shared" si="69"/>
        <v>85791.38829446664</v>
      </c>
      <c r="AY109" s="104">
        <f t="shared" si="70"/>
        <v>0.21902542108869241</v>
      </c>
      <c r="AZ109" s="88">
        <v>43921</v>
      </c>
      <c r="BA109" s="158">
        <f t="shared" si="71"/>
        <v>-2.6251936062721026E-2</v>
      </c>
      <c r="BB109" s="158">
        <f t="shared" si="72"/>
        <v>-2.6251936062721026E-2</v>
      </c>
      <c r="BC109" s="158">
        <f t="shared" si="73"/>
        <v>-2.6251936062721026E-2</v>
      </c>
      <c r="BD109" s="133"/>
      <c r="BE109" s="88">
        <v>43921</v>
      </c>
      <c r="BF109" s="158">
        <f t="shared" si="74"/>
        <v>2.5974934635772273E-2</v>
      </c>
      <c r="BG109" s="158">
        <f t="shared" si="75"/>
        <v>2.5974934635772273E-2</v>
      </c>
      <c r="BH109" s="158">
        <f t="shared" si="76"/>
        <v>2.5974934635772273E-2</v>
      </c>
      <c r="BI109" s="26"/>
      <c r="BJ109" s="26"/>
      <c r="BL109" s="446"/>
      <c r="BM109" s="446"/>
      <c r="BN109" s="395"/>
      <c r="BO109" s="446"/>
    </row>
    <row r="110" spans="1:67" ht="14.25" customHeight="1">
      <c r="A110" s="26" t="s">
        <v>95</v>
      </c>
      <c r="B110" s="26" t="s">
        <v>322</v>
      </c>
      <c r="C110" s="26" t="s">
        <v>333</v>
      </c>
      <c r="D110" s="26" t="s">
        <v>335</v>
      </c>
      <c r="E110" s="19">
        <v>24787000</v>
      </c>
      <c r="F110" s="37">
        <v>-0.4</v>
      </c>
      <c r="G110" s="38">
        <f t="shared" si="0"/>
        <v>-9914800</v>
      </c>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88">
        <v>44012</v>
      </c>
      <c r="AP110" s="63">
        <f>AX24/1000000</f>
        <v>62963.37188920749</v>
      </c>
      <c r="AQ110" s="64">
        <f t="shared" si="114"/>
        <v>11963.040658949423</v>
      </c>
      <c r="AR110" s="65">
        <f t="shared" si="67"/>
        <v>74926.412548156921</v>
      </c>
      <c r="AS110" s="63">
        <f>BB24/1000000</f>
        <v>62963.37188920749</v>
      </c>
      <c r="AT110" s="64">
        <f t="shared" si="115"/>
        <v>11963.040658949423</v>
      </c>
      <c r="AU110" s="65">
        <f t="shared" si="68"/>
        <v>74926.412548156921</v>
      </c>
      <c r="AV110" s="63">
        <f>BF24/1000000</f>
        <v>62963.37188920749</v>
      </c>
      <c r="AW110" s="64">
        <f t="shared" si="116"/>
        <v>11963.040658949423</v>
      </c>
      <c r="AX110" s="65">
        <f t="shared" si="69"/>
        <v>74926.412548156921</v>
      </c>
      <c r="AY110" s="104">
        <f t="shared" si="70"/>
        <v>0.2133089944989125</v>
      </c>
      <c r="AZ110" s="88">
        <v>44012</v>
      </c>
      <c r="BA110" s="158">
        <f t="shared" si="71"/>
        <v>-0.25416729893932566</v>
      </c>
      <c r="BB110" s="158">
        <f t="shared" si="72"/>
        <v>-0.25416729893932566</v>
      </c>
      <c r="BC110" s="158">
        <f t="shared" si="73"/>
        <v>-0.25416729893932566</v>
      </c>
      <c r="BD110" s="133"/>
      <c r="BE110" s="88">
        <v>44012</v>
      </c>
      <c r="BF110" s="158">
        <f t="shared" si="74"/>
        <v>-4.8911827395474949E-2</v>
      </c>
      <c r="BG110" s="158">
        <f t="shared" si="75"/>
        <v>-4.8911827395474949E-2</v>
      </c>
      <c r="BH110" s="158">
        <f t="shared" si="76"/>
        <v>-4.8911827395474949E-2</v>
      </c>
      <c r="BI110" s="26"/>
      <c r="BJ110" s="26"/>
      <c r="BL110" s="446"/>
      <c r="BM110" s="446"/>
      <c r="BN110" s="446"/>
      <c r="BO110" s="446"/>
    </row>
    <row r="111" spans="1:67" ht="14.25" customHeight="1">
      <c r="A111" s="26" t="s">
        <v>95</v>
      </c>
      <c r="B111" s="26" t="s">
        <v>322</v>
      </c>
      <c r="C111" s="26" t="s">
        <v>333</v>
      </c>
      <c r="D111" s="26" t="s">
        <v>336</v>
      </c>
      <c r="E111" s="19">
        <v>513274000</v>
      </c>
      <c r="F111" s="37">
        <v>-0.4</v>
      </c>
      <c r="G111" s="38">
        <f t="shared" si="0"/>
        <v>-205309600</v>
      </c>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88">
        <v>44104</v>
      </c>
      <c r="AP111" s="63">
        <f>AY24/1000000</f>
        <v>75700.650320438363</v>
      </c>
      <c r="AQ111" s="64">
        <f t="shared" si="114"/>
        <v>14383.123560883289</v>
      </c>
      <c r="AR111" s="65">
        <f t="shared" si="67"/>
        <v>90083.773881321657</v>
      </c>
      <c r="AS111" s="63">
        <f>BC24/1000000</f>
        <v>80822.31569674387</v>
      </c>
      <c r="AT111" s="64">
        <f t="shared" si="115"/>
        <v>15356.239982381336</v>
      </c>
      <c r="AU111" s="65">
        <f t="shared" si="68"/>
        <v>96178.555679125202</v>
      </c>
      <c r="AV111" s="63">
        <f>BG24/1000000</f>
        <v>86712.675180427599</v>
      </c>
      <c r="AW111" s="64">
        <f t="shared" si="116"/>
        <v>16475.408284281242</v>
      </c>
      <c r="AX111" s="65">
        <f t="shared" si="69"/>
        <v>103188.08346470885</v>
      </c>
      <c r="AY111" s="104">
        <f t="shared" si="70"/>
        <v>0.19734610683851234</v>
      </c>
      <c r="AZ111" s="88">
        <v>44104</v>
      </c>
      <c r="BA111" s="158">
        <f t="shared" si="71"/>
        <v>-0.20212915629453421</v>
      </c>
      <c r="BB111" s="158">
        <f t="shared" si="72"/>
        <v>-0.14814775114580403</v>
      </c>
      <c r="BC111" s="158">
        <f t="shared" si="73"/>
        <v>-8.6064452375167799E-2</v>
      </c>
      <c r="BD111" s="133"/>
      <c r="BE111" s="88">
        <v>44104</v>
      </c>
      <c r="BF111" s="158">
        <f t="shared" si="74"/>
        <v>-0.11772231044788051</v>
      </c>
      <c r="BG111" s="158">
        <f t="shared" si="75"/>
        <v>-0.10233376546939887</v>
      </c>
      <c r="BH111" s="158">
        <f t="shared" si="76"/>
        <v>-8.4635603798501213E-2</v>
      </c>
      <c r="BI111" s="26"/>
      <c r="BJ111" s="26"/>
      <c r="BL111" s="446"/>
      <c r="BM111" s="446"/>
      <c r="BN111" s="446"/>
      <c r="BO111" s="446"/>
    </row>
    <row r="112" spans="1:67" ht="14.25" customHeight="1">
      <c r="A112" s="26" t="s">
        <v>95</v>
      </c>
      <c r="B112" s="26" t="s">
        <v>322</v>
      </c>
      <c r="C112" s="26" t="s">
        <v>337</v>
      </c>
      <c r="D112" s="26" t="s">
        <v>338</v>
      </c>
      <c r="E112" s="19">
        <v>57859000</v>
      </c>
      <c r="F112" s="37">
        <v>-0.4</v>
      </c>
      <c r="G112" s="38">
        <f t="shared" si="0"/>
        <v>-23143600</v>
      </c>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88">
        <v>44196</v>
      </c>
      <c r="AP112" s="134">
        <f>AZ24/1000000</f>
        <v>74537.659728520521</v>
      </c>
      <c r="AQ112" s="135">
        <f t="shared" si="114"/>
        <v>14162.155348418899</v>
      </c>
      <c r="AR112" s="136">
        <f t="shared" si="67"/>
        <v>88699.815076939412</v>
      </c>
      <c r="AS112" s="134">
        <f>BD24/1000000</f>
        <v>77859.472854153835</v>
      </c>
      <c r="AT112" s="135">
        <f t="shared" si="115"/>
        <v>14793.299842289229</v>
      </c>
      <c r="AU112" s="136">
        <f t="shared" si="68"/>
        <v>92652.772696443062</v>
      </c>
      <c r="AV112" s="134">
        <f>BH24/1000000</f>
        <v>81181.285979787121</v>
      </c>
      <c r="AW112" s="135">
        <f t="shared" si="116"/>
        <v>15424.444336159553</v>
      </c>
      <c r="AX112" s="136">
        <f t="shared" si="69"/>
        <v>96605.730315946668</v>
      </c>
      <c r="AY112" s="104">
        <f t="shared" si="70"/>
        <v>0.19000000000000003</v>
      </c>
      <c r="AZ112" s="88">
        <v>44196</v>
      </c>
      <c r="BA112" s="158">
        <f t="shared" si="71"/>
        <v>-0.10070873203246888</v>
      </c>
      <c r="BB112" s="158">
        <f t="shared" si="72"/>
        <v>-6.0631306089902748E-2</v>
      </c>
      <c r="BC112" s="158">
        <f t="shared" si="73"/>
        <v>-2.0553880147337056E-2</v>
      </c>
      <c r="BD112" s="133"/>
      <c r="BE112" s="88">
        <v>44196</v>
      </c>
      <c r="BF112" s="158">
        <f t="shared" si="74"/>
        <v>-0.15146418833110664</v>
      </c>
      <c r="BG112" s="158">
        <f t="shared" si="75"/>
        <v>-0.12635128164491405</v>
      </c>
      <c r="BH112" s="158">
        <f t="shared" si="76"/>
        <v>-9.8952096455805605E-2</v>
      </c>
      <c r="BI112" s="26"/>
      <c r="BJ112" s="26"/>
      <c r="BL112" s="446"/>
      <c r="BM112" s="446"/>
      <c r="BN112" s="395"/>
      <c r="BO112" s="446"/>
    </row>
    <row r="113" spans="1:67" ht="14.25" customHeight="1">
      <c r="A113" s="26" t="s">
        <v>95</v>
      </c>
      <c r="B113" s="26" t="s">
        <v>322</v>
      </c>
      <c r="C113" s="26" t="s">
        <v>337</v>
      </c>
      <c r="D113" s="26" t="s">
        <v>339</v>
      </c>
      <c r="E113" s="19">
        <v>17129000</v>
      </c>
      <c r="F113" s="37">
        <v>-0.4</v>
      </c>
      <c r="G113" s="38">
        <f t="shared" si="0"/>
        <v>-6851600</v>
      </c>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c r="BL113" s="446"/>
      <c r="BM113" s="446"/>
      <c r="BN113" s="395"/>
      <c r="BO113" s="446"/>
    </row>
    <row r="114" spans="1:67" ht="14.25" customHeight="1">
      <c r="A114" s="26" t="s">
        <v>95</v>
      </c>
      <c r="B114" s="26" t="s">
        <v>322</v>
      </c>
      <c r="C114" s="26" t="s">
        <v>337</v>
      </c>
      <c r="D114" s="26" t="s">
        <v>340</v>
      </c>
      <c r="E114" s="19">
        <v>129213000</v>
      </c>
      <c r="F114" s="37">
        <v>-0.4</v>
      </c>
      <c r="G114" s="38">
        <f t="shared" si="0"/>
        <v>-51685200</v>
      </c>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c r="BL114" s="446"/>
      <c r="BM114" s="446"/>
      <c r="BN114" s="446"/>
      <c r="BO114" s="446"/>
    </row>
    <row r="115" spans="1:67" ht="14.25" customHeight="1">
      <c r="A115" s="26" t="s">
        <v>95</v>
      </c>
      <c r="B115" s="26" t="s">
        <v>322</v>
      </c>
      <c r="C115" s="26" t="s">
        <v>337</v>
      </c>
      <c r="D115" s="26" t="s">
        <v>341</v>
      </c>
      <c r="E115" s="19">
        <v>198833000</v>
      </c>
      <c r="F115" s="37">
        <v>-0.4</v>
      </c>
      <c r="G115" s="38">
        <f t="shared" si="0"/>
        <v>-79533200</v>
      </c>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c r="BL115" s="446"/>
      <c r="BM115" s="446"/>
      <c r="BN115" s="395"/>
      <c r="BO115" s="446"/>
    </row>
    <row r="116" spans="1:67" ht="14.25" customHeight="1">
      <c r="A116" s="26" t="s">
        <v>95</v>
      </c>
      <c r="B116" s="26" t="s">
        <v>322</v>
      </c>
      <c r="C116" s="26" t="s">
        <v>337</v>
      </c>
      <c r="D116" s="26" t="s">
        <v>342</v>
      </c>
      <c r="E116" s="19">
        <v>420724000</v>
      </c>
      <c r="F116" s="37">
        <v>-0.4</v>
      </c>
      <c r="G116" s="38">
        <f t="shared" si="0"/>
        <v>-168289600</v>
      </c>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c r="BL116" s="446"/>
      <c r="BM116" s="446"/>
      <c r="BN116" s="395"/>
      <c r="BO116" s="446"/>
    </row>
    <row r="117" spans="1:67" ht="14.25" customHeight="1">
      <c r="A117" s="26" t="s">
        <v>95</v>
      </c>
      <c r="B117" s="26" t="s">
        <v>343</v>
      </c>
      <c r="C117" s="26" t="s">
        <v>344</v>
      </c>
      <c r="D117" s="26" t="s">
        <v>345</v>
      </c>
      <c r="E117" s="19">
        <v>194523000</v>
      </c>
      <c r="F117" s="37">
        <v>-0.3</v>
      </c>
      <c r="G117" s="38">
        <f t="shared" si="0"/>
        <v>-58356900</v>
      </c>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t="s">
        <v>346</v>
      </c>
      <c r="AQ117" s="79">
        <f>SUM(AR109:AR112)-SUM(AR105:AR108)</f>
        <v>-60601.21651475929</v>
      </c>
      <c r="AR117" s="26"/>
      <c r="AS117" s="26"/>
      <c r="AT117" s="26"/>
      <c r="AU117" s="26"/>
      <c r="AV117" s="26"/>
      <c r="AY117" s="26"/>
      <c r="AZ117" s="26"/>
      <c r="BA117" s="26"/>
      <c r="BB117" s="26"/>
      <c r="BC117" s="26"/>
      <c r="BD117" s="26"/>
      <c r="BE117" s="26"/>
      <c r="BF117" s="26"/>
      <c r="BG117" s="26"/>
      <c r="BH117" s="26"/>
      <c r="BI117" s="26"/>
      <c r="BJ117" s="26"/>
      <c r="BL117" s="446"/>
      <c r="BM117" s="446"/>
      <c r="BN117" s="446"/>
      <c r="BO117" s="446"/>
    </row>
    <row r="118" spans="1:67" ht="14.25" customHeight="1">
      <c r="A118" s="26" t="s">
        <v>95</v>
      </c>
      <c r="B118" s="26" t="s">
        <v>343</v>
      </c>
      <c r="C118" s="26" t="s">
        <v>344</v>
      </c>
      <c r="D118" s="26" t="s">
        <v>347</v>
      </c>
      <c r="E118" s="19">
        <v>4703000</v>
      </c>
      <c r="F118" s="37">
        <v>-0.3</v>
      </c>
      <c r="G118" s="38">
        <f t="shared" si="0"/>
        <v>-1410900</v>
      </c>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t="s">
        <v>348</v>
      </c>
      <c r="AQ118" s="79">
        <f t="shared" ref="AQ118:AQ121" si="117">(AR109-AR106)/$AQ$117</f>
        <v>0.24205275390721315</v>
      </c>
      <c r="AR118" s="26"/>
      <c r="AS118" s="26"/>
      <c r="AT118" s="26"/>
      <c r="AU118" s="26"/>
      <c r="AV118" s="26"/>
      <c r="AY118" s="26"/>
      <c r="AZ118" s="26"/>
      <c r="BA118" s="26"/>
      <c r="BB118" s="26"/>
      <c r="BC118" s="26"/>
      <c r="BD118" s="26"/>
      <c r="BE118" s="26"/>
      <c r="BF118" s="26"/>
      <c r="BG118" s="26"/>
      <c r="BH118" s="26"/>
      <c r="BI118" s="26"/>
      <c r="BJ118" s="26"/>
      <c r="BL118" s="446"/>
      <c r="BM118" s="446"/>
      <c r="BN118" s="395"/>
      <c r="BO118" s="446"/>
    </row>
    <row r="119" spans="1:67" ht="14.25" customHeight="1">
      <c r="A119" s="26" t="s">
        <v>95</v>
      </c>
      <c r="B119" s="26" t="s">
        <v>343</v>
      </c>
      <c r="C119" s="26" t="s">
        <v>349</v>
      </c>
      <c r="D119" s="26" t="s">
        <v>349</v>
      </c>
      <c r="E119" s="19">
        <v>179460000</v>
      </c>
      <c r="F119" s="37">
        <v>-0.3</v>
      </c>
      <c r="G119" s="38">
        <f t="shared" si="0"/>
        <v>-53838000</v>
      </c>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t="s">
        <v>350</v>
      </c>
      <c r="AQ119" s="79">
        <f t="shared" si="117"/>
        <v>0.62670022206851139</v>
      </c>
      <c r="AR119" s="26"/>
      <c r="AS119" s="26"/>
      <c r="AT119" s="26"/>
      <c r="AU119" s="26"/>
      <c r="AV119" s="26"/>
      <c r="AY119" s="26"/>
      <c r="AZ119" s="26"/>
      <c r="BA119" s="26"/>
      <c r="BB119" s="26"/>
      <c r="BC119" s="26"/>
      <c r="BD119" s="26"/>
      <c r="BE119" s="26"/>
      <c r="BF119" s="26"/>
      <c r="BG119" s="26"/>
      <c r="BH119" s="26"/>
      <c r="BI119" s="26"/>
      <c r="BJ119" s="26"/>
      <c r="BL119" s="446"/>
      <c r="BM119" s="446"/>
      <c r="BN119" s="395"/>
      <c r="BO119" s="446"/>
    </row>
    <row r="120" spans="1:67" ht="14.25" customHeight="1">
      <c r="A120" s="26" t="s">
        <v>95</v>
      </c>
      <c r="B120" s="26" t="s">
        <v>343</v>
      </c>
      <c r="C120" s="26" t="s">
        <v>351</v>
      </c>
      <c r="D120" s="26" t="s">
        <v>352</v>
      </c>
      <c r="E120" s="19">
        <v>241070000</v>
      </c>
      <c r="F120" s="37">
        <v>-0.4</v>
      </c>
      <c r="G120" s="38">
        <f t="shared" si="0"/>
        <v>-96428000</v>
      </c>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t="s">
        <v>353</v>
      </c>
      <c r="AQ120" s="79">
        <f t="shared" si="117"/>
        <v>0.14107386338537944</v>
      </c>
      <c r="AR120" s="26"/>
      <c r="AS120" s="26"/>
      <c r="AT120" s="26"/>
      <c r="AU120" s="26"/>
      <c r="AV120" s="26"/>
      <c r="AY120" s="26"/>
      <c r="AZ120" s="26"/>
      <c r="BA120" s="26"/>
      <c r="BB120" s="26"/>
      <c r="BC120" s="26"/>
      <c r="BD120" s="26"/>
      <c r="BE120" s="26"/>
      <c r="BF120" s="26"/>
      <c r="BG120" s="26"/>
      <c r="BH120" s="26"/>
      <c r="BI120" s="26"/>
      <c r="BJ120" s="26"/>
      <c r="BL120" s="446"/>
      <c r="BM120" s="446"/>
      <c r="BN120" s="446"/>
      <c r="BO120" s="446"/>
    </row>
    <row r="121" spans="1:67" ht="14.25" customHeight="1">
      <c r="A121" s="26" t="s">
        <v>95</v>
      </c>
      <c r="B121" s="26" t="s">
        <v>343</v>
      </c>
      <c r="C121" s="26" t="s">
        <v>351</v>
      </c>
      <c r="D121" s="26" t="s">
        <v>354</v>
      </c>
      <c r="E121" s="19">
        <v>6724000</v>
      </c>
      <c r="F121" s="37">
        <v>-0.4</v>
      </c>
      <c r="G121" s="38">
        <f t="shared" si="0"/>
        <v>-2689600</v>
      </c>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t="s">
        <v>355</v>
      </c>
      <c r="AQ121" s="79">
        <f t="shared" si="117"/>
        <v>-4.7992877861856638E-2</v>
      </c>
      <c r="AR121" s="26"/>
      <c r="AS121" s="26"/>
      <c r="AT121" s="26"/>
      <c r="AU121" s="26"/>
      <c r="AV121" s="26"/>
      <c r="AY121" s="26"/>
      <c r="AZ121" s="26"/>
      <c r="BA121" s="26"/>
      <c r="BB121" s="26"/>
      <c r="BC121" s="26"/>
      <c r="BD121" s="26"/>
      <c r="BE121" s="26"/>
      <c r="BF121" s="26"/>
      <c r="BG121" s="26"/>
      <c r="BH121" s="26"/>
      <c r="BI121" s="26"/>
      <c r="BJ121" s="26"/>
      <c r="BL121" s="446"/>
      <c r="BM121" s="446"/>
      <c r="BN121" s="395"/>
      <c r="BO121" s="446"/>
    </row>
    <row r="122" spans="1:67" ht="14.25" customHeight="1">
      <c r="A122" s="26" t="s">
        <v>95</v>
      </c>
      <c r="B122" s="26" t="s">
        <v>343</v>
      </c>
      <c r="C122" s="26" t="s">
        <v>356</v>
      </c>
      <c r="D122" s="26" t="s">
        <v>356</v>
      </c>
      <c r="E122" s="19">
        <v>22715000</v>
      </c>
      <c r="F122" s="37">
        <v>-0.4</v>
      </c>
      <c r="G122" s="38">
        <f t="shared" si="0"/>
        <v>-9086000</v>
      </c>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c r="BL122" s="446"/>
      <c r="BM122" s="446"/>
      <c r="BN122" s="446"/>
      <c r="BO122" s="446"/>
    </row>
    <row r="123" spans="1:67" ht="14.25" customHeight="1">
      <c r="A123" s="26" t="s">
        <v>95</v>
      </c>
      <c r="B123" s="26" t="s">
        <v>357</v>
      </c>
      <c r="C123" s="26" t="s">
        <v>358</v>
      </c>
      <c r="D123" s="26" t="s">
        <v>359</v>
      </c>
      <c r="E123" s="19">
        <v>1242851000</v>
      </c>
      <c r="F123" s="37">
        <v>-0.4</v>
      </c>
      <c r="G123" s="38">
        <f t="shared" si="0"/>
        <v>-497140400</v>
      </c>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c r="BL123" s="446"/>
      <c r="BM123" s="446"/>
      <c r="BN123" s="446"/>
      <c r="BO123" s="446"/>
    </row>
    <row r="124" spans="1:67" ht="14.25" customHeight="1">
      <c r="A124" s="26" t="s">
        <v>95</v>
      </c>
      <c r="B124" s="26" t="s">
        <v>357</v>
      </c>
      <c r="C124" s="26" t="s">
        <v>358</v>
      </c>
      <c r="D124" s="26" t="s">
        <v>360</v>
      </c>
      <c r="E124" s="19">
        <v>295643000</v>
      </c>
      <c r="F124" s="37">
        <v>-0.4</v>
      </c>
      <c r="G124" s="38">
        <f t="shared" si="0"/>
        <v>-118257200</v>
      </c>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L124" s="446"/>
      <c r="BM124" s="446"/>
      <c r="BN124" s="395"/>
      <c r="BO124" s="446"/>
    </row>
    <row r="125" spans="1:67" ht="14.25" customHeight="1">
      <c r="A125" s="26" t="s">
        <v>95</v>
      </c>
      <c r="B125" s="26" t="s">
        <v>357</v>
      </c>
      <c r="C125" s="26" t="s">
        <v>361</v>
      </c>
      <c r="D125" s="26" t="s">
        <v>361</v>
      </c>
      <c r="E125" s="19">
        <v>15000</v>
      </c>
      <c r="F125" s="37">
        <v>-0.4</v>
      </c>
      <c r="G125" s="38">
        <f t="shared" si="0"/>
        <v>-6000</v>
      </c>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c r="BL125" s="446"/>
      <c r="BM125" s="446"/>
      <c r="BN125" s="395"/>
      <c r="BO125" s="446"/>
    </row>
    <row r="126" spans="1:67" ht="14.25" customHeight="1">
      <c r="A126" s="26" t="s">
        <v>95</v>
      </c>
      <c r="B126" s="26" t="s">
        <v>357</v>
      </c>
      <c r="C126" s="26" t="s">
        <v>362</v>
      </c>
      <c r="D126" s="26" t="s">
        <v>363</v>
      </c>
      <c r="E126" s="19">
        <v>97494000</v>
      </c>
      <c r="F126" s="37">
        <v>-0.4</v>
      </c>
      <c r="G126" s="38">
        <f t="shared" si="0"/>
        <v>-38997600</v>
      </c>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c r="BL126" s="446"/>
      <c r="BM126" s="446"/>
      <c r="BN126" s="446"/>
      <c r="BO126" s="446"/>
    </row>
    <row r="127" spans="1:67" ht="14.25" customHeight="1">
      <c r="A127" s="26" t="s">
        <v>95</v>
      </c>
      <c r="B127" s="26" t="s">
        <v>357</v>
      </c>
      <c r="C127" s="26" t="s">
        <v>362</v>
      </c>
      <c r="D127" s="26" t="s">
        <v>364</v>
      </c>
      <c r="E127" s="19">
        <v>81254000</v>
      </c>
      <c r="F127" s="37">
        <v>-0.4</v>
      </c>
      <c r="G127" s="38">
        <f t="shared" si="0"/>
        <v>-32501600</v>
      </c>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c r="BL127" s="446"/>
      <c r="BM127" s="446"/>
      <c r="BN127" s="395"/>
      <c r="BO127" s="446"/>
    </row>
    <row r="128" spans="1:67" ht="14.25" customHeight="1">
      <c r="A128" s="26" t="s">
        <v>95</v>
      </c>
      <c r="B128" s="26" t="s">
        <v>357</v>
      </c>
      <c r="C128" s="26" t="s">
        <v>365</v>
      </c>
      <c r="D128" s="26" t="s">
        <v>365</v>
      </c>
      <c r="E128" s="19">
        <v>112751000</v>
      </c>
      <c r="F128" s="37">
        <v>-0.4</v>
      </c>
      <c r="G128" s="38">
        <f t="shared" si="0"/>
        <v>-45100400</v>
      </c>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L128" s="446"/>
      <c r="BM128" s="446"/>
      <c r="BN128" s="395"/>
      <c r="BO128" s="446"/>
    </row>
    <row r="129" spans="1:62" ht="14.25" customHeight="1">
      <c r="A129" s="26" t="s">
        <v>95</v>
      </c>
      <c r="B129" s="26" t="s">
        <v>357</v>
      </c>
      <c r="C129" s="26" t="s">
        <v>366</v>
      </c>
      <c r="D129" s="26" t="s">
        <v>367</v>
      </c>
      <c r="E129" s="19">
        <v>17589000</v>
      </c>
      <c r="F129" s="37">
        <v>-0.4</v>
      </c>
      <c r="G129" s="38">
        <f t="shared" si="0"/>
        <v>-7035600</v>
      </c>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row>
    <row r="130" spans="1:62" ht="14.25" customHeight="1">
      <c r="A130" s="26" t="s">
        <v>95</v>
      </c>
      <c r="B130" s="26" t="s">
        <v>357</v>
      </c>
      <c r="C130" s="26" t="s">
        <v>366</v>
      </c>
      <c r="D130" s="26" t="s">
        <v>368</v>
      </c>
      <c r="E130" s="19">
        <v>65004000</v>
      </c>
      <c r="F130" s="37">
        <v>-0.4</v>
      </c>
      <c r="G130" s="38">
        <f t="shared" si="0"/>
        <v>-26001600</v>
      </c>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row>
    <row r="131" spans="1:62" ht="14.25" customHeight="1">
      <c r="A131" s="26" t="s">
        <v>95</v>
      </c>
      <c r="B131" s="26" t="s">
        <v>357</v>
      </c>
      <c r="C131" s="26" t="s">
        <v>369</v>
      </c>
      <c r="D131" s="26" t="s">
        <v>369</v>
      </c>
      <c r="E131" s="19">
        <v>326898000</v>
      </c>
      <c r="F131" s="37">
        <v>-0.4</v>
      </c>
      <c r="G131" s="38">
        <f t="shared" si="0"/>
        <v>-130759200</v>
      </c>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row>
    <row r="132" spans="1:62" ht="14.25" customHeight="1">
      <c r="A132" s="26" t="s">
        <v>95</v>
      </c>
      <c r="B132" s="26" t="s">
        <v>370</v>
      </c>
      <c r="C132" s="26" t="s">
        <v>371</v>
      </c>
      <c r="D132" s="26" t="s">
        <v>372</v>
      </c>
      <c r="E132" s="19">
        <v>367282000</v>
      </c>
      <c r="F132" s="37">
        <v>-0.4</v>
      </c>
      <c r="G132" s="38">
        <f t="shared" si="0"/>
        <v>-146912800</v>
      </c>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row>
    <row r="133" spans="1:62" ht="14.25" customHeight="1">
      <c r="A133" s="26" t="s">
        <v>95</v>
      </c>
      <c r="B133" s="26" t="s">
        <v>370</v>
      </c>
      <c r="C133" s="26" t="s">
        <v>371</v>
      </c>
      <c r="D133" s="26" t="s">
        <v>373</v>
      </c>
      <c r="E133" s="19">
        <v>20909000</v>
      </c>
      <c r="F133" s="37">
        <v>-0.4</v>
      </c>
      <c r="G133" s="38">
        <f t="shared" si="0"/>
        <v>-8363600</v>
      </c>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row>
    <row r="134" spans="1:62" ht="14.25" customHeight="1">
      <c r="A134" s="26" t="s">
        <v>95</v>
      </c>
      <c r="B134" s="26" t="s">
        <v>370</v>
      </c>
      <c r="C134" s="26" t="s">
        <v>371</v>
      </c>
      <c r="D134" s="26" t="s">
        <v>374</v>
      </c>
      <c r="E134" s="19">
        <v>78101000</v>
      </c>
      <c r="F134" s="37">
        <v>-0.4</v>
      </c>
      <c r="G134" s="38">
        <f t="shared" si="0"/>
        <v>-31240400</v>
      </c>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row>
    <row r="135" spans="1:62" ht="14.25" customHeight="1">
      <c r="A135" s="26" t="s">
        <v>95</v>
      </c>
      <c r="B135" s="26" t="s">
        <v>370</v>
      </c>
      <c r="C135" s="26" t="s">
        <v>371</v>
      </c>
      <c r="D135" s="26" t="s">
        <v>375</v>
      </c>
      <c r="E135" s="19">
        <v>91435000</v>
      </c>
      <c r="F135" s="37">
        <v>-0.4</v>
      </c>
      <c r="G135" s="38">
        <f t="shared" si="0"/>
        <v>-36574000</v>
      </c>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row>
    <row r="136" spans="1:62" ht="14.25" customHeight="1">
      <c r="A136" s="26" t="s">
        <v>95</v>
      </c>
      <c r="B136" s="26" t="s">
        <v>370</v>
      </c>
      <c r="C136" s="26" t="s">
        <v>371</v>
      </c>
      <c r="D136" s="26" t="s">
        <v>376</v>
      </c>
      <c r="E136" s="19">
        <v>69189000</v>
      </c>
      <c r="F136" s="37">
        <v>-0.4</v>
      </c>
      <c r="G136" s="38">
        <f t="shared" si="0"/>
        <v>-27675600</v>
      </c>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row>
    <row r="137" spans="1:62" ht="14.25" customHeight="1">
      <c r="A137" s="26" t="s">
        <v>95</v>
      </c>
      <c r="B137" s="26" t="s">
        <v>370</v>
      </c>
      <c r="C137" s="26" t="s">
        <v>377</v>
      </c>
      <c r="D137" s="26" t="s">
        <v>378</v>
      </c>
      <c r="E137" s="19">
        <v>34758000</v>
      </c>
      <c r="F137" s="37">
        <v>-0.4</v>
      </c>
      <c r="G137" s="38">
        <f t="shared" si="0"/>
        <v>-13903200</v>
      </c>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row>
    <row r="138" spans="1:62" ht="14.25" customHeight="1">
      <c r="A138" s="26" t="s">
        <v>95</v>
      </c>
      <c r="B138" s="26" t="s">
        <v>370</v>
      </c>
      <c r="C138" s="26" t="s">
        <v>377</v>
      </c>
      <c r="D138" s="26" t="s">
        <v>379</v>
      </c>
      <c r="E138" s="19">
        <v>115667000</v>
      </c>
      <c r="F138" s="37">
        <v>-0.4</v>
      </c>
      <c r="G138" s="38">
        <f t="shared" si="0"/>
        <v>-46266800</v>
      </c>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row>
    <row r="139" spans="1:62" ht="14.25" customHeight="1">
      <c r="A139" s="26" t="s">
        <v>95</v>
      </c>
      <c r="B139" s="26" t="s">
        <v>370</v>
      </c>
      <c r="C139" s="26" t="s">
        <v>377</v>
      </c>
      <c r="D139" s="26" t="s">
        <v>380</v>
      </c>
      <c r="E139" s="19">
        <v>15998000</v>
      </c>
      <c r="F139" s="37">
        <v>-0.4</v>
      </c>
      <c r="G139" s="38">
        <f t="shared" si="0"/>
        <v>-6399200</v>
      </c>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row>
    <row r="140" spans="1:62" ht="14.25" customHeight="1">
      <c r="A140" s="26" t="s">
        <v>95</v>
      </c>
      <c r="B140" s="26" t="s">
        <v>370</v>
      </c>
      <c r="C140" s="26" t="s">
        <v>377</v>
      </c>
      <c r="D140" s="26" t="s">
        <v>381</v>
      </c>
      <c r="E140" s="19">
        <v>4686000</v>
      </c>
      <c r="F140" s="37">
        <v>-0.4</v>
      </c>
      <c r="G140" s="38">
        <f t="shared" si="0"/>
        <v>-1874400</v>
      </c>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row>
    <row r="141" spans="1:62" ht="14.25" customHeight="1">
      <c r="A141" s="26" t="s">
        <v>95</v>
      </c>
      <c r="B141" s="26" t="s">
        <v>370</v>
      </c>
      <c r="C141" s="26" t="s">
        <v>377</v>
      </c>
      <c r="D141" s="26" t="s">
        <v>382</v>
      </c>
      <c r="E141" s="19">
        <v>239639000</v>
      </c>
      <c r="F141" s="37">
        <v>-0.4</v>
      </c>
      <c r="G141" s="38">
        <f t="shared" si="0"/>
        <v>-95855600</v>
      </c>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row>
    <row r="142" spans="1:62" ht="14.25" customHeight="1">
      <c r="A142" s="26" t="s">
        <v>95</v>
      </c>
      <c r="B142" s="26" t="s">
        <v>370</v>
      </c>
      <c r="C142" s="26" t="s">
        <v>377</v>
      </c>
      <c r="D142" s="26" t="s">
        <v>383</v>
      </c>
      <c r="E142" s="19">
        <v>290873000</v>
      </c>
      <c r="F142" s="37">
        <v>-0.4</v>
      </c>
      <c r="G142" s="38">
        <f t="shared" si="0"/>
        <v>-116349200</v>
      </c>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row>
    <row r="143" spans="1:62" ht="14.25" customHeight="1">
      <c r="A143" s="26" t="s">
        <v>95</v>
      </c>
      <c r="B143" s="26" t="s">
        <v>370</v>
      </c>
      <c r="C143" s="26" t="s">
        <v>384</v>
      </c>
      <c r="D143" s="26" t="s">
        <v>384</v>
      </c>
      <c r="E143" s="19">
        <v>181641000</v>
      </c>
      <c r="F143" s="37">
        <v>-0.4</v>
      </c>
      <c r="G143" s="38">
        <f t="shared" si="0"/>
        <v>-72656400</v>
      </c>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row>
    <row r="144" spans="1:62" ht="14.25" customHeight="1">
      <c r="A144" s="26" t="s">
        <v>95</v>
      </c>
      <c r="B144" s="26" t="s">
        <v>370</v>
      </c>
      <c r="C144" s="26" t="s">
        <v>385</v>
      </c>
      <c r="D144" s="26" t="s">
        <v>386</v>
      </c>
      <c r="E144" s="19">
        <v>67187000</v>
      </c>
      <c r="F144" s="37">
        <v>-0.4</v>
      </c>
      <c r="G144" s="38">
        <f t="shared" si="0"/>
        <v>-26874800</v>
      </c>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row>
    <row r="145" spans="1:62" ht="14.25" customHeight="1">
      <c r="A145" s="26" t="s">
        <v>95</v>
      </c>
      <c r="B145" s="26" t="s">
        <v>370</v>
      </c>
      <c r="C145" s="26" t="s">
        <v>385</v>
      </c>
      <c r="D145" s="26" t="s">
        <v>387</v>
      </c>
      <c r="E145" s="19">
        <v>15696000</v>
      </c>
      <c r="F145" s="37">
        <v>-0.4</v>
      </c>
      <c r="G145" s="38">
        <f t="shared" si="0"/>
        <v>-6278400</v>
      </c>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row>
    <row r="146" spans="1:62" ht="14.25" customHeight="1">
      <c r="A146" s="26" t="s">
        <v>95</v>
      </c>
      <c r="B146" s="26" t="s">
        <v>370</v>
      </c>
      <c r="C146" s="26" t="s">
        <v>388</v>
      </c>
      <c r="D146" s="26" t="s">
        <v>389</v>
      </c>
      <c r="E146" s="19">
        <v>486000</v>
      </c>
      <c r="F146" s="37">
        <v>-0.4</v>
      </c>
      <c r="G146" s="38">
        <f t="shared" si="0"/>
        <v>-194400</v>
      </c>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row>
    <row r="147" spans="1:62" ht="14.25" customHeight="1">
      <c r="A147" s="26" t="s">
        <v>95</v>
      </c>
      <c r="B147" s="26" t="s">
        <v>370</v>
      </c>
      <c r="C147" s="26" t="s">
        <v>388</v>
      </c>
      <c r="D147" s="26" t="s">
        <v>390</v>
      </c>
      <c r="E147" s="19">
        <v>208250000</v>
      </c>
      <c r="F147" s="37">
        <v>-0.4</v>
      </c>
      <c r="G147" s="38">
        <f t="shared" si="0"/>
        <v>-83300000</v>
      </c>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row>
    <row r="148" spans="1:62" ht="14.25" customHeight="1">
      <c r="A148" s="26" t="s">
        <v>95</v>
      </c>
      <c r="B148" s="26" t="s">
        <v>370</v>
      </c>
      <c r="C148" s="26" t="s">
        <v>388</v>
      </c>
      <c r="D148" s="26" t="s">
        <v>391</v>
      </c>
      <c r="E148" s="19">
        <v>59872000</v>
      </c>
      <c r="F148" s="37">
        <v>-0.4</v>
      </c>
      <c r="G148" s="38">
        <f t="shared" si="0"/>
        <v>-23948800</v>
      </c>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row>
    <row r="149" spans="1:62" ht="14.25" customHeight="1">
      <c r="A149" s="26" t="s">
        <v>95</v>
      </c>
      <c r="B149" s="26" t="s">
        <v>370</v>
      </c>
      <c r="C149" s="26" t="s">
        <v>388</v>
      </c>
      <c r="D149" s="26" t="s">
        <v>392</v>
      </c>
      <c r="E149" s="19">
        <v>99991000</v>
      </c>
      <c r="F149" s="37">
        <v>-0.4</v>
      </c>
      <c r="G149" s="38">
        <f t="shared" si="0"/>
        <v>-39996400</v>
      </c>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row>
    <row r="150" spans="1:62" ht="14.25" customHeight="1">
      <c r="A150" s="26" t="s">
        <v>95</v>
      </c>
      <c r="B150" s="26" t="s">
        <v>393</v>
      </c>
      <c r="C150" s="26" t="s">
        <v>394</v>
      </c>
      <c r="D150" s="26" t="s">
        <v>394</v>
      </c>
      <c r="E150" s="19">
        <v>46975000</v>
      </c>
      <c r="F150" s="37">
        <v>-0.5</v>
      </c>
      <c r="G150" s="38">
        <f t="shared" si="0"/>
        <v>-23487500</v>
      </c>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row>
    <row r="151" spans="1:62" ht="14.25" customHeight="1">
      <c r="A151" s="26" t="s">
        <v>95</v>
      </c>
      <c r="B151" s="26" t="s">
        <v>393</v>
      </c>
      <c r="C151" s="26" t="s">
        <v>395</v>
      </c>
      <c r="D151" s="26" t="s">
        <v>395</v>
      </c>
      <c r="E151" s="19">
        <v>83369000</v>
      </c>
      <c r="F151" s="37">
        <v>-0.5</v>
      </c>
      <c r="G151" s="38">
        <f t="shared" si="0"/>
        <v>-41684500</v>
      </c>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row>
    <row r="152" spans="1:62" ht="14.25" customHeight="1">
      <c r="A152" s="26" t="s">
        <v>95</v>
      </c>
      <c r="B152" s="26" t="s">
        <v>393</v>
      </c>
      <c r="C152" s="26" t="s">
        <v>396</v>
      </c>
      <c r="D152" s="26" t="s">
        <v>397</v>
      </c>
      <c r="E152" s="19">
        <v>25908000</v>
      </c>
      <c r="F152" s="37">
        <v>-0.5</v>
      </c>
      <c r="G152" s="38">
        <f t="shared" si="0"/>
        <v>-12954000</v>
      </c>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row>
    <row r="153" spans="1:62" ht="14.25" customHeight="1">
      <c r="A153" s="26" t="s">
        <v>95</v>
      </c>
      <c r="B153" s="26" t="s">
        <v>393</v>
      </c>
      <c r="C153" s="26" t="s">
        <v>396</v>
      </c>
      <c r="D153" s="26" t="s">
        <v>398</v>
      </c>
      <c r="E153" s="19">
        <v>228584000</v>
      </c>
      <c r="F153" s="37">
        <v>-0.5</v>
      </c>
      <c r="G153" s="38">
        <f t="shared" si="0"/>
        <v>-114292000</v>
      </c>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row>
    <row r="154" spans="1:62" ht="14.25" customHeight="1">
      <c r="A154" s="26" t="s">
        <v>95</v>
      </c>
      <c r="B154" s="26" t="s">
        <v>399</v>
      </c>
      <c r="C154" s="26" t="s">
        <v>400</v>
      </c>
      <c r="D154" s="26" t="s">
        <v>401</v>
      </c>
      <c r="E154" s="19">
        <v>465798000</v>
      </c>
      <c r="F154" s="37">
        <v>-0.5</v>
      </c>
      <c r="G154" s="38">
        <f t="shared" si="0"/>
        <v>-232899000</v>
      </c>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row>
    <row r="155" spans="1:62" ht="14.25" customHeight="1">
      <c r="A155" s="26" t="s">
        <v>95</v>
      </c>
      <c r="B155" s="26" t="s">
        <v>399</v>
      </c>
      <c r="C155" s="26" t="s">
        <v>400</v>
      </c>
      <c r="D155" s="26" t="s">
        <v>402</v>
      </c>
      <c r="E155" s="19">
        <v>17526000</v>
      </c>
      <c r="F155" s="37">
        <v>-0.5</v>
      </c>
      <c r="G155" s="38">
        <f t="shared" si="0"/>
        <v>-8763000</v>
      </c>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row>
    <row r="156" spans="1:62" ht="14.25" customHeight="1">
      <c r="A156" s="26" t="s">
        <v>95</v>
      </c>
      <c r="B156" s="26" t="s">
        <v>399</v>
      </c>
      <c r="C156" s="26" t="s">
        <v>403</v>
      </c>
      <c r="D156" s="26" t="s">
        <v>403</v>
      </c>
      <c r="E156" s="19">
        <v>209351000</v>
      </c>
      <c r="F156" s="37">
        <v>-0.3</v>
      </c>
      <c r="G156" s="38">
        <f t="shared" si="0"/>
        <v>-62805300</v>
      </c>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row>
    <row r="157" spans="1:62" ht="14.25" customHeight="1">
      <c r="A157" s="26" t="s">
        <v>95</v>
      </c>
      <c r="B157" s="26" t="s">
        <v>399</v>
      </c>
      <c r="C157" s="26" t="s">
        <v>404</v>
      </c>
      <c r="D157" s="26" t="s">
        <v>404</v>
      </c>
      <c r="E157" s="19">
        <v>199379000</v>
      </c>
      <c r="F157" s="37">
        <v>-0.3</v>
      </c>
      <c r="G157" s="38">
        <f t="shared" si="0"/>
        <v>-59813700</v>
      </c>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row>
    <row r="158" spans="1:62" ht="14.25" customHeight="1">
      <c r="A158" s="26" t="s">
        <v>95</v>
      </c>
      <c r="B158" s="26" t="s">
        <v>399</v>
      </c>
      <c r="C158" s="26" t="s">
        <v>405</v>
      </c>
      <c r="D158" s="26" t="s">
        <v>406</v>
      </c>
      <c r="E158" s="19">
        <v>2545000</v>
      </c>
      <c r="F158" s="37">
        <v>-0.3</v>
      </c>
      <c r="G158" s="38">
        <f t="shared" si="0"/>
        <v>-763500</v>
      </c>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row>
    <row r="159" spans="1:62" ht="14.25" customHeight="1">
      <c r="A159" s="26" t="s">
        <v>95</v>
      </c>
      <c r="B159" s="26" t="s">
        <v>399</v>
      </c>
      <c r="C159" s="26" t="s">
        <v>405</v>
      </c>
      <c r="D159" s="26" t="s">
        <v>407</v>
      </c>
      <c r="E159" s="19">
        <v>5067000</v>
      </c>
      <c r="F159" s="37">
        <v>-0.3</v>
      </c>
      <c r="G159" s="38">
        <f t="shared" si="0"/>
        <v>-1520100</v>
      </c>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row>
    <row r="160" spans="1:62" ht="14.25" customHeight="1">
      <c r="A160" s="26" t="s">
        <v>95</v>
      </c>
      <c r="B160" s="26" t="s">
        <v>399</v>
      </c>
      <c r="C160" s="26" t="s">
        <v>405</v>
      </c>
      <c r="D160" s="26" t="s">
        <v>408</v>
      </c>
      <c r="E160" s="19">
        <v>337000</v>
      </c>
      <c r="F160" s="37">
        <v>-0.3</v>
      </c>
      <c r="G160" s="38">
        <f t="shared" si="0"/>
        <v>-101100</v>
      </c>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row>
    <row r="161" spans="1:62" ht="14.25" customHeight="1">
      <c r="A161" s="26" t="s">
        <v>95</v>
      </c>
      <c r="B161" s="26" t="s">
        <v>409</v>
      </c>
      <c r="C161" s="26" t="s">
        <v>409</v>
      </c>
      <c r="D161" s="26" t="s">
        <v>410</v>
      </c>
      <c r="E161" s="19">
        <v>265577000</v>
      </c>
      <c r="F161" s="37">
        <v>-0.5</v>
      </c>
      <c r="G161" s="38">
        <f t="shared" si="0"/>
        <v>-132788500</v>
      </c>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row>
    <row r="162" spans="1:62" ht="14.25" customHeight="1">
      <c r="A162" s="26" t="s">
        <v>95</v>
      </c>
      <c r="B162" s="26" t="s">
        <v>409</v>
      </c>
      <c r="C162" s="26" t="s">
        <v>409</v>
      </c>
      <c r="D162" s="26" t="s">
        <v>411</v>
      </c>
      <c r="E162" s="19">
        <v>77149000</v>
      </c>
      <c r="F162" s="37">
        <v>-0.5</v>
      </c>
      <c r="G162" s="38">
        <f t="shared" si="0"/>
        <v>-38574500</v>
      </c>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row>
    <row r="163" spans="1:62" ht="14.25" customHeight="1">
      <c r="A163" s="26" t="s">
        <v>95</v>
      </c>
      <c r="B163" s="26" t="s">
        <v>409</v>
      </c>
      <c r="C163" s="26" t="s">
        <v>409</v>
      </c>
      <c r="D163" s="26" t="s">
        <v>412</v>
      </c>
      <c r="E163" s="19">
        <v>297232000</v>
      </c>
      <c r="F163" s="37">
        <v>-0.5</v>
      </c>
      <c r="G163" s="38">
        <f t="shared" si="0"/>
        <v>-148616000</v>
      </c>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row>
    <row r="164" spans="1:62" ht="14.25" customHeight="1">
      <c r="A164" s="26" t="s">
        <v>95</v>
      </c>
      <c r="B164" s="26" t="s">
        <v>409</v>
      </c>
      <c r="C164" s="26" t="s">
        <v>409</v>
      </c>
      <c r="D164" s="26" t="s">
        <v>413</v>
      </c>
      <c r="E164" s="19">
        <v>588540000</v>
      </c>
      <c r="F164" s="37">
        <v>-0.5</v>
      </c>
      <c r="G164" s="38">
        <f t="shared" si="0"/>
        <v>-294270000</v>
      </c>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row>
    <row r="165" spans="1:62" ht="14.25" customHeight="1">
      <c r="A165" s="26" t="s">
        <v>95</v>
      </c>
      <c r="B165" s="26" t="s">
        <v>414</v>
      </c>
      <c r="C165" s="26" t="s">
        <v>415</v>
      </c>
      <c r="D165" s="26" t="s">
        <v>416</v>
      </c>
      <c r="E165" s="19">
        <v>38019000</v>
      </c>
      <c r="F165" s="37">
        <v>-0.5</v>
      </c>
      <c r="G165" s="38">
        <f t="shared" si="0"/>
        <v>-19009500</v>
      </c>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row>
    <row r="166" spans="1:62" ht="14.25" customHeight="1">
      <c r="A166" s="26" t="s">
        <v>95</v>
      </c>
      <c r="B166" s="26" t="s">
        <v>414</v>
      </c>
      <c r="C166" s="26" t="s">
        <v>417</v>
      </c>
      <c r="D166" s="26" t="s">
        <v>417</v>
      </c>
      <c r="E166" s="19">
        <v>2839000</v>
      </c>
      <c r="F166" s="37">
        <v>-0.5</v>
      </c>
      <c r="G166" s="38">
        <f t="shared" si="0"/>
        <v>-1419500</v>
      </c>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row>
    <row r="167" spans="1:62" ht="14.25" customHeight="1">
      <c r="A167" s="26" t="s">
        <v>95</v>
      </c>
      <c r="B167" s="26" t="s">
        <v>414</v>
      </c>
      <c r="C167" s="26" t="s">
        <v>419</v>
      </c>
      <c r="D167" s="26" t="s">
        <v>419</v>
      </c>
      <c r="E167" s="19">
        <v>25507000</v>
      </c>
      <c r="F167" s="37">
        <v>-0.5</v>
      </c>
      <c r="G167" s="38">
        <f t="shared" si="0"/>
        <v>-12753500</v>
      </c>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row>
    <row r="168" spans="1:62" ht="14.25" customHeight="1">
      <c r="A168" s="26" t="s">
        <v>95</v>
      </c>
      <c r="B168" s="26" t="s">
        <v>414</v>
      </c>
      <c r="C168" s="26" t="s">
        <v>420</v>
      </c>
      <c r="D168" s="26" t="s">
        <v>420</v>
      </c>
      <c r="E168" s="19">
        <v>29770000</v>
      </c>
      <c r="F168" s="37">
        <v>-0.5</v>
      </c>
      <c r="G168" s="38">
        <f t="shared" si="0"/>
        <v>-14885000</v>
      </c>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row>
    <row r="169" spans="1:62" ht="14.25" customHeight="1">
      <c r="A169" s="26" t="s">
        <v>95</v>
      </c>
      <c r="B169" s="26" t="s">
        <v>414</v>
      </c>
      <c r="C169" s="26" t="s">
        <v>421</v>
      </c>
      <c r="D169" s="26" t="s">
        <v>421</v>
      </c>
      <c r="E169" s="19">
        <v>221987000</v>
      </c>
      <c r="F169" s="37">
        <v>-0.3</v>
      </c>
      <c r="G169" s="38">
        <f t="shared" si="0"/>
        <v>-66596100</v>
      </c>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row>
    <row r="170" spans="1:62" ht="14.25" customHeight="1">
      <c r="A170" s="26" t="s">
        <v>95</v>
      </c>
      <c r="B170" s="26" t="s">
        <v>414</v>
      </c>
      <c r="C170" s="26" t="s">
        <v>422</v>
      </c>
      <c r="D170" s="26" t="s">
        <v>423</v>
      </c>
      <c r="E170" s="19">
        <v>4091000</v>
      </c>
      <c r="F170" s="37">
        <v>-0.3</v>
      </c>
      <c r="G170" s="38">
        <f t="shared" si="0"/>
        <v>-1227300</v>
      </c>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row>
    <row r="171" spans="1:62" ht="14.25" customHeight="1">
      <c r="A171" s="26" t="s">
        <v>95</v>
      </c>
      <c r="B171" s="26" t="s">
        <v>414</v>
      </c>
      <c r="C171" s="26" t="s">
        <v>422</v>
      </c>
      <c r="D171" s="26" t="s">
        <v>425</v>
      </c>
      <c r="E171" s="19">
        <v>139831000</v>
      </c>
      <c r="F171" s="37">
        <v>-0.3</v>
      </c>
      <c r="G171" s="38">
        <f t="shared" si="0"/>
        <v>-41949300</v>
      </c>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row>
    <row r="172" spans="1:62" ht="14.25" customHeight="1">
      <c r="A172" s="26" t="s">
        <v>95</v>
      </c>
      <c r="B172" s="26" t="s">
        <v>430</v>
      </c>
      <c r="C172" s="26" t="s">
        <v>431</v>
      </c>
      <c r="D172" s="26" t="s">
        <v>432</v>
      </c>
      <c r="E172" s="19">
        <v>305352000</v>
      </c>
      <c r="F172" s="37">
        <v>-0.5</v>
      </c>
      <c r="G172" s="38">
        <f t="shared" si="0"/>
        <v>-152676000</v>
      </c>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row>
    <row r="173" spans="1:62" ht="14.25" customHeight="1">
      <c r="A173" s="26" t="s">
        <v>95</v>
      </c>
      <c r="B173" s="26" t="s">
        <v>430</v>
      </c>
      <c r="C173" s="26" t="s">
        <v>431</v>
      </c>
      <c r="D173" s="26" t="s">
        <v>433</v>
      </c>
      <c r="E173" s="19">
        <v>319239000</v>
      </c>
      <c r="F173" s="37">
        <v>-0.5</v>
      </c>
      <c r="G173" s="38">
        <f t="shared" si="0"/>
        <v>-159619500</v>
      </c>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row>
    <row r="174" spans="1:62" ht="14.25" customHeight="1">
      <c r="A174" s="26" t="s">
        <v>95</v>
      </c>
      <c r="B174" s="26" t="s">
        <v>430</v>
      </c>
      <c r="C174" s="26" t="s">
        <v>431</v>
      </c>
      <c r="D174" s="26" t="s">
        <v>435</v>
      </c>
      <c r="E174" s="19">
        <v>85504000</v>
      </c>
      <c r="F174" s="37">
        <v>-0.5</v>
      </c>
      <c r="G174" s="38">
        <f t="shared" si="0"/>
        <v>-42752000</v>
      </c>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row>
    <row r="175" spans="1:62" ht="14.25" customHeight="1">
      <c r="A175" s="26" t="s">
        <v>95</v>
      </c>
      <c r="B175" s="26" t="s">
        <v>430</v>
      </c>
      <c r="C175" s="26" t="s">
        <v>431</v>
      </c>
      <c r="D175" s="26" t="s">
        <v>436</v>
      </c>
      <c r="E175" s="19">
        <v>98605000</v>
      </c>
      <c r="F175" s="37">
        <v>-0.5</v>
      </c>
      <c r="G175" s="38">
        <f t="shared" si="0"/>
        <v>-49302500</v>
      </c>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row>
    <row r="176" spans="1:62" ht="14.25" customHeight="1">
      <c r="A176" s="26" t="s">
        <v>95</v>
      </c>
      <c r="B176" s="26" t="s">
        <v>430</v>
      </c>
      <c r="C176" s="26" t="s">
        <v>431</v>
      </c>
      <c r="D176" s="26" t="s">
        <v>437</v>
      </c>
      <c r="E176" s="19">
        <v>544303000</v>
      </c>
      <c r="F176" s="37">
        <v>-0.5</v>
      </c>
      <c r="G176" s="38">
        <f t="shared" si="0"/>
        <v>-272151500</v>
      </c>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row>
    <row r="177" spans="1:62" ht="14.25" customHeight="1">
      <c r="A177" s="26" t="s">
        <v>95</v>
      </c>
      <c r="B177" s="26" t="s">
        <v>430</v>
      </c>
      <c r="C177" s="26" t="s">
        <v>431</v>
      </c>
      <c r="D177" s="26" t="s">
        <v>438</v>
      </c>
      <c r="E177" s="19">
        <v>5721000</v>
      </c>
      <c r="F177" s="37">
        <v>-0.5</v>
      </c>
      <c r="G177" s="38">
        <f t="shared" si="0"/>
        <v>-2860500</v>
      </c>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row>
    <row r="178" spans="1:62" ht="14.25" customHeight="1">
      <c r="A178" s="26" t="s">
        <v>95</v>
      </c>
      <c r="B178" s="26" t="s">
        <v>430</v>
      </c>
      <c r="C178" s="26" t="s">
        <v>431</v>
      </c>
      <c r="D178" s="26" t="s">
        <v>439</v>
      </c>
      <c r="E178" s="19">
        <v>185247000</v>
      </c>
      <c r="F178" s="37">
        <v>-0.5</v>
      </c>
      <c r="G178" s="38">
        <f t="shared" si="0"/>
        <v>-92623500</v>
      </c>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row>
    <row r="179" spans="1:62" ht="14.25" customHeight="1">
      <c r="A179" s="26" t="s">
        <v>95</v>
      </c>
      <c r="B179" s="26" t="s">
        <v>430</v>
      </c>
      <c r="C179" s="26" t="s">
        <v>431</v>
      </c>
      <c r="D179" s="26" t="s">
        <v>441</v>
      </c>
      <c r="E179" s="19">
        <v>3267000</v>
      </c>
      <c r="F179" s="37">
        <v>-0.5</v>
      </c>
      <c r="G179" s="38">
        <f t="shared" si="0"/>
        <v>-1633500</v>
      </c>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row>
    <row r="180" spans="1:62" ht="14.25" customHeight="1">
      <c r="A180" s="26" t="s">
        <v>95</v>
      </c>
      <c r="B180" s="26" t="s">
        <v>430</v>
      </c>
      <c r="C180" s="26" t="s">
        <v>442</v>
      </c>
      <c r="D180" s="26" t="s">
        <v>442</v>
      </c>
      <c r="E180" s="19">
        <v>487903000</v>
      </c>
      <c r="F180" s="37">
        <v>-0.5</v>
      </c>
      <c r="G180" s="38">
        <f t="shared" si="0"/>
        <v>-243951500</v>
      </c>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row>
    <row r="181" spans="1:62" ht="14.25" customHeight="1">
      <c r="A181" s="26" t="s">
        <v>444</v>
      </c>
      <c r="B181" s="26" t="s">
        <v>445</v>
      </c>
      <c r="C181" s="26" t="s">
        <v>446</v>
      </c>
      <c r="D181" s="26" t="s">
        <v>447</v>
      </c>
      <c r="E181" s="19">
        <v>2287492000</v>
      </c>
      <c r="F181" s="37">
        <v>0</v>
      </c>
      <c r="G181" s="38">
        <f t="shared" si="0"/>
        <v>0</v>
      </c>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row>
    <row r="182" spans="1:62" ht="14.25" customHeight="1">
      <c r="A182" s="26" t="s">
        <v>444</v>
      </c>
      <c r="B182" s="26" t="s">
        <v>445</v>
      </c>
      <c r="C182" s="26" t="s">
        <v>446</v>
      </c>
      <c r="D182" s="26" t="s">
        <v>448</v>
      </c>
      <c r="E182" s="19">
        <v>3544162000</v>
      </c>
      <c r="F182" s="37">
        <v>0</v>
      </c>
      <c r="G182" s="38">
        <f t="shared" si="0"/>
        <v>0</v>
      </c>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row>
    <row r="183" spans="1:62" ht="14.25" customHeight="1">
      <c r="A183" s="26" t="s">
        <v>444</v>
      </c>
      <c r="B183" s="26" t="s">
        <v>445</v>
      </c>
      <c r="C183" s="26" t="s">
        <v>450</v>
      </c>
      <c r="D183" s="26" t="s">
        <v>451</v>
      </c>
      <c r="E183" s="19">
        <v>1011374000</v>
      </c>
      <c r="F183" s="37">
        <v>0</v>
      </c>
      <c r="G183" s="38">
        <f t="shared" si="0"/>
        <v>0</v>
      </c>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row>
    <row r="184" spans="1:62" ht="14.25" customHeight="1">
      <c r="A184" s="26" t="s">
        <v>444</v>
      </c>
      <c r="B184" s="26" t="s">
        <v>445</v>
      </c>
      <c r="C184" s="26" t="s">
        <v>450</v>
      </c>
      <c r="D184" s="26" t="s">
        <v>452</v>
      </c>
      <c r="E184" s="19">
        <v>15514000</v>
      </c>
      <c r="F184" s="37">
        <v>0</v>
      </c>
      <c r="G184" s="38">
        <f t="shared" si="0"/>
        <v>0</v>
      </c>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row>
    <row r="185" spans="1:62" ht="14.25" customHeight="1">
      <c r="A185" s="26" t="s">
        <v>444</v>
      </c>
      <c r="B185" s="26" t="s">
        <v>445</v>
      </c>
      <c r="C185" s="26" t="s">
        <v>454</v>
      </c>
      <c r="D185" s="26" t="s">
        <v>454</v>
      </c>
      <c r="E185" s="19">
        <v>242709000</v>
      </c>
      <c r="F185" s="37">
        <v>0</v>
      </c>
      <c r="G185" s="38">
        <f t="shared" si="0"/>
        <v>0</v>
      </c>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row>
    <row r="186" spans="1:62" ht="14.25" customHeight="1">
      <c r="A186" s="26" t="s">
        <v>455</v>
      </c>
      <c r="B186" s="26" t="s">
        <v>456</v>
      </c>
      <c r="C186" s="26" t="s">
        <v>456</v>
      </c>
      <c r="D186" s="26" t="s">
        <v>456</v>
      </c>
      <c r="E186" s="19">
        <v>1898703000</v>
      </c>
      <c r="F186" s="37">
        <v>0</v>
      </c>
      <c r="G186" s="38">
        <f t="shared" si="0"/>
        <v>0</v>
      </c>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row>
    <row r="187" spans="1:62" ht="14.25" customHeight="1">
      <c r="A187" s="26" t="s">
        <v>455</v>
      </c>
      <c r="B187" s="26" t="s">
        <v>457</v>
      </c>
      <c r="C187" s="26" t="s">
        <v>457</v>
      </c>
      <c r="D187" s="26" t="s">
        <v>457</v>
      </c>
      <c r="E187" s="19">
        <v>154999000</v>
      </c>
      <c r="F187" s="37">
        <v>0</v>
      </c>
      <c r="G187" s="38">
        <f t="shared" si="0"/>
        <v>0</v>
      </c>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row>
    <row r="188" spans="1:62" ht="14.25" customHeight="1">
      <c r="A188" s="26" t="s">
        <v>455</v>
      </c>
      <c r="B188" s="26" t="s">
        <v>458</v>
      </c>
      <c r="C188" s="26" t="s">
        <v>459</v>
      </c>
      <c r="D188" s="26" t="s">
        <v>460</v>
      </c>
      <c r="E188" s="19">
        <v>1287595000</v>
      </c>
      <c r="F188" s="37">
        <v>0</v>
      </c>
      <c r="G188" s="38">
        <f t="shared" si="0"/>
        <v>0</v>
      </c>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row>
    <row r="189" spans="1:62" ht="14.25" customHeight="1">
      <c r="A189" s="26" t="s">
        <v>455</v>
      </c>
      <c r="B189" s="26" t="s">
        <v>458</v>
      </c>
      <c r="C189" s="26" t="s">
        <v>459</v>
      </c>
      <c r="D189" s="26" t="s">
        <v>462</v>
      </c>
      <c r="E189" s="19">
        <v>40879000</v>
      </c>
      <c r="F189" s="37">
        <v>0</v>
      </c>
      <c r="G189" s="38">
        <f t="shared" si="0"/>
        <v>0</v>
      </c>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row>
    <row r="190" spans="1:62" ht="14.25" customHeight="1">
      <c r="A190" s="26" t="s">
        <v>455</v>
      </c>
      <c r="B190" s="26" t="s">
        <v>458</v>
      </c>
      <c r="C190" s="26" t="s">
        <v>463</v>
      </c>
      <c r="D190" s="26" t="s">
        <v>464</v>
      </c>
      <c r="E190" s="19">
        <v>153128000</v>
      </c>
      <c r="F190" s="37">
        <v>0</v>
      </c>
      <c r="G190" s="38">
        <f t="shared" si="0"/>
        <v>0</v>
      </c>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row>
    <row r="191" spans="1:62" ht="14.25" customHeight="1">
      <c r="A191" s="26" t="s">
        <v>455</v>
      </c>
      <c r="B191" s="26" t="s">
        <v>458</v>
      </c>
      <c r="C191" s="26" t="s">
        <v>463</v>
      </c>
      <c r="D191" s="26" t="s">
        <v>465</v>
      </c>
      <c r="E191" s="19">
        <v>35228000</v>
      </c>
      <c r="F191" s="37">
        <v>0</v>
      </c>
      <c r="G191" s="38">
        <f t="shared" si="0"/>
        <v>0</v>
      </c>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row>
    <row r="192" spans="1:62" ht="14.25" customHeight="1">
      <c r="A192" s="26" t="s">
        <v>455</v>
      </c>
      <c r="B192" s="26" t="s">
        <v>466</v>
      </c>
      <c r="C192" s="26" t="s">
        <v>466</v>
      </c>
      <c r="D192" s="26" t="s">
        <v>466</v>
      </c>
      <c r="E192" s="19">
        <v>316711000</v>
      </c>
      <c r="F192" s="37">
        <v>0</v>
      </c>
      <c r="G192" s="38">
        <f t="shared" si="0"/>
        <v>0</v>
      </c>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row>
    <row r="193" spans="1:62" ht="14.25" customHeight="1">
      <c r="A193" s="26" t="s">
        <v>469</v>
      </c>
      <c r="B193" s="26" t="s">
        <v>470</v>
      </c>
      <c r="C193" s="26" t="s">
        <v>471</v>
      </c>
      <c r="D193" s="26" t="s">
        <v>471</v>
      </c>
      <c r="E193" s="19">
        <v>374507000</v>
      </c>
      <c r="F193" s="37">
        <v>-0.3</v>
      </c>
      <c r="G193" s="38">
        <f t="shared" si="0"/>
        <v>-112352100</v>
      </c>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row>
    <row r="194" spans="1:62" ht="14.25" customHeight="1">
      <c r="A194" s="26" t="s">
        <v>469</v>
      </c>
      <c r="B194" s="26" t="s">
        <v>470</v>
      </c>
      <c r="C194" s="26" t="s">
        <v>473</v>
      </c>
      <c r="D194" s="26" t="s">
        <v>473</v>
      </c>
      <c r="E194" s="19">
        <v>4097413000</v>
      </c>
      <c r="F194" s="37">
        <v>-0.3</v>
      </c>
      <c r="G194" s="38">
        <f t="shared" si="0"/>
        <v>-1229223900</v>
      </c>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row>
    <row r="195" spans="1:62" ht="14.25" customHeight="1">
      <c r="A195" s="26" t="s">
        <v>469</v>
      </c>
      <c r="B195" s="26" t="s">
        <v>474</v>
      </c>
      <c r="C195" s="26" t="s">
        <v>475</v>
      </c>
      <c r="D195" s="26" t="s">
        <v>476</v>
      </c>
      <c r="E195" s="19">
        <v>2971669000</v>
      </c>
      <c r="F195" s="37">
        <v>-0.3</v>
      </c>
      <c r="G195" s="38">
        <f t="shared" si="0"/>
        <v>-891500700</v>
      </c>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row>
    <row r="196" spans="1:62" ht="14.25" customHeight="1">
      <c r="A196" s="26" t="s">
        <v>469</v>
      </c>
      <c r="B196" s="26" t="s">
        <v>474</v>
      </c>
      <c r="C196" s="26" t="s">
        <v>478</v>
      </c>
      <c r="D196" s="26" t="s">
        <v>479</v>
      </c>
      <c r="E196" s="19">
        <v>459519000</v>
      </c>
      <c r="F196" s="37">
        <v>-0.3</v>
      </c>
      <c r="G196" s="38">
        <f t="shared" si="0"/>
        <v>-137855700</v>
      </c>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row>
    <row r="197" spans="1:62" ht="14.25" customHeight="1">
      <c r="A197" s="26" t="s">
        <v>469</v>
      </c>
      <c r="B197" s="26" t="s">
        <v>474</v>
      </c>
      <c r="C197" s="26" t="s">
        <v>478</v>
      </c>
      <c r="D197" s="26" t="s">
        <v>480</v>
      </c>
      <c r="E197" s="19">
        <v>544780000</v>
      </c>
      <c r="F197" s="37">
        <v>-0.3</v>
      </c>
      <c r="G197" s="38">
        <f t="shared" si="0"/>
        <v>-163434000</v>
      </c>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row>
    <row r="198" spans="1:62" ht="14.25" customHeight="1">
      <c r="A198" s="26" t="s">
        <v>469</v>
      </c>
      <c r="B198" s="26" t="s">
        <v>474</v>
      </c>
      <c r="C198" s="26" t="s">
        <v>481</v>
      </c>
      <c r="D198" s="26" t="s">
        <v>482</v>
      </c>
      <c r="E198" s="19">
        <v>374638000</v>
      </c>
      <c r="F198" s="37">
        <v>-0.3</v>
      </c>
      <c r="G198" s="38">
        <f t="shared" si="0"/>
        <v>-112391400</v>
      </c>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row>
    <row r="199" spans="1:62" ht="14.25" customHeight="1">
      <c r="A199" s="26" t="s">
        <v>469</v>
      </c>
      <c r="B199" s="26" t="s">
        <v>474</v>
      </c>
      <c r="C199" s="26" t="s">
        <v>481</v>
      </c>
      <c r="D199" s="26" t="s">
        <v>483</v>
      </c>
      <c r="E199" s="19">
        <v>330295000</v>
      </c>
      <c r="F199" s="37">
        <v>-0.3</v>
      </c>
      <c r="G199" s="38">
        <f t="shared" si="0"/>
        <v>-99088500</v>
      </c>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row>
    <row r="200" spans="1:62" ht="14.25" customHeight="1">
      <c r="A200" s="26" t="s">
        <v>469</v>
      </c>
      <c r="B200" s="26" t="s">
        <v>484</v>
      </c>
      <c r="C200" s="26" t="s">
        <v>485</v>
      </c>
      <c r="D200" s="26" t="s">
        <v>486</v>
      </c>
      <c r="E200" s="19">
        <v>34521000</v>
      </c>
      <c r="F200" s="37">
        <v>-0.4</v>
      </c>
      <c r="G200" s="38">
        <f t="shared" si="0"/>
        <v>-13808400</v>
      </c>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row>
    <row r="201" spans="1:62" ht="14.25" customHeight="1">
      <c r="A201" s="26" t="s">
        <v>469</v>
      </c>
      <c r="B201" s="26" t="s">
        <v>484</v>
      </c>
      <c r="C201" s="26" t="s">
        <v>485</v>
      </c>
      <c r="D201" s="26" t="s">
        <v>487</v>
      </c>
      <c r="E201" s="19">
        <v>416746000</v>
      </c>
      <c r="F201" s="37">
        <v>-0.4</v>
      </c>
      <c r="G201" s="38">
        <f t="shared" si="0"/>
        <v>-166698400</v>
      </c>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row>
    <row r="202" spans="1:62" ht="14.25" customHeight="1">
      <c r="A202" s="26" t="s">
        <v>469</v>
      </c>
      <c r="B202" s="26" t="s">
        <v>484</v>
      </c>
      <c r="C202" s="26" t="s">
        <v>485</v>
      </c>
      <c r="D202" s="26" t="s">
        <v>488</v>
      </c>
      <c r="E202" s="19">
        <v>12105000</v>
      </c>
      <c r="F202" s="37">
        <v>-0.4</v>
      </c>
      <c r="G202" s="38">
        <f t="shared" si="0"/>
        <v>-4842000</v>
      </c>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row>
    <row r="203" spans="1:62" ht="14.25" customHeight="1">
      <c r="A203" s="26" t="s">
        <v>469</v>
      </c>
      <c r="B203" s="26" t="s">
        <v>484</v>
      </c>
      <c r="C203" s="26" t="s">
        <v>489</v>
      </c>
      <c r="D203" s="26" t="s">
        <v>490</v>
      </c>
      <c r="E203" s="19">
        <v>1219270000</v>
      </c>
      <c r="F203" s="37">
        <v>-0.4</v>
      </c>
      <c r="G203" s="38">
        <f t="shared" si="0"/>
        <v>-487708000</v>
      </c>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row>
    <row r="204" spans="1:62" ht="14.25" customHeight="1">
      <c r="A204" s="26" t="s">
        <v>469</v>
      </c>
      <c r="B204" s="26" t="s">
        <v>484</v>
      </c>
      <c r="C204" s="26" t="s">
        <v>489</v>
      </c>
      <c r="D204" s="26" t="s">
        <v>491</v>
      </c>
      <c r="E204" s="19">
        <v>1060274000</v>
      </c>
      <c r="F204" s="37">
        <v>-0.4</v>
      </c>
      <c r="G204" s="38">
        <f t="shared" si="0"/>
        <v>-424109600</v>
      </c>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row>
    <row r="205" spans="1:62" ht="14.25" customHeight="1">
      <c r="A205" s="26" t="s">
        <v>469</v>
      </c>
      <c r="B205" s="26" t="s">
        <v>484</v>
      </c>
      <c r="C205" s="26" t="s">
        <v>489</v>
      </c>
      <c r="D205" s="26" t="s">
        <v>492</v>
      </c>
      <c r="E205" s="19">
        <v>333282000</v>
      </c>
      <c r="F205" s="37">
        <v>-0.4</v>
      </c>
      <c r="G205" s="38">
        <f t="shared" si="0"/>
        <v>-133312800</v>
      </c>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row>
    <row r="206" spans="1:62" ht="14.25" customHeight="1">
      <c r="A206" s="26" t="s">
        <v>469</v>
      </c>
      <c r="B206" s="26" t="s">
        <v>484</v>
      </c>
      <c r="C206" s="26" t="s">
        <v>493</v>
      </c>
      <c r="D206" s="26" t="s">
        <v>494</v>
      </c>
      <c r="E206" s="19">
        <v>184799000</v>
      </c>
      <c r="F206" s="37">
        <v>-0.4</v>
      </c>
      <c r="G206" s="38">
        <f t="shared" si="0"/>
        <v>-73919600</v>
      </c>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row>
    <row r="207" spans="1:62" ht="14.25" customHeight="1">
      <c r="A207" s="26" t="s">
        <v>469</v>
      </c>
      <c r="B207" s="26" t="s">
        <v>484</v>
      </c>
      <c r="C207" s="26" t="s">
        <v>493</v>
      </c>
      <c r="D207" s="26" t="s">
        <v>495</v>
      </c>
      <c r="E207" s="19">
        <v>147313000</v>
      </c>
      <c r="F207" s="37">
        <v>-0.4</v>
      </c>
      <c r="G207" s="38">
        <f t="shared" si="0"/>
        <v>-58925200</v>
      </c>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row>
    <row r="208" spans="1:62" ht="14.25" customHeight="1">
      <c r="A208" s="26" t="s">
        <v>469</v>
      </c>
      <c r="B208" s="26" t="s">
        <v>484</v>
      </c>
      <c r="C208" s="26" t="s">
        <v>493</v>
      </c>
      <c r="D208" s="26" t="s">
        <v>496</v>
      </c>
      <c r="E208" s="19">
        <v>344840000</v>
      </c>
      <c r="F208" s="37">
        <v>-0.4</v>
      </c>
      <c r="G208" s="38">
        <f t="shared" si="0"/>
        <v>-137936000</v>
      </c>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row>
    <row r="209" spans="1:62" ht="14.25" customHeight="1">
      <c r="A209" s="26" t="s">
        <v>469</v>
      </c>
      <c r="B209" s="26" t="s">
        <v>484</v>
      </c>
      <c r="C209" s="26" t="s">
        <v>493</v>
      </c>
      <c r="D209" s="26" t="s">
        <v>497</v>
      </c>
      <c r="E209" s="19">
        <v>202659000</v>
      </c>
      <c r="F209" s="37">
        <v>-0.4</v>
      </c>
      <c r="G209" s="38">
        <f t="shared" si="0"/>
        <v>-81063600</v>
      </c>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row>
    <row r="210" spans="1:62" ht="14.25" customHeight="1">
      <c r="A210" s="26" t="s">
        <v>469</v>
      </c>
      <c r="B210" s="26" t="s">
        <v>484</v>
      </c>
      <c r="C210" s="26" t="s">
        <v>493</v>
      </c>
      <c r="D210" s="26" t="s">
        <v>498</v>
      </c>
      <c r="E210" s="19">
        <v>275380000</v>
      </c>
      <c r="F210" s="37">
        <v>-0.4</v>
      </c>
      <c r="G210" s="38">
        <f t="shared" si="0"/>
        <v>-110152000</v>
      </c>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row>
    <row r="211" spans="1:62" ht="14.25" customHeight="1">
      <c r="A211" s="26" t="s">
        <v>469</v>
      </c>
      <c r="B211" s="26" t="s">
        <v>484</v>
      </c>
      <c r="C211" s="26" t="s">
        <v>499</v>
      </c>
      <c r="D211" s="26" t="s">
        <v>500</v>
      </c>
      <c r="E211" s="19">
        <v>94263000</v>
      </c>
      <c r="F211" s="37">
        <v>-0.4</v>
      </c>
      <c r="G211" s="38">
        <f t="shared" si="0"/>
        <v>-37705200</v>
      </c>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row>
    <row r="212" spans="1:62" ht="14.25" customHeight="1">
      <c r="A212" s="26" t="s">
        <v>469</v>
      </c>
      <c r="B212" s="26" t="s">
        <v>484</v>
      </c>
      <c r="C212" s="26" t="s">
        <v>499</v>
      </c>
      <c r="D212" s="26" t="s">
        <v>501</v>
      </c>
      <c r="E212" s="19">
        <v>346739000</v>
      </c>
      <c r="F212" s="37">
        <v>-0.3</v>
      </c>
      <c r="G212" s="38">
        <f t="shared" si="0"/>
        <v>-104021700</v>
      </c>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row>
    <row r="213" spans="1:62" ht="14.25" customHeight="1">
      <c r="A213" s="26" t="s">
        <v>502</v>
      </c>
      <c r="B213" s="26" t="s">
        <v>503</v>
      </c>
      <c r="C213" s="26" t="s">
        <v>504</v>
      </c>
      <c r="D213" s="26" t="s">
        <v>505</v>
      </c>
      <c r="E213" s="19">
        <v>1408120000</v>
      </c>
      <c r="F213" s="37">
        <v>-0.7</v>
      </c>
      <c r="G213" s="38">
        <f t="shared" si="0"/>
        <v>-985683999.99999988</v>
      </c>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row>
    <row r="214" spans="1:62" ht="14.25" customHeight="1">
      <c r="A214" s="26" t="s">
        <v>502</v>
      </c>
      <c r="B214" s="26" t="s">
        <v>503</v>
      </c>
      <c r="C214" s="26" t="s">
        <v>504</v>
      </c>
      <c r="D214" s="26" t="s">
        <v>506</v>
      </c>
      <c r="E214" s="19">
        <v>185598000</v>
      </c>
      <c r="F214" s="37">
        <v>-0.7</v>
      </c>
      <c r="G214" s="38">
        <f t="shared" si="0"/>
        <v>-129918599.99999999</v>
      </c>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row>
    <row r="215" spans="1:62" ht="14.25" customHeight="1">
      <c r="A215" s="26" t="s">
        <v>502</v>
      </c>
      <c r="B215" s="26" t="s">
        <v>503</v>
      </c>
      <c r="C215" s="26" t="s">
        <v>507</v>
      </c>
      <c r="D215" s="26" t="s">
        <v>507</v>
      </c>
      <c r="E215" s="19">
        <v>717885000</v>
      </c>
      <c r="F215" s="37">
        <v>-0.7</v>
      </c>
      <c r="G215" s="38">
        <f t="shared" si="0"/>
        <v>-502519499.99999994</v>
      </c>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row>
    <row r="216" spans="1:62" ht="14.25" customHeight="1">
      <c r="A216" s="26" t="s">
        <v>502</v>
      </c>
      <c r="B216" s="26" t="s">
        <v>503</v>
      </c>
      <c r="C216" s="26" t="s">
        <v>508</v>
      </c>
      <c r="D216" s="26" t="s">
        <v>509</v>
      </c>
      <c r="E216" s="19">
        <v>648070000</v>
      </c>
      <c r="F216" s="37">
        <v>-0.7</v>
      </c>
      <c r="G216" s="38">
        <f t="shared" si="0"/>
        <v>-453649000</v>
      </c>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row>
    <row r="217" spans="1:62" ht="14.25" customHeight="1">
      <c r="A217" s="26" t="s">
        <v>502</v>
      </c>
      <c r="B217" s="26" t="s">
        <v>503</v>
      </c>
      <c r="C217" s="26" t="s">
        <v>508</v>
      </c>
      <c r="D217" s="26" t="s">
        <v>510</v>
      </c>
      <c r="E217" s="19">
        <v>201341000</v>
      </c>
      <c r="F217" s="37">
        <v>-0.7</v>
      </c>
      <c r="G217" s="38">
        <f t="shared" si="0"/>
        <v>-140938700</v>
      </c>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row>
    <row r="218" spans="1:62" ht="14.25" customHeight="1">
      <c r="A218" s="26" t="s">
        <v>502</v>
      </c>
      <c r="B218" s="26" t="s">
        <v>503</v>
      </c>
      <c r="C218" s="26" t="s">
        <v>511</v>
      </c>
      <c r="D218" s="26" t="s">
        <v>511</v>
      </c>
      <c r="E218" s="19">
        <v>47640000</v>
      </c>
      <c r="F218" s="37">
        <v>-0.7</v>
      </c>
      <c r="G218" s="38">
        <f t="shared" si="0"/>
        <v>-33347999.999999996</v>
      </c>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row>
    <row r="219" spans="1:62" ht="14.25" customHeight="1">
      <c r="A219" s="26" t="s">
        <v>502</v>
      </c>
      <c r="B219" s="26" t="s">
        <v>512</v>
      </c>
      <c r="C219" s="26" t="s">
        <v>513</v>
      </c>
      <c r="D219" s="26" t="s">
        <v>514</v>
      </c>
      <c r="E219" s="19">
        <v>4860000</v>
      </c>
      <c r="F219" s="37">
        <v>-0.3</v>
      </c>
      <c r="G219" s="38">
        <f t="shared" si="0"/>
        <v>-1458000</v>
      </c>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row>
    <row r="220" spans="1:62" ht="14.25" customHeight="1">
      <c r="A220" s="26" t="s">
        <v>502</v>
      </c>
      <c r="B220" s="26" t="s">
        <v>512</v>
      </c>
      <c r="C220" s="26" t="s">
        <v>513</v>
      </c>
      <c r="D220" s="26" t="s">
        <v>515</v>
      </c>
      <c r="E220" s="19">
        <v>56028000</v>
      </c>
      <c r="F220" s="37">
        <v>-0.3</v>
      </c>
      <c r="G220" s="38">
        <f t="shared" si="0"/>
        <v>-16808400</v>
      </c>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row>
    <row r="221" spans="1:62" ht="14.25" customHeight="1">
      <c r="A221" s="26" t="s">
        <v>502</v>
      </c>
      <c r="B221" s="26" t="s">
        <v>512</v>
      </c>
      <c r="C221" s="26" t="s">
        <v>513</v>
      </c>
      <c r="D221" s="26" t="s">
        <v>516</v>
      </c>
      <c r="E221" s="19">
        <v>28760000</v>
      </c>
      <c r="F221" s="37">
        <v>-0.3</v>
      </c>
      <c r="G221" s="38">
        <f t="shared" si="0"/>
        <v>-8628000</v>
      </c>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row>
    <row r="222" spans="1:62" ht="14.25" customHeight="1">
      <c r="A222" s="26" t="s">
        <v>502</v>
      </c>
      <c r="B222" s="26" t="s">
        <v>512</v>
      </c>
      <c r="C222" s="26" t="s">
        <v>513</v>
      </c>
      <c r="D222" s="26" t="s">
        <v>517</v>
      </c>
      <c r="E222" s="19">
        <v>37534000</v>
      </c>
      <c r="F222" s="37">
        <v>-0.3</v>
      </c>
      <c r="G222" s="38">
        <f t="shared" si="0"/>
        <v>-11260200</v>
      </c>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row>
    <row r="223" spans="1:62" ht="14.25" customHeight="1">
      <c r="A223" s="26" t="s">
        <v>502</v>
      </c>
      <c r="B223" s="26" t="s">
        <v>512</v>
      </c>
      <c r="C223" s="26" t="s">
        <v>513</v>
      </c>
      <c r="D223" s="26" t="s">
        <v>519</v>
      </c>
      <c r="E223" s="19">
        <v>9571000</v>
      </c>
      <c r="F223" s="37">
        <v>-0.5</v>
      </c>
      <c r="G223" s="38">
        <f t="shared" si="0"/>
        <v>-4785500</v>
      </c>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row>
    <row r="224" spans="1:62" ht="14.25" customHeight="1">
      <c r="A224" s="26" t="s">
        <v>502</v>
      </c>
      <c r="B224" s="26" t="s">
        <v>512</v>
      </c>
      <c r="C224" s="26" t="s">
        <v>513</v>
      </c>
      <c r="D224" s="26" t="s">
        <v>521</v>
      </c>
      <c r="E224" s="19">
        <v>5558000</v>
      </c>
      <c r="F224" s="37">
        <v>-0.5</v>
      </c>
      <c r="G224" s="38">
        <f t="shared" si="0"/>
        <v>-2779000</v>
      </c>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row>
    <row r="225" spans="1:62" ht="14.25" customHeight="1">
      <c r="A225" s="26" t="s">
        <v>502</v>
      </c>
      <c r="B225" s="26" t="s">
        <v>512</v>
      </c>
      <c r="C225" s="26" t="s">
        <v>513</v>
      </c>
      <c r="D225" s="26" t="s">
        <v>522</v>
      </c>
      <c r="E225" s="19">
        <v>16655000</v>
      </c>
      <c r="F225" s="37">
        <v>-0.5</v>
      </c>
      <c r="G225" s="38">
        <f t="shared" si="0"/>
        <v>-8327500</v>
      </c>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row>
    <row r="226" spans="1:62" ht="14.25" customHeight="1">
      <c r="A226" s="26" t="s">
        <v>502</v>
      </c>
      <c r="B226" s="26" t="s">
        <v>512</v>
      </c>
      <c r="C226" s="26" t="s">
        <v>513</v>
      </c>
      <c r="D226" s="26" t="s">
        <v>523</v>
      </c>
      <c r="E226" s="19">
        <v>194712000</v>
      </c>
      <c r="F226" s="37">
        <v>-0.5</v>
      </c>
      <c r="G226" s="38">
        <f t="shared" si="0"/>
        <v>-97356000</v>
      </c>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row>
    <row r="227" spans="1:62" ht="14.25" customHeight="1">
      <c r="A227" s="26" t="s">
        <v>502</v>
      </c>
      <c r="B227" s="26" t="s">
        <v>512</v>
      </c>
      <c r="C227" s="26" t="s">
        <v>513</v>
      </c>
      <c r="D227" s="26" t="s">
        <v>524</v>
      </c>
      <c r="E227" s="19">
        <v>1035068000</v>
      </c>
      <c r="F227" s="37">
        <v>-0.5</v>
      </c>
      <c r="G227" s="38">
        <f t="shared" si="0"/>
        <v>-517534000</v>
      </c>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row>
    <row r="228" spans="1:62" ht="14.25" customHeight="1">
      <c r="A228" s="26" t="s">
        <v>502</v>
      </c>
      <c r="B228" s="26" t="s">
        <v>512</v>
      </c>
      <c r="C228" s="26" t="s">
        <v>525</v>
      </c>
      <c r="D228" s="26" t="s">
        <v>526</v>
      </c>
      <c r="E228" s="19">
        <v>299698000</v>
      </c>
      <c r="F228" s="37">
        <v>0</v>
      </c>
      <c r="G228" s="38">
        <f t="shared" si="0"/>
        <v>0</v>
      </c>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row>
    <row r="229" spans="1:62" ht="14.25" customHeight="1">
      <c r="A229" s="26" t="s">
        <v>502</v>
      </c>
      <c r="B229" s="26" t="s">
        <v>512</v>
      </c>
      <c r="C229" s="26" t="s">
        <v>525</v>
      </c>
      <c r="D229" s="26" t="s">
        <v>527</v>
      </c>
      <c r="E229" s="19">
        <v>31923000</v>
      </c>
      <c r="F229" s="37">
        <v>0</v>
      </c>
      <c r="G229" s="38">
        <f t="shared" si="0"/>
        <v>0</v>
      </c>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row>
    <row r="230" spans="1:62" ht="14.25" customHeight="1">
      <c r="A230" s="26" t="s">
        <v>502</v>
      </c>
      <c r="B230" s="26" t="s">
        <v>512</v>
      </c>
      <c r="C230" s="26" t="s">
        <v>525</v>
      </c>
      <c r="D230" s="26" t="s">
        <v>528</v>
      </c>
      <c r="E230" s="19">
        <v>9048000</v>
      </c>
      <c r="F230" s="37">
        <v>0</v>
      </c>
      <c r="G230" s="38">
        <f t="shared" si="0"/>
        <v>0</v>
      </c>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row>
    <row r="231" spans="1:62" ht="14.25" customHeight="1">
      <c r="A231" s="26" t="s">
        <v>502</v>
      </c>
      <c r="B231" s="26" t="s">
        <v>512</v>
      </c>
      <c r="C231" s="26" t="s">
        <v>525</v>
      </c>
      <c r="D231" s="26" t="s">
        <v>529</v>
      </c>
      <c r="E231" s="19">
        <v>15096000</v>
      </c>
      <c r="F231" s="37">
        <v>0</v>
      </c>
      <c r="G231" s="38">
        <f t="shared" si="0"/>
        <v>0</v>
      </c>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row>
    <row r="232" spans="1:62" ht="14.25" customHeight="1">
      <c r="A232" s="26" t="s">
        <v>502</v>
      </c>
      <c r="B232" s="26" t="s">
        <v>512</v>
      </c>
      <c r="C232" s="26" t="s">
        <v>530</v>
      </c>
      <c r="D232" s="26" t="s">
        <v>531</v>
      </c>
      <c r="E232" s="19">
        <v>120231000</v>
      </c>
      <c r="F232" s="37">
        <v>0</v>
      </c>
      <c r="G232" s="38">
        <f t="shared" si="0"/>
        <v>0</v>
      </c>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row>
    <row r="233" spans="1:62" ht="14.25" customHeight="1">
      <c r="A233" s="26" t="s">
        <v>502</v>
      </c>
      <c r="B233" s="26" t="s">
        <v>512</v>
      </c>
      <c r="C233" s="26" t="s">
        <v>530</v>
      </c>
      <c r="D233" s="26" t="s">
        <v>532</v>
      </c>
      <c r="E233" s="19">
        <v>57520000</v>
      </c>
      <c r="F233" s="37">
        <v>0</v>
      </c>
      <c r="G233" s="38">
        <f t="shared" si="0"/>
        <v>0</v>
      </c>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row>
    <row r="234" spans="1:62" ht="14.25" customHeight="1">
      <c r="A234" s="26" t="s">
        <v>502</v>
      </c>
      <c r="B234" s="26" t="s">
        <v>512</v>
      </c>
      <c r="C234" s="26" t="s">
        <v>530</v>
      </c>
      <c r="D234" s="26" t="s">
        <v>533</v>
      </c>
      <c r="E234" s="19">
        <v>60597000</v>
      </c>
      <c r="F234" s="37">
        <v>0</v>
      </c>
      <c r="G234" s="38">
        <f t="shared" si="0"/>
        <v>0</v>
      </c>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row>
    <row r="235" spans="1:62" ht="14.25" customHeight="1">
      <c r="A235" s="26" t="s">
        <v>502</v>
      </c>
      <c r="B235" s="26" t="s">
        <v>512</v>
      </c>
      <c r="C235" s="26" t="s">
        <v>530</v>
      </c>
      <c r="D235" s="26" t="s">
        <v>534</v>
      </c>
      <c r="E235" s="19">
        <v>476713000</v>
      </c>
      <c r="F235" s="37">
        <v>0</v>
      </c>
      <c r="G235" s="38">
        <f t="shared" si="0"/>
        <v>0</v>
      </c>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row>
    <row r="236" spans="1:62" ht="14.25" customHeight="1">
      <c r="A236" s="26" t="s">
        <v>502</v>
      </c>
      <c r="B236" s="26" t="s">
        <v>512</v>
      </c>
      <c r="C236" s="26" t="s">
        <v>530</v>
      </c>
      <c r="D236" s="26" t="s">
        <v>535</v>
      </c>
      <c r="E236" s="19">
        <v>375297000</v>
      </c>
      <c r="F236" s="37">
        <v>0</v>
      </c>
      <c r="G236" s="38">
        <f t="shared" si="0"/>
        <v>0</v>
      </c>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row>
    <row r="237" spans="1:62" ht="14.25" customHeight="1">
      <c r="A237" s="26" t="s">
        <v>502</v>
      </c>
      <c r="B237" s="26" t="s">
        <v>512</v>
      </c>
      <c r="C237" s="26" t="s">
        <v>530</v>
      </c>
      <c r="D237" s="26" t="s">
        <v>536</v>
      </c>
      <c r="E237" s="19">
        <v>190815000</v>
      </c>
      <c r="F237" s="37">
        <v>0</v>
      </c>
      <c r="G237" s="38">
        <f t="shared" si="0"/>
        <v>0</v>
      </c>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row>
    <row r="238" spans="1:62" ht="14.25" customHeight="1">
      <c r="A238" s="26" t="s">
        <v>502</v>
      </c>
      <c r="B238" s="26" t="s">
        <v>512</v>
      </c>
      <c r="C238" s="26" t="s">
        <v>530</v>
      </c>
      <c r="D238" s="26" t="s">
        <v>537</v>
      </c>
      <c r="E238" s="19">
        <v>116758000</v>
      </c>
      <c r="F238" s="37">
        <v>0</v>
      </c>
      <c r="G238" s="38">
        <f t="shared" si="0"/>
        <v>0</v>
      </c>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row>
    <row r="239" spans="1:62" ht="14.25" customHeight="1">
      <c r="A239" s="26" t="s">
        <v>502</v>
      </c>
      <c r="B239" s="26" t="s">
        <v>512</v>
      </c>
      <c r="C239" s="26" t="s">
        <v>530</v>
      </c>
      <c r="D239" s="26" t="s">
        <v>538</v>
      </c>
      <c r="E239" s="19">
        <v>170312000</v>
      </c>
      <c r="F239" s="37">
        <v>0</v>
      </c>
      <c r="G239" s="38">
        <f t="shared" si="0"/>
        <v>0</v>
      </c>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row>
    <row r="240" spans="1:62" ht="14.25" customHeight="1">
      <c r="A240" s="26" t="s">
        <v>502</v>
      </c>
      <c r="B240" s="26" t="s">
        <v>512</v>
      </c>
      <c r="C240" s="26" t="s">
        <v>530</v>
      </c>
      <c r="D240" s="26" t="s">
        <v>539</v>
      </c>
      <c r="E240" s="19">
        <v>237936000</v>
      </c>
      <c r="F240" s="37">
        <v>0</v>
      </c>
      <c r="G240" s="38">
        <f t="shared" si="0"/>
        <v>0</v>
      </c>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row>
    <row r="241" spans="1:62" ht="14.25" customHeight="1">
      <c r="A241" s="26" t="s">
        <v>502</v>
      </c>
      <c r="B241" s="26" t="s">
        <v>512</v>
      </c>
      <c r="C241" s="26" t="s">
        <v>540</v>
      </c>
      <c r="D241" s="26" t="s">
        <v>541</v>
      </c>
      <c r="E241" s="19">
        <v>74653000</v>
      </c>
      <c r="F241" s="37">
        <v>-0.5</v>
      </c>
      <c r="G241" s="38">
        <f t="shared" si="0"/>
        <v>-37326500</v>
      </c>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row>
    <row r="242" spans="1:62" ht="14.25" customHeight="1">
      <c r="A242" s="26" t="s">
        <v>502</v>
      </c>
      <c r="B242" s="26" t="s">
        <v>512</v>
      </c>
      <c r="C242" s="26" t="s">
        <v>540</v>
      </c>
      <c r="D242" s="26" t="s">
        <v>542</v>
      </c>
      <c r="E242" s="19">
        <v>269692000</v>
      </c>
      <c r="F242" s="37">
        <v>-0.5</v>
      </c>
      <c r="G242" s="38">
        <f t="shared" si="0"/>
        <v>-134846000</v>
      </c>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row>
    <row r="243" spans="1:62" ht="14.25" customHeight="1">
      <c r="A243" s="26" t="s">
        <v>502</v>
      </c>
      <c r="B243" s="26" t="s">
        <v>512</v>
      </c>
      <c r="C243" s="26" t="s">
        <v>540</v>
      </c>
      <c r="D243" s="26" t="s">
        <v>543</v>
      </c>
      <c r="E243" s="19">
        <v>460270000</v>
      </c>
      <c r="F243" s="37">
        <v>-0.5</v>
      </c>
      <c r="G243" s="38">
        <f t="shared" si="0"/>
        <v>-230135000</v>
      </c>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row>
    <row r="244" spans="1:62" ht="14.25" customHeight="1">
      <c r="A244" s="26" t="s">
        <v>502</v>
      </c>
      <c r="B244" s="26" t="s">
        <v>512</v>
      </c>
      <c r="C244" s="26" t="s">
        <v>540</v>
      </c>
      <c r="D244" s="26" t="s">
        <v>544</v>
      </c>
      <c r="E244" s="19">
        <v>55034000</v>
      </c>
      <c r="F244" s="37">
        <v>-0.5</v>
      </c>
      <c r="G244" s="38">
        <f t="shared" si="0"/>
        <v>-27517000</v>
      </c>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row>
    <row r="245" spans="1:62" ht="14.25" customHeight="1">
      <c r="A245" s="26" t="s">
        <v>502</v>
      </c>
      <c r="B245" s="26" t="s">
        <v>512</v>
      </c>
      <c r="C245" s="26" t="s">
        <v>540</v>
      </c>
      <c r="D245" s="26" t="s">
        <v>545</v>
      </c>
      <c r="E245" s="19">
        <v>200771000</v>
      </c>
      <c r="F245" s="37">
        <v>-0.5</v>
      </c>
      <c r="G245" s="38">
        <f t="shared" si="0"/>
        <v>-100385500</v>
      </c>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row>
    <row r="246" spans="1:62" ht="14.25" customHeight="1">
      <c r="A246" s="26" t="s">
        <v>502</v>
      </c>
      <c r="B246" s="26" t="s">
        <v>512</v>
      </c>
      <c r="C246" s="26" t="s">
        <v>540</v>
      </c>
      <c r="D246" s="26" t="s">
        <v>546</v>
      </c>
      <c r="E246" s="19">
        <v>2036856000</v>
      </c>
      <c r="F246" s="37">
        <v>0</v>
      </c>
      <c r="G246" s="38">
        <f t="shared" si="0"/>
        <v>0</v>
      </c>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row>
    <row r="247" spans="1:62" ht="14.25" customHeight="1">
      <c r="A247" s="26" t="s">
        <v>502</v>
      </c>
      <c r="B247" s="26" t="s">
        <v>512</v>
      </c>
      <c r="C247" s="26" t="s">
        <v>540</v>
      </c>
      <c r="D247" s="26" t="s">
        <v>547</v>
      </c>
      <c r="E247" s="19">
        <v>190627000</v>
      </c>
      <c r="F247" s="37">
        <v>-0.5</v>
      </c>
      <c r="G247" s="38">
        <f t="shared" si="0"/>
        <v>-95313500</v>
      </c>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row>
    <row r="248" spans="1:62" ht="14.25" customHeight="1">
      <c r="A248" s="26" t="s">
        <v>502</v>
      </c>
      <c r="B248" s="26" t="s">
        <v>512</v>
      </c>
      <c r="C248" s="26" t="s">
        <v>540</v>
      </c>
      <c r="D248" s="26" t="s">
        <v>548</v>
      </c>
      <c r="E248" s="19">
        <v>19807000</v>
      </c>
      <c r="F248" s="37">
        <v>-0.5</v>
      </c>
      <c r="G248" s="38">
        <f t="shared" si="0"/>
        <v>-9903500</v>
      </c>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row>
    <row r="249" spans="1:62" ht="14.25" customHeight="1">
      <c r="A249" s="26" t="s">
        <v>502</v>
      </c>
      <c r="B249" s="26" t="s">
        <v>512</v>
      </c>
      <c r="C249" s="26" t="s">
        <v>540</v>
      </c>
      <c r="D249" s="26" t="s">
        <v>549</v>
      </c>
      <c r="E249" s="19">
        <v>422557000</v>
      </c>
      <c r="F249" s="37">
        <v>-0.5</v>
      </c>
      <c r="G249" s="38">
        <f t="shared" si="0"/>
        <v>-211278500</v>
      </c>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row>
    <row r="250" spans="1:62" ht="14.25" customHeight="1">
      <c r="A250" s="26" t="s">
        <v>502</v>
      </c>
      <c r="B250" s="26" t="s">
        <v>512</v>
      </c>
      <c r="C250" s="26" t="s">
        <v>550</v>
      </c>
      <c r="D250" s="26" t="s">
        <v>551</v>
      </c>
      <c r="E250" s="19">
        <v>648999000</v>
      </c>
      <c r="F250" s="37">
        <v>-0.5</v>
      </c>
      <c r="G250" s="38">
        <f t="shared" si="0"/>
        <v>-324499500</v>
      </c>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row>
    <row r="251" spans="1:62" ht="14.25" customHeight="1">
      <c r="A251" s="26" t="s">
        <v>502</v>
      </c>
      <c r="B251" s="26" t="s">
        <v>512</v>
      </c>
      <c r="C251" s="26" t="s">
        <v>550</v>
      </c>
      <c r="D251" s="26" t="s">
        <v>552</v>
      </c>
      <c r="E251" s="19">
        <v>242191000</v>
      </c>
      <c r="F251" s="37">
        <v>-0.5</v>
      </c>
      <c r="G251" s="38">
        <f t="shared" si="0"/>
        <v>-121095500</v>
      </c>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row>
    <row r="252" spans="1:62" ht="14.25" customHeight="1">
      <c r="A252" s="26" t="s">
        <v>502</v>
      </c>
      <c r="B252" s="26" t="s">
        <v>512</v>
      </c>
      <c r="C252" s="26" t="s">
        <v>553</v>
      </c>
      <c r="D252" s="26" t="s">
        <v>554</v>
      </c>
      <c r="E252" s="19">
        <v>186673000</v>
      </c>
      <c r="F252" s="37">
        <v>-0.5</v>
      </c>
      <c r="G252" s="38">
        <f t="shared" si="0"/>
        <v>-93336500</v>
      </c>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row>
    <row r="253" spans="1:62" ht="14.25" customHeight="1">
      <c r="A253" s="26" t="s">
        <v>502</v>
      </c>
      <c r="B253" s="26" t="s">
        <v>512</v>
      </c>
      <c r="C253" s="26" t="s">
        <v>553</v>
      </c>
      <c r="D253" s="26" t="s">
        <v>555</v>
      </c>
      <c r="E253" s="19">
        <v>60110000</v>
      </c>
      <c r="F253" s="37">
        <v>-0.5</v>
      </c>
      <c r="G253" s="38">
        <f t="shared" si="0"/>
        <v>-30055000</v>
      </c>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row>
    <row r="254" spans="1:62" ht="14.25" customHeight="1">
      <c r="A254" s="26" t="s">
        <v>502</v>
      </c>
      <c r="B254" s="26" t="s">
        <v>512</v>
      </c>
      <c r="C254" s="26" t="s">
        <v>553</v>
      </c>
      <c r="D254" s="26" t="s">
        <v>556</v>
      </c>
      <c r="E254" s="19">
        <v>136710000</v>
      </c>
      <c r="F254" s="37">
        <v>-0.5</v>
      </c>
      <c r="G254" s="38">
        <f t="shared" si="0"/>
        <v>-68355000</v>
      </c>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row>
    <row r="255" spans="1:62" ht="14.25" customHeight="1">
      <c r="A255" s="26" t="s">
        <v>502</v>
      </c>
      <c r="B255" s="26" t="s">
        <v>512</v>
      </c>
      <c r="C255" s="26" t="s">
        <v>553</v>
      </c>
      <c r="D255" s="26" t="s">
        <v>557</v>
      </c>
      <c r="E255" s="19">
        <v>2627000</v>
      </c>
      <c r="F255" s="37">
        <v>-0.5</v>
      </c>
      <c r="G255" s="38">
        <f t="shared" si="0"/>
        <v>-1313500</v>
      </c>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row>
    <row r="256" spans="1:62" ht="14.25" customHeight="1">
      <c r="A256" s="26" t="s">
        <v>502</v>
      </c>
      <c r="B256" s="26" t="s">
        <v>512</v>
      </c>
      <c r="C256" s="26" t="s">
        <v>553</v>
      </c>
      <c r="D256" s="26" t="s">
        <v>558</v>
      </c>
      <c r="E256" s="19">
        <v>11554000</v>
      </c>
      <c r="F256" s="37">
        <v>-0.5</v>
      </c>
      <c r="G256" s="38">
        <f t="shared" si="0"/>
        <v>-5777000</v>
      </c>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row>
    <row r="257" spans="1:62" ht="14.25" customHeight="1">
      <c r="A257" s="26" t="s">
        <v>502</v>
      </c>
      <c r="B257" s="26" t="s">
        <v>512</v>
      </c>
      <c r="C257" s="26" t="s">
        <v>553</v>
      </c>
      <c r="D257" s="26" t="s">
        <v>559</v>
      </c>
      <c r="E257" s="19">
        <v>62226000</v>
      </c>
      <c r="F257" s="37">
        <v>-0.5</v>
      </c>
      <c r="G257" s="38">
        <f t="shared" si="0"/>
        <v>-31113000</v>
      </c>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row>
    <row r="258" spans="1:62" ht="14.25" customHeight="1">
      <c r="A258" s="26" t="s">
        <v>502</v>
      </c>
      <c r="B258" s="26" t="s">
        <v>512</v>
      </c>
      <c r="C258" s="26" t="s">
        <v>553</v>
      </c>
      <c r="D258" s="26" t="s">
        <v>560</v>
      </c>
      <c r="E258" s="19">
        <v>891626000</v>
      </c>
      <c r="F258" s="37">
        <v>-0.5</v>
      </c>
      <c r="G258" s="38">
        <f t="shared" si="0"/>
        <v>-445813000</v>
      </c>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row>
    <row r="259" spans="1:62" ht="14.25" customHeight="1">
      <c r="A259" s="26" t="s">
        <v>502</v>
      </c>
      <c r="B259" s="26" t="s">
        <v>512</v>
      </c>
      <c r="C259" s="26" t="s">
        <v>561</v>
      </c>
      <c r="D259" s="26" t="s">
        <v>562</v>
      </c>
      <c r="E259" s="19">
        <v>514561000</v>
      </c>
      <c r="F259" s="37">
        <v>-0.5</v>
      </c>
      <c r="G259" s="38">
        <f t="shared" si="0"/>
        <v>-257280500</v>
      </c>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row>
    <row r="260" spans="1:62" ht="14.25" customHeight="1">
      <c r="A260" s="26" t="s">
        <v>502</v>
      </c>
      <c r="B260" s="26" t="s">
        <v>512</v>
      </c>
      <c r="C260" s="26" t="s">
        <v>561</v>
      </c>
      <c r="D260" s="26" t="s">
        <v>563</v>
      </c>
      <c r="E260" s="19">
        <v>212566000</v>
      </c>
      <c r="F260" s="37">
        <v>-0.5</v>
      </c>
      <c r="G260" s="38">
        <f t="shared" si="0"/>
        <v>-106283000</v>
      </c>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row>
    <row r="261" spans="1:62" ht="14.25" customHeight="1">
      <c r="A261" s="26" t="s">
        <v>502</v>
      </c>
      <c r="B261" s="26" t="s">
        <v>512</v>
      </c>
      <c r="C261" s="26" t="s">
        <v>561</v>
      </c>
      <c r="D261" s="26" t="s">
        <v>564</v>
      </c>
      <c r="E261" s="19">
        <v>1109139000</v>
      </c>
      <c r="F261" s="37">
        <v>-0.5</v>
      </c>
      <c r="G261" s="38">
        <f t="shared" si="0"/>
        <v>-554569500</v>
      </c>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row>
    <row r="262" spans="1:62" ht="14.25" customHeight="1">
      <c r="A262" s="26" t="s">
        <v>502</v>
      </c>
      <c r="B262" s="26" t="s">
        <v>512</v>
      </c>
      <c r="C262" s="26" t="s">
        <v>561</v>
      </c>
      <c r="D262" s="26" t="s">
        <v>565</v>
      </c>
      <c r="E262" s="19">
        <v>861064000</v>
      </c>
      <c r="F262" s="37">
        <v>-0.5</v>
      </c>
      <c r="G262" s="38">
        <f t="shared" si="0"/>
        <v>-430532000</v>
      </c>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row>
    <row r="263" spans="1:62" ht="14.25" customHeight="1">
      <c r="A263" s="26" t="s">
        <v>502</v>
      </c>
      <c r="B263" s="26" t="s">
        <v>512</v>
      </c>
      <c r="C263" s="26" t="s">
        <v>561</v>
      </c>
      <c r="D263" s="26" t="s">
        <v>566</v>
      </c>
      <c r="E263" s="19">
        <v>273120000</v>
      </c>
      <c r="F263" s="37">
        <v>-0.5</v>
      </c>
      <c r="G263" s="38">
        <f t="shared" si="0"/>
        <v>-136560000</v>
      </c>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row>
    <row r="264" spans="1:62" ht="14.25" customHeight="1">
      <c r="A264" s="26" t="s">
        <v>502</v>
      </c>
      <c r="B264" s="26" t="s">
        <v>512</v>
      </c>
      <c r="C264" s="26" t="s">
        <v>561</v>
      </c>
      <c r="D264" s="26" t="s">
        <v>567</v>
      </c>
      <c r="E264" s="19">
        <v>65989000</v>
      </c>
      <c r="F264" s="37">
        <v>-0.5</v>
      </c>
      <c r="G264" s="38">
        <f t="shared" si="0"/>
        <v>-32994500</v>
      </c>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row>
    <row r="265" spans="1:62" ht="14.25" customHeight="1">
      <c r="A265" s="26" t="s">
        <v>502</v>
      </c>
      <c r="B265" s="26" t="s">
        <v>512</v>
      </c>
      <c r="C265" s="26" t="s">
        <v>561</v>
      </c>
      <c r="D265" s="26" t="s">
        <v>568</v>
      </c>
      <c r="E265" s="19">
        <v>103390000</v>
      </c>
      <c r="F265" s="37">
        <v>-0.5</v>
      </c>
      <c r="G265" s="38">
        <f t="shared" si="0"/>
        <v>-51695000</v>
      </c>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row>
    <row r="266" spans="1:62" ht="14.25" customHeight="1">
      <c r="A266" s="26" t="s">
        <v>502</v>
      </c>
      <c r="B266" s="26" t="s">
        <v>512</v>
      </c>
      <c r="C266" s="26" t="s">
        <v>569</v>
      </c>
      <c r="D266" s="26" t="s">
        <v>569</v>
      </c>
      <c r="E266" s="19">
        <v>3310746000</v>
      </c>
      <c r="F266" s="37">
        <v>-0.5</v>
      </c>
      <c r="G266" s="38">
        <f t="shared" si="0"/>
        <v>-1655373000</v>
      </c>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row>
    <row r="267" spans="1:62" ht="14.25" customHeight="1">
      <c r="A267" s="26" t="s">
        <v>502</v>
      </c>
      <c r="B267" s="26" t="s">
        <v>570</v>
      </c>
      <c r="C267" s="26" t="s">
        <v>571</v>
      </c>
      <c r="D267" s="26" t="s">
        <v>572</v>
      </c>
      <c r="E267" s="19">
        <v>6577092000</v>
      </c>
      <c r="F267" s="37">
        <v>0</v>
      </c>
      <c r="G267" s="38">
        <f t="shared" si="0"/>
        <v>0</v>
      </c>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row>
    <row r="268" spans="1:62" ht="14.25" customHeight="1">
      <c r="A268" s="26" t="s">
        <v>502</v>
      </c>
      <c r="B268" s="26" t="s">
        <v>570</v>
      </c>
      <c r="C268" s="26" t="s">
        <v>571</v>
      </c>
      <c r="D268" s="26" t="s">
        <v>573</v>
      </c>
      <c r="E268" s="19">
        <v>1550076000</v>
      </c>
      <c r="F268" s="37">
        <v>0</v>
      </c>
      <c r="G268" s="38">
        <f t="shared" si="0"/>
        <v>0</v>
      </c>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row>
    <row r="269" spans="1:62" ht="14.25" customHeight="1">
      <c r="A269" s="26" t="s">
        <v>502</v>
      </c>
      <c r="B269" s="26" t="s">
        <v>570</v>
      </c>
      <c r="C269" s="26" t="s">
        <v>574</v>
      </c>
      <c r="D269" s="26" t="s">
        <v>575</v>
      </c>
      <c r="E269" s="19">
        <v>13109000</v>
      </c>
      <c r="F269" s="37">
        <v>0</v>
      </c>
      <c r="G269" s="38">
        <f t="shared" si="0"/>
        <v>0</v>
      </c>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row>
    <row r="270" spans="1:62" ht="14.25" customHeight="1">
      <c r="A270" s="26" t="s">
        <v>502</v>
      </c>
      <c r="B270" s="26" t="s">
        <v>570</v>
      </c>
      <c r="C270" s="26" t="s">
        <v>574</v>
      </c>
      <c r="D270" s="26" t="s">
        <v>576</v>
      </c>
      <c r="E270" s="19">
        <v>89340000</v>
      </c>
      <c r="F270" s="37">
        <v>0</v>
      </c>
      <c r="G270" s="38">
        <f t="shared" si="0"/>
        <v>0</v>
      </c>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row>
    <row r="271" spans="1:62" ht="14.25" customHeight="1">
      <c r="A271" s="26" t="s">
        <v>502</v>
      </c>
      <c r="B271" s="26" t="s">
        <v>570</v>
      </c>
      <c r="C271" s="26" t="s">
        <v>574</v>
      </c>
      <c r="D271" s="26" t="s">
        <v>577</v>
      </c>
      <c r="E271" s="19">
        <v>21175000</v>
      </c>
      <c r="F271" s="37">
        <v>0</v>
      </c>
      <c r="G271" s="38">
        <f t="shared" si="0"/>
        <v>0</v>
      </c>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row>
    <row r="272" spans="1:62" ht="14.25" customHeight="1">
      <c r="A272" s="26" t="s">
        <v>502</v>
      </c>
      <c r="B272" s="26" t="s">
        <v>570</v>
      </c>
      <c r="C272" s="26" t="s">
        <v>574</v>
      </c>
      <c r="D272" s="26" t="s">
        <v>578</v>
      </c>
      <c r="E272" s="19">
        <v>82942000</v>
      </c>
      <c r="F272" s="37">
        <v>0</v>
      </c>
      <c r="G272" s="38">
        <f t="shared" si="0"/>
        <v>0</v>
      </c>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row>
    <row r="273" spans="1:62" ht="14.25" customHeight="1">
      <c r="A273" s="26" t="s">
        <v>502</v>
      </c>
      <c r="B273" s="26" t="s">
        <v>570</v>
      </c>
      <c r="C273" s="26" t="s">
        <v>574</v>
      </c>
      <c r="D273" s="26" t="s">
        <v>582</v>
      </c>
      <c r="E273" s="19">
        <v>41379000</v>
      </c>
      <c r="F273" s="37">
        <v>0</v>
      </c>
      <c r="G273" s="38">
        <f t="shared" si="0"/>
        <v>0</v>
      </c>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row>
    <row r="274" spans="1:62" ht="14.25" customHeight="1">
      <c r="A274" s="26" t="s">
        <v>502</v>
      </c>
      <c r="B274" s="26" t="s">
        <v>570</v>
      </c>
      <c r="C274" s="26" t="s">
        <v>574</v>
      </c>
      <c r="D274" s="26" t="s">
        <v>583</v>
      </c>
      <c r="E274" s="19">
        <v>332895000</v>
      </c>
      <c r="F274" s="37">
        <v>0</v>
      </c>
      <c r="G274" s="38">
        <f t="shared" si="0"/>
        <v>0</v>
      </c>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row>
    <row r="275" spans="1:62" ht="14.25" customHeight="1">
      <c r="A275" s="26" t="s">
        <v>502</v>
      </c>
      <c r="B275" s="26" t="s">
        <v>570</v>
      </c>
      <c r="C275" s="26" t="s">
        <v>574</v>
      </c>
      <c r="D275" s="26" t="s">
        <v>587</v>
      </c>
      <c r="E275" s="19">
        <v>51110000</v>
      </c>
      <c r="F275" s="37">
        <v>0</v>
      </c>
      <c r="G275" s="38">
        <f t="shared" si="0"/>
        <v>0</v>
      </c>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row>
    <row r="276" spans="1:62" ht="14.25" customHeight="1">
      <c r="A276" s="26" t="s">
        <v>502</v>
      </c>
      <c r="B276" s="26" t="s">
        <v>570</v>
      </c>
      <c r="C276" s="26" t="s">
        <v>599</v>
      </c>
      <c r="D276" s="26" t="s">
        <v>599</v>
      </c>
      <c r="E276" s="19">
        <v>753438000</v>
      </c>
      <c r="F276" s="37">
        <v>-0.5</v>
      </c>
      <c r="G276" s="38">
        <f t="shared" si="0"/>
        <v>-376719000</v>
      </c>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row>
    <row r="277" spans="1:62" ht="14.25" customHeight="1">
      <c r="A277" s="26" t="s">
        <v>502</v>
      </c>
      <c r="B277" s="26" t="s">
        <v>570</v>
      </c>
      <c r="C277" s="26" t="s">
        <v>616</v>
      </c>
      <c r="D277" s="26" t="s">
        <v>617</v>
      </c>
      <c r="E277" s="19">
        <v>68320000</v>
      </c>
      <c r="F277" s="37">
        <v>-0.5</v>
      </c>
      <c r="G277" s="38">
        <f t="shared" si="0"/>
        <v>-34160000</v>
      </c>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row>
    <row r="278" spans="1:62" ht="14.25" customHeight="1">
      <c r="A278" s="26" t="s">
        <v>502</v>
      </c>
      <c r="B278" s="26" t="s">
        <v>570</v>
      </c>
      <c r="C278" s="26" t="s">
        <v>616</v>
      </c>
      <c r="D278" s="26" t="s">
        <v>630</v>
      </c>
      <c r="E278" s="19">
        <v>67206000</v>
      </c>
      <c r="F278" s="37">
        <v>-0.5</v>
      </c>
      <c r="G278" s="38">
        <f t="shared" si="0"/>
        <v>-33603000</v>
      </c>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row>
    <row r="279" spans="1:62" ht="14.25" customHeight="1">
      <c r="A279" s="26" t="s">
        <v>502</v>
      </c>
      <c r="B279" s="26" t="s">
        <v>570</v>
      </c>
      <c r="C279" s="26" t="s">
        <v>616</v>
      </c>
      <c r="D279" s="26" t="s">
        <v>634</v>
      </c>
      <c r="E279" s="19">
        <v>14134000</v>
      </c>
      <c r="F279" s="37">
        <v>-0.5</v>
      </c>
      <c r="G279" s="38">
        <f t="shared" si="0"/>
        <v>-7067000</v>
      </c>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row>
    <row r="280" spans="1:62" ht="14.25" customHeight="1">
      <c r="A280" s="26" t="s">
        <v>502</v>
      </c>
      <c r="B280" s="26" t="s">
        <v>570</v>
      </c>
      <c r="C280" s="26" t="s">
        <v>635</v>
      </c>
      <c r="D280" s="26" t="s">
        <v>636</v>
      </c>
      <c r="E280" s="19">
        <v>92610000</v>
      </c>
      <c r="F280" s="37">
        <v>-0.5</v>
      </c>
      <c r="G280" s="38">
        <f t="shared" si="0"/>
        <v>-46305000</v>
      </c>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row>
    <row r="281" spans="1:62" ht="14.25" customHeight="1">
      <c r="A281" s="26" t="s">
        <v>502</v>
      </c>
      <c r="B281" s="26" t="s">
        <v>570</v>
      </c>
      <c r="C281" s="26" t="s">
        <v>635</v>
      </c>
      <c r="D281" s="26" t="s">
        <v>637</v>
      </c>
      <c r="E281" s="19">
        <v>714470000</v>
      </c>
      <c r="F281" s="37">
        <v>-0.5</v>
      </c>
      <c r="G281" s="38">
        <f t="shared" si="0"/>
        <v>-357235000</v>
      </c>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row>
    <row r="282" spans="1:62" ht="14.25" customHeight="1">
      <c r="A282" s="26" t="s">
        <v>502</v>
      </c>
      <c r="B282" s="26" t="s">
        <v>570</v>
      </c>
      <c r="C282" s="26" t="s">
        <v>635</v>
      </c>
      <c r="D282" s="26" t="s">
        <v>638</v>
      </c>
      <c r="E282" s="19">
        <v>73371000</v>
      </c>
      <c r="F282" s="37">
        <v>-0.5</v>
      </c>
      <c r="G282" s="38">
        <f t="shared" si="0"/>
        <v>-36685500</v>
      </c>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row>
    <row r="283" spans="1:62" ht="14.25" customHeight="1">
      <c r="A283" s="26" t="s">
        <v>502</v>
      </c>
      <c r="B283" s="26" t="s">
        <v>570</v>
      </c>
      <c r="C283" s="26" t="s">
        <v>635</v>
      </c>
      <c r="D283" s="26" t="s">
        <v>639</v>
      </c>
      <c r="E283" s="19">
        <v>181091000</v>
      </c>
      <c r="F283" s="37">
        <v>-0.5</v>
      </c>
      <c r="G283" s="38">
        <f t="shared" si="0"/>
        <v>-90545500</v>
      </c>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row>
    <row r="284" spans="1:62" ht="14.25" customHeight="1">
      <c r="A284" s="26" t="s">
        <v>502</v>
      </c>
      <c r="B284" s="26" t="s">
        <v>570</v>
      </c>
      <c r="C284" s="26" t="s">
        <v>635</v>
      </c>
      <c r="D284" s="26" t="s">
        <v>640</v>
      </c>
      <c r="E284" s="19">
        <v>781353000</v>
      </c>
      <c r="F284" s="37">
        <v>-0.5</v>
      </c>
      <c r="G284" s="38">
        <f t="shared" si="0"/>
        <v>-390676500</v>
      </c>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row>
    <row r="285" spans="1:62" ht="14.25" customHeight="1">
      <c r="A285" s="26" t="s">
        <v>502</v>
      </c>
      <c r="B285" s="26" t="s">
        <v>570</v>
      </c>
      <c r="C285" s="26" t="s">
        <v>641</v>
      </c>
      <c r="D285" s="26" t="s">
        <v>642</v>
      </c>
      <c r="E285" s="19">
        <v>29581000</v>
      </c>
      <c r="F285" s="37">
        <v>-0.5</v>
      </c>
      <c r="G285" s="38">
        <f t="shared" si="0"/>
        <v>-14790500</v>
      </c>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row>
    <row r="286" spans="1:62" ht="14.25" customHeight="1">
      <c r="A286" s="26" t="s">
        <v>502</v>
      </c>
      <c r="B286" s="26" t="s">
        <v>570</v>
      </c>
      <c r="C286" s="26" t="s">
        <v>641</v>
      </c>
      <c r="D286" s="26" t="s">
        <v>643</v>
      </c>
      <c r="E286" s="19">
        <v>13512000</v>
      </c>
      <c r="F286" s="37">
        <v>-0.5</v>
      </c>
      <c r="G286" s="38">
        <f t="shared" si="0"/>
        <v>-6756000</v>
      </c>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row>
    <row r="287" spans="1:62" ht="14.25" customHeight="1">
      <c r="A287" s="26" t="s">
        <v>502</v>
      </c>
      <c r="B287" s="26" t="s">
        <v>570</v>
      </c>
      <c r="C287" s="26" t="s">
        <v>644</v>
      </c>
      <c r="D287" s="26" t="s">
        <v>645</v>
      </c>
      <c r="E287" s="19">
        <v>1582514000</v>
      </c>
      <c r="F287" s="37">
        <v>-0.5</v>
      </c>
      <c r="G287" s="38">
        <f t="shared" si="0"/>
        <v>-791257000</v>
      </c>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row>
    <row r="288" spans="1:62" ht="14.25" customHeight="1">
      <c r="A288" s="26" t="s">
        <v>502</v>
      </c>
      <c r="B288" s="26" t="s">
        <v>570</v>
      </c>
      <c r="C288" s="26" t="s">
        <v>644</v>
      </c>
      <c r="D288" s="26" t="s">
        <v>646</v>
      </c>
      <c r="E288" s="19">
        <v>1186090000</v>
      </c>
      <c r="F288" s="37">
        <v>0</v>
      </c>
      <c r="G288" s="38">
        <f t="shared" si="0"/>
        <v>0</v>
      </c>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row>
    <row r="289" spans="1:62" ht="14.25" customHeight="1">
      <c r="A289" s="26" t="s">
        <v>502</v>
      </c>
      <c r="B289" s="26" t="s">
        <v>570</v>
      </c>
      <c r="C289" s="26" t="s">
        <v>644</v>
      </c>
      <c r="D289" s="26" t="s">
        <v>647</v>
      </c>
      <c r="E289" s="19">
        <v>127963000</v>
      </c>
      <c r="F289" s="37">
        <v>0</v>
      </c>
      <c r="G289" s="38">
        <f t="shared" si="0"/>
        <v>0</v>
      </c>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row>
    <row r="290" spans="1:62" ht="14.25" customHeight="1">
      <c r="A290" s="26" t="s">
        <v>502</v>
      </c>
      <c r="B290" s="26" t="s">
        <v>570</v>
      </c>
      <c r="C290" s="26" t="s">
        <v>644</v>
      </c>
      <c r="D290" s="26" t="s">
        <v>649</v>
      </c>
      <c r="E290" s="19">
        <v>181487000</v>
      </c>
      <c r="F290" s="37">
        <v>-0.5</v>
      </c>
      <c r="G290" s="38">
        <f t="shared" si="0"/>
        <v>-90743500</v>
      </c>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row>
    <row r="291" spans="1:62" ht="14.25" customHeight="1">
      <c r="A291" s="26" t="s">
        <v>502</v>
      </c>
      <c r="B291" s="26" t="s">
        <v>570</v>
      </c>
      <c r="C291" s="26" t="s">
        <v>644</v>
      </c>
      <c r="D291" s="26" t="s">
        <v>650</v>
      </c>
      <c r="E291" s="19">
        <v>128264000</v>
      </c>
      <c r="F291" s="37">
        <v>-0.5</v>
      </c>
      <c r="G291" s="38">
        <f t="shared" si="0"/>
        <v>-64132000</v>
      </c>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row>
    <row r="292" spans="1:62" ht="14.25" customHeight="1">
      <c r="A292" s="26" t="s">
        <v>502</v>
      </c>
      <c r="B292" s="26" t="s">
        <v>570</v>
      </c>
      <c r="C292" s="26" t="s">
        <v>644</v>
      </c>
      <c r="D292" s="26" t="s">
        <v>651</v>
      </c>
      <c r="E292" s="19">
        <v>448436000</v>
      </c>
      <c r="F292" s="37">
        <v>-0.5</v>
      </c>
      <c r="G292" s="38">
        <f t="shared" si="0"/>
        <v>-224218000</v>
      </c>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row>
    <row r="293" spans="1:62" ht="14.25" customHeight="1">
      <c r="A293" s="26" t="s">
        <v>502</v>
      </c>
      <c r="B293" s="26" t="s">
        <v>570</v>
      </c>
      <c r="C293" s="26" t="s">
        <v>644</v>
      </c>
      <c r="D293" s="26" t="s">
        <v>652</v>
      </c>
      <c r="E293" s="19">
        <v>41404000</v>
      </c>
      <c r="F293" s="37">
        <v>-0.5</v>
      </c>
      <c r="G293" s="38">
        <f t="shared" si="0"/>
        <v>-20702000</v>
      </c>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row>
    <row r="294" spans="1:62" ht="14.25" customHeight="1">
      <c r="A294" s="26" t="s">
        <v>502</v>
      </c>
      <c r="B294" s="26" t="s">
        <v>570</v>
      </c>
      <c r="C294" s="26" t="s">
        <v>653</v>
      </c>
      <c r="D294" s="26" t="s">
        <v>654</v>
      </c>
      <c r="E294" s="19">
        <v>42768000</v>
      </c>
      <c r="F294" s="37">
        <v>-0.5</v>
      </c>
      <c r="G294" s="38">
        <f t="shared" si="0"/>
        <v>-21384000</v>
      </c>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row>
    <row r="295" spans="1:62" ht="14.25" customHeight="1">
      <c r="A295" s="26" t="s">
        <v>502</v>
      </c>
      <c r="B295" s="26" t="s">
        <v>570</v>
      </c>
      <c r="C295" s="26" t="s">
        <v>653</v>
      </c>
      <c r="D295" s="26" t="s">
        <v>655</v>
      </c>
      <c r="E295" s="19">
        <v>20613000</v>
      </c>
      <c r="F295" s="37">
        <v>-0.5</v>
      </c>
      <c r="G295" s="38">
        <f t="shared" si="0"/>
        <v>-10306500</v>
      </c>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row>
    <row r="296" spans="1:62" ht="14.25" customHeight="1">
      <c r="A296" s="26" t="s">
        <v>502</v>
      </c>
      <c r="B296" s="26" t="s">
        <v>570</v>
      </c>
      <c r="C296" s="26" t="s">
        <v>653</v>
      </c>
      <c r="D296" s="26" t="s">
        <v>656</v>
      </c>
      <c r="E296" s="19">
        <v>39519000</v>
      </c>
      <c r="F296" s="37">
        <v>-0.5</v>
      </c>
      <c r="G296" s="38">
        <f t="shared" si="0"/>
        <v>-19759500</v>
      </c>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row>
    <row r="297" spans="1:62" ht="14.25" customHeight="1">
      <c r="A297" s="26" t="s">
        <v>502</v>
      </c>
      <c r="B297" s="26" t="s">
        <v>570</v>
      </c>
      <c r="C297" s="26" t="s">
        <v>657</v>
      </c>
      <c r="D297" s="26" t="s">
        <v>658</v>
      </c>
      <c r="E297" s="19">
        <v>142837000</v>
      </c>
      <c r="F297" s="37">
        <v>-0.5</v>
      </c>
      <c r="G297" s="38">
        <f t="shared" si="0"/>
        <v>-71418500</v>
      </c>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row>
    <row r="298" spans="1:62" ht="14.25" customHeight="1">
      <c r="A298" s="26" t="s">
        <v>502</v>
      </c>
      <c r="B298" s="26" t="s">
        <v>570</v>
      </c>
      <c r="C298" s="26" t="s">
        <v>657</v>
      </c>
      <c r="D298" s="26" t="s">
        <v>659</v>
      </c>
      <c r="E298" s="19">
        <v>213313000</v>
      </c>
      <c r="F298" s="37">
        <v>-0.5</v>
      </c>
      <c r="G298" s="38">
        <f t="shared" si="0"/>
        <v>-106656500</v>
      </c>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row>
    <row r="299" spans="1:62" ht="14.25" customHeight="1">
      <c r="A299" s="26" t="s">
        <v>660</v>
      </c>
      <c r="B299" s="26" t="s">
        <v>661</v>
      </c>
      <c r="C299" s="26" t="s">
        <v>662</v>
      </c>
      <c r="D299" s="26" t="s">
        <v>662</v>
      </c>
      <c r="E299" s="19">
        <v>290479</v>
      </c>
      <c r="F299" s="37">
        <v>-0.3</v>
      </c>
      <c r="G299" s="38">
        <f t="shared" si="0"/>
        <v>-87143.7</v>
      </c>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row>
    <row r="300" spans="1:62" ht="14.25" customHeight="1">
      <c r="A300" s="26" t="s">
        <v>660</v>
      </c>
      <c r="B300" s="26" t="s">
        <v>661</v>
      </c>
      <c r="C300" s="26" t="s">
        <v>663</v>
      </c>
      <c r="D300" s="26" t="s">
        <v>664</v>
      </c>
      <c r="E300" s="19">
        <v>1858887</v>
      </c>
      <c r="F300" s="37">
        <v>-0.7</v>
      </c>
      <c r="G300" s="38">
        <f t="shared" si="0"/>
        <v>-1301220.8999999999</v>
      </c>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row>
    <row r="301" spans="1:62" ht="14.25" customHeight="1">
      <c r="A301" s="26" t="s">
        <v>660</v>
      </c>
      <c r="B301" s="26" t="s">
        <v>661</v>
      </c>
      <c r="C301" s="26" t="s">
        <v>663</v>
      </c>
      <c r="D301" s="26" t="s">
        <v>665</v>
      </c>
      <c r="E301" s="19">
        <v>84341</v>
      </c>
      <c r="F301" s="37">
        <v>-0.7</v>
      </c>
      <c r="G301" s="38">
        <f t="shared" si="0"/>
        <v>-59038.7</v>
      </c>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row>
    <row r="302" spans="1:62" ht="14.25" customHeight="1">
      <c r="A302" s="26" t="s">
        <v>660</v>
      </c>
      <c r="B302" s="26" t="s">
        <v>661</v>
      </c>
      <c r="C302" s="26" t="s">
        <v>663</v>
      </c>
      <c r="D302" s="26" t="s">
        <v>666</v>
      </c>
      <c r="E302" s="19">
        <v>990565</v>
      </c>
      <c r="F302" s="37">
        <v>-0.7</v>
      </c>
      <c r="G302" s="38">
        <f t="shared" si="0"/>
        <v>-693395.5</v>
      </c>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row>
    <row r="303" spans="1:62" ht="14.25" customHeight="1">
      <c r="A303" s="26" t="s">
        <v>660</v>
      </c>
      <c r="B303" s="26" t="s">
        <v>661</v>
      </c>
      <c r="C303" s="26" t="s">
        <v>667</v>
      </c>
      <c r="D303" s="26" t="s">
        <v>668</v>
      </c>
      <c r="E303" s="19">
        <v>3543188</v>
      </c>
      <c r="F303" s="37">
        <v>-0.3</v>
      </c>
      <c r="G303" s="38">
        <f t="shared" si="0"/>
        <v>-1062956.3999999999</v>
      </c>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row>
    <row r="304" spans="1:62" ht="14.25" customHeight="1">
      <c r="A304" s="26" t="s">
        <v>660</v>
      </c>
      <c r="B304" s="26" t="s">
        <v>661</v>
      </c>
      <c r="C304" s="26" t="s">
        <v>667</v>
      </c>
      <c r="D304" s="26" t="s">
        <v>669</v>
      </c>
      <c r="E304" s="19">
        <v>1382</v>
      </c>
      <c r="F304" s="37">
        <v>-0.7</v>
      </c>
      <c r="G304" s="38">
        <f t="shared" si="0"/>
        <v>-967.4</v>
      </c>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row>
    <row r="305" spans="1:62" ht="14.25" customHeight="1">
      <c r="A305" s="26" t="s">
        <v>660</v>
      </c>
      <c r="B305" s="26" t="s">
        <v>670</v>
      </c>
      <c r="C305" s="26" t="s">
        <v>671</v>
      </c>
      <c r="D305" s="26" t="s">
        <v>671</v>
      </c>
      <c r="E305" s="19">
        <v>521633</v>
      </c>
      <c r="F305" s="37">
        <v>-0.7</v>
      </c>
      <c r="G305" s="38">
        <f t="shared" si="0"/>
        <v>-365143.1</v>
      </c>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row>
    <row r="306" spans="1:62" ht="14.25" customHeight="1">
      <c r="A306" s="26" t="s">
        <v>660</v>
      </c>
      <c r="B306" s="26" t="s">
        <v>670</v>
      </c>
      <c r="C306" s="26" t="s">
        <v>672</v>
      </c>
      <c r="D306" s="26" t="s">
        <v>672</v>
      </c>
      <c r="E306" s="19">
        <v>426275</v>
      </c>
      <c r="F306" s="37">
        <v>-0.3</v>
      </c>
      <c r="G306" s="38">
        <f t="shared" si="0"/>
        <v>-127882.5</v>
      </c>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row>
    <row r="307" spans="1:62" ht="14.25" customHeight="1">
      <c r="A307" s="26" t="s">
        <v>660</v>
      </c>
      <c r="B307" s="26" t="s">
        <v>670</v>
      </c>
      <c r="C307" s="26" t="s">
        <v>673</v>
      </c>
      <c r="D307" s="26" t="s">
        <v>673</v>
      </c>
      <c r="E307" s="19">
        <v>935</v>
      </c>
      <c r="F307" s="37">
        <v>-0.7</v>
      </c>
      <c r="G307" s="38">
        <f t="shared" si="0"/>
        <v>-654.5</v>
      </c>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row>
    <row r="308" spans="1:62" ht="14.25" customHeight="1">
      <c r="A308" s="26" t="s">
        <v>660</v>
      </c>
      <c r="B308" s="26" t="s">
        <v>670</v>
      </c>
      <c r="C308" s="26" t="s">
        <v>674</v>
      </c>
      <c r="D308" s="26" t="s">
        <v>674</v>
      </c>
      <c r="E308" s="19">
        <v>5353</v>
      </c>
      <c r="F308" s="37">
        <v>-0.3</v>
      </c>
      <c r="G308" s="38">
        <f t="shared" si="0"/>
        <v>-1605.8999999999999</v>
      </c>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row>
    <row r="309" spans="1:62" ht="14.25" customHeight="1">
      <c r="A309" s="26" t="s">
        <v>660</v>
      </c>
      <c r="B309" s="26" t="s">
        <v>675</v>
      </c>
      <c r="C309" s="26" t="s">
        <v>676</v>
      </c>
      <c r="D309" s="26" t="s">
        <v>676</v>
      </c>
      <c r="E309" s="19">
        <v>257847</v>
      </c>
      <c r="F309" s="37">
        <v>-0.3</v>
      </c>
      <c r="G309" s="38">
        <f t="shared" si="0"/>
        <v>-77354.099999999991</v>
      </c>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row>
    <row r="310" spans="1:62" ht="14.25" customHeight="1">
      <c r="A310" s="26" t="s">
        <v>660</v>
      </c>
      <c r="B310" s="26" t="s">
        <v>675</v>
      </c>
      <c r="C310" s="26" t="s">
        <v>677</v>
      </c>
      <c r="D310" s="26" t="s">
        <v>678</v>
      </c>
      <c r="E310" s="19">
        <v>1175440</v>
      </c>
      <c r="F310" s="37">
        <v>-0.7</v>
      </c>
      <c r="G310" s="38">
        <f t="shared" si="0"/>
        <v>-822808</v>
      </c>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row>
    <row r="311" spans="1:62" ht="14.25" customHeight="1">
      <c r="A311" s="26" t="s">
        <v>660</v>
      </c>
      <c r="B311" s="26" t="s">
        <v>675</v>
      </c>
      <c r="C311" s="26" t="s">
        <v>677</v>
      </c>
      <c r="D311" s="26" t="s">
        <v>679</v>
      </c>
      <c r="E311" s="19">
        <v>344574</v>
      </c>
      <c r="F311" s="37">
        <v>-0.7</v>
      </c>
      <c r="G311" s="38">
        <f t="shared" si="0"/>
        <v>-241201.8</v>
      </c>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row>
    <row r="312" spans="1:62" ht="14.25" customHeight="1">
      <c r="A312" s="26" t="s">
        <v>660</v>
      </c>
      <c r="B312" s="26" t="s">
        <v>675</v>
      </c>
      <c r="C312" s="26" t="s">
        <v>677</v>
      </c>
      <c r="D312" s="26" t="s">
        <v>680</v>
      </c>
      <c r="E312" s="19">
        <v>1641019</v>
      </c>
      <c r="F312" s="37">
        <v>-0.7</v>
      </c>
      <c r="G312" s="38">
        <f t="shared" si="0"/>
        <v>-1148713.2999999998</v>
      </c>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row>
    <row r="313" spans="1:62" ht="14.25" customHeight="1">
      <c r="A313" s="26" t="s">
        <v>660</v>
      </c>
      <c r="B313" s="26" t="s">
        <v>675</v>
      </c>
      <c r="C313" s="26" t="s">
        <v>677</v>
      </c>
      <c r="D313" s="26" t="s">
        <v>681</v>
      </c>
      <c r="E313" s="19">
        <v>226942</v>
      </c>
      <c r="F313" s="37">
        <v>-0.7</v>
      </c>
      <c r="G313" s="38">
        <f t="shared" si="0"/>
        <v>-158859.4</v>
      </c>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row>
    <row r="314" spans="1:62" ht="14.25" customHeight="1">
      <c r="A314" s="26" t="s">
        <v>660</v>
      </c>
      <c r="B314" s="26" t="s">
        <v>675</v>
      </c>
      <c r="C314" s="26" t="s">
        <v>677</v>
      </c>
      <c r="D314" s="26" t="s">
        <v>682</v>
      </c>
      <c r="E314" s="19">
        <v>705910</v>
      </c>
      <c r="F314" s="37">
        <v>-0.7</v>
      </c>
      <c r="G314" s="38">
        <f t="shared" si="0"/>
        <v>-494136.99999999994</v>
      </c>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row>
    <row r="315" spans="1:62" ht="14.25" customHeight="1">
      <c r="A315" s="26" t="s">
        <v>660</v>
      </c>
      <c r="B315" s="26" t="s">
        <v>683</v>
      </c>
      <c r="C315" s="26" t="s">
        <v>684</v>
      </c>
      <c r="D315" s="26" t="s">
        <v>684</v>
      </c>
      <c r="E315" s="19">
        <v>113252</v>
      </c>
      <c r="F315" s="37">
        <v>0</v>
      </c>
      <c r="G315" s="38">
        <f t="shared" si="0"/>
        <v>0</v>
      </c>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row>
    <row r="316" spans="1:62" ht="14.25" customHeight="1">
      <c r="A316" s="26" t="s">
        <v>685</v>
      </c>
      <c r="B316" s="26" t="s">
        <v>686</v>
      </c>
      <c r="C316" s="26" t="s">
        <v>687</v>
      </c>
      <c r="D316" s="26" t="s">
        <v>687</v>
      </c>
      <c r="E316" s="19">
        <v>8061000</v>
      </c>
      <c r="F316" s="37">
        <v>-0.9</v>
      </c>
      <c r="G316" s="38">
        <f t="shared" si="0"/>
        <v>-7254900</v>
      </c>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row>
    <row r="317" spans="1:62" ht="14.25" customHeight="1">
      <c r="A317" s="26" t="s">
        <v>685</v>
      </c>
      <c r="B317" s="26" t="s">
        <v>686</v>
      </c>
      <c r="C317" s="26" t="s">
        <v>688</v>
      </c>
      <c r="D317" s="26" t="s">
        <v>688</v>
      </c>
      <c r="E317" s="19">
        <v>403289</v>
      </c>
      <c r="F317" s="37">
        <v>-0.9</v>
      </c>
      <c r="G317" s="38">
        <f t="shared" si="0"/>
        <v>-362960.10000000003</v>
      </c>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row>
    <row r="318" spans="1:62" ht="14.25" customHeight="1">
      <c r="A318" s="26" t="s">
        <v>685</v>
      </c>
      <c r="B318" s="26" t="s">
        <v>686</v>
      </c>
      <c r="C318" s="26" t="s">
        <v>689</v>
      </c>
      <c r="D318" s="26" t="s">
        <v>689</v>
      </c>
      <c r="E318" s="19">
        <v>416816</v>
      </c>
      <c r="F318" s="37">
        <v>-0.9</v>
      </c>
      <c r="G318" s="38">
        <f t="shared" si="0"/>
        <v>-375134.4</v>
      </c>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row>
    <row r="319" spans="1:62" ht="14.25" customHeight="1">
      <c r="A319" s="26" t="s">
        <v>685</v>
      </c>
      <c r="B319" s="26" t="s">
        <v>686</v>
      </c>
      <c r="C319" s="26" t="s">
        <v>690</v>
      </c>
      <c r="D319" s="26" t="s">
        <v>690</v>
      </c>
      <c r="E319" s="19">
        <v>67925</v>
      </c>
      <c r="F319" s="37">
        <v>-0.9</v>
      </c>
      <c r="G319" s="38">
        <f t="shared" si="0"/>
        <v>-61132.5</v>
      </c>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row>
    <row r="320" spans="1:62" ht="14.25" customHeight="1">
      <c r="A320" s="26" t="s">
        <v>685</v>
      </c>
      <c r="B320" s="26" t="s">
        <v>691</v>
      </c>
      <c r="C320" s="26" t="s">
        <v>692</v>
      </c>
      <c r="D320" s="26" t="s">
        <v>692</v>
      </c>
      <c r="E320" s="19">
        <v>2739416</v>
      </c>
      <c r="F320" s="37">
        <v>-0.7</v>
      </c>
      <c r="G320" s="38">
        <f t="shared" si="0"/>
        <v>-1917591.2</v>
      </c>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row>
    <row r="321" spans="1:62" ht="14.25" customHeight="1">
      <c r="A321" s="26" t="s">
        <v>685</v>
      </c>
      <c r="B321" s="26" t="s">
        <v>691</v>
      </c>
      <c r="C321" s="26" t="s">
        <v>693</v>
      </c>
      <c r="D321" s="26" t="s">
        <v>694</v>
      </c>
      <c r="E321" s="19">
        <v>65146</v>
      </c>
      <c r="F321" s="37">
        <v>-0.7</v>
      </c>
      <c r="G321" s="38">
        <f t="shared" si="0"/>
        <v>-45602.2</v>
      </c>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row>
    <row r="322" spans="1:62" ht="14.25" customHeight="1">
      <c r="A322" s="26" t="s">
        <v>685</v>
      </c>
      <c r="B322" s="26" t="s">
        <v>691</v>
      </c>
      <c r="C322" s="26" t="s">
        <v>693</v>
      </c>
      <c r="D322" s="26" t="s">
        <v>695</v>
      </c>
      <c r="E322" s="19">
        <v>34423</v>
      </c>
      <c r="F322" s="37">
        <v>-0.7</v>
      </c>
      <c r="G322" s="38">
        <f t="shared" si="0"/>
        <v>-24096.1</v>
      </c>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row>
    <row r="323" spans="1:62" ht="14.25" customHeight="1">
      <c r="A323" s="26" t="s">
        <v>685</v>
      </c>
      <c r="B323" s="26" t="s">
        <v>691</v>
      </c>
      <c r="C323" s="26" t="s">
        <v>696</v>
      </c>
      <c r="D323" s="26" t="s">
        <v>696</v>
      </c>
      <c r="E323" s="19">
        <v>2077792</v>
      </c>
      <c r="F323" s="37">
        <v>-0.7</v>
      </c>
      <c r="G323" s="38">
        <f t="shared" si="0"/>
        <v>-1454454.4</v>
      </c>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row>
    <row r="324" spans="1:62" ht="14.25" customHeight="1">
      <c r="A324" s="26" t="s">
        <v>697</v>
      </c>
      <c r="B324" s="26" t="s">
        <v>698</v>
      </c>
      <c r="C324" s="26" t="s">
        <v>699</v>
      </c>
      <c r="D324" s="26" t="s">
        <v>700</v>
      </c>
      <c r="E324" s="19">
        <v>265260</v>
      </c>
      <c r="F324" s="37">
        <v>-0.3</v>
      </c>
      <c r="G324" s="38">
        <f t="shared" si="0"/>
        <v>-79578</v>
      </c>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row>
    <row r="325" spans="1:62" ht="14.25" customHeight="1">
      <c r="A325" s="26" t="s">
        <v>697</v>
      </c>
      <c r="B325" s="26" t="s">
        <v>698</v>
      </c>
      <c r="C325" s="26" t="s">
        <v>699</v>
      </c>
      <c r="D325" s="26" t="s">
        <v>701</v>
      </c>
      <c r="E325" s="19">
        <v>369956</v>
      </c>
      <c r="F325" s="37">
        <v>-0.3</v>
      </c>
      <c r="G325" s="38">
        <f t="shared" si="0"/>
        <v>-110986.8</v>
      </c>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row>
    <row r="326" spans="1:62" ht="14.25" customHeight="1">
      <c r="A326" s="26" t="s">
        <v>697</v>
      </c>
      <c r="B326" s="26" t="s">
        <v>698</v>
      </c>
      <c r="C326" s="26" t="s">
        <v>699</v>
      </c>
      <c r="D326" s="26" t="s">
        <v>702</v>
      </c>
      <c r="E326" s="19">
        <v>82024</v>
      </c>
      <c r="F326" s="37">
        <v>-0.3</v>
      </c>
      <c r="G326" s="38">
        <f t="shared" si="0"/>
        <v>-24607.200000000001</v>
      </c>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row>
    <row r="327" spans="1:62" ht="14.25" customHeight="1">
      <c r="A327" s="26" t="s">
        <v>697</v>
      </c>
      <c r="B327" s="26" t="s">
        <v>703</v>
      </c>
      <c r="C327" s="26" t="s">
        <v>704</v>
      </c>
      <c r="D327" s="26" t="s">
        <v>705</v>
      </c>
      <c r="E327" s="19">
        <v>185668</v>
      </c>
      <c r="F327" s="37">
        <v>-0.7</v>
      </c>
      <c r="G327" s="38">
        <f t="shared" si="0"/>
        <v>-129967.59999999999</v>
      </c>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row>
    <row r="328" spans="1:62" ht="14.25" customHeight="1">
      <c r="A328" s="26" t="s">
        <v>697</v>
      </c>
      <c r="B328" s="26" t="s">
        <v>703</v>
      </c>
      <c r="C328" s="26" t="s">
        <v>704</v>
      </c>
      <c r="D328" s="26" t="s">
        <v>706</v>
      </c>
      <c r="E328" s="19">
        <v>1419</v>
      </c>
      <c r="F328" s="37">
        <v>-0.7</v>
      </c>
      <c r="G328" s="38">
        <f t="shared" si="0"/>
        <v>-993.3</v>
      </c>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row>
    <row r="329" spans="1:62" ht="14.25" customHeight="1">
      <c r="A329" s="26" t="s">
        <v>697</v>
      </c>
      <c r="B329" s="26" t="s">
        <v>703</v>
      </c>
      <c r="C329" s="26" t="s">
        <v>704</v>
      </c>
      <c r="D329" s="26" t="s">
        <v>707</v>
      </c>
      <c r="E329" s="19">
        <v>158129</v>
      </c>
      <c r="F329" s="37">
        <v>-0.7</v>
      </c>
      <c r="G329" s="38">
        <f t="shared" si="0"/>
        <v>-110690.29999999999</v>
      </c>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row>
    <row r="330" spans="1:62" ht="14.25" customHeight="1">
      <c r="A330" s="26" t="s">
        <v>697</v>
      </c>
      <c r="B330" s="26" t="s">
        <v>703</v>
      </c>
      <c r="C330" s="26" t="s">
        <v>704</v>
      </c>
      <c r="D330" s="26" t="s">
        <v>708</v>
      </c>
      <c r="E330" s="19">
        <v>75721</v>
      </c>
      <c r="F330" s="37">
        <v>-0.7</v>
      </c>
      <c r="G330" s="38">
        <f t="shared" si="0"/>
        <v>-53004.7</v>
      </c>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row>
    <row r="331" spans="1:62" ht="14.25" customHeight="1">
      <c r="A331" s="26" t="s">
        <v>697</v>
      </c>
      <c r="B331" s="26" t="s">
        <v>703</v>
      </c>
      <c r="C331" s="26" t="s">
        <v>709</v>
      </c>
      <c r="D331" s="26" t="s">
        <v>709</v>
      </c>
      <c r="E331" s="19">
        <v>47850</v>
      </c>
      <c r="F331" s="37">
        <v>-0.7</v>
      </c>
      <c r="G331" s="38">
        <f t="shared" si="0"/>
        <v>-33495</v>
      </c>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row>
    <row r="332" spans="1:62" ht="14.25" customHeight="1">
      <c r="A332" s="26" t="s">
        <v>697</v>
      </c>
      <c r="B332" s="26" t="s">
        <v>710</v>
      </c>
      <c r="C332" s="26" t="s">
        <v>711</v>
      </c>
      <c r="D332" s="26" t="s">
        <v>711</v>
      </c>
      <c r="E332" s="19">
        <v>80713</v>
      </c>
      <c r="F332" s="37">
        <v>0</v>
      </c>
      <c r="G332" s="38">
        <f t="shared" si="0"/>
        <v>0</v>
      </c>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row>
    <row r="333" spans="1:62" ht="14.25" customHeight="1">
      <c r="A333" s="26" t="s">
        <v>697</v>
      </c>
      <c r="B333" s="26" t="s">
        <v>710</v>
      </c>
      <c r="C333" s="26" t="s">
        <v>712</v>
      </c>
      <c r="D333" s="26" t="s">
        <v>713</v>
      </c>
      <c r="E333" s="19">
        <v>1034793</v>
      </c>
      <c r="F333" s="37">
        <v>0</v>
      </c>
      <c r="G333" s="38">
        <f t="shared" si="0"/>
        <v>0</v>
      </c>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row>
    <row r="334" spans="1:62" ht="14.25" customHeight="1">
      <c r="A334" s="26" t="s">
        <v>697</v>
      </c>
      <c r="B334" s="26" t="s">
        <v>714</v>
      </c>
      <c r="C334" s="26" t="s">
        <v>715</v>
      </c>
      <c r="D334" s="26" t="s">
        <v>715</v>
      </c>
      <c r="E334" s="19">
        <v>4075541</v>
      </c>
      <c r="F334" s="37">
        <v>0</v>
      </c>
      <c r="G334" s="38">
        <f t="shared" si="0"/>
        <v>0</v>
      </c>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row>
    <row r="335" spans="1:62" ht="14.25" customHeight="1">
      <c r="A335" s="26" t="s">
        <v>697</v>
      </c>
      <c r="B335" s="26" t="s">
        <v>714</v>
      </c>
      <c r="C335" s="26" t="s">
        <v>716</v>
      </c>
      <c r="D335" s="26" t="s">
        <v>716</v>
      </c>
      <c r="E335" s="19">
        <v>1774751</v>
      </c>
      <c r="F335" s="37">
        <v>0</v>
      </c>
      <c r="G335" s="38">
        <f t="shared" si="0"/>
        <v>0</v>
      </c>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row>
    <row r="336" spans="1:62" ht="14.25" customHeight="1">
      <c r="A336" s="26" t="s">
        <v>697</v>
      </c>
      <c r="B336" s="26" t="s">
        <v>714</v>
      </c>
      <c r="C336" s="26" t="s">
        <v>717</v>
      </c>
      <c r="D336" s="26" t="s">
        <v>717</v>
      </c>
      <c r="E336" s="19">
        <v>350</v>
      </c>
      <c r="F336" s="37">
        <v>0</v>
      </c>
      <c r="G336" s="38">
        <f t="shared" si="0"/>
        <v>0</v>
      </c>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row>
    <row r="337" spans="1:62" ht="14.25" customHeight="1">
      <c r="A337" s="26" t="s">
        <v>697</v>
      </c>
      <c r="B337" s="26" t="s">
        <v>714</v>
      </c>
      <c r="C337" s="26" t="s">
        <v>718</v>
      </c>
      <c r="D337" s="26" t="s">
        <v>718</v>
      </c>
      <c r="E337" s="19">
        <v>76786</v>
      </c>
      <c r="F337" s="37">
        <v>0</v>
      </c>
      <c r="G337" s="38">
        <f t="shared" si="0"/>
        <v>0</v>
      </c>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row>
    <row r="338" spans="1:62" ht="14.25" customHeight="1">
      <c r="A338" s="26" t="s">
        <v>697</v>
      </c>
      <c r="B338" s="26" t="s">
        <v>719</v>
      </c>
      <c r="C338" s="26" t="s">
        <v>719</v>
      </c>
      <c r="D338" s="26" t="s">
        <v>720</v>
      </c>
      <c r="E338" s="19">
        <v>3155706</v>
      </c>
      <c r="F338" s="37">
        <v>0</v>
      </c>
      <c r="G338" s="38">
        <f t="shared" si="0"/>
        <v>0</v>
      </c>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row>
    <row r="339" spans="1:62" ht="14.25" customHeight="1">
      <c r="A339" s="26" t="s">
        <v>697</v>
      </c>
      <c r="B339" s="26" t="s">
        <v>719</v>
      </c>
      <c r="C339" s="26" t="s">
        <v>719</v>
      </c>
      <c r="D339" s="26" t="s">
        <v>721</v>
      </c>
      <c r="E339" s="19">
        <v>353364</v>
      </c>
      <c r="F339" s="37">
        <v>0</v>
      </c>
      <c r="G339" s="38">
        <f t="shared" si="0"/>
        <v>0</v>
      </c>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row>
    <row r="340" spans="1:62" ht="14.25" customHeight="1">
      <c r="A340" s="26" t="s">
        <v>697</v>
      </c>
      <c r="B340" s="26" t="s">
        <v>719</v>
      </c>
      <c r="C340" s="26" t="s">
        <v>719</v>
      </c>
      <c r="D340" s="26" t="s">
        <v>722</v>
      </c>
      <c r="E340" s="19">
        <v>424184</v>
      </c>
      <c r="F340" s="37">
        <v>0</v>
      </c>
      <c r="G340" s="38">
        <f t="shared" si="0"/>
        <v>0</v>
      </c>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row>
    <row r="341" spans="1:62" ht="14.25" customHeight="1">
      <c r="A341" s="26" t="s">
        <v>697</v>
      </c>
      <c r="B341" s="26" t="s">
        <v>719</v>
      </c>
      <c r="C341" s="26" t="s">
        <v>719</v>
      </c>
      <c r="D341" s="26" t="s">
        <v>723</v>
      </c>
      <c r="E341" s="19">
        <v>329729</v>
      </c>
      <c r="F341" s="37">
        <v>0</v>
      </c>
      <c r="G341" s="38">
        <f t="shared" si="0"/>
        <v>0</v>
      </c>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row>
    <row r="342" spans="1:62" ht="14.25" customHeight="1">
      <c r="A342" s="26" t="s">
        <v>697</v>
      </c>
      <c r="B342" s="26" t="s">
        <v>724</v>
      </c>
      <c r="C342" s="26" t="s">
        <v>725</v>
      </c>
      <c r="D342" s="26" t="s">
        <v>726</v>
      </c>
      <c r="E342" s="19">
        <v>473686</v>
      </c>
      <c r="F342" s="37">
        <v>0</v>
      </c>
      <c r="G342" s="38">
        <f t="shared" si="0"/>
        <v>0</v>
      </c>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row>
    <row r="343" spans="1:62" ht="14.25" customHeight="1">
      <c r="A343" s="26" t="s">
        <v>697</v>
      </c>
      <c r="B343" s="26" t="s">
        <v>724</v>
      </c>
      <c r="C343" s="26" t="s">
        <v>725</v>
      </c>
      <c r="D343" s="26" t="s">
        <v>727</v>
      </c>
      <c r="E343" s="19">
        <v>38991</v>
      </c>
      <c r="F343" s="37">
        <v>0</v>
      </c>
      <c r="G343" s="38">
        <f t="shared" si="0"/>
        <v>0</v>
      </c>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row>
    <row r="344" spans="1:62" ht="14.25" customHeight="1">
      <c r="A344" s="26" t="s">
        <v>697</v>
      </c>
      <c r="B344" s="26" t="s">
        <v>724</v>
      </c>
      <c r="C344" s="26" t="s">
        <v>728</v>
      </c>
      <c r="D344" s="26" t="s">
        <v>729</v>
      </c>
      <c r="E344" s="19">
        <v>28046</v>
      </c>
      <c r="F344" s="37">
        <v>0</v>
      </c>
      <c r="G344" s="38">
        <f t="shared" si="0"/>
        <v>0</v>
      </c>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row>
    <row r="345" spans="1:62" ht="14.25" customHeight="1">
      <c r="A345" s="26" t="s">
        <v>697</v>
      </c>
      <c r="B345" s="26" t="s">
        <v>724</v>
      </c>
      <c r="C345" s="26" t="s">
        <v>728</v>
      </c>
      <c r="D345" s="26" t="s">
        <v>730</v>
      </c>
      <c r="E345" s="19">
        <v>50579</v>
      </c>
      <c r="F345" s="37">
        <v>0</v>
      </c>
      <c r="G345" s="38">
        <f t="shared" si="0"/>
        <v>0</v>
      </c>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row>
    <row r="346" spans="1:62" ht="14.25" customHeight="1">
      <c r="A346" s="26" t="s">
        <v>731</v>
      </c>
      <c r="B346" s="26" t="s">
        <v>732</v>
      </c>
      <c r="C346" s="26" t="s">
        <v>733</v>
      </c>
      <c r="D346" s="26" t="s">
        <v>734</v>
      </c>
      <c r="E346" s="19">
        <v>-2386044000</v>
      </c>
      <c r="F346" s="37">
        <v>-0.1</v>
      </c>
      <c r="G346" s="38">
        <f t="shared" si="0"/>
        <v>238604400</v>
      </c>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row>
    <row r="347" spans="1:62" ht="14.25" customHeight="1">
      <c r="A347" s="26" t="s">
        <v>731</v>
      </c>
      <c r="B347" s="26" t="s">
        <v>732</v>
      </c>
      <c r="C347" s="26" t="s">
        <v>733</v>
      </c>
      <c r="D347" s="26" t="s">
        <v>735</v>
      </c>
      <c r="E347" s="19">
        <v>11919602000</v>
      </c>
      <c r="F347" s="37">
        <v>-0.1</v>
      </c>
      <c r="G347" s="38">
        <f t="shared" si="0"/>
        <v>-1191960200</v>
      </c>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row>
    <row r="348" spans="1:62" ht="14.25" customHeight="1">
      <c r="A348" s="26" t="s">
        <v>731</v>
      </c>
      <c r="B348" s="26" t="s">
        <v>736</v>
      </c>
      <c r="C348" s="26" t="s">
        <v>737</v>
      </c>
      <c r="D348" s="26" t="s">
        <v>738</v>
      </c>
      <c r="E348" s="19">
        <v>751967000</v>
      </c>
      <c r="F348" s="37">
        <v>-0.1</v>
      </c>
      <c r="G348" s="38">
        <f t="shared" si="0"/>
        <v>-75196700</v>
      </c>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row>
    <row r="349" spans="1:62" ht="14.25" customHeight="1">
      <c r="A349" s="26" t="s">
        <v>731</v>
      </c>
      <c r="B349" s="26" t="s">
        <v>736</v>
      </c>
      <c r="C349" s="26" t="s">
        <v>737</v>
      </c>
      <c r="D349" s="26" t="s">
        <v>739</v>
      </c>
      <c r="E349" s="19">
        <v>1090078000</v>
      </c>
      <c r="F349" s="37">
        <v>-0.1</v>
      </c>
      <c r="G349" s="38">
        <f t="shared" si="0"/>
        <v>-109007800</v>
      </c>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row>
    <row r="350" spans="1:62" ht="14.25" customHeight="1">
      <c r="A350" s="26" t="s">
        <v>731</v>
      </c>
      <c r="B350" s="26" t="s">
        <v>736</v>
      </c>
      <c r="C350" s="26" t="s">
        <v>740</v>
      </c>
      <c r="D350" s="26" t="s">
        <v>740</v>
      </c>
      <c r="E350" s="19">
        <v>0</v>
      </c>
      <c r="F350" s="37">
        <v>-0.1</v>
      </c>
      <c r="G350" s="38">
        <f t="shared" si="0"/>
        <v>0</v>
      </c>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row>
    <row r="351" spans="1:62" ht="14.25" customHeight="1">
      <c r="A351" s="26" t="s">
        <v>731</v>
      </c>
      <c r="B351" s="26" t="s">
        <v>736</v>
      </c>
      <c r="C351" s="26" t="s">
        <v>741</v>
      </c>
      <c r="D351" s="26" t="s">
        <v>741</v>
      </c>
      <c r="E351" s="19">
        <v>6708091000</v>
      </c>
      <c r="F351" s="37">
        <v>-0.1</v>
      </c>
      <c r="G351" s="38">
        <f t="shared" si="0"/>
        <v>-670809100</v>
      </c>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row>
    <row r="352" spans="1:62" ht="14.25" customHeight="1">
      <c r="A352" s="26" t="s">
        <v>742</v>
      </c>
      <c r="B352" s="26" t="s">
        <v>743</v>
      </c>
      <c r="C352" s="26" t="s">
        <v>744</v>
      </c>
      <c r="D352" s="26" t="s">
        <v>744</v>
      </c>
      <c r="E352" s="19">
        <v>562421</v>
      </c>
      <c r="F352" s="37">
        <v>-0.7</v>
      </c>
      <c r="G352" s="38">
        <f t="shared" si="0"/>
        <v>-393694.69999999995</v>
      </c>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row>
    <row r="353" spans="1:62" ht="14.25" customHeight="1">
      <c r="A353" s="26" t="s">
        <v>742</v>
      </c>
      <c r="B353" s="26" t="s">
        <v>743</v>
      </c>
      <c r="C353" s="26" t="s">
        <v>745</v>
      </c>
      <c r="D353" s="26" t="s">
        <v>745</v>
      </c>
      <c r="E353" s="19">
        <v>2121481</v>
      </c>
      <c r="F353" s="37">
        <v>-0.5</v>
      </c>
      <c r="G353" s="38">
        <f t="shared" si="0"/>
        <v>-1060740.5</v>
      </c>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row>
    <row r="354" spans="1:62" ht="14.25" customHeight="1">
      <c r="A354" s="26" t="s">
        <v>742</v>
      </c>
      <c r="B354" s="26" t="s">
        <v>743</v>
      </c>
      <c r="C354" s="26" t="s">
        <v>746</v>
      </c>
      <c r="D354" s="26" t="s">
        <v>747</v>
      </c>
      <c r="E354" s="19">
        <v>357582</v>
      </c>
      <c r="F354" s="37">
        <v>-0.7</v>
      </c>
      <c r="G354" s="38">
        <f t="shared" si="0"/>
        <v>-250307.4</v>
      </c>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row>
    <row r="355" spans="1:62" ht="14.25" customHeight="1">
      <c r="A355" s="26" t="s">
        <v>742</v>
      </c>
      <c r="B355" s="26" t="s">
        <v>743</v>
      </c>
      <c r="C355" s="26" t="s">
        <v>746</v>
      </c>
      <c r="D355" s="26" t="s">
        <v>748</v>
      </c>
      <c r="E355" s="19">
        <v>615085</v>
      </c>
      <c r="F355" s="37">
        <v>-0.3</v>
      </c>
      <c r="G355" s="38">
        <f t="shared" si="0"/>
        <v>-184525.5</v>
      </c>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row>
    <row r="356" spans="1:62" ht="14.25" customHeight="1">
      <c r="A356" s="26" t="s">
        <v>749</v>
      </c>
      <c r="B356" s="26" t="s">
        <v>750</v>
      </c>
      <c r="C356" s="26" t="s">
        <v>751</v>
      </c>
      <c r="D356" s="26" t="s">
        <v>751</v>
      </c>
      <c r="E356" s="19">
        <v>1838154</v>
      </c>
      <c r="F356" s="37">
        <v>-0.3</v>
      </c>
      <c r="G356" s="38">
        <f t="shared" si="0"/>
        <v>-551446.19999999995</v>
      </c>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row>
    <row r="357" spans="1:62" ht="14.25" customHeight="1">
      <c r="A357" s="26" t="s">
        <v>749</v>
      </c>
      <c r="B357" s="26" t="s">
        <v>750</v>
      </c>
      <c r="C357" s="26" t="s">
        <v>752</v>
      </c>
      <c r="D357" s="26" t="s">
        <v>752</v>
      </c>
      <c r="E357" s="19">
        <v>1652054</v>
      </c>
      <c r="F357" s="37">
        <v>-0.3</v>
      </c>
      <c r="G357" s="38">
        <f t="shared" si="0"/>
        <v>-495616.19999999995</v>
      </c>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row>
    <row r="358" spans="1:62" ht="14.25" customHeight="1">
      <c r="A358" s="26" t="s">
        <v>749</v>
      </c>
      <c r="B358" s="26" t="s">
        <v>753</v>
      </c>
      <c r="C358" s="26" t="s">
        <v>754</v>
      </c>
      <c r="D358" s="26" t="s">
        <v>754</v>
      </c>
      <c r="E358" s="19">
        <v>-184614</v>
      </c>
      <c r="F358" s="37">
        <v>-0.3</v>
      </c>
      <c r="G358" s="38">
        <f t="shared" si="0"/>
        <v>55384.2</v>
      </c>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row>
    <row r="359" spans="1:62" ht="14.25" customHeight="1">
      <c r="A359" s="26" t="s">
        <v>749</v>
      </c>
      <c r="B359" s="26" t="s">
        <v>753</v>
      </c>
      <c r="C359" s="26" t="s">
        <v>755</v>
      </c>
      <c r="D359" s="26" t="s">
        <v>756</v>
      </c>
      <c r="E359" s="19">
        <v>31519</v>
      </c>
      <c r="F359" s="37">
        <v>-0.3</v>
      </c>
      <c r="G359" s="38">
        <f t="shared" si="0"/>
        <v>-9455.6999999999989</v>
      </c>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row>
    <row r="360" spans="1:62" ht="14.25" customHeight="1">
      <c r="A360" s="26" t="s">
        <v>749</v>
      </c>
      <c r="B360" s="26" t="s">
        <v>753</v>
      </c>
      <c r="C360" s="26" t="s">
        <v>755</v>
      </c>
      <c r="D360" s="26" t="s">
        <v>757</v>
      </c>
      <c r="E360" s="19">
        <v>1382559</v>
      </c>
      <c r="F360" s="37">
        <v>-0.3</v>
      </c>
      <c r="G360" s="38">
        <f t="shared" si="0"/>
        <v>-414767.7</v>
      </c>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row>
    <row r="361" spans="1:62" ht="14.25" customHeight="1">
      <c r="A361" s="26" t="s">
        <v>749</v>
      </c>
      <c r="B361" s="26" t="s">
        <v>758</v>
      </c>
      <c r="C361" s="26" t="s">
        <v>759</v>
      </c>
      <c r="D361" s="26" t="s">
        <v>760</v>
      </c>
      <c r="E361" s="19">
        <v>356107</v>
      </c>
      <c r="F361" s="37">
        <v>-0.3</v>
      </c>
      <c r="G361" s="38">
        <f t="shared" si="0"/>
        <v>-106832.09999999999</v>
      </c>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row>
    <row r="362" spans="1:62" ht="14.25" customHeight="1">
      <c r="A362" s="26" t="s">
        <v>749</v>
      </c>
      <c r="B362" s="26" t="s">
        <v>758</v>
      </c>
      <c r="C362" s="26" t="s">
        <v>759</v>
      </c>
      <c r="D362" s="26" t="s">
        <v>761</v>
      </c>
      <c r="E362" s="19">
        <v>2925577</v>
      </c>
      <c r="F362" s="37">
        <v>-0.3</v>
      </c>
      <c r="G362" s="38">
        <f t="shared" si="0"/>
        <v>-877673.1</v>
      </c>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row>
    <row r="363" spans="1:62" ht="14.25" customHeight="1">
      <c r="A363" s="26" t="s">
        <v>749</v>
      </c>
      <c r="B363" s="26" t="s">
        <v>758</v>
      </c>
      <c r="C363" s="26" t="s">
        <v>762</v>
      </c>
      <c r="D363" s="26" t="s">
        <v>762</v>
      </c>
      <c r="E363" s="19">
        <v>1175273</v>
      </c>
      <c r="F363" s="37">
        <v>-0.3</v>
      </c>
      <c r="G363" s="38">
        <f t="shared" si="0"/>
        <v>-352581.89999999997</v>
      </c>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row>
    <row r="364" spans="1:62" ht="14.25" customHeight="1">
      <c r="A364" s="26" t="s">
        <v>749</v>
      </c>
      <c r="B364" s="26" t="s">
        <v>763</v>
      </c>
      <c r="C364" s="26" t="s">
        <v>764</v>
      </c>
      <c r="D364" s="26" t="s">
        <v>765</v>
      </c>
      <c r="E364" s="19">
        <v>63926</v>
      </c>
      <c r="F364" s="37">
        <v>-0.3</v>
      </c>
      <c r="G364" s="38">
        <f t="shared" si="0"/>
        <v>-19177.8</v>
      </c>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row>
    <row r="365" spans="1:62" ht="14.25" customHeight="1">
      <c r="A365" s="26" t="s">
        <v>749</v>
      </c>
      <c r="B365" s="26" t="s">
        <v>763</v>
      </c>
      <c r="C365" s="26" t="s">
        <v>764</v>
      </c>
      <c r="D365" s="26" t="s">
        <v>766</v>
      </c>
      <c r="E365" s="19">
        <v>544614</v>
      </c>
      <c r="F365" s="37">
        <v>-0.3</v>
      </c>
      <c r="G365" s="38">
        <f t="shared" si="0"/>
        <v>-163384.19999999998</v>
      </c>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row>
    <row r="366" spans="1:62" ht="14.25" customHeight="1">
      <c r="A366" s="26" t="s">
        <v>749</v>
      </c>
      <c r="B366" s="26" t="s">
        <v>763</v>
      </c>
      <c r="C366" s="26" t="s">
        <v>767</v>
      </c>
      <c r="D366" s="26" t="s">
        <v>767</v>
      </c>
      <c r="E366" s="19">
        <v>16503</v>
      </c>
      <c r="F366" s="37">
        <v>-0.3</v>
      </c>
      <c r="G366" s="38">
        <f t="shared" si="0"/>
        <v>-4950.8999999999996</v>
      </c>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row>
    <row r="367" spans="1:62" ht="14.25" customHeight="1">
      <c r="A367" s="26" t="s">
        <v>749</v>
      </c>
      <c r="B367" s="26" t="s">
        <v>768</v>
      </c>
      <c r="C367" s="26" t="s">
        <v>769</v>
      </c>
      <c r="D367" s="26" t="s">
        <v>770</v>
      </c>
      <c r="E367" s="19">
        <v>994807</v>
      </c>
      <c r="F367" s="37">
        <v>-0.5</v>
      </c>
      <c r="G367" s="38">
        <f t="shared" si="0"/>
        <v>-497403.5</v>
      </c>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row>
    <row r="368" spans="1:62" ht="14.25" customHeight="1">
      <c r="A368" s="26" t="s">
        <v>749</v>
      </c>
      <c r="B368" s="26" t="s">
        <v>768</v>
      </c>
      <c r="C368" s="26" t="s">
        <v>769</v>
      </c>
      <c r="D368" s="26" t="s">
        <v>771</v>
      </c>
      <c r="E368" s="19">
        <v>138328</v>
      </c>
      <c r="F368" s="37">
        <v>-0.5</v>
      </c>
      <c r="G368" s="38">
        <f t="shared" si="0"/>
        <v>-69164</v>
      </c>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row>
    <row r="369" spans="1:62" ht="14.25" customHeight="1">
      <c r="A369" s="26" t="s">
        <v>749</v>
      </c>
      <c r="B369" s="26" t="s">
        <v>768</v>
      </c>
      <c r="C369" s="26" t="s">
        <v>772</v>
      </c>
      <c r="D369" s="26" t="s">
        <v>772</v>
      </c>
      <c r="E369" s="19">
        <v>192282</v>
      </c>
      <c r="F369" s="37">
        <v>-0.5</v>
      </c>
      <c r="G369" s="38">
        <f t="shared" si="0"/>
        <v>-96141</v>
      </c>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row>
    <row r="370" spans="1:62" ht="14.25" customHeight="1">
      <c r="A370" s="26" t="s">
        <v>749</v>
      </c>
      <c r="B370" s="26" t="s">
        <v>773</v>
      </c>
      <c r="C370" s="26" t="s">
        <v>774</v>
      </c>
      <c r="D370" s="26" t="s">
        <v>774</v>
      </c>
      <c r="E370" s="19">
        <v>182280</v>
      </c>
      <c r="F370" s="37">
        <v>-0.5</v>
      </c>
      <c r="G370" s="38">
        <f t="shared" si="0"/>
        <v>-91140</v>
      </c>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row>
    <row r="371" spans="1:62" ht="14.25" customHeight="1">
      <c r="A371" s="26" t="s">
        <v>749</v>
      </c>
      <c r="B371" s="26" t="s">
        <v>773</v>
      </c>
      <c r="C371" s="26" t="s">
        <v>775</v>
      </c>
      <c r="D371" s="26" t="s">
        <v>775</v>
      </c>
      <c r="E371" s="19">
        <v>59946</v>
      </c>
      <c r="F371" s="37">
        <v>-0.3</v>
      </c>
      <c r="G371" s="38">
        <f t="shared" si="0"/>
        <v>-17983.8</v>
      </c>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row>
    <row r="372" spans="1:62" ht="14.25" customHeight="1">
      <c r="A372" s="26" t="s">
        <v>749</v>
      </c>
      <c r="B372" s="26" t="s">
        <v>773</v>
      </c>
      <c r="C372" s="26" t="s">
        <v>776</v>
      </c>
      <c r="D372" s="26" t="s">
        <v>776</v>
      </c>
      <c r="E372" s="19">
        <v>93875</v>
      </c>
      <c r="F372" s="37">
        <v>-0.3</v>
      </c>
      <c r="G372" s="38">
        <f t="shared" si="0"/>
        <v>-28162.5</v>
      </c>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row>
    <row r="373" spans="1:62" ht="14.25" customHeight="1">
      <c r="A373" s="26" t="s">
        <v>749</v>
      </c>
      <c r="B373" s="26" t="s">
        <v>773</v>
      </c>
      <c r="C373" s="26" t="s">
        <v>777</v>
      </c>
      <c r="D373" s="26" t="s">
        <v>777</v>
      </c>
      <c r="E373" s="19">
        <v>197570</v>
      </c>
      <c r="F373" s="37">
        <v>-0.3</v>
      </c>
      <c r="G373" s="38">
        <f t="shared" si="0"/>
        <v>-59271</v>
      </c>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row>
    <row r="374" spans="1:62" ht="14.25" customHeight="1">
      <c r="A374" s="26" t="s">
        <v>749</v>
      </c>
      <c r="B374" s="26" t="s">
        <v>778</v>
      </c>
      <c r="C374" s="26" t="s">
        <v>778</v>
      </c>
      <c r="D374" s="26" t="s">
        <v>778</v>
      </c>
      <c r="E374" s="19">
        <v>334425</v>
      </c>
      <c r="F374" s="37">
        <v>0</v>
      </c>
      <c r="G374" s="38">
        <f t="shared" si="0"/>
        <v>0</v>
      </c>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row>
    <row r="375" spans="1:62" ht="14.25" customHeight="1">
      <c r="A375" s="26" t="s">
        <v>779</v>
      </c>
      <c r="B375" s="26" t="s">
        <v>780</v>
      </c>
      <c r="C375" s="26" t="s">
        <v>781</v>
      </c>
      <c r="D375" s="26" t="s">
        <v>782</v>
      </c>
      <c r="E375" s="19">
        <v>647357</v>
      </c>
      <c r="F375" s="37">
        <v>-0.7</v>
      </c>
      <c r="G375" s="38">
        <f t="shared" si="0"/>
        <v>-453149.89999999997</v>
      </c>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row>
    <row r="376" spans="1:62" ht="14.25" customHeight="1">
      <c r="A376" s="26" t="s">
        <v>779</v>
      </c>
      <c r="B376" s="26" t="s">
        <v>780</v>
      </c>
      <c r="C376" s="26" t="s">
        <v>781</v>
      </c>
      <c r="D376" s="26" t="s">
        <v>783</v>
      </c>
      <c r="E376" s="19">
        <v>10538</v>
      </c>
      <c r="F376" s="37">
        <v>-0.7</v>
      </c>
      <c r="G376" s="38">
        <f t="shared" si="0"/>
        <v>-7376.5999999999995</v>
      </c>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row>
    <row r="377" spans="1:62" ht="14.25" customHeight="1">
      <c r="A377" s="26" t="s">
        <v>779</v>
      </c>
      <c r="B377" s="26" t="s">
        <v>780</v>
      </c>
      <c r="C377" s="26" t="s">
        <v>784</v>
      </c>
      <c r="D377" s="26" t="s">
        <v>785</v>
      </c>
      <c r="E377" s="19">
        <v>54674</v>
      </c>
      <c r="F377" s="37">
        <v>-0.7</v>
      </c>
      <c r="G377" s="38">
        <f t="shared" si="0"/>
        <v>-38271.799999999996</v>
      </c>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row>
    <row r="378" spans="1:62" ht="14.25" customHeight="1">
      <c r="A378" s="26" t="s">
        <v>779</v>
      </c>
      <c r="B378" s="26" t="s">
        <v>780</v>
      </c>
      <c r="C378" s="26" t="s">
        <v>784</v>
      </c>
      <c r="D378" s="26" t="s">
        <v>786</v>
      </c>
      <c r="E378" s="19">
        <v>47261</v>
      </c>
      <c r="F378" s="37">
        <v>-0.7</v>
      </c>
      <c r="G378" s="38">
        <f t="shared" si="0"/>
        <v>-33082.699999999997</v>
      </c>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row>
    <row r="379" spans="1:62" ht="14.25" customHeight="1">
      <c r="A379" s="26" t="s">
        <v>779</v>
      </c>
      <c r="B379" s="26" t="s">
        <v>780</v>
      </c>
      <c r="C379" s="26" t="s">
        <v>787</v>
      </c>
      <c r="D379" s="26" t="s">
        <v>788</v>
      </c>
      <c r="E379" s="19">
        <v>540</v>
      </c>
      <c r="F379" s="37">
        <v>-0.7</v>
      </c>
      <c r="G379" s="38">
        <f t="shared" si="0"/>
        <v>-378</v>
      </c>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row>
    <row r="380" spans="1:62" ht="14.25" customHeight="1">
      <c r="A380" s="26" t="s">
        <v>779</v>
      </c>
      <c r="B380" s="26" t="s">
        <v>780</v>
      </c>
      <c r="C380" s="26" t="s">
        <v>787</v>
      </c>
      <c r="D380" s="26" t="s">
        <v>789</v>
      </c>
      <c r="E380" s="19">
        <v>71454</v>
      </c>
      <c r="F380" s="37">
        <v>-0.7</v>
      </c>
      <c r="G380" s="38">
        <f t="shared" si="0"/>
        <v>-50017.799999999996</v>
      </c>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row>
    <row r="381" spans="1:62" ht="14.25" customHeight="1">
      <c r="A381" s="26" t="s">
        <v>779</v>
      </c>
      <c r="B381" s="26" t="s">
        <v>780</v>
      </c>
      <c r="C381" s="26" t="s">
        <v>787</v>
      </c>
      <c r="D381" s="26" t="s">
        <v>790</v>
      </c>
      <c r="E381" s="19">
        <v>50096</v>
      </c>
      <c r="F381" s="37">
        <v>-0.7</v>
      </c>
      <c r="G381" s="38">
        <f t="shared" si="0"/>
        <v>-35067.199999999997</v>
      </c>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row>
    <row r="382" spans="1:62" ht="14.25" customHeight="1">
      <c r="A382" s="26" t="s">
        <v>779</v>
      </c>
      <c r="B382" s="26" t="s">
        <v>780</v>
      </c>
      <c r="C382" s="26" t="s">
        <v>787</v>
      </c>
      <c r="D382" s="26" t="s">
        <v>791</v>
      </c>
      <c r="E382" s="19">
        <v>473171</v>
      </c>
      <c r="F382" s="37">
        <v>-0.7</v>
      </c>
      <c r="G382" s="38">
        <f t="shared" si="0"/>
        <v>-331219.69999999995</v>
      </c>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row>
    <row r="383" spans="1:62" ht="14.25" customHeight="1">
      <c r="A383" s="26" t="s">
        <v>779</v>
      </c>
      <c r="B383" s="26" t="s">
        <v>780</v>
      </c>
      <c r="C383" s="26" t="s">
        <v>787</v>
      </c>
      <c r="D383" s="26" t="s">
        <v>792</v>
      </c>
      <c r="E383" s="19">
        <v>-265</v>
      </c>
      <c r="F383" s="37">
        <v>-0.7</v>
      </c>
      <c r="G383" s="38">
        <f t="shared" si="0"/>
        <v>185.5</v>
      </c>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row>
    <row r="384" spans="1:62" ht="14.25" customHeight="1">
      <c r="A384" s="26" t="s">
        <v>779</v>
      </c>
      <c r="B384" s="26" t="s">
        <v>780</v>
      </c>
      <c r="C384" s="26" t="s">
        <v>787</v>
      </c>
      <c r="D384" s="26" t="s">
        <v>793</v>
      </c>
      <c r="E384" s="19">
        <v>134960</v>
      </c>
      <c r="F384" s="37">
        <v>-0.7</v>
      </c>
      <c r="G384" s="38">
        <f t="shared" si="0"/>
        <v>-94472</v>
      </c>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row>
    <row r="385" spans="1:62" ht="14.25" customHeight="1">
      <c r="A385" s="26" t="s">
        <v>779</v>
      </c>
      <c r="B385" s="26" t="s">
        <v>794</v>
      </c>
      <c r="C385" s="26" t="s">
        <v>795</v>
      </c>
      <c r="D385" s="26" t="s">
        <v>795</v>
      </c>
      <c r="E385" s="19">
        <v>57689</v>
      </c>
      <c r="F385" s="37">
        <v>-0.5</v>
      </c>
      <c r="G385" s="38">
        <f t="shared" si="0"/>
        <v>-28844.5</v>
      </c>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row>
    <row r="386" spans="1:62" ht="14.25" customHeight="1">
      <c r="A386" s="26" t="s">
        <v>779</v>
      </c>
      <c r="B386" s="26" t="s">
        <v>794</v>
      </c>
      <c r="C386" s="26" t="s">
        <v>796</v>
      </c>
      <c r="D386" s="26" t="s">
        <v>796</v>
      </c>
      <c r="E386" s="19">
        <v>793588</v>
      </c>
      <c r="F386" s="37">
        <v>-0.5</v>
      </c>
      <c r="G386" s="38">
        <f t="shared" si="0"/>
        <v>-396794</v>
      </c>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row>
    <row r="387" spans="1:62" ht="14.25" customHeight="1">
      <c r="A387" s="26" t="s">
        <v>779</v>
      </c>
      <c r="B387" s="26" t="s">
        <v>794</v>
      </c>
      <c r="C387" s="26" t="s">
        <v>797</v>
      </c>
      <c r="D387" s="26" t="s">
        <v>797</v>
      </c>
      <c r="E387" s="19">
        <v>311643</v>
      </c>
      <c r="F387" s="37">
        <v>-0.5</v>
      </c>
      <c r="G387" s="38">
        <f t="shared" si="0"/>
        <v>-155821.5</v>
      </c>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row>
    <row r="388" spans="1:62" ht="14.25" customHeight="1">
      <c r="A388" s="26" t="s">
        <v>779</v>
      </c>
      <c r="B388" s="26" t="s">
        <v>798</v>
      </c>
      <c r="C388" s="26" t="s">
        <v>799</v>
      </c>
      <c r="D388" s="26" t="s">
        <v>800</v>
      </c>
      <c r="E388" s="19">
        <v>805929</v>
      </c>
      <c r="F388" s="37">
        <v>-1</v>
      </c>
      <c r="G388" s="38">
        <f t="shared" si="0"/>
        <v>-805929</v>
      </c>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row>
    <row r="389" spans="1:62" ht="14.25" customHeight="1">
      <c r="A389" s="26" t="s">
        <v>779</v>
      </c>
      <c r="B389" s="26" t="s">
        <v>798</v>
      </c>
      <c r="C389" s="26" t="s">
        <v>799</v>
      </c>
      <c r="D389" s="26" t="s">
        <v>801</v>
      </c>
      <c r="E389" s="19">
        <v>111046</v>
      </c>
      <c r="F389" s="37">
        <v>-1</v>
      </c>
      <c r="G389" s="38">
        <f t="shared" si="0"/>
        <v>-111046</v>
      </c>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row>
    <row r="390" spans="1:62" ht="14.25" customHeight="1">
      <c r="A390" s="26" t="s">
        <v>779</v>
      </c>
      <c r="B390" s="26" t="s">
        <v>798</v>
      </c>
      <c r="C390" s="26" t="s">
        <v>802</v>
      </c>
      <c r="D390" s="26" t="s">
        <v>802</v>
      </c>
      <c r="E390" s="19">
        <v>212645</v>
      </c>
      <c r="F390" s="37">
        <v>-1</v>
      </c>
      <c r="G390" s="38">
        <f t="shared" si="0"/>
        <v>-212645</v>
      </c>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row>
    <row r="391" spans="1:62" ht="14.25" customHeight="1">
      <c r="A391" s="26" t="s">
        <v>779</v>
      </c>
      <c r="B391" s="26" t="s">
        <v>803</v>
      </c>
      <c r="C391" s="26" t="s">
        <v>804</v>
      </c>
      <c r="D391" s="26" t="s">
        <v>804</v>
      </c>
      <c r="E391" s="19">
        <v>940999</v>
      </c>
      <c r="F391" s="37">
        <v>-0.5</v>
      </c>
      <c r="G391" s="38">
        <f t="shared" si="0"/>
        <v>-470499.5</v>
      </c>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row>
    <row r="392" spans="1:62" ht="14.25" customHeight="1">
      <c r="A392" s="26" t="s">
        <v>779</v>
      </c>
      <c r="B392" s="26" t="s">
        <v>803</v>
      </c>
      <c r="C392" s="26" t="s">
        <v>805</v>
      </c>
      <c r="D392" s="26" t="s">
        <v>805</v>
      </c>
      <c r="E392" s="19">
        <v>28296</v>
      </c>
      <c r="F392" s="37">
        <v>-0.5</v>
      </c>
      <c r="G392" s="38">
        <f t="shared" si="0"/>
        <v>-14148</v>
      </c>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row>
    <row r="393" spans="1:62" ht="14.25" customHeight="1">
      <c r="A393" s="26" t="s">
        <v>779</v>
      </c>
      <c r="B393" s="26" t="s">
        <v>803</v>
      </c>
      <c r="C393" s="26" t="s">
        <v>806</v>
      </c>
      <c r="D393" s="26" t="s">
        <v>806</v>
      </c>
      <c r="E393" s="19">
        <v>2634</v>
      </c>
      <c r="F393" s="37">
        <v>-0.5</v>
      </c>
      <c r="G393" s="38">
        <f t="shared" si="0"/>
        <v>-1317</v>
      </c>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row>
    <row r="394" spans="1:62" ht="14.25" customHeight="1">
      <c r="A394" s="26" t="s">
        <v>779</v>
      </c>
      <c r="B394" s="26" t="s">
        <v>807</v>
      </c>
      <c r="C394" s="26" t="s">
        <v>808</v>
      </c>
      <c r="D394" s="26" t="s">
        <v>808</v>
      </c>
      <c r="E394" s="19">
        <v>75752</v>
      </c>
      <c r="F394" s="37">
        <v>-0.3</v>
      </c>
      <c r="G394" s="38">
        <f t="shared" si="0"/>
        <v>-22725.599999999999</v>
      </c>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row>
    <row r="395" spans="1:62" ht="14.25" customHeight="1">
      <c r="A395" s="26" t="s">
        <v>779</v>
      </c>
      <c r="B395" s="26" t="s">
        <v>807</v>
      </c>
      <c r="C395" s="26" t="s">
        <v>809</v>
      </c>
      <c r="D395" s="26" t="s">
        <v>810</v>
      </c>
      <c r="E395" s="19">
        <v>401403</v>
      </c>
      <c r="F395" s="37">
        <v>-0.3</v>
      </c>
      <c r="G395" s="38">
        <f t="shared" si="0"/>
        <v>-120420.9</v>
      </c>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row>
    <row r="396" spans="1:62" ht="14.25" customHeight="1">
      <c r="A396" s="26" t="s">
        <v>779</v>
      </c>
      <c r="B396" s="26" t="s">
        <v>807</v>
      </c>
      <c r="C396" s="26" t="s">
        <v>809</v>
      </c>
      <c r="D396" s="26" t="s">
        <v>811</v>
      </c>
      <c r="E396" s="19">
        <v>93665</v>
      </c>
      <c r="F396" s="37">
        <v>-0.3</v>
      </c>
      <c r="G396" s="38">
        <f t="shared" si="0"/>
        <v>-28099.5</v>
      </c>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row>
    <row r="397" spans="1:62" ht="14.25" customHeight="1">
      <c r="A397" s="26" t="s">
        <v>779</v>
      </c>
      <c r="B397" s="26" t="s">
        <v>807</v>
      </c>
      <c r="C397" s="26" t="s">
        <v>809</v>
      </c>
      <c r="D397" s="26" t="s">
        <v>812</v>
      </c>
      <c r="E397" s="19">
        <v>134641</v>
      </c>
      <c r="F397" s="37">
        <v>-0.3</v>
      </c>
      <c r="G397" s="38">
        <f t="shared" si="0"/>
        <v>-40392.299999999996</v>
      </c>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row>
    <row r="398" spans="1:62" ht="14.25" customHeight="1">
      <c r="A398" s="26" t="s">
        <v>779</v>
      </c>
      <c r="B398" s="26" t="s">
        <v>807</v>
      </c>
      <c r="C398" s="26" t="s">
        <v>813</v>
      </c>
      <c r="D398" s="26" t="s">
        <v>813</v>
      </c>
      <c r="E398" s="19">
        <v>280508</v>
      </c>
      <c r="F398" s="37">
        <v>-0.5</v>
      </c>
      <c r="G398" s="38">
        <f t="shared" si="0"/>
        <v>-140254</v>
      </c>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row>
    <row r="399" spans="1:62" ht="14.25" customHeight="1">
      <c r="A399" s="26" t="s">
        <v>779</v>
      </c>
      <c r="B399" s="26" t="s">
        <v>814</v>
      </c>
      <c r="C399" s="26" t="s">
        <v>815</v>
      </c>
      <c r="D399" s="26" t="s">
        <v>816</v>
      </c>
      <c r="E399" s="19">
        <v>12304</v>
      </c>
      <c r="F399" s="37">
        <v>-0.7</v>
      </c>
      <c r="G399" s="38">
        <f t="shared" si="0"/>
        <v>-8612.7999999999993</v>
      </c>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row>
    <row r="400" spans="1:62" ht="14.25" customHeight="1">
      <c r="A400" s="26" t="s">
        <v>779</v>
      </c>
      <c r="B400" s="26" t="s">
        <v>814</v>
      </c>
      <c r="C400" s="26" t="s">
        <v>815</v>
      </c>
      <c r="D400" s="26" t="s">
        <v>817</v>
      </c>
      <c r="E400" s="19">
        <v>12188</v>
      </c>
      <c r="F400" s="37">
        <v>-0.7</v>
      </c>
      <c r="G400" s="38">
        <f t="shared" si="0"/>
        <v>-8531.6</v>
      </c>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row>
    <row r="401" spans="1:62" ht="14.25" customHeight="1">
      <c r="A401" s="26" t="s">
        <v>779</v>
      </c>
      <c r="B401" s="26" t="s">
        <v>814</v>
      </c>
      <c r="C401" s="26" t="s">
        <v>818</v>
      </c>
      <c r="D401" s="26" t="s">
        <v>818</v>
      </c>
      <c r="E401" s="19">
        <v>104215</v>
      </c>
      <c r="F401" s="37">
        <v>-0.5</v>
      </c>
      <c r="G401" s="38">
        <f t="shared" si="0"/>
        <v>-52107.5</v>
      </c>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row>
    <row r="402" spans="1:62" ht="14.25" customHeight="1">
      <c r="A402" s="26" t="s">
        <v>779</v>
      </c>
      <c r="B402" s="26" t="s">
        <v>814</v>
      </c>
      <c r="C402" s="26" t="s">
        <v>819</v>
      </c>
      <c r="D402" s="26" t="s">
        <v>819</v>
      </c>
      <c r="E402" s="19">
        <v>59264</v>
      </c>
      <c r="F402" s="37">
        <v>-0.5</v>
      </c>
      <c r="G402" s="38">
        <f t="shared" si="0"/>
        <v>-29632</v>
      </c>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row>
    <row r="403" spans="1:62" ht="14.25" customHeight="1">
      <c r="A403" s="26" t="s">
        <v>779</v>
      </c>
      <c r="B403" s="26" t="s">
        <v>814</v>
      </c>
      <c r="C403" s="26" t="s">
        <v>820</v>
      </c>
      <c r="D403" s="26" t="s">
        <v>821</v>
      </c>
      <c r="E403" s="19">
        <v>14748</v>
      </c>
      <c r="F403" s="37">
        <v>-0.5</v>
      </c>
      <c r="G403" s="38">
        <f t="shared" si="0"/>
        <v>-7374</v>
      </c>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row>
    <row r="404" spans="1:62" ht="14.25" customHeight="1">
      <c r="A404" s="26" t="s">
        <v>779</v>
      </c>
      <c r="B404" s="26" t="s">
        <v>814</v>
      </c>
      <c r="C404" s="26" t="s">
        <v>820</v>
      </c>
      <c r="D404" s="26" t="s">
        <v>822</v>
      </c>
      <c r="E404" s="19">
        <v>38646</v>
      </c>
      <c r="F404" s="37">
        <v>-0.5</v>
      </c>
      <c r="G404" s="38">
        <f t="shared" si="0"/>
        <v>-19323</v>
      </c>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row>
    <row r="405" spans="1:62" ht="14.25" customHeight="1">
      <c r="A405" s="26" t="s">
        <v>779</v>
      </c>
      <c r="B405" s="26" t="s">
        <v>814</v>
      </c>
      <c r="C405" s="26" t="s">
        <v>820</v>
      </c>
      <c r="D405" s="26" t="s">
        <v>823</v>
      </c>
      <c r="E405" s="19">
        <v>156479</v>
      </c>
      <c r="F405" s="37">
        <v>-0.5</v>
      </c>
      <c r="G405" s="38">
        <f t="shared" si="0"/>
        <v>-78239.5</v>
      </c>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row>
    <row r="406" spans="1:62" ht="14.25" customHeight="1">
      <c r="A406" s="26" t="s">
        <v>824</v>
      </c>
      <c r="B406" s="26" t="s">
        <v>825</v>
      </c>
      <c r="C406" s="26" t="s">
        <v>826</v>
      </c>
      <c r="D406" s="26" t="s">
        <v>827</v>
      </c>
      <c r="E406" s="19">
        <v>295798</v>
      </c>
      <c r="F406" s="37">
        <v>-0.5</v>
      </c>
      <c r="G406" s="38">
        <f t="shared" si="0"/>
        <v>-147899</v>
      </c>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row>
    <row r="407" spans="1:62" ht="14.25" customHeight="1">
      <c r="A407" s="26" t="s">
        <v>824</v>
      </c>
      <c r="B407" s="26" t="s">
        <v>825</v>
      </c>
      <c r="C407" s="26" t="s">
        <v>826</v>
      </c>
      <c r="D407" s="26" t="s">
        <v>828</v>
      </c>
      <c r="E407" s="19">
        <v>61589</v>
      </c>
      <c r="F407" s="37">
        <v>-0.5</v>
      </c>
      <c r="G407" s="38">
        <f t="shared" si="0"/>
        <v>-30794.5</v>
      </c>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row>
    <row r="408" spans="1:62" ht="14.25" customHeight="1">
      <c r="A408" s="26" t="s">
        <v>824</v>
      </c>
      <c r="B408" s="26" t="s">
        <v>825</v>
      </c>
      <c r="C408" s="26" t="s">
        <v>829</v>
      </c>
      <c r="D408" s="26" t="s">
        <v>830</v>
      </c>
      <c r="E408" s="19">
        <v>20291</v>
      </c>
      <c r="F408" s="37">
        <v>-0.5</v>
      </c>
      <c r="G408" s="38">
        <f t="shared" si="0"/>
        <v>-10145.5</v>
      </c>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row>
    <row r="409" spans="1:62" ht="14.25" customHeight="1">
      <c r="A409" s="26" t="s">
        <v>824</v>
      </c>
      <c r="B409" s="26" t="s">
        <v>825</v>
      </c>
      <c r="C409" s="26" t="s">
        <v>829</v>
      </c>
      <c r="D409" s="26" t="s">
        <v>831</v>
      </c>
      <c r="E409" s="19">
        <v>95362</v>
      </c>
      <c r="F409" s="37">
        <v>-0.5</v>
      </c>
      <c r="G409" s="38">
        <f t="shared" si="0"/>
        <v>-47681</v>
      </c>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row>
    <row r="410" spans="1:62" ht="14.25" customHeight="1">
      <c r="A410" s="26" t="s">
        <v>824</v>
      </c>
      <c r="B410" s="26" t="s">
        <v>825</v>
      </c>
      <c r="C410" s="26" t="s">
        <v>829</v>
      </c>
      <c r="D410" s="26" t="s">
        <v>832</v>
      </c>
      <c r="E410" s="19">
        <v>2838</v>
      </c>
      <c r="F410" s="37">
        <v>-0.5</v>
      </c>
      <c r="G410" s="38">
        <f t="shared" si="0"/>
        <v>-1419</v>
      </c>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row>
    <row r="411" spans="1:62" ht="14.25" customHeight="1">
      <c r="A411" s="26" t="s">
        <v>824</v>
      </c>
      <c r="B411" s="26" t="s">
        <v>825</v>
      </c>
      <c r="C411" s="26" t="s">
        <v>829</v>
      </c>
      <c r="D411" s="26" t="s">
        <v>833</v>
      </c>
      <c r="E411" s="19">
        <v>21600</v>
      </c>
      <c r="F411" s="37">
        <v>-0.5</v>
      </c>
      <c r="G411" s="38">
        <f t="shared" si="0"/>
        <v>-10800</v>
      </c>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row>
    <row r="412" spans="1:62" ht="14.25" customHeight="1">
      <c r="A412" s="26" t="s">
        <v>824</v>
      </c>
      <c r="B412" s="26" t="s">
        <v>825</v>
      </c>
      <c r="C412" s="26" t="s">
        <v>829</v>
      </c>
      <c r="D412" s="26" t="s">
        <v>834</v>
      </c>
      <c r="E412" s="19">
        <v>8219</v>
      </c>
      <c r="F412" s="37">
        <v>-0.5</v>
      </c>
      <c r="G412" s="38">
        <f t="shared" si="0"/>
        <v>-4109.5</v>
      </c>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row>
    <row r="413" spans="1:62" ht="14.25" customHeight="1">
      <c r="A413" s="26" t="s">
        <v>824</v>
      </c>
      <c r="B413" s="26" t="s">
        <v>825</v>
      </c>
      <c r="C413" s="26" t="s">
        <v>829</v>
      </c>
      <c r="D413" s="26" t="s">
        <v>835</v>
      </c>
      <c r="E413" s="19">
        <v>32348</v>
      </c>
      <c r="F413" s="37">
        <v>-0.5</v>
      </c>
      <c r="G413" s="38">
        <f t="shared" si="0"/>
        <v>-16174</v>
      </c>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row>
    <row r="414" spans="1:62" ht="14.2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row>
    <row r="415" spans="1:62" ht="14.2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row>
    <row r="416" spans="1:62" ht="14.2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row>
    <row r="417" spans="1:62" ht="14.2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row>
    <row r="418" spans="1:62" ht="14.2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row>
    <row r="419" spans="1:62" ht="14.2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row>
    <row r="420" spans="1:62" ht="14.2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row>
    <row r="421" spans="1:62" ht="14.2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row>
    <row r="422" spans="1:62" ht="14.2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row>
    <row r="423" spans="1:62" ht="14.2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row>
    <row r="424" spans="1:62" ht="14.2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row>
    <row r="425" spans="1:62" ht="14.2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row>
    <row r="426" spans="1:62" ht="14.2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row>
    <row r="427" spans="1:62" ht="14.2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row>
    <row r="428" spans="1:62" ht="14.2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row>
    <row r="429" spans="1:62" ht="14.2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row>
    <row r="430" spans="1:62" ht="14.2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row>
    <row r="431" spans="1:62" ht="14.2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row>
    <row r="432" spans="1:62" ht="14.2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row>
    <row r="433" spans="1:62" ht="14.2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row>
    <row r="434" spans="1:62" ht="14.2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row>
    <row r="435" spans="1:62" ht="14.2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row>
    <row r="436" spans="1:62" ht="14.2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row>
    <row r="437" spans="1:62" ht="14.2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row>
    <row r="438" spans="1:62" ht="14.2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row>
    <row r="439" spans="1:62" ht="14.2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row>
    <row r="440" spans="1:62" ht="14.2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row>
    <row r="441" spans="1:62" ht="14.2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row>
    <row r="442" spans="1:62" ht="14.2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row>
    <row r="443" spans="1:62" ht="14.2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row>
    <row r="444" spans="1:62" ht="14.2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row>
    <row r="445" spans="1:62" ht="14.2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row>
    <row r="446" spans="1:62" ht="14.2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row>
    <row r="447" spans="1:62" ht="14.2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row>
    <row r="448" spans="1:62" ht="14.2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row>
    <row r="449" spans="1:62" ht="14.2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row>
    <row r="450" spans="1:62" ht="14.2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row>
    <row r="451" spans="1:62" ht="14.2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row>
    <row r="452" spans="1:62" ht="14.2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row>
    <row r="453" spans="1:62" ht="14.2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row>
    <row r="454" spans="1:62" ht="14.2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row>
    <row r="455" spans="1:62" ht="14.2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row>
    <row r="456" spans="1:62" ht="14.2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row>
    <row r="457" spans="1:62" ht="14.2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row>
    <row r="458" spans="1:62" ht="14.2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row>
    <row r="459" spans="1:62" ht="14.2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row>
    <row r="460" spans="1:62" ht="14.2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row>
    <row r="461" spans="1:62" ht="14.2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row>
    <row r="462" spans="1:62" ht="14.2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row>
    <row r="463" spans="1:62" ht="14.2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row>
    <row r="464" spans="1:62" ht="14.2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row>
    <row r="465" spans="1:62" ht="14.2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row>
    <row r="466" spans="1:62" ht="14.2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row>
    <row r="467" spans="1:62" ht="14.2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row>
    <row r="468" spans="1:62" ht="14.2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row>
    <row r="469" spans="1:62" ht="14.2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row>
    <row r="470" spans="1:62" ht="14.2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row>
    <row r="471" spans="1:62" ht="14.2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row>
    <row r="472" spans="1:62" ht="14.2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row>
    <row r="473" spans="1:62" ht="14.2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row>
    <row r="474" spans="1:62" ht="14.2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row>
    <row r="475" spans="1:62" ht="14.2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row>
    <row r="476" spans="1:62" ht="14.2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row>
    <row r="477" spans="1:62" ht="14.2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row>
    <row r="478" spans="1:62" ht="14.2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row>
    <row r="479" spans="1:62" ht="14.2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row>
    <row r="480" spans="1:62" ht="14.2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row>
    <row r="481" spans="1:62" ht="14.2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row>
    <row r="482" spans="1:62" ht="14.2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row>
    <row r="483" spans="1:62" ht="14.2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row>
    <row r="484" spans="1:62" ht="14.2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row>
    <row r="485" spans="1:62" ht="14.2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row>
    <row r="486" spans="1:62" ht="14.2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row>
    <row r="487" spans="1:62" ht="14.2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row>
    <row r="488" spans="1:62" ht="14.2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row>
    <row r="489" spans="1:62" ht="14.2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row>
    <row r="490" spans="1:62" ht="14.2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row>
    <row r="491" spans="1:62" ht="14.2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row>
    <row r="492" spans="1:62" ht="14.2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row>
    <row r="493" spans="1:62" ht="14.2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row>
    <row r="494" spans="1:62" ht="14.2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row>
    <row r="495" spans="1:62" ht="14.2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row>
    <row r="496" spans="1:62" ht="14.2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row>
    <row r="497" spans="1:62" ht="14.2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row>
    <row r="498" spans="1:62" ht="14.2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row>
    <row r="499" spans="1:62" ht="14.2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row>
    <row r="500" spans="1:62" ht="14.2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row>
    <row r="501" spans="1:62" ht="14.2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row>
    <row r="502" spans="1:62" ht="14.2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row>
    <row r="503" spans="1:62" ht="14.2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row>
    <row r="504" spans="1:62" ht="14.2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row>
    <row r="505" spans="1:62" ht="14.2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row>
    <row r="506" spans="1:62" ht="14.2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row>
    <row r="507" spans="1:62" ht="14.2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row>
    <row r="508" spans="1:62" ht="14.2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row>
    <row r="509" spans="1:62" ht="14.2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row>
    <row r="510" spans="1:62" ht="14.2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row>
    <row r="511" spans="1:62" ht="14.2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row>
    <row r="512" spans="1:62" ht="14.2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row>
    <row r="513" spans="1:62" ht="14.2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row>
    <row r="514" spans="1:62" ht="14.2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row>
    <row r="515" spans="1:62" ht="14.2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row>
    <row r="516" spans="1:62" ht="14.2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row>
    <row r="517" spans="1:62" ht="14.2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row>
    <row r="518" spans="1:62" ht="14.2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row>
    <row r="519" spans="1:62" ht="14.2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row>
    <row r="520" spans="1:62" ht="14.2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row>
    <row r="521" spans="1:62" ht="14.2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row>
    <row r="522" spans="1:62" ht="14.2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row>
    <row r="523" spans="1:62" ht="14.2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row>
    <row r="524" spans="1:62" ht="14.2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row>
    <row r="525" spans="1:62" ht="14.2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row>
    <row r="526" spans="1:62" ht="14.2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row>
    <row r="527" spans="1:62" ht="14.2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row>
    <row r="528" spans="1:62" ht="14.2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row>
    <row r="529" spans="1:62" ht="14.2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row>
    <row r="530" spans="1:62" ht="14.2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row>
    <row r="531" spans="1:62" ht="14.2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row>
    <row r="532" spans="1:62" ht="14.2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row>
    <row r="533" spans="1:62" ht="14.2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row>
    <row r="534" spans="1:62" ht="14.2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row>
    <row r="535" spans="1:62" ht="14.2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row>
    <row r="536" spans="1:62" ht="14.2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row>
    <row r="537" spans="1:62" ht="14.2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row>
    <row r="538" spans="1:62" ht="14.2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row>
    <row r="539" spans="1:62" ht="14.2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row>
    <row r="540" spans="1:62" ht="14.2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row>
    <row r="541" spans="1:62" ht="14.2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row>
    <row r="542" spans="1:62" ht="14.2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row>
    <row r="543" spans="1:62" ht="14.2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row>
    <row r="544" spans="1:62" ht="14.2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row>
    <row r="545" spans="1:62" ht="14.2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row>
    <row r="546" spans="1:62" ht="14.2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row>
    <row r="547" spans="1:62" ht="14.2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row>
    <row r="548" spans="1:62" ht="14.2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row>
    <row r="549" spans="1:62" ht="14.2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row>
    <row r="550" spans="1:62" ht="14.2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row>
    <row r="551" spans="1:62" ht="14.2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row>
    <row r="552" spans="1:62" ht="14.2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row>
    <row r="553" spans="1:62" ht="14.2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row>
    <row r="554" spans="1:62" ht="14.2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row>
    <row r="555" spans="1:62" ht="14.2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row>
    <row r="556" spans="1:62" ht="14.2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row>
    <row r="557" spans="1:62" ht="14.2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row>
    <row r="558" spans="1:62" ht="14.2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row>
    <row r="559" spans="1:62" ht="14.2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row>
    <row r="560" spans="1:62" ht="14.2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row>
    <row r="561" spans="1:62" ht="14.2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row>
    <row r="562" spans="1:62" ht="14.2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row>
    <row r="563" spans="1:62" ht="14.2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row>
    <row r="564" spans="1:62" ht="14.2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row>
    <row r="565" spans="1:62" ht="14.2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row>
    <row r="566" spans="1:62" ht="14.2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row>
    <row r="567" spans="1:62" ht="14.2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row>
    <row r="568" spans="1:62" ht="14.2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row>
    <row r="569" spans="1:62" ht="14.2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row>
    <row r="570" spans="1:62" ht="14.2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row>
    <row r="571" spans="1:62" ht="14.2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row>
    <row r="572" spans="1:62" ht="14.2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row>
    <row r="573" spans="1:62" ht="14.2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row>
    <row r="574" spans="1:62" ht="14.2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row>
    <row r="575" spans="1:62" ht="14.2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row>
    <row r="576" spans="1:62" ht="14.2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row>
    <row r="577" spans="1:62" ht="14.2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row>
    <row r="578" spans="1:62" ht="14.2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row>
    <row r="579" spans="1:62" ht="14.2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row>
    <row r="580" spans="1:62" ht="14.2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row>
    <row r="581" spans="1:62" ht="14.2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row>
    <row r="582" spans="1:62" ht="14.2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row>
    <row r="583" spans="1:62" ht="14.2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row>
    <row r="584" spans="1:62" ht="14.2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row>
    <row r="585" spans="1:62" ht="14.2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row>
    <row r="586" spans="1:62" ht="14.2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row>
    <row r="587" spans="1:62" ht="14.2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row>
    <row r="588" spans="1:62" ht="14.2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row>
    <row r="589" spans="1:62" ht="14.2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row>
    <row r="590" spans="1:62" ht="14.2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row>
    <row r="591" spans="1:62" ht="14.2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row>
    <row r="592" spans="1:62" ht="14.2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row>
    <row r="593" spans="1:62" ht="14.2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row>
    <row r="594" spans="1:62" ht="14.2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row>
    <row r="595" spans="1:62" ht="14.2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row>
    <row r="596" spans="1:62" ht="14.2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row>
    <row r="597" spans="1:62" ht="14.2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row>
    <row r="598" spans="1:62" ht="14.2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row>
    <row r="599" spans="1:62" ht="14.2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row>
    <row r="600" spans="1:62" ht="14.2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row>
    <row r="601" spans="1:62" ht="14.2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row>
    <row r="602" spans="1:62" ht="14.2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row>
    <row r="603" spans="1:62" ht="14.2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row>
    <row r="604" spans="1:62" ht="14.2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row>
    <row r="605" spans="1:62" ht="14.2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row>
    <row r="606" spans="1:62" ht="14.2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row>
    <row r="607" spans="1:62" ht="14.2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row>
    <row r="608" spans="1:62" ht="14.2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row>
    <row r="609" spans="1:62" ht="14.2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row>
    <row r="610" spans="1:62" ht="14.2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row>
    <row r="611" spans="1:62" ht="14.2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row>
    <row r="612" spans="1:62" ht="14.2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row>
    <row r="613" spans="1:62" ht="14.2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row>
    <row r="614" spans="1:62" ht="14.2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row>
    <row r="615" spans="1:62" ht="14.2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row>
    <row r="616" spans="1:62" ht="14.2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row>
    <row r="617" spans="1:62" ht="14.2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row>
    <row r="618" spans="1:62" ht="14.2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row>
    <row r="619" spans="1:62" ht="14.2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row>
    <row r="620" spans="1:62" ht="14.2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row>
    <row r="621" spans="1:62" ht="14.2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row>
    <row r="622" spans="1:62" ht="14.2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row>
    <row r="623" spans="1:62" ht="14.2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row>
    <row r="624" spans="1:62" ht="14.2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row>
    <row r="625" spans="1:62" ht="14.2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row>
    <row r="626" spans="1:62" ht="14.2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row>
    <row r="627" spans="1:62" ht="14.2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row>
    <row r="628" spans="1:62" ht="14.2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row>
    <row r="629" spans="1:62" ht="14.2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row>
    <row r="630" spans="1:62" ht="14.2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row>
    <row r="631" spans="1:62" ht="14.2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row>
    <row r="632" spans="1:62" ht="14.2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row>
    <row r="633" spans="1:62" ht="14.2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row>
    <row r="634" spans="1:62" ht="14.2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row>
    <row r="635" spans="1:62" ht="14.2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row>
    <row r="636" spans="1:62" ht="14.2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row>
    <row r="637" spans="1:62" ht="14.2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row>
    <row r="638" spans="1:62" ht="14.2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row>
    <row r="639" spans="1:62" ht="14.2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row>
    <row r="640" spans="1:62" ht="14.2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row>
    <row r="641" spans="1:62" ht="14.2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row>
    <row r="642" spans="1:62" ht="14.2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row>
    <row r="643" spans="1:62" ht="14.2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row>
    <row r="644" spans="1:62" ht="14.2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row>
    <row r="645" spans="1:62" ht="14.2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row>
    <row r="646" spans="1:62" ht="14.2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row>
    <row r="647" spans="1:62" ht="14.2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row>
    <row r="648" spans="1:62" ht="14.2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row>
    <row r="649" spans="1:62" ht="14.2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row>
    <row r="650" spans="1:62" ht="14.2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row>
    <row r="651" spans="1:62" ht="14.2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row>
    <row r="652" spans="1:62" ht="14.2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row>
    <row r="653" spans="1:62" ht="14.2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row>
    <row r="654" spans="1:62" ht="14.2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row>
    <row r="655" spans="1:62" ht="14.2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row>
    <row r="656" spans="1:62" ht="14.2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row>
    <row r="657" spans="1:62" ht="14.2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row>
    <row r="658" spans="1:62" ht="14.2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row>
    <row r="659" spans="1:62" ht="14.2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row>
    <row r="660" spans="1:62" ht="14.2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row>
    <row r="661" spans="1:62" ht="14.2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row>
    <row r="662" spans="1:62" ht="14.2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row>
    <row r="663" spans="1:62" ht="14.2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row>
    <row r="664" spans="1:62" ht="14.2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row>
    <row r="665" spans="1:62" ht="14.2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row>
    <row r="666" spans="1:62" ht="14.2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row>
    <row r="667" spans="1:62" ht="14.2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row>
    <row r="668" spans="1:62" ht="14.2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row>
    <row r="669" spans="1:62" ht="14.2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row>
    <row r="670" spans="1:62" ht="14.2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row>
    <row r="671" spans="1:62" ht="14.2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row>
    <row r="672" spans="1:62" ht="14.2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row>
    <row r="673" spans="1:62" ht="14.2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row>
    <row r="674" spans="1:62" ht="14.2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row>
    <row r="675" spans="1:62" ht="14.2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row>
    <row r="676" spans="1:62" ht="14.2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row>
    <row r="677" spans="1:62" ht="14.2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row>
    <row r="678" spans="1:62" ht="14.2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row>
    <row r="679" spans="1:62" ht="14.2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row>
    <row r="680" spans="1:62" ht="14.2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row>
    <row r="681" spans="1:62" ht="14.2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row>
    <row r="682" spans="1:62" ht="14.2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row>
    <row r="683" spans="1:62" ht="14.2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row>
    <row r="684" spans="1:62" ht="14.2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row>
    <row r="685" spans="1:62" ht="14.2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row>
    <row r="686" spans="1:62" ht="14.2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row>
    <row r="687" spans="1:62" ht="14.2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row>
    <row r="688" spans="1:62" ht="14.2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row>
    <row r="689" spans="1:62" ht="14.2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row>
    <row r="690" spans="1:62" ht="14.2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row>
    <row r="691" spans="1:62" ht="14.2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row>
    <row r="692" spans="1:62" ht="14.2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row>
    <row r="693" spans="1:62" ht="14.2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row>
    <row r="694" spans="1:62" ht="14.2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row>
    <row r="695" spans="1:62" ht="14.2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row>
    <row r="696" spans="1:62" ht="14.2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row>
    <row r="697" spans="1:62" ht="14.2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row>
    <row r="698" spans="1:62" ht="14.2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row>
    <row r="699" spans="1:62" ht="14.2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row>
    <row r="700" spans="1:62" ht="14.2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row>
    <row r="701" spans="1:62" ht="14.2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row>
    <row r="702" spans="1:62" ht="14.2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row>
    <row r="703" spans="1:62" ht="14.2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row>
    <row r="704" spans="1:62" ht="14.2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row>
    <row r="705" spans="1:62" ht="14.2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row>
    <row r="706" spans="1:62" ht="14.2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row>
    <row r="707" spans="1:62" ht="14.2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row>
    <row r="708" spans="1:62" ht="14.2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row>
    <row r="709" spans="1:62" ht="14.2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row>
    <row r="710" spans="1:62" ht="14.2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row>
    <row r="711" spans="1:62" ht="14.2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row>
    <row r="712" spans="1:62" ht="14.2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row>
    <row r="713" spans="1:62" ht="14.2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row>
    <row r="714" spans="1:62" ht="14.2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row>
    <row r="715" spans="1:62" ht="14.2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row>
    <row r="716" spans="1:62" ht="14.2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row>
    <row r="717" spans="1:62" ht="14.2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row>
    <row r="718" spans="1:62" ht="14.2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row>
    <row r="719" spans="1:62" ht="14.2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row>
    <row r="720" spans="1:62" ht="14.2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row>
    <row r="721" spans="1:62" ht="14.2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row>
    <row r="722" spans="1:62" ht="14.2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row>
    <row r="723" spans="1:62" ht="14.2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row>
    <row r="724" spans="1:62" ht="14.2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row>
    <row r="725" spans="1:62" ht="14.2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row>
    <row r="726" spans="1:62" ht="14.2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row>
    <row r="727" spans="1:62" ht="14.2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row>
    <row r="728" spans="1:62" ht="14.2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row>
    <row r="729" spans="1:62" ht="14.2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row>
    <row r="730" spans="1:62" ht="14.2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row>
    <row r="731" spans="1:62" ht="14.2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row>
    <row r="732" spans="1:62" ht="14.2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row>
    <row r="733" spans="1:62" ht="14.2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row>
    <row r="734" spans="1:62" ht="14.2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row>
    <row r="735" spans="1:62" ht="14.2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row>
    <row r="736" spans="1:62" ht="14.2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row>
    <row r="737" spans="1:62" ht="14.2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row>
    <row r="738" spans="1:62" ht="14.2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row>
    <row r="739" spans="1:62" ht="14.2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row>
    <row r="740" spans="1:62" ht="14.2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row>
    <row r="741" spans="1:62" ht="14.2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row>
    <row r="742" spans="1:62" ht="14.2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row>
    <row r="743" spans="1:62" ht="14.2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row>
    <row r="744" spans="1:62" ht="14.2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row>
    <row r="745" spans="1:62" ht="14.2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row>
    <row r="746" spans="1:62" ht="14.2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row>
    <row r="747" spans="1:62" ht="14.2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row>
    <row r="748" spans="1:62" ht="14.2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row>
    <row r="749" spans="1:62" ht="14.2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row>
    <row r="750" spans="1:62" ht="14.2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row>
    <row r="751" spans="1:62" ht="14.2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row>
    <row r="752" spans="1:62" ht="14.2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row>
    <row r="753" spans="1:62" ht="14.2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row>
    <row r="754" spans="1:62" ht="14.2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row>
    <row r="755" spans="1:62" ht="14.2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row>
    <row r="756" spans="1:62" ht="14.2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row>
    <row r="757" spans="1:62" ht="14.2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row>
    <row r="758" spans="1:62" ht="14.2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row>
    <row r="759" spans="1:62" ht="14.2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row>
    <row r="760" spans="1:62" ht="14.2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row>
    <row r="761" spans="1:62" ht="14.2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row>
    <row r="762" spans="1:62" ht="14.2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row>
    <row r="763" spans="1:62" ht="14.2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row>
    <row r="764" spans="1:62" ht="14.2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row>
    <row r="765" spans="1:62" ht="14.2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row>
    <row r="766" spans="1:62" ht="14.2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row>
    <row r="767" spans="1:62" ht="14.2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row>
    <row r="768" spans="1:62" ht="14.2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row>
    <row r="769" spans="1:62" ht="14.2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row>
    <row r="770" spans="1:62" ht="14.2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row>
    <row r="771" spans="1:62" ht="14.2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row>
    <row r="772" spans="1:62" ht="14.2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row>
    <row r="773" spans="1:62" ht="14.2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row>
    <row r="774" spans="1:62" ht="14.2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row>
    <row r="775" spans="1:62" ht="14.2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row>
    <row r="776" spans="1:62" ht="14.2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row>
    <row r="777" spans="1:62" ht="14.2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row>
    <row r="778" spans="1:62" ht="14.2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row>
    <row r="779" spans="1:62" ht="14.2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row>
    <row r="780" spans="1:62" ht="14.2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row>
    <row r="781" spans="1:62" ht="14.2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row>
    <row r="782" spans="1:62" ht="14.2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row>
    <row r="783" spans="1:62" ht="14.2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row>
    <row r="784" spans="1:62" ht="14.2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row>
    <row r="785" spans="1:62" ht="14.2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row>
    <row r="786" spans="1:62" ht="14.2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row>
    <row r="787" spans="1:62" ht="14.2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row>
    <row r="788" spans="1:62" ht="14.2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row>
    <row r="789" spans="1:62" ht="14.2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row>
    <row r="790" spans="1:62" ht="14.2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row>
    <row r="791" spans="1:62" ht="14.2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row>
    <row r="792" spans="1:62" ht="14.2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row>
    <row r="793" spans="1:62" ht="14.2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row>
    <row r="794" spans="1:62" ht="14.2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row>
    <row r="795" spans="1:62" ht="14.2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row>
    <row r="796" spans="1:62" ht="14.2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row>
    <row r="797" spans="1:62" ht="14.2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row>
    <row r="798" spans="1:62" ht="14.2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row>
    <row r="799" spans="1:62" ht="14.2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row>
    <row r="800" spans="1:62" ht="14.2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row>
    <row r="801" spans="1:62" ht="14.2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row>
    <row r="802" spans="1:62" ht="14.2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row>
    <row r="803" spans="1:62" ht="14.2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row>
    <row r="804" spans="1:62" ht="14.2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row>
    <row r="805" spans="1:62" ht="14.2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row>
    <row r="806" spans="1:62" ht="14.2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row>
    <row r="807" spans="1:62" ht="14.2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row>
    <row r="808" spans="1:62" ht="14.2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row>
    <row r="809" spans="1:62" ht="14.2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row>
    <row r="810" spans="1:62" ht="14.2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row>
    <row r="811" spans="1:62" ht="14.2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row>
    <row r="812" spans="1:62" ht="14.2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row>
    <row r="813" spans="1:62" ht="14.2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row>
    <row r="814" spans="1:62" ht="14.2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row>
    <row r="815" spans="1:62" ht="14.2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row>
    <row r="816" spans="1:62" ht="14.2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row>
    <row r="817" spans="1:62" ht="14.2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row>
    <row r="818" spans="1:62" ht="14.2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row>
    <row r="819" spans="1:62" ht="14.2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row>
    <row r="820" spans="1:62" ht="14.2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row>
    <row r="821" spans="1:62" ht="14.2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row>
    <row r="822" spans="1:62" ht="14.2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row>
    <row r="823" spans="1:62" ht="14.2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row>
    <row r="824" spans="1:62" ht="14.2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row>
    <row r="825" spans="1:62" ht="14.2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row>
    <row r="826" spans="1:62" ht="14.2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row>
    <row r="827" spans="1:62" ht="14.2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row>
    <row r="828" spans="1:62" ht="14.2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row>
    <row r="829" spans="1:62" ht="14.2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row>
    <row r="830" spans="1:62" ht="14.2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row>
    <row r="831" spans="1:62" ht="14.2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row>
    <row r="832" spans="1:62" ht="14.2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row>
    <row r="833" spans="1:62" ht="14.2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row>
    <row r="834" spans="1:62" ht="14.2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row>
    <row r="835" spans="1:62" ht="14.2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row>
    <row r="836" spans="1:62" ht="14.2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row>
    <row r="837" spans="1:62" ht="14.2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row>
    <row r="838" spans="1:62" ht="14.2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row>
    <row r="839" spans="1:62" ht="14.2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row>
    <row r="840" spans="1:62" ht="14.2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row>
    <row r="841" spans="1:62" ht="14.2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row>
    <row r="842" spans="1:62" ht="14.2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row>
    <row r="843" spans="1:62" ht="14.2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row>
    <row r="844" spans="1:62" ht="14.2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row>
    <row r="845" spans="1:62" ht="14.2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row>
    <row r="846" spans="1:62" ht="14.2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row>
    <row r="847" spans="1:62" ht="14.2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row>
    <row r="848" spans="1:62" ht="14.2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row>
    <row r="849" spans="1:62" ht="14.2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row>
    <row r="850" spans="1:62" ht="14.2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row>
    <row r="851" spans="1:62" ht="14.2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row>
    <row r="852" spans="1:62" ht="14.2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row>
    <row r="853" spans="1:62" ht="14.2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row>
    <row r="854" spans="1:62" ht="14.2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row>
    <row r="855" spans="1:62" ht="14.2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row>
    <row r="856" spans="1:62" ht="14.2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row>
    <row r="857" spans="1:62" ht="14.2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row>
    <row r="858" spans="1:62" ht="14.2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row>
    <row r="859" spans="1:62" ht="14.2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row>
    <row r="860" spans="1:62" ht="14.2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row>
    <row r="861" spans="1:62" ht="14.2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row>
    <row r="862" spans="1:62" ht="14.2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row>
    <row r="863" spans="1:62" ht="14.2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row>
    <row r="864" spans="1:62" ht="14.2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row>
    <row r="865" spans="1:62" ht="14.2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row>
    <row r="866" spans="1:62" ht="14.2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row>
    <row r="867" spans="1:62" ht="14.2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row>
    <row r="868" spans="1:62" ht="14.2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row>
    <row r="869" spans="1:62" ht="14.2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row>
    <row r="870" spans="1:62" ht="14.2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row>
    <row r="871" spans="1:62" ht="14.2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row>
    <row r="872" spans="1:62" ht="14.2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row>
    <row r="873" spans="1:62" ht="14.2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row>
    <row r="874" spans="1:62" ht="14.2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row>
    <row r="875" spans="1:62" ht="14.2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row>
    <row r="876" spans="1:62" ht="14.2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row>
    <row r="877" spans="1:62" ht="14.2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row>
    <row r="878" spans="1:62" ht="14.2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row>
    <row r="879" spans="1:62" ht="14.2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row>
    <row r="880" spans="1:62" ht="14.2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row>
    <row r="881" spans="1:62" ht="14.2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row>
    <row r="882" spans="1:62" ht="14.2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row>
    <row r="883" spans="1:62" ht="14.2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row>
    <row r="884" spans="1:62" ht="14.2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row>
    <row r="885" spans="1:62" ht="14.2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row>
    <row r="886" spans="1:62" ht="14.2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row>
    <row r="887" spans="1:62" ht="14.2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row>
    <row r="888" spans="1:62" ht="14.2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row>
    <row r="889" spans="1:62" ht="14.2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row>
    <row r="890" spans="1:62" ht="14.2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row>
    <row r="891" spans="1:62" ht="14.2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row>
    <row r="892" spans="1:62" ht="14.2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row>
    <row r="893" spans="1:62" ht="14.2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row>
    <row r="894" spans="1:62" ht="14.2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row>
    <row r="895" spans="1:62" ht="14.2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row>
    <row r="896" spans="1:62" ht="14.2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row>
    <row r="897" spans="1:62" ht="14.2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row>
    <row r="898" spans="1:62" ht="14.2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row>
    <row r="899" spans="1:62" ht="14.2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row>
    <row r="900" spans="1:62" ht="14.2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row>
    <row r="901" spans="1:62" ht="14.2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row>
    <row r="902" spans="1:62" ht="14.2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row>
    <row r="903" spans="1:62" ht="14.2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row>
    <row r="904" spans="1:62" ht="14.2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row>
    <row r="905" spans="1:62" ht="14.2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row>
    <row r="906" spans="1:62" ht="14.2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row>
    <row r="907" spans="1:62" ht="14.2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row>
    <row r="908" spans="1:62" ht="14.2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row>
    <row r="909" spans="1:62" ht="14.2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row>
    <row r="910" spans="1:62" ht="14.2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row>
    <row r="911" spans="1:62" ht="14.2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row>
    <row r="912" spans="1:62" ht="14.2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row>
    <row r="913" spans="1:62" ht="14.2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row>
    <row r="914" spans="1:62" ht="14.2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row>
    <row r="915" spans="1:62" ht="14.2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c r="AX915" s="26"/>
      <c r="AY915" s="26"/>
      <c r="AZ915" s="26"/>
      <c r="BA915" s="26"/>
      <c r="BB915" s="26"/>
      <c r="BC915" s="26"/>
      <c r="BD915" s="26"/>
      <c r="BE915" s="26"/>
      <c r="BF915" s="26"/>
      <c r="BG915" s="26"/>
      <c r="BH915" s="26"/>
      <c r="BI915" s="26"/>
      <c r="BJ915" s="26"/>
    </row>
    <row r="916" spans="1:62" ht="14.2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row>
    <row r="917" spans="1:62" ht="14.2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row>
    <row r="918" spans="1:62" ht="14.2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row>
    <row r="919" spans="1:62" ht="14.2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row>
    <row r="920" spans="1:62" ht="14.2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row>
    <row r="921" spans="1:62" ht="14.2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c r="AX921" s="26"/>
      <c r="AY921" s="26"/>
      <c r="AZ921" s="26"/>
      <c r="BA921" s="26"/>
      <c r="BB921" s="26"/>
      <c r="BC921" s="26"/>
      <c r="BD921" s="26"/>
      <c r="BE921" s="26"/>
      <c r="BF921" s="26"/>
      <c r="BG921" s="26"/>
      <c r="BH921" s="26"/>
      <c r="BI921" s="26"/>
      <c r="BJ921" s="26"/>
    </row>
    <row r="922" spans="1:62" ht="14.2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row>
    <row r="923" spans="1:62" ht="14.2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c r="AX923" s="26"/>
      <c r="AY923" s="26"/>
      <c r="AZ923" s="26"/>
      <c r="BA923" s="26"/>
      <c r="BB923" s="26"/>
      <c r="BC923" s="26"/>
      <c r="BD923" s="26"/>
      <c r="BE923" s="26"/>
      <c r="BF923" s="26"/>
      <c r="BG923" s="26"/>
      <c r="BH923" s="26"/>
      <c r="BI923" s="26"/>
      <c r="BJ923" s="26"/>
    </row>
    <row r="924" spans="1:62" ht="14.2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row>
    <row r="925" spans="1:62" ht="14.2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c r="BA925" s="26"/>
      <c r="BB925" s="26"/>
      <c r="BC925" s="26"/>
      <c r="BD925" s="26"/>
      <c r="BE925" s="26"/>
      <c r="BF925" s="26"/>
      <c r="BG925" s="26"/>
      <c r="BH925" s="26"/>
      <c r="BI925" s="26"/>
      <c r="BJ925" s="26"/>
    </row>
    <row r="926" spans="1:62" ht="14.2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row>
    <row r="927" spans="1:62" ht="14.2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row>
    <row r="928" spans="1:62" ht="14.2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row>
    <row r="929" spans="1:62" ht="14.2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row>
    <row r="930" spans="1:62" ht="14.2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row>
    <row r="931" spans="1:62" ht="14.2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c r="AX931" s="26"/>
      <c r="AY931" s="26"/>
      <c r="AZ931" s="26"/>
      <c r="BA931" s="26"/>
      <c r="BB931" s="26"/>
      <c r="BC931" s="26"/>
      <c r="BD931" s="26"/>
      <c r="BE931" s="26"/>
      <c r="BF931" s="26"/>
      <c r="BG931" s="26"/>
      <c r="BH931" s="26"/>
      <c r="BI931" s="26"/>
      <c r="BJ931" s="26"/>
    </row>
    <row r="932" spans="1:62" ht="14.2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row>
    <row r="933" spans="1:62" ht="14.2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c r="BA933" s="26"/>
      <c r="BB933" s="26"/>
      <c r="BC933" s="26"/>
      <c r="BD933" s="26"/>
      <c r="BE933" s="26"/>
      <c r="BF933" s="26"/>
      <c r="BG933" s="26"/>
      <c r="BH933" s="26"/>
      <c r="BI933" s="26"/>
      <c r="BJ933" s="26"/>
    </row>
    <row r="934" spans="1:62" ht="14.2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row>
    <row r="935" spans="1:62" ht="14.2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c r="AX935" s="26"/>
      <c r="AY935" s="26"/>
      <c r="AZ935" s="26"/>
      <c r="BA935" s="26"/>
      <c r="BB935" s="26"/>
      <c r="BC935" s="26"/>
      <c r="BD935" s="26"/>
      <c r="BE935" s="26"/>
      <c r="BF935" s="26"/>
      <c r="BG935" s="26"/>
      <c r="BH935" s="26"/>
      <c r="BI935" s="26"/>
      <c r="BJ935" s="26"/>
    </row>
    <row r="936" spans="1:62" ht="14.2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row>
    <row r="937" spans="1:62" ht="14.2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row>
    <row r="938" spans="1:62" ht="14.2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row>
    <row r="939" spans="1:62" ht="14.2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c r="AX939" s="26"/>
      <c r="AY939" s="26"/>
      <c r="AZ939" s="26"/>
      <c r="BA939" s="26"/>
      <c r="BB939" s="26"/>
      <c r="BC939" s="26"/>
      <c r="BD939" s="26"/>
      <c r="BE939" s="26"/>
      <c r="BF939" s="26"/>
      <c r="BG939" s="26"/>
      <c r="BH939" s="26"/>
      <c r="BI939" s="26"/>
      <c r="BJ939" s="26"/>
    </row>
    <row r="940" spans="1:62" ht="14.2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row>
    <row r="941" spans="1:62" ht="14.2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c r="BA941" s="26"/>
      <c r="BB941" s="26"/>
      <c r="BC941" s="26"/>
      <c r="BD941" s="26"/>
      <c r="BE941" s="26"/>
      <c r="BF941" s="26"/>
      <c r="BG941" s="26"/>
      <c r="BH941" s="26"/>
      <c r="BI941" s="26"/>
      <c r="BJ941" s="26"/>
    </row>
    <row r="942" spans="1:62" ht="14.2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row>
    <row r="943" spans="1:62" ht="14.2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c r="BA943" s="26"/>
      <c r="BB943" s="26"/>
      <c r="BC943" s="26"/>
      <c r="BD943" s="26"/>
      <c r="BE943" s="26"/>
      <c r="BF943" s="26"/>
      <c r="BG943" s="26"/>
      <c r="BH943" s="26"/>
      <c r="BI943" s="26"/>
      <c r="BJ943" s="26"/>
    </row>
    <row r="944" spans="1:62" ht="14.2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row>
    <row r="945" spans="1:62" ht="14.2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c r="BA945" s="26"/>
      <c r="BB945" s="26"/>
      <c r="BC945" s="26"/>
      <c r="BD945" s="26"/>
      <c r="BE945" s="26"/>
      <c r="BF945" s="26"/>
      <c r="BG945" s="26"/>
      <c r="BH945" s="26"/>
      <c r="BI945" s="26"/>
      <c r="BJ945" s="26"/>
    </row>
    <row r="946" spans="1:62" ht="14.2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row>
    <row r="947" spans="1:62" ht="14.2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c r="BA947" s="26"/>
      <c r="BB947" s="26"/>
      <c r="BC947" s="26"/>
      <c r="BD947" s="26"/>
      <c r="BE947" s="26"/>
      <c r="BF947" s="26"/>
      <c r="BG947" s="26"/>
      <c r="BH947" s="26"/>
      <c r="BI947" s="26"/>
      <c r="BJ947" s="26"/>
    </row>
    <row r="948" spans="1:62" ht="14.2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row>
    <row r="949" spans="1:62" ht="14.2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c r="BA949" s="26"/>
      <c r="BB949" s="26"/>
      <c r="BC949" s="26"/>
      <c r="BD949" s="26"/>
      <c r="BE949" s="26"/>
      <c r="BF949" s="26"/>
      <c r="BG949" s="26"/>
      <c r="BH949" s="26"/>
      <c r="BI949" s="26"/>
      <c r="BJ949" s="26"/>
    </row>
    <row r="950" spans="1:62" ht="14.2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row>
    <row r="951" spans="1:62" ht="14.2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c r="AX951" s="26"/>
      <c r="AY951" s="26"/>
      <c r="AZ951" s="26"/>
      <c r="BA951" s="26"/>
      <c r="BB951" s="26"/>
      <c r="BC951" s="26"/>
      <c r="BD951" s="26"/>
      <c r="BE951" s="26"/>
      <c r="BF951" s="26"/>
      <c r="BG951" s="26"/>
      <c r="BH951" s="26"/>
      <c r="BI951" s="26"/>
      <c r="BJ951" s="26"/>
    </row>
    <row r="952" spans="1:62" ht="14.2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row>
    <row r="953" spans="1:62" ht="14.2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row>
    <row r="954" spans="1:62" ht="14.2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row>
    <row r="955" spans="1:62" ht="14.2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row>
    <row r="956" spans="1:62" ht="14.2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row>
    <row r="957" spans="1:62" ht="14.2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row>
    <row r="958" spans="1:62" ht="14.2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row>
    <row r="959" spans="1:62" ht="14.2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c r="AX959" s="26"/>
      <c r="AY959" s="26"/>
      <c r="AZ959" s="26"/>
      <c r="BA959" s="26"/>
      <c r="BB959" s="26"/>
      <c r="BC959" s="26"/>
      <c r="BD959" s="26"/>
      <c r="BE959" s="26"/>
      <c r="BF959" s="26"/>
      <c r="BG959" s="26"/>
      <c r="BH959" s="26"/>
      <c r="BI959" s="26"/>
      <c r="BJ959" s="26"/>
    </row>
    <row r="960" spans="1:62" ht="14.2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row>
    <row r="961" spans="1:62" ht="14.2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c r="AX961" s="26"/>
      <c r="AY961" s="26"/>
      <c r="AZ961" s="26"/>
      <c r="BA961" s="26"/>
      <c r="BB961" s="26"/>
      <c r="BC961" s="26"/>
      <c r="BD961" s="26"/>
      <c r="BE961" s="26"/>
      <c r="BF961" s="26"/>
      <c r="BG961" s="26"/>
      <c r="BH961" s="26"/>
      <c r="BI961" s="26"/>
      <c r="BJ961" s="26"/>
    </row>
    <row r="962" spans="1:62" ht="14.2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row>
    <row r="963" spans="1:62" ht="14.2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c r="BA963" s="26"/>
      <c r="BB963" s="26"/>
      <c r="BC963" s="26"/>
      <c r="BD963" s="26"/>
      <c r="BE963" s="26"/>
      <c r="BF963" s="26"/>
      <c r="BG963" s="26"/>
      <c r="BH963" s="26"/>
      <c r="BI963" s="26"/>
      <c r="BJ963" s="26"/>
    </row>
    <row r="964" spans="1:62" ht="14.2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row>
    <row r="965" spans="1:62" ht="14.2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c r="AX965" s="26"/>
      <c r="AY965" s="26"/>
      <c r="AZ965" s="26"/>
      <c r="BA965" s="26"/>
      <c r="BB965" s="26"/>
      <c r="BC965" s="26"/>
      <c r="BD965" s="26"/>
      <c r="BE965" s="26"/>
      <c r="BF965" s="26"/>
      <c r="BG965" s="26"/>
      <c r="BH965" s="26"/>
      <c r="BI965" s="26"/>
      <c r="BJ965" s="26"/>
    </row>
    <row r="966" spans="1:62" ht="14.2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c r="BF966" s="26"/>
      <c r="BG966" s="26"/>
      <c r="BH966" s="26"/>
      <c r="BI966" s="26"/>
      <c r="BJ966" s="26"/>
    </row>
    <row r="967" spans="1:62" ht="14.2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c r="BA967" s="26"/>
      <c r="BB967" s="26"/>
      <c r="BC967" s="26"/>
      <c r="BD967" s="26"/>
      <c r="BE967" s="26"/>
      <c r="BF967" s="26"/>
      <c r="BG967" s="26"/>
      <c r="BH967" s="26"/>
      <c r="BI967" s="26"/>
      <c r="BJ967" s="26"/>
    </row>
    <row r="968" spans="1:62" ht="14.2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c r="BA968" s="26"/>
      <c r="BB968" s="26"/>
      <c r="BC968" s="26"/>
      <c r="BD968" s="26"/>
      <c r="BE968" s="26"/>
      <c r="BF968" s="26"/>
      <c r="BG968" s="26"/>
      <c r="BH968" s="26"/>
      <c r="BI968" s="26"/>
      <c r="BJ968" s="26"/>
    </row>
    <row r="969" spans="1:62" ht="14.2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c r="AX969" s="26"/>
      <c r="AY969" s="26"/>
      <c r="AZ969" s="26"/>
      <c r="BA969" s="26"/>
      <c r="BB969" s="26"/>
      <c r="BC969" s="26"/>
      <c r="BD969" s="26"/>
      <c r="BE969" s="26"/>
      <c r="BF969" s="26"/>
      <c r="BG969" s="26"/>
      <c r="BH969" s="26"/>
      <c r="BI969" s="26"/>
      <c r="BJ969" s="26"/>
    </row>
    <row r="970" spans="1:62" ht="14.2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c r="AX970" s="26"/>
      <c r="AY970" s="26"/>
      <c r="AZ970" s="26"/>
      <c r="BA970" s="26"/>
      <c r="BB970" s="26"/>
      <c r="BC970" s="26"/>
      <c r="BD970" s="26"/>
      <c r="BE970" s="26"/>
      <c r="BF970" s="26"/>
      <c r="BG970" s="26"/>
      <c r="BH970" s="26"/>
      <c r="BI970" s="26"/>
      <c r="BJ970" s="26"/>
    </row>
    <row r="971" spans="1:62" ht="14.2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c r="AX971" s="26"/>
      <c r="AY971" s="26"/>
      <c r="AZ971" s="26"/>
      <c r="BA971" s="26"/>
      <c r="BB971" s="26"/>
      <c r="BC971" s="26"/>
      <c r="BD971" s="26"/>
      <c r="BE971" s="26"/>
      <c r="BF971" s="26"/>
      <c r="BG971" s="26"/>
      <c r="BH971" s="26"/>
      <c r="BI971" s="26"/>
      <c r="BJ971" s="26"/>
    </row>
    <row r="972" spans="1:62" ht="14.2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c r="BA972" s="26"/>
      <c r="BB972" s="26"/>
      <c r="BC972" s="26"/>
      <c r="BD972" s="26"/>
      <c r="BE972" s="26"/>
      <c r="BF972" s="26"/>
      <c r="BG972" s="26"/>
      <c r="BH972" s="26"/>
      <c r="BI972" s="26"/>
      <c r="BJ972" s="26"/>
    </row>
    <row r="973" spans="1:62" ht="14.2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c r="AX973" s="26"/>
      <c r="AY973" s="26"/>
      <c r="AZ973" s="26"/>
      <c r="BA973" s="26"/>
      <c r="BB973" s="26"/>
      <c r="BC973" s="26"/>
      <c r="BD973" s="26"/>
      <c r="BE973" s="26"/>
      <c r="BF973" s="26"/>
      <c r="BG973" s="26"/>
      <c r="BH973" s="26"/>
      <c r="BI973" s="26"/>
      <c r="BJ973" s="26"/>
    </row>
    <row r="974" spans="1:62" ht="14.2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c r="AX974" s="26"/>
      <c r="AY974" s="26"/>
      <c r="AZ974" s="26"/>
      <c r="BA974" s="26"/>
      <c r="BB974" s="26"/>
      <c r="BC974" s="26"/>
      <c r="BD974" s="26"/>
      <c r="BE974" s="26"/>
      <c r="BF974" s="26"/>
      <c r="BG974" s="26"/>
      <c r="BH974" s="26"/>
      <c r="BI974" s="26"/>
      <c r="BJ974" s="26"/>
    </row>
    <row r="975" spans="1:62" ht="14.2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c r="AX975" s="26"/>
      <c r="AY975" s="26"/>
      <c r="AZ975" s="26"/>
      <c r="BA975" s="26"/>
      <c r="BB975" s="26"/>
      <c r="BC975" s="26"/>
      <c r="BD975" s="26"/>
      <c r="BE975" s="26"/>
      <c r="BF975" s="26"/>
      <c r="BG975" s="26"/>
      <c r="BH975" s="26"/>
      <c r="BI975" s="26"/>
      <c r="BJ975" s="26"/>
    </row>
    <row r="976" spans="1:62" ht="14.2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c r="AX976" s="26"/>
      <c r="AY976" s="26"/>
      <c r="AZ976" s="26"/>
      <c r="BA976" s="26"/>
      <c r="BB976" s="26"/>
      <c r="BC976" s="26"/>
      <c r="BD976" s="26"/>
      <c r="BE976" s="26"/>
      <c r="BF976" s="26"/>
      <c r="BG976" s="26"/>
      <c r="BH976" s="26"/>
      <c r="BI976" s="26"/>
      <c r="BJ976" s="26"/>
    </row>
    <row r="977" spans="1:62" ht="14.2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c r="AX977" s="26"/>
      <c r="AY977" s="26"/>
      <c r="AZ977" s="26"/>
      <c r="BA977" s="26"/>
      <c r="BB977" s="26"/>
      <c r="BC977" s="26"/>
      <c r="BD977" s="26"/>
      <c r="BE977" s="26"/>
      <c r="BF977" s="26"/>
      <c r="BG977" s="26"/>
      <c r="BH977" s="26"/>
      <c r="BI977" s="26"/>
      <c r="BJ977" s="26"/>
    </row>
    <row r="978" spans="1:62" ht="14.2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c r="AX978" s="26"/>
      <c r="AY978" s="26"/>
      <c r="AZ978" s="26"/>
      <c r="BA978" s="26"/>
      <c r="BB978" s="26"/>
      <c r="BC978" s="26"/>
      <c r="BD978" s="26"/>
      <c r="BE978" s="26"/>
      <c r="BF978" s="26"/>
      <c r="BG978" s="26"/>
      <c r="BH978" s="26"/>
      <c r="BI978" s="26"/>
      <c r="BJ978" s="26"/>
    </row>
    <row r="979" spans="1:62" ht="14.2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c r="BA979" s="26"/>
      <c r="BB979" s="26"/>
      <c r="BC979" s="26"/>
      <c r="BD979" s="26"/>
      <c r="BE979" s="26"/>
      <c r="BF979" s="26"/>
      <c r="BG979" s="26"/>
      <c r="BH979" s="26"/>
      <c r="BI979" s="26"/>
      <c r="BJ979" s="26"/>
    </row>
    <row r="980" spans="1:62" ht="14.2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c r="AX980" s="26"/>
      <c r="AY980" s="26"/>
      <c r="AZ980" s="26"/>
      <c r="BA980" s="26"/>
      <c r="BB980" s="26"/>
      <c r="BC980" s="26"/>
      <c r="BD980" s="26"/>
      <c r="BE980" s="26"/>
      <c r="BF980" s="26"/>
      <c r="BG980" s="26"/>
      <c r="BH980" s="26"/>
      <c r="BI980" s="26"/>
      <c r="BJ980" s="26"/>
    </row>
    <row r="981" spans="1:62" ht="14.2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c r="BA981" s="26"/>
      <c r="BB981" s="26"/>
      <c r="BC981" s="26"/>
      <c r="BD981" s="26"/>
      <c r="BE981" s="26"/>
      <c r="BF981" s="26"/>
      <c r="BG981" s="26"/>
      <c r="BH981" s="26"/>
      <c r="BI981" s="26"/>
      <c r="BJ981" s="26"/>
    </row>
    <row r="982" spans="1:62" ht="14.2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c r="AX982" s="26"/>
      <c r="AY982" s="26"/>
      <c r="AZ982" s="26"/>
      <c r="BA982" s="26"/>
      <c r="BB982" s="26"/>
      <c r="BC982" s="26"/>
      <c r="BD982" s="26"/>
      <c r="BE982" s="26"/>
      <c r="BF982" s="26"/>
      <c r="BG982" s="26"/>
      <c r="BH982" s="26"/>
      <c r="BI982" s="26"/>
      <c r="BJ982" s="26"/>
    </row>
    <row r="983" spans="1:62" ht="14.2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c r="BA983" s="26"/>
      <c r="BB983" s="26"/>
      <c r="BC983" s="26"/>
      <c r="BD983" s="26"/>
      <c r="BE983" s="26"/>
      <c r="BF983" s="26"/>
      <c r="BG983" s="26"/>
      <c r="BH983" s="26"/>
      <c r="BI983" s="26"/>
      <c r="BJ983" s="26"/>
    </row>
    <row r="984" spans="1:62" ht="14.2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c r="BA984" s="26"/>
      <c r="BB984" s="26"/>
      <c r="BC984" s="26"/>
      <c r="BD984" s="26"/>
      <c r="BE984" s="26"/>
      <c r="BF984" s="26"/>
      <c r="BG984" s="26"/>
      <c r="BH984" s="26"/>
      <c r="BI984" s="26"/>
      <c r="BJ984" s="26"/>
    </row>
    <row r="985" spans="1:62" ht="14.2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c r="AX985" s="26"/>
      <c r="AY985" s="26"/>
      <c r="AZ985" s="26"/>
      <c r="BA985" s="26"/>
      <c r="BB985" s="26"/>
      <c r="BC985" s="26"/>
      <c r="BD985" s="26"/>
      <c r="BE985" s="26"/>
      <c r="BF985" s="26"/>
      <c r="BG985" s="26"/>
      <c r="BH985" s="26"/>
      <c r="BI985" s="26"/>
      <c r="BJ985" s="26"/>
    </row>
    <row r="986" spans="1:62" ht="14.2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c r="BA986" s="26"/>
      <c r="BB986" s="26"/>
      <c r="BC986" s="26"/>
      <c r="BD986" s="26"/>
      <c r="BE986" s="26"/>
      <c r="BF986" s="26"/>
      <c r="BG986" s="26"/>
      <c r="BH986" s="26"/>
      <c r="BI986" s="26"/>
      <c r="BJ986" s="26"/>
    </row>
    <row r="987" spans="1:62" ht="14.2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c r="AX987" s="26"/>
      <c r="AY987" s="26"/>
      <c r="AZ987" s="26"/>
      <c r="BA987" s="26"/>
      <c r="BB987" s="26"/>
      <c r="BC987" s="26"/>
      <c r="BD987" s="26"/>
      <c r="BE987" s="26"/>
      <c r="BF987" s="26"/>
      <c r="BG987" s="26"/>
      <c r="BH987" s="26"/>
      <c r="BI987" s="26"/>
      <c r="BJ987" s="26"/>
    </row>
    <row r="988" spans="1:62" ht="14.2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c r="BA988" s="26"/>
      <c r="BB988" s="26"/>
      <c r="BC988" s="26"/>
      <c r="BD988" s="26"/>
      <c r="BE988" s="26"/>
      <c r="BF988" s="26"/>
      <c r="BG988" s="26"/>
      <c r="BH988" s="26"/>
      <c r="BI988" s="26"/>
      <c r="BJ988" s="26"/>
    </row>
    <row r="989" spans="1:62" ht="14.2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c r="BA989" s="26"/>
      <c r="BB989" s="26"/>
      <c r="BC989" s="26"/>
      <c r="BD989" s="26"/>
      <c r="BE989" s="26"/>
      <c r="BF989" s="26"/>
      <c r="BG989" s="26"/>
      <c r="BH989" s="26"/>
      <c r="BI989" s="26"/>
      <c r="BJ989" s="26"/>
    </row>
    <row r="990" spans="1:62" ht="14.2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c r="AX990" s="26"/>
      <c r="AY990" s="26"/>
      <c r="AZ990" s="26"/>
      <c r="BA990" s="26"/>
      <c r="BB990" s="26"/>
      <c r="BC990" s="26"/>
      <c r="BD990" s="26"/>
      <c r="BE990" s="26"/>
      <c r="BF990" s="26"/>
      <c r="BG990" s="26"/>
      <c r="BH990" s="26"/>
      <c r="BI990" s="26"/>
      <c r="BJ990" s="26"/>
    </row>
    <row r="991" spans="1:62" ht="14.2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c r="AX991" s="26"/>
      <c r="AY991" s="26"/>
      <c r="AZ991" s="26"/>
      <c r="BA991" s="26"/>
      <c r="BB991" s="26"/>
      <c r="BC991" s="26"/>
      <c r="BD991" s="26"/>
      <c r="BE991" s="26"/>
      <c r="BF991" s="26"/>
      <c r="BG991" s="26"/>
      <c r="BH991" s="26"/>
      <c r="BI991" s="26"/>
      <c r="BJ991" s="26"/>
    </row>
    <row r="992" spans="1:62" ht="14.2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c r="BA992" s="26"/>
      <c r="BB992" s="26"/>
      <c r="BC992" s="26"/>
      <c r="BD992" s="26"/>
      <c r="BE992" s="26"/>
      <c r="BF992" s="26"/>
      <c r="BG992" s="26"/>
      <c r="BH992" s="26"/>
      <c r="BI992" s="26"/>
      <c r="BJ992" s="26"/>
    </row>
    <row r="993" spans="1:62" ht="14.2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c r="AX993" s="26"/>
      <c r="AY993" s="26"/>
      <c r="AZ993" s="26"/>
      <c r="BA993" s="26"/>
      <c r="BB993" s="26"/>
      <c r="BC993" s="26"/>
      <c r="BD993" s="26"/>
      <c r="BE993" s="26"/>
      <c r="BF993" s="26"/>
      <c r="BG993" s="26"/>
      <c r="BH993" s="26"/>
      <c r="BI993" s="26"/>
      <c r="BJ993" s="26"/>
    </row>
    <row r="994" spans="1:62" ht="14.2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row>
    <row r="995" spans="1:62" ht="14.2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c r="AX995" s="26"/>
      <c r="AY995" s="26"/>
      <c r="AZ995" s="26"/>
      <c r="BA995" s="26"/>
      <c r="BB995" s="26"/>
      <c r="BC995" s="26"/>
      <c r="BD995" s="26"/>
      <c r="BE995" s="26"/>
      <c r="BF995" s="26"/>
      <c r="BG995" s="26"/>
      <c r="BH995" s="26"/>
      <c r="BI995" s="26"/>
      <c r="BJ995" s="26"/>
    </row>
    <row r="996" spans="1:62" ht="14.2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c r="AX996" s="26"/>
      <c r="AY996" s="26"/>
      <c r="AZ996" s="26"/>
      <c r="BA996" s="26"/>
      <c r="BB996" s="26"/>
      <c r="BC996" s="26"/>
      <c r="BD996" s="26"/>
      <c r="BE996" s="26"/>
      <c r="BF996" s="26"/>
      <c r="BG996" s="26"/>
      <c r="BH996" s="26"/>
      <c r="BI996" s="26"/>
      <c r="BJ996" s="26"/>
    </row>
    <row r="997" spans="1:62" ht="14.2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c r="BA997" s="26"/>
      <c r="BB997" s="26"/>
      <c r="BC997" s="26"/>
      <c r="BD997" s="26"/>
      <c r="BE997" s="26"/>
      <c r="BF997" s="26"/>
      <c r="BG997" s="26"/>
      <c r="BH997" s="26"/>
      <c r="BI997" s="26"/>
      <c r="BJ997" s="26"/>
    </row>
    <row r="998" spans="1:62" ht="14.2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c r="AX998" s="26"/>
      <c r="AY998" s="26"/>
      <c r="AZ998" s="26"/>
      <c r="BA998" s="26"/>
      <c r="BB998" s="26"/>
      <c r="BC998" s="26"/>
      <c r="BD998" s="26"/>
      <c r="BE998" s="26"/>
      <c r="BF998" s="26"/>
      <c r="BG998" s="26"/>
      <c r="BH998" s="26"/>
      <c r="BI998" s="26"/>
      <c r="BJ998" s="26"/>
    </row>
    <row r="999" spans="1:62" ht="14.2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c r="BA999" s="26"/>
      <c r="BB999" s="26"/>
      <c r="BC999" s="26"/>
      <c r="BD999" s="26"/>
      <c r="BE999" s="26"/>
      <c r="BF999" s="26"/>
      <c r="BG999" s="26"/>
      <c r="BH999" s="26"/>
      <c r="BI999" s="26"/>
      <c r="BJ999" s="26"/>
    </row>
    <row r="1000" spans="1:62" ht="14.2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c r="AZ1000" s="26"/>
      <c r="BA1000" s="26"/>
      <c r="BB1000" s="26"/>
      <c r="BC1000" s="26"/>
      <c r="BD1000" s="26"/>
      <c r="BE1000" s="26"/>
      <c r="BF1000" s="26"/>
      <c r="BG1000" s="26"/>
      <c r="BH1000" s="26"/>
      <c r="BI1000" s="26"/>
      <c r="BJ1000" s="26"/>
    </row>
  </sheetData>
  <mergeCells count="16">
    <mergeCell ref="K41:L41"/>
    <mergeCell ref="K44:L44"/>
    <mergeCell ref="K45:L45"/>
    <mergeCell ref="K28:L28"/>
    <mergeCell ref="K29:L29"/>
    <mergeCell ref="K31:L31"/>
    <mergeCell ref="K33:L33"/>
    <mergeCell ref="K35:L35"/>
    <mergeCell ref="K38:L38"/>
    <mergeCell ref="K39:L39"/>
    <mergeCell ref="AW1:AZ1"/>
    <mergeCell ref="BA1:BD1"/>
    <mergeCell ref="BE1:BH1"/>
    <mergeCell ref="AP27:AR27"/>
    <mergeCell ref="AS27:AU27"/>
    <mergeCell ref="AV27:AX27"/>
  </mergeCells>
  <conditionalFormatting sqref="F2:F413">
    <cfRule type="colorScale" priority="3">
      <colorScale>
        <cfvo type="min"/>
        <cfvo type="percentile" val="50"/>
        <cfvo type="max"/>
        <color rgb="FFF8696B"/>
        <color rgb="FFFFEB84"/>
        <color rgb="FF63BE7B"/>
      </colorScale>
    </cfRule>
  </conditionalFormatting>
  <conditionalFormatting sqref="M2:M45">
    <cfRule type="colorScale" priority="5">
      <colorScale>
        <cfvo type="min"/>
        <cfvo type="percentile" val="50"/>
        <cfvo type="max"/>
        <color rgb="FFF8696B"/>
        <color rgb="FFFCFCFF"/>
        <color rgb="FF5A8AC6"/>
      </colorScale>
    </cfRule>
  </conditionalFormatting>
  <conditionalFormatting sqref="N2:N45">
    <cfRule type="colorScale" priority="6">
      <colorScale>
        <cfvo type="min"/>
        <cfvo type="percentile" val="50"/>
        <cfvo type="max"/>
        <color rgb="FFF8696B"/>
        <color rgb="FFFCFCFF"/>
        <color rgb="FF5A8AC6"/>
      </colorScale>
    </cfRule>
  </conditionalFormatting>
  <conditionalFormatting sqref="O2:O45">
    <cfRule type="colorScale" priority="7">
      <colorScale>
        <cfvo type="min"/>
        <cfvo type="percentile" val="50"/>
        <cfvo type="max"/>
        <color rgb="FFF8696B"/>
        <color rgb="FFFCFCFF"/>
        <color rgb="FF5A8AC6"/>
      </colorScale>
    </cfRule>
  </conditionalFormatting>
  <conditionalFormatting sqref="P2:P45">
    <cfRule type="colorScale" priority="8">
      <colorScale>
        <cfvo type="min"/>
        <cfvo type="percentile" val="50"/>
        <cfvo type="max"/>
        <color rgb="FFF8696B"/>
        <color rgb="FFFCFCFF"/>
        <color rgb="FF5A8AC6"/>
      </colorScale>
    </cfRule>
  </conditionalFormatting>
  <conditionalFormatting sqref="Q2:Q45">
    <cfRule type="colorScale" priority="9">
      <colorScale>
        <cfvo type="min"/>
        <cfvo type="percentile" val="50"/>
        <cfvo type="max"/>
        <color rgb="FFF8696B"/>
        <color rgb="FFFCFCFF"/>
        <color rgb="FF5A8AC6"/>
      </colorScale>
    </cfRule>
  </conditionalFormatting>
  <conditionalFormatting sqref="R2:R45">
    <cfRule type="colorScale" priority="10">
      <colorScale>
        <cfvo type="min"/>
        <cfvo type="percentile" val="50"/>
        <cfvo type="max"/>
        <color rgb="FFF8696B"/>
        <color rgb="FFFCFCFF"/>
        <color rgb="FF5A8AC6"/>
      </colorScale>
    </cfRule>
  </conditionalFormatting>
  <conditionalFormatting sqref="S2:S45">
    <cfRule type="colorScale" priority="11">
      <colorScale>
        <cfvo type="min"/>
        <cfvo type="percentile" val="50"/>
        <cfvo type="max"/>
        <color rgb="FFF8696B"/>
        <color rgb="FFFCFCFF"/>
        <color rgb="FF5A8AC6"/>
      </colorScale>
    </cfRule>
  </conditionalFormatting>
  <conditionalFormatting sqref="T2:T45">
    <cfRule type="colorScale" priority="12">
      <colorScale>
        <cfvo type="min"/>
        <cfvo type="percentile" val="50"/>
        <cfvo type="max"/>
        <color rgb="FFF8696B"/>
        <color rgb="FFFCFCFF"/>
        <color rgb="FF5A8AC6"/>
      </colorScale>
    </cfRule>
  </conditionalFormatting>
  <conditionalFormatting sqref="U2:U45">
    <cfRule type="colorScale" priority="13">
      <colorScale>
        <cfvo type="min"/>
        <cfvo type="percentile" val="50"/>
        <cfvo type="max"/>
        <color rgb="FFF8696B"/>
        <color rgb="FFFCFCFF"/>
        <color rgb="FF5A8AC6"/>
      </colorScale>
    </cfRule>
  </conditionalFormatting>
  <conditionalFormatting sqref="V2:V45">
    <cfRule type="colorScale" priority="14">
      <colorScale>
        <cfvo type="min"/>
        <cfvo type="percentile" val="50"/>
        <cfvo type="max"/>
        <color rgb="FFF8696B"/>
        <color rgb="FFFCFCFF"/>
        <color rgb="FF5A8AC6"/>
      </colorScale>
    </cfRule>
  </conditionalFormatting>
  <conditionalFormatting sqref="W2:W45">
    <cfRule type="colorScale" priority="15">
      <colorScale>
        <cfvo type="min"/>
        <cfvo type="percentile" val="50"/>
        <cfvo type="max"/>
        <color rgb="FFF8696B"/>
        <color rgb="FFFCFCFF"/>
        <color rgb="FF5A8AC6"/>
      </colorScale>
    </cfRule>
  </conditionalFormatting>
  <conditionalFormatting sqref="X2:X45">
    <cfRule type="colorScale" priority="16">
      <colorScale>
        <cfvo type="min"/>
        <cfvo type="percentile" val="50"/>
        <cfvo type="max"/>
        <color rgb="FFF8696B"/>
        <color rgb="FFFCFCFF"/>
        <color rgb="FF5A8AC6"/>
      </colorScale>
    </cfRule>
  </conditionalFormatting>
  <conditionalFormatting sqref="Y2:Y45">
    <cfRule type="colorScale" priority="17">
      <colorScale>
        <cfvo type="min"/>
        <cfvo type="percentile" val="50"/>
        <cfvo type="max"/>
        <color rgb="FFF8696B"/>
        <color rgb="FFFCFCFF"/>
        <color rgb="FF5A8AC6"/>
      </colorScale>
    </cfRule>
  </conditionalFormatting>
  <conditionalFormatting sqref="Z2:Z45">
    <cfRule type="colorScale" priority="18">
      <colorScale>
        <cfvo type="min"/>
        <cfvo type="percentile" val="50"/>
        <cfvo type="max"/>
        <color rgb="FFF8696B"/>
        <color rgb="FFFCFCFF"/>
        <color rgb="FF5A8AC6"/>
      </colorScale>
    </cfRule>
  </conditionalFormatting>
  <conditionalFormatting sqref="AA2:AA45">
    <cfRule type="colorScale" priority="19">
      <colorScale>
        <cfvo type="min"/>
        <cfvo type="percentile" val="50"/>
        <cfvo type="max"/>
        <color rgb="FFF8696B"/>
        <color rgb="FFFCFCFF"/>
        <color rgb="FF5A8AC6"/>
      </colorScale>
    </cfRule>
  </conditionalFormatting>
  <conditionalFormatting sqref="AB2:AB45">
    <cfRule type="colorScale" priority="20">
      <colorScale>
        <cfvo type="min"/>
        <cfvo type="percentile" val="50"/>
        <cfvo type="max"/>
        <color rgb="FFF8696B"/>
        <color rgb="FFFCFCFF"/>
        <color rgb="FF5A8AC6"/>
      </colorScale>
    </cfRule>
  </conditionalFormatting>
  <conditionalFormatting sqref="AC2:AC45">
    <cfRule type="colorScale" priority="21">
      <colorScale>
        <cfvo type="min"/>
        <cfvo type="percentile" val="50"/>
        <cfvo type="max"/>
        <color rgb="FFF8696B"/>
        <color rgb="FFFCFCFF"/>
        <color rgb="FF5A8AC6"/>
      </colorScale>
    </cfRule>
  </conditionalFormatting>
  <conditionalFormatting sqref="AD2:AD45">
    <cfRule type="colorScale" priority="22">
      <colorScale>
        <cfvo type="min"/>
        <cfvo type="percentile" val="50"/>
        <cfvo type="max"/>
        <color rgb="FFF8696B"/>
        <color rgb="FFFCFCFF"/>
        <color rgb="FF5A8AC6"/>
      </colorScale>
    </cfRule>
  </conditionalFormatting>
  <conditionalFormatting sqref="AE2:AE45">
    <cfRule type="colorScale" priority="23">
      <colorScale>
        <cfvo type="min"/>
        <cfvo type="percentile" val="50"/>
        <cfvo type="max"/>
        <color rgb="FFF8696B"/>
        <color rgb="FFFCFCFF"/>
        <color rgb="FF5A8AC6"/>
      </colorScale>
    </cfRule>
  </conditionalFormatting>
  <conditionalFormatting sqref="AF2:AF45">
    <cfRule type="colorScale" priority="24">
      <colorScale>
        <cfvo type="min"/>
        <cfvo type="percentile" val="50"/>
        <cfvo type="max"/>
        <color rgb="FFF8696B"/>
        <color rgb="FFFCFCFF"/>
        <color rgb="FF5A8AC6"/>
      </colorScale>
    </cfRule>
  </conditionalFormatting>
  <conditionalFormatting sqref="AG2:AG45">
    <cfRule type="colorScale" priority="25">
      <colorScale>
        <cfvo type="min"/>
        <cfvo type="percentile" val="50"/>
        <cfvo type="max"/>
        <color rgb="FFF8696B"/>
        <color rgb="FFFCFCFF"/>
        <color rgb="FF5A8AC6"/>
      </colorScale>
    </cfRule>
  </conditionalFormatting>
  <conditionalFormatting sqref="AH2:AH45">
    <cfRule type="colorScale" priority="26">
      <colorScale>
        <cfvo type="min"/>
        <cfvo type="percentile" val="50"/>
        <cfvo type="max"/>
        <color rgb="FFF8696B"/>
        <color rgb="FFFCFCFF"/>
        <color rgb="FF5A8AC6"/>
      </colorScale>
    </cfRule>
  </conditionalFormatting>
  <conditionalFormatting sqref="AI2:AI45">
    <cfRule type="colorScale" priority="27">
      <colorScale>
        <cfvo type="min"/>
        <cfvo type="percentile" val="50"/>
        <cfvo type="max"/>
        <color rgb="FFF8696B"/>
        <color rgb="FFFCFCFF"/>
        <color rgb="FF5A8AC6"/>
      </colorScale>
    </cfRule>
  </conditionalFormatting>
  <conditionalFormatting sqref="AL4:AL23">
    <cfRule type="colorScale" priority="28">
      <colorScale>
        <cfvo type="min"/>
        <cfvo type="percentile" val="50"/>
        <cfvo type="max"/>
        <color rgb="FFF8696B"/>
        <color rgb="FFFFEB84"/>
        <color rgb="FF63BE7B"/>
      </colorScale>
    </cfRule>
  </conditionalFormatting>
  <conditionalFormatting sqref="AW2:BH2">
    <cfRule type="colorScale" priority="29">
      <colorScale>
        <cfvo type="min"/>
        <cfvo type="percentile" val="50"/>
        <cfvo type="max"/>
        <color rgb="FF63BE7B"/>
        <color rgb="FFFFEB84"/>
        <color rgb="FFF8696B"/>
      </colorScale>
    </cfRule>
  </conditionalFormatting>
  <conditionalFormatting sqref="AJ2:AJ45">
    <cfRule type="colorScale" priority="2">
      <colorScale>
        <cfvo type="min"/>
        <cfvo type="percentile" val="50"/>
        <cfvo type="max"/>
        <color rgb="FFF8696B"/>
        <color rgb="FFFFEB84"/>
        <color rgb="FF63BE7B"/>
      </colorScale>
    </cfRule>
  </conditionalFormatting>
  <conditionalFormatting sqref="BN5:BT16">
    <cfRule type="colorScale" priority="1">
      <colorScale>
        <cfvo type="min"/>
        <cfvo type="percentile" val="50"/>
        <cfvo type="max"/>
        <color rgb="FFF8696B"/>
        <color rgb="FFFFEB84"/>
        <color rgb="FF63BE7B"/>
      </colorScale>
    </cfRule>
  </conditionalFormatting>
  <pageMargins left="0.7" right="0.7" top="0.75" bottom="0.75" header="0" footer="0"/>
  <pageSetup paperSize="9" orientation="portrait"/>
  <drawing r:id="rId1"/>
  <legacyDrawing r:id="rId2"/>
  <extLst>
    <ext xmlns:x14="http://schemas.microsoft.com/office/spreadsheetml/2009/9/main" uri="{05C60535-1F16-4fd2-B633-F4F36F0B64E0}">
      <x14:sparklineGroups xmlns:xm="http://schemas.microsoft.com/office/excel/2006/main">
        <x14:sparklineGroup type="column" displayEmptyCellsAs="gap">
          <x14:colorSeries rgb="FF376092"/>
          <x14:colorNegative rgb="FFD00000"/>
          <x14:colorAxis rgb="FF000000"/>
          <x14:colorMarkers rgb="FFD00000"/>
          <x14:colorFirst rgb="FFD00000"/>
          <x14:colorLast rgb="FFD00000"/>
          <x14:colorHigh rgb="FFD00000"/>
          <x14:colorLow rgb="FFD00000"/>
          <x14:sparklines>
            <x14:sparkline>
              <xm:f>bdp!BN5:BT5</xm:f>
              <xm:sqref>BU5</xm:sqref>
            </x14:sparkline>
            <x14:sparkline>
              <xm:f>bdp!BN6:BT6</xm:f>
              <xm:sqref>BU6</xm:sqref>
            </x14:sparkline>
            <x14:sparkline>
              <xm:f>bdp!BN7:BT7</xm:f>
              <xm:sqref>BU7</xm:sqref>
            </x14:sparkline>
            <x14:sparkline>
              <xm:f>bdp!BN8:BT8</xm:f>
              <xm:sqref>BU8</xm:sqref>
            </x14:sparkline>
            <x14:sparkline>
              <xm:f>bdp!BN9:BT9</xm:f>
              <xm:sqref>BU9</xm:sqref>
            </x14:sparkline>
            <x14:sparkline>
              <xm:f>bdp!BN10:BT10</xm:f>
              <xm:sqref>BU10</xm:sqref>
            </x14:sparkline>
            <x14:sparkline>
              <xm:f>bdp!BN11:BT11</xm:f>
              <xm:sqref>BU11</xm:sqref>
            </x14:sparkline>
            <x14:sparkline>
              <xm:f>bdp!BN12:BT12</xm:f>
              <xm:sqref>BU12</xm:sqref>
            </x14:sparkline>
            <x14:sparkline>
              <xm:f>bdp!BN13:BT13</xm:f>
              <xm:sqref>BU13</xm:sqref>
            </x14:sparkline>
            <x14:sparkline>
              <xm:f>bdp!BN14:BT14</xm:f>
              <xm:sqref>BU14</xm:sqref>
            </x14:sparkline>
            <x14:sparkline>
              <xm:f>bdp!BN15:BT15</xm:f>
              <xm:sqref>BU15</xm:sqref>
            </x14:sparkline>
            <x14:sparkline>
              <xm:f>bdp!BN16:BT16</xm:f>
              <xm:sqref>BU16</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000"/>
  <sheetViews>
    <sheetView topLeftCell="A2" zoomScale="70" zoomScaleNormal="77" workbookViewId="0">
      <pane xSplit="2" topLeftCell="G1" activePane="topRight" state="frozen"/>
      <selection pane="topRight" activeCell="W3" sqref="W3"/>
    </sheetView>
  </sheetViews>
  <sheetFormatPr defaultColWidth="12.59765625" defaultRowHeight="15" customHeight="1"/>
  <cols>
    <col min="1" max="1" width="11.59765625" customWidth="1"/>
    <col min="2" max="2" width="12" customWidth="1"/>
    <col min="3" max="7" width="8.09765625" customWidth="1"/>
    <col min="8" max="8" width="16" customWidth="1"/>
    <col min="9" max="10" width="8.3984375" customWidth="1"/>
    <col min="11" max="12" width="8.8984375" customWidth="1"/>
    <col min="13" max="13" width="7.59765625" customWidth="1"/>
    <col min="14" max="14" width="8.8984375" customWidth="1"/>
    <col min="15" max="18" width="8.09765625" customWidth="1"/>
    <col min="19" max="19" width="12" customWidth="1"/>
    <col min="20" max="20" width="2.5" customWidth="1"/>
    <col min="21" max="21" width="10.8984375" customWidth="1"/>
    <col min="22" max="22" width="9.09765625" customWidth="1"/>
    <col min="23" max="29" width="7.59765625" customWidth="1"/>
    <col min="30" max="48" width="8.8984375" bestFit="1" customWidth="1"/>
    <col min="49" max="50" width="8" bestFit="1" customWidth="1"/>
    <col min="51" max="51" width="8.09765625" customWidth="1"/>
    <col min="52" max="52" width="8.8984375" bestFit="1" customWidth="1"/>
    <col min="53" max="53" width="17.5" customWidth="1"/>
    <col min="54" max="56" width="8" bestFit="1" customWidth="1"/>
    <col min="57" max="57" width="8.8984375" bestFit="1" customWidth="1"/>
    <col min="58" max="60" width="8" bestFit="1" customWidth="1"/>
    <col min="61" max="61" width="8.8984375" bestFit="1" customWidth="1"/>
    <col min="62" max="62" width="8" bestFit="1" customWidth="1"/>
    <col min="63" max="63" width="8" customWidth="1"/>
    <col min="64" max="64" width="8" bestFit="1" customWidth="1"/>
    <col min="65" max="65" width="8.8984375" bestFit="1" customWidth="1"/>
    <col min="66" max="66" width="8.5" customWidth="1"/>
  </cols>
  <sheetData>
    <row r="1" spans="1:65" ht="14.25" customHeight="1">
      <c r="A1" s="2" t="s">
        <v>0</v>
      </c>
      <c r="H1" s="2" t="s">
        <v>1</v>
      </c>
      <c r="I1" s="3" t="s">
        <v>2</v>
      </c>
      <c r="T1" s="4"/>
      <c r="U1" s="5" t="s">
        <v>3</v>
      </c>
      <c r="V1" s="6" t="s">
        <v>4</v>
      </c>
      <c r="BB1" s="499" t="s">
        <v>5</v>
      </c>
      <c r="BC1" s="500"/>
      <c r="BD1" s="500"/>
      <c r="BE1" s="501"/>
      <c r="BF1" s="502" t="s">
        <v>6</v>
      </c>
      <c r="BG1" s="500"/>
      <c r="BH1" s="500"/>
      <c r="BI1" s="501"/>
      <c r="BJ1" s="503" t="s">
        <v>7</v>
      </c>
      <c r="BK1" s="500"/>
      <c r="BL1" s="500"/>
      <c r="BM1" s="501"/>
    </row>
    <row r="2" spans="1:65" ht="14.25" customHeight="1">
      <c r="T2" s="4"/>
      <c r="BA2" s="7" t="s">
        <v>8</v>
      </c>
      <c r="BB2" s="8">
        <v>43921</v>
      </c>
      <c r="BC2" s="9">
        <v>44012</v>
      </c>
      <c r="BD2" s="9">
        <v>44104</v>
      </c>
      <c r="BE2" s="10">
        <v>44196</v>
      </c>
      <c r="BF2" s="8">
        <v>43921</v>
      </c>
      <c r="BG2" s="9">
        <v>44012</v>
      </c>
      <c r="BH2" s="9">
        <v>44104</v>
      </c>
      <c r="BI2" s="10">
        <v>44196</v>
      </c>
      <c r="BJ2" s="8">
        <v>43921</v>
      </c>
      <c r="BK2" s="9">
        <v>44012</v>
      </c>
      <c r="BL2" s="9">
        <v>44104</v>
      </c>
      <c r="BM2" s="10">
        <v>44196</v>
      </c>
    </row>
    <row r="3" spans="1:65" ht="14.25" customHeight="1">
      <c r="A3" s="3" t="s">
        <v>9</v>
      </c>
      <c r="B3" s="3" t="s">
        <v>10</v>
      </c>
      <c r="C3" s="3" t="s">
        <v>11</v>
      </c>
      <c r="D3" s="3" t="s">
        <v>12</v>
      </c>
      <c r="E3" s="3" t="s">
        <v>13</v>
      </c>
      <c r="F3" s="3" t="s">
        <v>14</v>
      </c>
      <c r="H3" s="3" t="s">
        <v>9</v>
      </c>
      <c r="I3" s="3" t="s">
        <v>11</v>
      </c>
      <c r="J3" s="3" t="s">
        <v>15</v>
      </c>
      <c r="K3" s="3" t="s">
        <v>4</v>
      </c>
      <c r="L3" s="3" t="s">
        <v>16</v>
      </c>
      <c r="N3" s="3" t="s">
        <v>9</v>
      </c>
      <c r="O3" s="3" t="s">
        <v>17</v>
      </c>
      <c r="P3" s="3" t="s">
        <v>18</v>
      </c>
      <c r="Q3" s="3" t="s">
        <v>19</v>
      </c>
      <c r="R3" s="3" t="s">
        <v>20</v>
      </c>
      <c r="S3" s="3" t="s">
        <v>21</v>
      </c>
      <c r="T3" s="4"/>
      <c r="U3" s="3" t="s">
        <v>9</v>
      </c>
      <c r="V3" s="11" t="s">
        <v>1162</v>
      </c>
      <c r="W3" s="12" t="s">
        <v>1164</v>
      </c>
      <c r="X3" s="13" t="s">
        <v>1163</v>
      </c>
      <c r="BA3" s="14" t="s">
        <v>25</v>
      </c>
      <c r="BB3" s="15">
        <f>$BA$28</f>
        <v>1658635</v>
      </c>
      <c r="BC3" s="16">
        <f t="shared" ref="BC3:BM3" si="0">$BA$28</f>
        <v>1658635</v>
      </c>
      <c r="BD3" s="16">
        <f t="shared" si="0"/>
        <v>1658635</v>
      </c>
      <c r="BE3" s="17">
        <f t="shared" si="0"/>
        <v>1658635</v>
      </c>
      <c r="BF3" s="15">
        <f>$BA$28</f>
        <v>1658635</v>
      </c>
      <c r="BG3" s="16">
        <f t="shared" si="0"/>
        <v>1658635</v>
      </c>
      <c r="BH3" s="16">
        <f t="shared" si="0"/>
        <v>1658635</v>
      </c>
      <c r="BI3" s="17">
        <f t="shared" si="0"/>
        <v>1658635</v>
      </c>
      <c r="BJ3" s="15">
        <f>$BA$28</f>
        <v>1658635</v>
      </c>
      <c r="BK3" s="16">
        <f t="shared" si="0"/>
        <v>1658635</v>
      </c>
      <c r="BL3" s="16">
        <f t="shared" si="0"/>
        <v>1658635</v>
      </c>
      <c r="BM3" s="17">
        <f t="shared" si="0"/>
        <v>1658635</v>
      </c>
    </row>
    <row r="4" spans="1:65" ht="14.25" customHeight="1">
      <c r="A4" s="18">
        <v>35430</v>
      </c>
      <c r="B4" s="19">
        <v>128846.42707476699</v>
      </c>
      <c r="C4" s="20">
        <v>5.8335407060261275</v>
      </c>
      <c r="H4" s="18">
        <v>36616</v>
      </c>
      <c r="I4" s="21"/>
      <c r="J4" s="22">
        <v>21.04</v>
      </c>
      <c r="K4" s="22">
        <v>21.04</v>
      </c>
      <c r="L4" s="22">
        <v>21.04</v>
      </c>
      <c r="N4" s="18">
        <v>35430</v>
      </c>
      <c r="S4" s="20">
        <f t="shared" ref="S4:S28" si="1">C4</f>
        <v>5.8335407060261275</v>
      </c>
      <c r="T4" s="4"/>
      <c r="U4" s="18">
        <v>36616</v>
      </c>
      <c r="V4" s="22">
        <v>20.479713973594521</v>
      </c>
      <c r="W4" s="491">
        <v>20.479713973594521</v>
      </c>
      <c r="X4" s="491">
        <v>20.479713973594521</v>
      </c>
      <c r="AA4" s="506" t="s">
        <v>26</v>
      </c>
      <c r="AB4" s="507"/>
      <c r="AC4" s="508"/>
      <c r="BA4" s="14" t="s">
        <v>12</v>
      </c>
      <c r="BB4" s="347">
        <f>100-BB27/BB28*100</f>
        <v>8.6493411751229132</v>
      </c>
      <c r="BC4" s="23">
        <f>V85</f>
        <v>10.31508493011683</v>
      </c>
      <c r="BD4" s="23">
        <f>V86</f>
        <v>14.089210063870754</v>
      </c>
      <c r="BE4" s="24">
        <f>V87</f>
        <v>14.614332901839912</v>
      </c>
      <c r="BF4" s="347">
        <f>100-BF27/BF28*100</f>
        <v>8.6493411751229132</v>
      </c>
      <c r="BG4" s="23">
        <f>W85</f>
        <v>10.635359781804596</v>
      </c>
      <c r="BH4" s="23">
        <f>W86</f>
        <v>13.332827763202879</v>
      </c>
      <c r="BI4" s="24">
        <f>W87</f>
        <v>13.560746147702542</v>
      </c>
      <c r="BJ4" s="347">
        <f>100-BJ27/BJ28*100</f>
        <v>8.6493411751229132</v>
      </c>
      <c r="BK4" s="23">
        <f>X85</f>
        <v>11.159580470380604</v>
      </c>
      <c r="BL4" s="23">
        <f>X86</f>
        <v>12.559413315431998</v>
      </c>
      <c r="BM4" s="24">
        <f>X87</f>
        <v>12.593221241003588</v>
      </c>
    </row>
    <row r="5" spans="1:65" ht="14.25" customHeight="1">
      <c r="A5" s="18">
        <v>35795</v>
      </c>
      <c r="B5" s="19">
        <v>146959.89142837399</v>
      </c>
      <c r="C5" s="20">
        <v>6.7529116027906326</v>
      </c>
      <c r="H5" s="18">
        <v>36707</v>
      </c>
      <c r="I5" s="21"/>
      <c r="J5" s="22">
        <v>20.190000000000001</v>
      </c>
      <c r="K5" s="22">
        <v>20.190000000000001</v>
      </c>
      <c r="L5" s="22">
        <v>20.190000000000001</v>
      </c>
      <c r="N5" s="18">
        <v>35795</v>
      </c>
      <c r="S5" s="20">
        <f t="shared" si="1"/>
        <v>6.7529116027906326</v>
      </c>
      <c r="T5" s="4"/>
      <c r="U5" s="18">
        <v>36707</v>
      </c>
      <c r="V5" s="22">
        <v>20.862499349586663</v>
      </c>
      <c r="W5" s="491">
        <v>20.862499349586663</v>
      </c>
      <c r="X5" s="491">
        <v>20.862499349586663</v>
      </c>
      <c r="AA5" s="509" t="s">
        <v>27</v>
      </c>
      <c r="AB5" s="507"/>
      <c r="AC5" s="508"/>
      <c r="AD5" s="25">
        <v>36891</v>
      </c>
      <c r="AE5" s="25">
        <v>37256</v>
      </c>
      <c r="AF5" s="25">
        <v>37621</v>
      </c>
      <c r="AG5" s="25">
        <v>37986</v>
      </c>
      <c r="AH5" s="25">
        <v>38352</v>
      </c>
      <c r="AI5" s="25">
        <v>38717</v>
      </c>
      <c r="AJ5" s="25">
        <v>39082</v>
      </c>
      <c r="AK5" s="25">
        <v>39447</v>
      </c>
      <c r="AL5" s="25">
        <v>39813</v>
      </c>
      <c r="AM5" s="25">
        <v>40178</v>
      </c>
      <c r="AN5" s="25">
        <v>40543</v>
      </c>
      <c r="AO5" s="25">
        <v>40908</v>
      </c>
      <c r="AP5" s="25">
        <v>41274</v>
      </c>
      <c r="AQ5" s="25">
        <v>41639</v>
      </c>
      <c r="AR5" s="25">
        <v>42004</v>
      </c>
      <c r="AS5" s="25">
        <v>42369</v>
      </c>
      <c r="AT5" s="25">
        <v>42735</v>
      </c>
      <c r="AU5" s="25">
        <v>43100</v>
      </c>
      <c r="AV5" s="25">
        <v>43465</v>
      </c>
      <c r="AW5" s="25">
        <v>43555</v>
      </c>
      <c r="AX5" s="25">
        <v>43646</v>
      </c>
      <c r="AY5" s="25">
        <v>43738</v>
      </c>
      <c r="AZ5" s="25">
        <v>43830</v>
      </c>
      <c r="BA5" s="25">
        <v>43921</v>
      </c>
      <c r="BB5" s="8">
        <v>43921</v>
      </c>
      <c r="BC5" s="9">
        <v>44012</v>
      </c>
      <c r="BD5" s="9">
        <v>44104</v>
      </c>
      <c r="BE5" s="10">
        <v>44196</v>
      </c>
      <c r="BF5" s="8">
        <v>43921</v>
      </c>
      <c r="BG5" s="9">
        <v>44012</v>
      </c>
      <c r="BH5" s="9">
        <v>44104</v>
      </c>
      <c r="BI5" s="10">
        <v>44196</v>
      </c>
      <c r="BJ5" s="8">
        <v>43921</v>
      </c>
      <c r="BK5" s="9">
        <v>44012</v>
      </c>
      <c r="BL5" s="9">
        <v>44104</v>
      </c>
      <c r="BM5" s="10">
        <v>44196</v>
      </c>
    </row>
    <row r="6" spans="1:65" ht="14.25" customHeight="1">
      <c r="A6" s="18">
        <v>36160</v>
      </c>
      <c r="B6" s="19">
        <v>162054.45303423118</v>
      </c>
      <c r="C6" s="20">
        <v>2.002959820525362</v>
      </c>
      <c r="D6" s="20">
        <v>18.14</v>
      </c>
      <c r="E6" s="20"/>
      <c r="H6" s="18">
        <v>36799</v>
      </c>
      <c r="I6" s="21"/>
      <c r="J6" s="22">
        <v>21.13</v>
      </c>
      <c r="K6" s="22">
        <v>21.13</v>
      </c>
      <c r="L6" s="22">
        <v>21.13</v>
      </c>
      <c r="N6" s="18">
        <v>36160</v>
      </c>
      <c r="O6" s="20">
        <f t="shared" ref="O6:O28" si="2">D6</f>
        <v>18.14</v>
      </c>
      <c r="S6" s="20">
        <f t="shared" si="1"/>
        <v>2.002959820525362</v>
      </c>
      <c r="T6" s="4"/>
      <c r="U6" s="18">
        <v>36799</v>
      </c>
      <c r="V6" s="22">
        <v>21.510721658770727</v>
      </c>
      <c r="W6" s="491">
        <v>21.510721658770727</v>
      </c>
      <c r="X6" s="491">
        <v>21.510721658770727</v>
      </c>
      <c r="AA6" s="33" t="s">
        <v>59</v>
      </c>
      <c r="AB6" s="33" t="s">
        <v>60</v>
      </c>
      <c r="AC6" s="34"/>
      <c r="AD6" s="35">
        <v>29363</v>
      </c>
      <c r="AE6" s="35">
        <v>28689</v>
      </c>
      <c r="AF6" s="35">
        <v>27933</v>
      </c>
      <c r="AG6" s="35">
        <v>27925</v>
      </c>
      <c r="AH6" s="35">
        <v>25812</v>
      </c>
      <c r="AI6" s="35">
        <v>25166</v>
      </c>
      <c r="AJ6" s="35">
        <v>25224</v>
      </c>
      <c r="AK6" s="35">
        <v>25707</v>
      </c>
      <c r="AL6" s="35">
        <v>26402</v>
      </c>
      <c r="AM6" s="35">
        <v>25032</v>
      </c>
      <c r="AN6" s="35">
        <v>24192</v>
      </c>
      <c r="AO6" s="35">
        <v>24901</v>
      </c>
      <c r="AP6" s="35">
        <v>24903</v>
      </c>
      <c r="AQ6" s="35">
        <v>22515</v>
      </c>
      <c r="AR6" s="35">
        <v>21982</v>
      </c>
      <c r="AS6" s="35">
        <v>21988</v>
      </c>
      <c r="AT6" s="35">
        <v>22442</v>
      </c>
      <c r="AU6" s="35">
        <v>24073</v>
      </c>
      <c r="AV6" s="35">
        <v>23896</v>
      </c>
      <c r="AW6" s="35">
        <v>23429</v>
      </c>
      <c r="AX6" s="35">
        <v>23992</v>
      </c>
      <c r="AY6" s="35">
        <v>25565</v>
      </c>
      <c r="AZ6" s="35">
        <v>25256</v>
      </c>
      <c r="BA6" s="35">
        <v>24653</v>
      </c>
      <c r="BB6" s="348">
        <f t="shared" ref="BB6:BB26" si="3">$BA6</f>
        <v>24653</v>
      </c>
      <c r="BC6" s="41">
        <f t="shared" ref="BC6:BE6" si="4">(BC$27-SUM(BC$20:BC$22))/(BB$27-SUM(BB$20:BB$22))*BB6</f>
        <v>24078.489068238265</v>
      </c>
      <c r="BD6" s="41">
        <f t="shared" si="4"/>
        <v>22776.802574935889</v>
      </c>
      <c r="BE6" s="43">
        <f t="shared" si="4"/>
        <v>22595.688997276324</v>
      </c>
      <c r="BF6" s="348">
        <f t="shared" ref="BF6:BF19" si="5">$BA6</f>
        <v>24653</v>
      </c>
      <c r="BG6" s="41">
        <f t="shared" ref="BG6:BI6" si="6">(BG$27-SUM(BG$20:BG$22))/(BF$27-SUM(BF$20:BF$22))*BF6</f>
        <v>23968.02705815337</v>
      </c>
      <c r="BH6" s="41">
        <f t="shared" si="6"/>
        <v>23037.676973547321</v>
      </c>
      <c r="BI6" s="43">
        <f t="shared" si="6"/>
        <v>22959.068482264087</v>
      </c>
      <c r="BJ6" s="348">
        <f t="shared" ref="BJ6:BJ19" si="7">$BA6</f>
        <v>24653</v>
      </c>
      <c r="BK6" s="41">
        <f t="shared" ref="BK6:BM6" si="8">(BK$27-SUM(BK$20:BK$22))/(BJ$27-SUM(BJ$20:BJ$22))*BJ6</f>
        <v>23787.224629604752</v>
      </c>
      <c r="BL6" s="41">
        <f t="shared" si="8"/>
        <v>23304.42571788132</v>
      </c>
      <c r="BM6" s="43">
        <f t="shared" si="8"/>
        <v>23292.765447348815</v>
      </c>
    </row>
    <row r="7" spans="1:65" ht="14.25" customHeight="1">
      <c r="A7" s="18">
        <v>36525</v>
      </c>
      <c r="B7" s="19">
        <v>166417.2108183543</v>
      </c>
      <c r="C7" s="20">
        <v>-0.81778934042826279</v>
      </c>
      <c r="D7" s="20">
        <v>20.399999999999999</v>
      </c>
      <c r="E7" s="20">
        <v>2.259999999999998</v>
      </c>
      <c r="F7" s="20">
        <f t="shared" ref="F7:F27" si="9">($B$33+$B$34*C7)+D6</f>
        <v>18.806334269428827</v>
      </c>
      <c r="G7" s="20"/>
      <c r="H7" s="18">
        <v>36891</v>
      </c>
      <c r="I7" s="21"/>
      <c r="J7" s="22">
        <v>22.27</v>
      </c>
      <c r="K7" s="22">
        <v>22.27</v>
      </c>
      <c r="L7" s="22">
        <v>22.27</v>
      </c>
      <c r="N7" s="18">
        <v>36525</v>
      </c>
      <c r="O7" s="20">
        <f t="shared" si="2"/>
        <v>20.399999999999999</v>
      </c>
      <c r="S7" s="20">
        <f t="shared" si="1"/>
        <v>-0.81778934042826279</v>
      </c>
      <c r="T7" s="4"/>
      <c r="U7" s="18">
        <v>36891</v>
      </c>
      <c r="V7" s="22">
        <v>21.928202687206088</v>
      </c>
      <c r="W7" s="491">
        <v>21.928202687206088</v>
      </c>
      <c r="X7" s="491">
        <v>21.928202687206088</v>
      </c>
      <c r="AA7" s="33" t="s">
        <v>69</v>
      </c>
      <c r="AB7" s="33" t="s">
        <v>70</v>
      </c>
      <c r="AC7" s="34"/>
      <c r="AD7" s="35">
        <v>8070</v>
      </c>
      <c r="AE7" s="35">
        <v>7718</v>
      </c>
      <c r="AF7" s="35">
        <v>6924</v>
      </c>
      <c r="AG7" s="35">
        <v>8189</v>
      </c>
      <c r="AH7" s="35">
        <v>8041</v>
      </c>
      <c r="AI7" s="35">
        <v>8167</v>
      </c>
      <c r="AJ7" s="35">
        <v>8578</v>
      </c>
      <c r="AK7" s="35">
        <v>8352</v>
      </c>
      <c r="AL7" s="35">
        <v>8896</v>
      </c>
      <c r="AM7" s="35">
        <v>8263</v>
      </c>
      <c r="AN7" s="35">
        <v>6729</v>
      </c>
      <c r="AO7" s="35">
        <v>6133</v>
      </c>
      <c r="AP7" s="35">
        <v>5493</v>
      </c>
      <c r="AQ7" s="35">
        <v>5368</v>
      </c>
      <c r="AR7" s="35">
        <v>5174</v>
      </c>
      <c r="AS7" s="35">
        <v>4928</v>
      </c>
      <c r="AT7" s="35">
        <v>4263</v>
      </c>
      <c r="AU7" s="35">
        <v>4358</v>
      </c>
      <c r="AV7" s="35">
        <v>4212</v>
      </c>
      <c r="AW7" s="35">
        <v>4181</v>
      </c>
      <c r="AX7" s="35">
        <v>4227</v>
      </c>
      <c r="AY7" s="35">
        <v>4168</v>
      </c>
      <c r="AZ7" s="35">
        <v>4176</v>
      </c>
      <c r="BA7" s="35">
        <v>4099</v>
      </c>
      <c r="BB7" s="348">
        <f t="shared" si="3"/>
        <v>4099</v>
      </c>
      <c r="BC7" s="41">
        <f t="shared" ref="BC7:BE7" si="10">(BC$27-SUM(BC$20:BC$22))/(BB$27-SUM(BB$20:BB$22))*BB7</f>
        <v>4003.4773330105322</v>
      </c>
      <c r="BD7" s="41">
        <f t="shared" si="10"/>
        <v>3787.0487873549755</v>
      </c>
      <c r="BE7" s="43">
        <f t="shared" si="10"/>
        <v>3756.9354317866241</v>
      </c>
      <c r="BF7" s="348">
        <f t="shared" si="5"/>
        <v>4099</v>
      </c>
      <c r="BG7" s="41">
        <f t="shared" ref="BG7:BI7" si="11">(BG$27-SUM(BG$20:BG$22))/(BF$27-SUM(BF$20:BF$22))*BF7</f>
        <v>3985.1110579390202</v>
      </c>
      <c r="BH7" s="41">
        <f t="shared" si="11"/>
        <v>3830.4237989117137</v>
      </c>
      <c r="BI7" s="43">
        <f t="shared" si="11"/>
        <v>3817.353738238774</v>
      </c>
      <c r="BJ7" s="348">
        <f t="shared" si="7"/>
        <v>4099</v>
      </c>
      <c r="BK7" s="41">
        <f t="shared" ref="BK7:BM7" si="12">(BK$27-SUM(BK$20:BK$22))/(BJ$27-SUM(BJ$20:BJ$22))*BJ7</f>
        <v>3955.0494364478923</v>
      </c>
      <c r="BL7" s="41">
        <f t="shared" si="12"/>
        <v>3874.7755249906927</v>
      </c>
      <c r="BM7" s="43">
        <f t="shared" si="12"/>
        <v>3872.8367974965645</v>
      </c>
    </row>
    <row r="8" spans="1:65" ht="14.25" customHeight="1">
      <c r="A8" s="18">
        <v>36891</v>
      </c>
      <c r="B8" s="19">
        <v>179370.80096320104</v>
      </c>
      <c r="C8" s="20">
        <v>3.2785997299455998</v>
      </c>
      <c r="D8" s="20">
        <v>22.27</v>
      </c>
      <c r="E8" s="20">
        <v>1.870000000000001</v>
      </c>
      <c r="F8" s="20">
        <f t="shared" si="9"/>
        <v>19.317585775286222</v>
      </c>
      <c r="G8" s="20"/>
      <c r="H8" s="18">
        <v>36981</v>
      </c>
      <c r="I8" s="21">
        <v>3.1835925459392485</v>
      </c>
      <c r="J8" s="22">
        <v>22.57</v>
      </c>
      <c r="K8" s="22">
        <v>22.57</v>
      </c>
      <c r="L8" s="22">
        <v>22.57</v>
      </c>
      <c r="N8" s="18">
        <v>36891</v>
      </c>
      <c r="O8" s="20">
        <f t="shared" si="2"/>
        <v>22.27</v>
      </c>
      <c r="P8" s="20">
        <f t="shared" ref="P8:P28" si="13">VLOOKUP(N8,$H$4:$L$87,3,FALSE)</f>
        <v>22.27</v>
      </c>
      <c r="Q8" s="20">
        <f t="shared" ref="Q8:Q28" si="14">VLOOKUP(N8,$H$4:$L$87,4,FALSE)</f>
        <v>22.27</v>
      </c>
      <c r="R8" s="20">
        <f t="shared" ref="R8:R28" si="15">VLOOKUP(N8,$H$4:$L$87,5,FALSE)</f>
        <v>22.27</v>
      </c>
      <c r="S8" s="20">
        <f t="shared" si="1"/>
        <v>3.2785997299455998</v>
      </c>
      <c r="T8" s="4"/>
      <c r="U8" s="18">
        <v>36981</v>
      </c>
      <c r="V8" s="22">
        <v>21.919237490831904</v>
      </c>
      <c r="W8" s="491">
        <v>21.919237490831904</v>
      </c>
      <c r="X8" s="491">
        <v>21.919237490831904</v>
      </c>
      <c r="AA8" s="33" t="s">
        <v>73</v>
      </c>
      <c r="AB8" s="33" t="s">
        <v>75</v>
      </c>
      <c r="AC8" s="34"/>
      <c r="AD8" s="35">
        <v>244311</v>
      </c>
      <c r="AE8" s="35">
        <v>241971</v>
      </c>
      <c r="AF8" s="35">
        <v>235428</v>
      </c>
      <c r="AG8" s="35">
        <v>237826</v>
      </c>
      <c r="AH8" s="35">
        <v>236157</v>
      </c>
      <c r="AI8" s="35">
        <v>233243</v>
      </c>
      <c r="AJ8" s="35">
        <v>240565</v>
      </c>
      <c r="AK8" s="35">
        <v>246637</v>
      </c>
      <c r="AL8" s="35">
        <v>244579</v>
      </c>
      <c r="AM8" s="35">
        <v>223663</v>
      </c>
      <c r="AN8" s="35">
        <v>216380</v>
      </c>
      <c r="AO8" s="35">
        <v>211035</v>
      </c>
      <c r="AP8" s="35">
        <v>201512</v>
      </c>
      <c r="AQ8" s="35">
        <v>198762</v>
      </c>
      <c r="AR8" s="35">
        <v>195597</v>
      </c>
      <c r="AS8" s="35">
        <v>209212</v>
      </c>
      <c r="AT8" s="35">
        <v>223485</v>
      </c>
      <c r="AU8" s="35">
        <v>232168</v>
      </c>
      <c r="AV8" s="35">
        <v>234417</v>
      </c>
      <c r="AW8" s="35">
        <v>232041</v>
      </c>
      <c r="AX8" s="35">
        <v>234470</v>
      </c>
      <c r="AY8" s="35">
        <v>232474</v>
      </c>
      <c r="AZ8" s="35">
        <v>231860</v>
      </c>
      <c r="BA8" s="35">
        <v>227243</v>
      </c>
      <c r="BB8" s="348">
        <f t="shared" si="3"/>
        <v>227243</v>
      </c>
      <c r="BC8" s="41">
        <f t="shared" ref="BC8:BE8" si="16">(BC$27-SUM(BC$20:BC$22))/(BB$27-SUM(BB$20:BB$22))*BB8</f>
        <v>221947.35291176199</v>
      </c>
      <c r="BD8" s="41">
        <f t="shared" si="16"/>
        <v>209948.8479104432</v>
      </c>
      <c r="BE8" s="43">
        <f t="shared" si="16"/>
        <v>208279.40432434442</v>
      </c>
      <c r="BF8" s="348">
        <f t="shared" si="5"/>
        <v>227243</v>
      </c>
      <c r="BG8" s="41">
        <f t="shared" ref="BG8:BI8" si="17">(BG$27-SUM(BG$20:BG$22))/(BF$27-SUM(BF$20:BF$22))*BF8</f>
        <v>220929.15153433441</v>
      </c>
      <c r="BH8" s="41">
        <f t="shared" si="17"/>
        <v>212353.49971605136</v>
      </c>
      <c r="BI8" s="43">
        <f t="shared" si="17"/>
        <v>211628.91328094504</v>
      </c>
      <c r="BJ8" s="348">
        <f t="shared" si="7"/>
        <v>227243</v>
      </c>
      <c r="BK8" s="41">
        <f t="shared" ref="BK8:BM8" si="18">(BK$27-SUM(BK$20:BK$22))/(BJ$27-SUM(BJ$20:BJ$22))*BJ8</f>
        <v>219262.57601530332</v>
      </c>
      <c r="BL8" s="41">
        <f t="shared" si="18"/>
        <v>214812.29924992923</v>
      </c>
      <c r="BM8" s="43">
        <f t="shared" si="18"/>
        <v>214704.81882739978</v>
      </c>
    </row>
    <row r="9" spans="1:65" ht="14.25" customHeight="1">
      <c r="A9" s="18">
        <v>37256</v>
      </c>
      <c r="B9" s="19">
        <v>193354.25952103516</v>
      </c>
      <c r="C9" s="20">
        <v>3.3469386057616362</v>
      </c>
      <c r="D9" s="20">
        <v>22.77</v>
      </c>
      <c r="E9" s="20">
        <v>0.5</v>
      </c>
      <c r="F9" s="20">
        <f t="shared" si="9"/>
        <v>21.158411909200357</v>
      </c>
      <c r="G9" s="20"/>
      <c r="H9" s="18">
        <v>37072</v>
      </c>
      <c r="I9" s="21">
        <v>4.6646066112930384</v>
      </c>
      <c r="J9" s="22">
        <v>21.17</v>
      </c>
      <c r="K9" s="22">
        <v>21.17</v>
      </c>
      <c r="L9" s="22">
        <v>21.17</v>
      </c>
      <c r="N9" s="18">
        <v>37256</v>
      </c>
      <c r="O9" s="20">
        <f t="shared" si="2"/>
        <v>22.77</v>
      </c>
      <c r="P9" s="20">
        <f t="shared" si="13"/>
        <v>22.77</v>
      </c>
      <c r="Q9" s="20">
        <f t="shared" si="14"/>
        <v>22.77</v>
      </c>
      <c r="R9" s="20">
        <f t="shared" si="15"/>
        <v>22.77</v>
      </c>
      <c r="S9" s="20">
        <f t="shared" si="1"/>
        <v>3.3469386057616362</v>
      </c>
      <c r="T9" s="4"/>
      <c r="U9" s="18">
        <v>37072</v>
      </c>
      <c r="V9" s="22">
        <v>21.853602628401145</v>
      </c>
      <c r="W9" s="491">
        <v>21.853602628401145</v>
      </c>
      <c r="X9" s="491">
        <v>21.853602628401145</v>
      </c>
      <c r="AA9" s="33" t="s">
        <v>78</v>
      </c>
      <c r="AB9" s="33" t="s">
        <v>79</v>
      </c>
      <c r="AC9" s="34"/>
      <c r="AD9" s="35">
        <v>18233</v>
      </c>
      <c r="AE9" s="35">
        <v>18062</v>
      </c>
      <c r="AF9" s="35">
        <v>17463</v>
      </c>
      <c r="AG9" s="35">
        <v>17500</v>
      </c>
      <c r="AH9" s="35">
        <v>17566</v>
      </c>
      <c r="AI9" s="35">
        <v>17464</v>
      </c>
      <c r="AJ9" s="35">
        <v>17136</v>
      </c>
      <c r="AK9" s="35">
        <v>16902</v>
      </c>
      <c r="AL9" s="35">
        <v>16899</v>
      </c>
      <c r="AM9" s="35">
        <v>16765</v>
      </c>
      <c r="AN9" s="35">
        <v>16484</v>
      </c>
      <c r="AO9" s="35">
        <v>16568</v>
      </c>
      <c r="AP9" s="35">
        <v>16425</v>
      </c>
      <c r="AQ9" s="35">
        <v>14625</v>
      </c>
      <c r="AR9" s="35">
        <v>14663</v>
      </c>
      <c r="AS9" s="35">
        <v>13965</v>
      </c>
      <c r="AT9" s="35">
        <v>14282</v>
      </c>
      <c r="AU9" s="35">
        <v>14983</v>
      </c>
      <c r="AV9" s="35">
        <v>13242</v>
      </c>
      <c r="AW9" s="35">
        <v>13790</v>
      </c>
      <c r="AX9" s="35">
        <v>13996</v>
      </c>
      <c r="AY9" s="35">
        <v>14029</v>
      </c>
      <c r="AZ9" s="35">
        <v>14167</v>
      </c>
      <c r="BA9" s="35">
        <v>14219</v>
      </c>
      <c r="BB9" s="348">
        <f t="shared" si="3"/>
        <v>14219</v>
      </c>
      <c r="BC9" s="41">
        <f t="shared" ref="BC9:BE9" si="19">(BC$27-SUM(BC$20:BC$22))/(BB$27-SUM(BB$20:BB$22))*BB9</f>
        <v>13887.641912192426</v>
      </c>
      <c r="BD9" s="41">
        <f t="shared" si="19"/>
        <v>13136.874044254793</v>
      </c>
      <c r="BE9" s="43">
        <f t="shared" si="19"/>
        <v>13032.413980135158</v>
      </c>
      <c r="BF9" s="348">
        <f t="shared" si="5"/>
        <v>14219</v>
      </c>
      <c r="BG9" s="41">
        <f t="shared" ref="BG9:BI9" si="20">(BG$27-SUM(BG$20:BG$22))/(BF$27-SUM(BF$20:BF$22))*BF9</f>
        <v>13823.93123513904</v>
      </c>
      <c r="BH9" s="41">
        <f t="shared" si="20"/>
        <v>13287.337398566882</v>
      </c>
      <c r="BI9" s="43">
        <f t="shared" si="20"/>
        <v>13241.998732377926</v>
      </c>
      <c r="BJ9" s="348">
        <f t="shared" si="7"/>
        <v>14219</v>
      </c>
      <c r="BK9" s="41">
        <f t="shared" ref="BK9:BM9" si="21">(BK$27-SUM(BK$20:BK$22))/(BJ$27-SUM(BJ$20:BJ$22))*BJ9</f>
        <v>13719.650631093578</v>
      </c>
      <c r="BL9" s="41">
        <f t="shared" si="21"/>
        <v>13441.188872857441</v>
      </c>
      <c r="BM9" s="43">
        <f t="shared" si="21"/>
        <v>13434.463631032848</v>
      </c>
    </row>
    <row r="10" spans="1:65" ht="14.25" customHeight="1">
      <c r="A10" s="18">
        <v>37621</v>
      </c>
      <c r="B10" s="19">
        <v>211085.30450217656</v>
      </c>
      <c r="C10" s="20">
        <v>5.1158304466971742</v>
      </c>
      <c r="D10" s="20">
        <v>21.32</v>
      </c>
      <c r="E10" s="20">
        <v>-1.4499999999999993</v>
      </c>
      <c r="F10" s="20">
        <f t="shared" si="9"/>
        <v>20.903271982304975</v>
      </c>
      <c r="G10" s="20"/>
      <c r="H10" s="18">
        <v>37164</v>
      </c>
      <c r="I10" s="21">
        <v>3.1866120072348281</v>
      </c>
      <c r="J10" s="22">
        <v>21.67</v>
      </c>
      <c r="K10" s="22">
        <v>21.67</v>
      </c>
      <c r="L10" s="22">
        <v>21.67</v>
      </c>
      <c r="N10" s="18">
        <v>37621</v>
      </c>
      <c r="O10" s="20">
        <f t="shared" si="2"/>
        <v>21.32</v>
      </c>
      <c r="P10" s="20">
        <f t="shared" si="13"/>
        <v>21.32</v>
      </c>
      <c r="Q10" s="20">
        <f t="shared" si="14"/>
        <v>21.32</v>
      </c>
      <c r="R10" s="20">
        <f t="shared" si="15"/>
        <v>21.32</v>
      </c>
      <c r="S10" s="20">
        <f t="shared" si="1"/>
        <v>5.1158304466971742</v>
      </c>
      <c r="T10" s="4"/>
      <c r="U10" s="18">
        <v>37164</v>
      </c>
      <c r="V10" s="22">
        <v>22.128893009291254</v>
      </c>
      <c r="W10" s="491">
        <v>22.128893009291254</v>
      </c>
      <c r="X10" s="491">
        <v>22.128893009291254</v>
      </c>
      <c r="AA10" s="33" t="s">
        <v>83</v>
      </c>
      <c r="AB10" s="33" t="s">
        <v>84</v>
      </c>
      <c r="AC10" s="34"/>
      <c r="AD10" s="35">
        <v>16568</v>
      </c>
      <c r="AE10" s="35">
        <v>16918</v>
      </c>
      <c r="AF10" s="35">
        <v>17215</v>
      </c>
      <c r="AG10" s="35">
        <v>17531</v>
      </c>
      <c r="AH10" s="35">
        <v>18398</v>
      </c>
      <c r="AI10" s="35">
        <v>19043</v>
      </c>
      <c r="AJ10" s="35">
        <v>20158</v>
      </c>
      <c r="AK10" s="35">
        <v>20800</v>
      </c>
      <c r="AL10" s="35">
        <v>21790</v>
      </c>
      <c r="AM10" s="35">
        <v>21184</v>
      </c>
      <c r="AN10" s="35">
        <v>22053</v>
      </c>
      <c r="AO10" s="35">
        <v>22145</v>
      </c>
      <c r="AP10" s="35">
        <v>22272</v>
      </c>
      <c r="AQ10" s="35">
        <v>21340</v>
      </c>
      <c r="AR10" s="35">
        <v>20671</v>
      </c>
      <c r="AS10" s="35">
        <v>24040</v>
      </c>
      <c r="AT10" s="35">
        <v>24916</v>
      </c>
      <c r="AU10" s="35">
        <v>26924</v>
      </c>
      <c r="AV10" s="35">
        <v>25638</v>
      </c>
      <c r="AW10" s="35">
        <v>25284</v>
      </c>
      <c r="AX10" s="35">
        <v>25951</v>
      </c>
      <c r="AY10" s="35">
        <v>26443</v>
      </c>
      <c r="AZ10" s="35">
        <v>26039</v>
      </c>
      <c r="BA10" s="35">
        <v>25661</v>
      </c>
      <c r="BB10" s="348">
        <f t="shared" si="3"/>
        <v>25661</v>
      </c>
      <c r="BC10" s="41">
        <f t="shared" ref="BC10:BE10" si="22">(BC$27-SUM(BC$20:BC$22))/(BB$27-SUM(BB$20:BB$22))*BB10</f>
        <v>25062.998741737807</v>
      </c>
      <c r="BD10" s="41">
        <f t="shared" si="22"/>
        <v>23708.089517520377</v>
      </c>
      <c r="BE10" s="43">
        <f t="shared" si="22"/>
        <v>23519.57065505649</v>
      </c>
      <c r="BF10" s="348">
        <f t="shared" si="5"/>
        <v>25661</v>
      </c>
      <c r="BG10" s="41">
        <f t="shared" ref="BG10:BI10" si="23">(BG$27-SUM(BG$20:BG$22))/(BF$27-SUM(BF$20:BF$22))*BF10</f>
        <v>24948.020214143253</v>
      </c>
      <c r="BH10" s="41">
        <f t="shared" si="23"/>
        <v>23979.63042299914</v>
      </c>
      <c r="BI10" s="43">
        <f t="shared" si="23"/>
        <v>23897.807825553835</v>
      </c>
      <c r="BJ10" s="348">
        <f t="shared" si="7"/>
        <v>25661</v>
      </c>
      <c r="BK10" s="41">
        <f t="shared" ref="BK10:BM10" si="24">(BK$27-SUM(BK$20:BK$22))/(BJ$27-SUM(BJ$20:BJ$22))*BJ10</f>
        <v>24759.825222905431</v>
      </c>
      <c r="BL10" s="41">
        <f t="shared" si="24"/>
        <v>24257.285861621411</v>
      </c>
      <c r="BM10" s="43">
        <f t="shared" si="24"/>
        <v>24245.148831558756</v>
      </c>
    </row>
    <row r="11" spans="1:65" ht="14.25" customHeight="1">
      <c r="A11" s="18">
        <v>37986</v>
      </c>
      <c r="B11" s="19">
        <v>232573.32361252027</v>
      </c>
      <c r="C11" s="20">
        <v>5.640321016589624</v>
      </c>
      <c r="D11" s="20">
        <v>18.670000000000002</v>
      </c>
      <c r="E11" s="20">
        <v>-2.6499999999999986</v>
      </c>
      <c r="F11" s="20">
        <f t="shared" si="9"/>
        <v>19.229366958017891</v>
      </c>
      <c r="G11" s="20"/>
      <c r="H11" s="18">
        <v>37256</v>
      </c>
      <c r="I11" s="21">
        <v>2.3662516308528154</v>
      </c>
      <c r="J11" s="22">
        <v>22.77</v>
      </c>
      <c r="K11" s="22">
        <v>22.77</v>
      </c>
      <c r="L11" s="22">
        <v>22.77</v>
      </c>
      <c r="N11" s="18">
        <v>37986</v>
      </c>
      <c r="O11" s="20">
        <f t="shared" si="2"/>
        <v>18.670000000000002</v>
      </c>
      <c r="P11" s="20">
        <f t="shared" si="13"/>
        <v>18.670000000000002</v>
      </c>
      <c r="Q11" s="20">
        <f t="shared" si="14"/>
        <v>18.670000000000002</v>
      </c>
      <c r="R11" s="20">
        <f t="shared" si="15"/>
        <v>18.670000000000002</v>
      </c>
      <c r="S11" s="20">
        <f t="shared" si="1"/>
        <v>5.640321016589624</v>
      </c>
      <c r="T11" s="4"/>
      <c r="U11" s="18">
        <v>37256</v>
      </c>
      <c r="V11" s="22">
        <v>22.423856018141066</v>
      </c>
      <c r="W11" s="491">
        <v>22.423856018141066</v>
      </c>
      <c r="X11" s="491">
        <v>22.423856018141066</v>
      </c>
      <c r="AA11" s="33" t="s">
        <v>88</v>
      </c>
      <c r="AB11" s="33" t="s">
        <v>89</v>
      </c>
      <c r="AC11" s="34"/>
      <c r="AD11" s="35">
        <v>63673</v>
      </c>
      <c r="AE11" s="35">
        <v>66418</v>
      </c>
      <c r="AF11" s="35">
        <v>74780</v>
      </c>
      <c r="AG11" s="35">
        <v>78515</v>
      </c>
      <c r="AH11" s="35">
        <v>81238</v>
      </c>
      <c r="AI11" s="35">
        <v>86601</v>
      </c>
      <c r="AJ11" s="35">
        <v>95947</v>
      </c>
      <c r="AK11" s="35">
        <v>101216</v>
      </c>
      <c r="AL11" s="35">
        <v>108908</v>
      </c>
      <c r="AM11" s="35">
        <v>99410</v>
      </c>
      <c r="AN11" s="35">
        <v>86253</v>
      </c>
      <c r="AO11" s="35">
        <v>82837</v>
      </c>
      <c r="AP11" s="35">
        <v>75797</v>
      </c>
      <c r="AQ11" s="35">
        <v>71541</v>
      </c>
      <c r="AR11" s="35">
        <v>70921</v>
      </c>
      <c r="AS11" s="35">
        <v>71131</v>
      </c>
      <c r="AT11" s="35">
        <v>79488</v>
      </c>
      <c r="AU11" s="35">
        <v>83496</v>
      </c>
      <c r="AV11" s="35">
        <v>88316</v>
      </c>
      <c r="AW11" s="35">
        <v>90572</v>
      </c>
      <c r="AX11" s="35">
        <v>95070</v>
      </c>
      <c r="AY11" s="35">
        <v>95028</v>
      </c>
      <c r="AZ11" s="35">
        <v>96848</v>
      </c>
      <c r="BA11" s="35">
        <v>94310</v>
      </c>
      <c r="BB11" s="348">
        <f t="shared" si="3"/>
        <v>94310</v>
      </c>
      <c r="BC11" s="41">
        <f t="shared" ref="BC11:BE11" si="25">(BC$27-SUM(BC$20:BC$22))/(BB$27-SUM(BB$20:BB$22))*BB11</f>
        <v>92112.209630696088</v>
      </c>
      <c r="BD11" s="41">
        <f t="shared" si="25"/>
        <v>87132.610669784757</v>
      </c>
      <c r="BE11" s="43">
        <f t="shared" si="25"/>
        <v>86439.76105679349</v>
      </c>
      <c r="BF11" s="348">
        <f t="shared" si="5"/>
        <v>94310</v>
      </c>
      <c r="BG11" s="41">
        <f t="shared" ref="BG11:BI11" si="26">(BG$27-SUM(BG$20:BG$22))/(BF$27-SUM(BF$20:BF$22))*BF11</f>
        <v>91689.637441870946</v>
      </c>
      <c r="BH11" s="41">
        <f t="shared" si="26"/>
        <v>88130.585136707421</v>
      </c>
      <c r="BI11" s="43">
        <f t="shared" si="26"/>
        <v>87829.868517516166</v>
      </c>
      <c r="BJ11" s="348">
        <f t="shared" si="7"/>
        <v>94310</v>
      </c>
      <c r="BK11" s="41">
        <f t="shared" ref="BK11:BM11" si="27">(BK$27-SUM(BK$20:BK$22))/(BJ$27-SUM(BJ$20:BJ$22))*BJ11</f>
        <v>90997.97812915362</v>
      </c>
      <c r="BL11" s="41">
        <f t="shared" si="27"/>
        <v>89151.031900920265</v>
      </c>
      <c r="BM11" s="43">
        <f t="shared" si="27"/>
        <v>89106.425560356409</v>
      </c>
    </row>
    <row r="12" spans="1:65" ht="14.25" customHeight="1">
      <c r="A12" s="18">
        <v>38352</v>
      </c>
      <c r="B12" s="19">
        <v>250993.23225803146</v>
      </c>
      <c r="C12" s="20">
        <v>4.1603675668260962</v>
      </c>
      <c r="D12" s="20">
        <v>18.52</v>
      </c>
      <c r="E12" s="20">
        <v>-0.15000000000000213</v>
      </c>
      <c r="F12" s="20">
        <f t="shared" si="9"/>
        <v>17.211159085721942</v>
      </c>
      <c r="G12" s="20"/>
      <c r="H12" s="18">
        <v>37346</v>
      </c>
      <c r="I12" s="21">
        <v>5.7611197003427463</v>
      </c>
      <c r="J12" s="22">
        <v>23.61</v>
      </c>
      <c r="K12" s="22">
        <v>23.61</v>
      </c>
      <c r="L12" s="22">
        <v>23.61</v>
      </c>
      <c r="N12" s="18">
        <v>38352</v>
      </c>
      <c r="O12" s="20">
        <f t="shared" si="2"/>
        <v>18.52</v>
      </c>
      <c r="P12" s="20">
        <f t="shared" si="13"/>
        <v>18.52</v>
      </c>
      <c r="Q12" s="20">
        <f t="shared" si="14"/>
        <v>18.52</v>
      </c>
      <c r="R12" s="20">
        <f t="shared" si="15"/>
        <v>18.52</v>
      </c>
      <c r="S12" s="20">
        <f t="shared" si="1"/>
        <v>4.1603675668260962</v>
      </c>
      <c r="T12" s="4"/>
      <c r="U12" s="18">
        <v>37346</v>
      </c>
      <c r="V12" s="22">
        <v>22.874574363120143</v>
      </c>
      <c r="W12" s="491">
        <v>22.874574363120143</v>
      </c>
      <c r="X12" s="491">
        <v>22.874574363120143</v>
      </c>
      <c r="AA12" s="33" t="s">
        <v>92</v>
      </c>
      <c r="AB12" s="33" t="s">
        <v>93</v>
      </c>
      <c r="AC12" s="34"/>
      <c r="AD12" s="35">
        <v>148908</v>
      </c>
      <c r="AE12" s="35">
        <v>159991</v>
      </c>
      <c r="AF12" s="35">
        <v>166200</v>
      </c>
      <c r="AG12" s="35">
        <v>177598</v>
      </c>
      <c r="AH12" s="35">
        <v>185190</v>
      </c>
      <c r="AI12" s="35">
        <v>191243</v>
      </c>
      <c r="AJ12" s="35">
        <v>203941</v>
      </c>
      <c r="AK12" s="35">
        <v>218073</v>
      </c>
      <c r="AL12" s="35">
        <v>222929</v>
      </c>
      <c r="AM12" s="35">
        <v>195797</v>
      </c>
      <c r="AN12" s="35">
        <v>185736</v>
      </c>
      <c r="AO12" s="35">
        <v>184422</v>
      </c>
      <c r="AP12" s="35">
        <v>181755</v>
      </c>
      <c r="AQ12" s="35">
        <v>175707</v>
      </c>
      <c r="AR12" s="35">
        <v>176616</v>
      </c>
      <c r="AS12" s="35">
        <v>186678</v>
      </c>
      <c r="AT12" s="35">
        <v>199197</v>
      </c>
      <c r="AU12" s="35">
        <v>203569</v>
      </c>
      <c r="AV12" s="35">
        <v>204147</v>
      </c>
      <c r="AW12" s="35">
        <v>205089</v>
      </c>
      <c r="AX12" s="35">
        <v>209694</v>
      </c>
      <c r="AY12" s="35">
        <v>210871</v>
      </c>
      <c r="AZ12" s="35">
        <v>208680</v>
      </c>
      <c r="BA12" s="35">
        <v>205168</v>
      </c>
      <c r="BB12" s="348">
        <f t="shared" si="3"/>
        <v>205168</v>
      </c>
      <c r="BC12" s="41">
        <f t="shared" ref="BC12:BE12" si="28">(BC$27-SUM(BC$20:BC$22))/(BB$27-SUM(BB$20:BB$22))*BB12</f>
        <v>200386.78640134298</v>
      </c>
      <c r="BD12" s="41">
        <f t="shared" si="28"/>
        <v>189553.8486469982</v>
      </c>
      <c r="BE12" s="43">
        <f t="shared" si="28"/>
        <v>188046.57932881144</v>
      </c>
      <c r="BF12" s="348">
        <f t="shared" si="5"/>
        <v>205168</v>
      </c>
      <c r="BG12" s="41">
        <f t="shared" ref="BG12:BI12" si="29">(BG$27-SUM(BG$20:BG$22))/(BF$27-SUM(BF$20:BF$22))*BF12</f>
        <v>199467.49586124247</v>
      </c>
      <c r="BH12" s="41">
        <f t="shared" si="29"/>
        <v>191724.9060685822</v>
      </c>
      <c r="BI12" s="43">
        <f t="shared" si="29"/>
        <v>191070.70792070572</v>
      </c>
      <c r="BJ12" s="348">
        <f t="shared" si="7"/>
        <v>205168</v>
      </c>
      <c r="BK12" s="41">
        <f t="shared" ref="BK12:BM12" si="30">(BK$27-SUM(BK$20:BK$22))/(BJ$27-SUM(BJ$20:BJ$22))*BJ12</f>
        <v>197962.8159983267</v>
      </c>
      <c r="BL12" s="41">
        <f t="shared" si="30"/>
        <v>193944.85116157364</v>
      </c>
      <c r="BM12" s="43">
        <f t="shared" si="30"/>
        <v>193847.81167815931</v>
      </c>
    </row>
    <row r="13" spans="1:65" ht="14.25" customHeight="1">
      <c r="A13" s="18">
        <v>38717</v>
      </c>
      <c r="B13" s="19">
        <v>270014.85252010881</v>
      </c>
      <c r="C13" s="20">
        <v>4.3140258709746462</v>
      </c>
      <c r="D13" s="20">
        <v>17.850000000000001</v>
      </c>
      <c r="E13" s="20">
        <v>-0.66999999999999815</v>
      </c>
      <c r="F13" s="20">
        <f t="shared" si="9"/>
        <v>16.995562355680924</v>
      </c>
      <c r="G13" s="20"/>
      <c r="H13" s="18">
        <v>37437</v>
      </c>
      <c r="I13" s="21">
        <v>4.9715071116023637</v>
      </c>
      <c r="J13" s="22">
        <v>21.94</v>
      </c>
      <c r="K13" s="22">
        <v>21.94</v>
      </c>
      <c r="L13" s="22">
        <v>21.94</v>
      </c>
      <c r="N13" s="18">
        <v>38717</v>
      </c>
      <c r="O13" s="20">
        <f t="shared" si="2"/>
        <v>17.850000000000001</v>
      </c>
      <c r="P13" s="20">
        <f t="shared" si="13"/>
        <v>17.850000000000001</v>
      </c>
      <c r="Q13" s="20">
        <f t="shared" si="14"/>
        <v>17.850000000000001</v>
      </c>
      <c r="R13" s="20">
        <f t="shared" si="15"/>
        <v>17.850000000000001</v>
      </c>
      <c r="S13" s="20">
        <f t="shared" si="1"/>
        <v>4.3140258709746462</v>
      </c>
      <c r="T13" s="4"/>
      <c r="U13" s="18">
        <v>37437</v>
      </c>
      <c r="V13" s="22">
        <v>22.634245467963829</v>
      </c>
      <c r="W13" s="491">
        <v>22.634245467963829</v>
      </c>
      <c r="X13" s="491">
        <v>22.634245467963829</v>
      </c>
      <c r="AA13" s="33" t="s">
        <v>100</v>
      </c>
      <c r="AB13" s="33" t="s">
        <v>101</v>
      </c>
      <c r="AC13" s="34"/>
      <c r="AD13" s="35">
        <v>66191</v>
      </c>
      <c r="AE13" s="35">
        <v>65962</v>
      </c>
      <c r="AF13" s="35">
        <v>64029</v>
      </c>
      <c r="AG13" s="35">
        <v>64733</v>
      </c>
      <c r="AH13" s="35">
        <v>64880</v>
      </c>
      <c r="AI13" s="35">
        <v>65230</v>
      </c>
      <c r="AJ13" s="35">
        <v>66795</v>
      </c>
      <c r="AK13" s="35">
        <v>67555</v>
      </c>
      <c r="AL13" s="35">
        <v>68308</v>
      </c>
      <c r="AM13" s="35">
        <v>63896</v>
      </c>
      <c r="AN13" s="35">
        <v>61718</v>
      </c>
      <c r="AO13" s="35">
        <v>61782</v>
      </c>
      <c r="AP13" s="35">
        <v>61447</v>
      </c>
      <c r="AQ13" s="35">
        <v>58921</v>
      </c>
      <c r="AR13" s="35">
        <v>56698</v>
      </c>
      <c r="AS13" s="35">
        <v>61052</v>
      </c>
      <c r="AT13" s="35">
        <v>63376</v>
      </c>
      <c r="AU13" s="35">
        <v>67201</v>
      </c>
      <c r="AV13" s="35">
        <v>71530</v>
      </c>
      <c r="AW13" s="35">
        <v>71828</v>
      </c>
      <c r="AX13" s="35">
        <v>74874</v>
      </c>
      <c r="AY13" s="35">
        <v>76365</v>
      </c>
      <c r="AZ13" s="35">
        <v>75765</v>
      </c>
      <c r="BA13" s="35">
        <v>73133</v>
      </c>
      <c r="BB13" s="348">
        <f t="shared" si="3"/>
        <v>73133</v>
      </c>
      <c r="BC13" s="41">
        <f t="shared" ref="BC13:BE13" si="31">(BC$27-SUM(BC$20:BC$22))/(BB$27-SUM(BB$20:BB$22))*BB13</f>
        <v>71428.716222263785</v>
      </c>
      <c r="BD13" s="41">
        <f t="shared" si="31"/>
        <v>67567.269813523162</v>
      </c>
      <c r="BE13" s="43">
        <f t="shared" si="31"/>
        <v>67029.997300036892</v>
      </c>
      <c r="BF13" s="348">
        <f t="shared" si="5"/>
        <v>73133</v>
      </c>
      <c r="BG13" s="41">
        <f t="shared" ref="BG13:BI13" si="32">(BG$27-SUM(BG$20:BG$22))/(BF$27-SUM(BF$20:BF$22))*BF13</f>
        <v>71101.031227190615</v>
      </c>
      <c r="BH13" s="41">
        <f t="shared" si="32"/>
        <v>68341.152399563391</v>
      </c>
      <c r="BI13" s="43">
        <f t="shared" si="32"/>
        <v>68107.960707152044</v>
      </c>
      <c r="BJ13" s="348">
        <f t="shared" si="7"/>
        <v>73133</v>
      </c>
      <c r="BK13" s="41">
        <f t="shared" ref="BK13:BM13" si="33">(BK$27-SUM(BK$20:BK$22))/(BJ$27-SUM(BJ$20:BJ$22))*BJ13</f>
        <v>70564.681735970647</v>
      </c>
      <c r="BL13" s="41">
        <f t="shared" si="33"/>
        <v>69132.461202523613</v>
      </c>
      <c r="BM13" s="43">
        <f t="shared" si="33"/>
        <v>69097.871068874403</v>
      </c>
    </row>
    <row r="14" spans="1:65" ht="14.25" customHeight="1">
      <c r="A14" s="18">
        <v>39082</v>
      </c>
      <c r="B14" s="19">
        <v>294444.74917375506</v>
      </c>
      <c r="C14" s="20">
        <v>5.0010664356343426</v>
      </c>
      <c r="D14" s="20">
        <v>16.649999999999999</v>
      </c>
      <c r="E14" s="20">
        <v>-1.2000000000000028</v>
      </c>
      <c r="F14" s="20">
        <f t="shared" si="9"/>
        <v>16.032264738627699</v>
      </c>
      <c r="G14" s="20"/>
      <c r="H14" s="18">
        <v>37529</v>
      </c>
      <c r="I14" s="21">
        <v>6.0401295047224579</v>
      </c>
      <c r="J14" s="22">
        <v>21.46</v>
      </c>
      <c r="K14" s="22">
        <v>21.46</v>
      </c>
      <c r="L14" s="22">
        <v>21.46</v>
      </c>
      <c r="N14" s="18">
        <v>39082</v>
      </c>
      <c r="O14" s="20">
        <f t="shared" si="2"/>
        <v>16.649999999999999</v>
      </c>
      <c r="P14" s="20">
        <f t="shared" si="13"/>
        <v>16.649999999999999</v>
      </c>
      <c r="Q14" s="20">
        <f t="shared" si="14"/>
        <v>16.649999999999999</v>
      </c>
      <c r="R14" s="20">
        <f t="shared" si="15"/>
        <v>16.649999999999999</v>
      </c>
      <c r="S14" s="20">
        <f t="shared" si="1"/>
        <v>5.0010664356343426</v>
      </c>
      <c r="T14" s="4"/>
      <c r="U14" s="18">
        <v>37529</v>
      </c>
      <c r="V14" s="22">
        <v>21.999101980451766</v>
      </c>
      <c r="W14" s="491">
        <v>21.999101980451766</v>
      </c>
      <c r="X14" s="491">
        <v>21.999101980451766</v>
      </c>
      <c r="AA14" s="33" t="s">
        <v>105</v>
      </c>
      <c r="AB14" s="33" t="s">
        <v>106</v>
      </c>
      <c r="AC14" s="34"/>
      <c r="AD14" s="35">
        <v>37616</v>
      </c>
      <c r="AE14" s="35">
        <v>35540</v>
      </c>
      <c r="AF14" s="35">
        <v>34684</v>
      </c>
      <c r="AG14" s="35">
        <v>34751</v>
      </c>
      <c r="AH14" s="35">
        <v>36261</v>
      </c>
      <c r="AI14" s="35">
        <v>36157</v>
      </c>
      <c r="AJ14" s="35">
        <v>40643</v>
      </c>
      <c r="AK14" s="35">
        <v>43200</v>
      </c>
      <c r="AL14" s="35">
        <v>45173</v>
      </c>
      <c r="AM14" s="35">
        <v>41856</v>
      </c>
      <c r="AN14" s="35">
        <v>40346</v>
      </c>
      <c r="AO14" s="35">
        <v>42208</v>
      </c>
      <c r="AP14" s="35">
        <v>44146</v>
      </c>
      <c r="AQ14" s="35">
        <v>45623</v>
      </c>
      <c r="AR14" s="35">
        <v>49614</v>
      </c>
      <c r="AS14" s="35">
        <v>56787</v>
      </c>
      <c r="AT14" s="35">
        <v>64591</v>
      </c>
      <c r="AU14" s="35">
        <v>70489</v>
      </c>
      <c r="AV14" s="35">
        <v>79544</v>
      </c>
      <c r="AW14" s="35">
        <v>67138</v>
      </c>
      <c r="AX14" s="35">
        <v>91754</v>
      </c>
      <c r="AY14" s="35">
        <v>99979</v>
      </c>
      <c r="AZ14" s="35">
        <v>84173</v>
      </c>
      <c r="BA14" s="35">
        <v>67000</v>
      </c>
      <c r="BB14" s="348">
        <f t="shared" si="3"/>
        <v>67000</v>
      </c>
      <c r="BC14" s="41">
        <f t="shared" ref="BC14:BE14" si="34">(BC$27-SUM(BC$20:BC$22))/(BB$27-SUM(BB$20:BB$22))*BB14</f>
        <v>65438.639012370251</v>
      </c>
      <c r="BD14" s="41">
        <f t="shared" si="34"/>
        <v>61901.017017024482</v>
      </c>
      <c r="BE14" s="43">
        <f t="shared" si="34"/>
        <v>61408.80066594384</v>
      </c>
      <c r="BF14" s="348">
        <f t="shared" si="5"/>
        <v>67000</v>
      </c>
      <c r="BG14" s="41">
        <f t="shared" ref="BG14:BI14" si="35">(BG$27-SUM(BG$20:BG$22))/(BF$27-SUM(BF$20:BF$22))*BF14</f>
        <v>65138.433979486297</v>
      </c>
      <c r="BH14" s="41">
        <f t="shared" si="35"/>
        <v>62610.0011044364</v>
      </c>
      <c r="BI14" s="43">
        <f t="shared" si="35"/>
        <v>62396.365079775031</v>
      </c>
      <c r="BJ14" s="348">
        <f t="shared" si="7"/>
        <v>67000</v>
      </c>
      <c r="BK14" s="41">
        <f t="shared" ref="BK14:BM14" si="36">(BK$27-SUM(BK$20:BK$22))/(BJ$27-SUM(BJ$20:BJ$22))*BJ14</f>
        <v>64647.06324518389</v>
      </c>
      <c r="BL14" s="41">
        <f t="shared" si="36"/>
        <v>63334.950030343105</v>
      </c>
      <c r="BM14" s="43">
        <f t="shared" si="36"/>
        <v>63303.260656811362</v>
      </c>
    </row>
    <row r="15" spans="1:65" ht="14.25" customHeight="1">
      <c r="A15" s="18">
        <v>39447</v>
      </c>
      <c r="B15" s="19">
        <v>322791.37158381846</v>
      </c>
      <c r="C15" s="20">
        <v>5.2663673407059832</v>
      </c>
      <c r="D15" s="20">
        <v>14.38</v>
      </c>
      <c r="E15" s="20">
        <v>-2.2699999999999978</v>
      </c>
      <c r="F15" s="20">
        <f t="shared" si="9"/>
        <v>14.719007782252614</v>
      </c>
      <c r="G15" s="20"/>
      <c r="H15" s="18">
        <v>37621</v>
      </c>
      <c r="I15" s="21">
        <v>3.6724267690282772</v>
      </c>
      <c r="J15" s="22">
        <v>21.32</v>
      </c>
      <c r="K15" s="22">
        <v>21.32</v>
      </c>
      <c r="L15" s="22">
        <v>21.32</v>
      </c>
      <c r="N15" s="18">
        <v>39447</v>
      </c>
      <c r="O15" s="20">
        <f t="shared" si="2"/>
        <v>14.38</v>
      </c>
      <c r="P15" s="20">
        <f t="shared" si="13"/>
        <v>14.38</v>
      </c>
      <c r="Q15" s="20">
        <f t="shared" si="14"/>
        <v>14.38</v>
      </c>
      <c r="R15" s="20">
        <f t="shared" si="15"/>
        <v>14.38</v>
      </c>
      <c r="S15" s="20">
        <f t="shared" si="1"/>
        <v>5.2663673407059832</v>
      </c>
      <c r="T15" s="4"/>
      <c r="U15" s="18">
        <v>37621</v>
      </c>
      <c r="V15" s="22">
        <v>20.946958928266469</v>
      </c>
      <c r="W15" s="491">
        <v>20.946958928266469</v>
      </c>
      <c r="X15" s="491">
        <v>20.946958928266469</v>
      </c>
      <c r="AA15" s="33" t="s">
        <v>111</v>
      </c>
      <c r="AB15" s="33" t="s">
        <v>112</v>
      </c>
      <c r="AC15" s="34"/>
      <c r="AD15" s="35">
        <v>26379</v>
      </c>
      <c r="AE15" s="35">
        <v>26880</v>
      </c>
      <c r="AF15" s="35">
        <v>27418</v>
      </c>
      <c r="AG15" s="35">
        <v>28587</v>
      </c>
      <c r="AH15" s="35">
        <v>28720</v>
      </c>
      <c r="AI15" s="35">
        <v>28974</v>
      </c>
      <c r="AJ15" s="35">
        <v>30292</v>
      </c>
      <c r="AK15" s="35">
        <v>31388</v>
      </c>
      <c r="AL15" s="35">
        <v>31828</v>
      </c>
      <c r="AM15" s="35">
        <v>31047</v>
      </c>
      <c r="AN15" s="35">
        <v>31948</v>
      </c>
      <c r="AO15" s="35">
        <v>32753</v>
      </c>
      <c r="AP15" s="35">
        <v>32572</v>
      </c>
      <c r="AQ15" s="35">
        <v>32270</v>
      </c>
      <c r="AR15" s="35">
        <v>32990</v>
      </c>
      <c r="AS15" s="35">
        <v>33241</v>
      </c>
      <c r="AT15" s="35">
        <v>36384</v>
      </c>
      <c r="AU15" s="35">
        <v>38432</v>
      </c>
      <c r="AV15" s="35">
        <v>41280</v>
      </c>
      <c r="AW15" s="35">
        <v>42286</v>
      </c>
      <c r="AX15" s="35">
        <v>43034</v>
      </c>
      <c r="AY15" s="35">
        <v>43259</v>
      </c>
      <c r="AZ15" s="35">
        <v>44272</v>
      </c>
      <c r="BA15" s="35">
        <v>44165</v>
      </c>
      <c r="BB15" s="348">
        <f t="shared" si="3"/>
        <v>44165</v>
      </c>
      <c r="BC15" s="41">
        <f t="shared" ref="BC15:BE15" si="37">(BC$27-SUM(BC$20:BC$22))/(BB$27-SUM(BB$20:BB$22))*BB15</f>
        <v>43135.783462407941</v>
      </c>
      <c r="BD15" s="41">
        <f t="shared" si="37"/>
        <v>40803.856963535618</v>
      </c>
      <c r="BE15" s="43">
        <f t="shared" si="37"/>
        <v>40479.398230021041</v>
      </c>
      <c r="BF15" s="348">
        <f t="shared" si="5"/>
        <v>44165</v>
      </c>
      <c r="BG15" s="41">
        <f t="shared" ref="BG15:BI15" si="38">(BG$27-SUM(BG$20:BG$22))/(BF$27-SUM(BF$20:BF$22))*BF15</f>
        <v>42937.894577671825</v>
      </c>
      <c r="BH15" s="41">
        <f t="shared" si="38"/>
        <v>41271.204459364679</v>
      </c>
      <c r="BI15" s="43">
        <f t="shared" si="38"/>
        <v>41130.380055944239</v>
      </c>
      <c r="BJ15" s="348">
        <f t="shared" si="7"/>
        <v>44165</v>
      </c>
      <c r="BK15" s="41">
        <f t="shared" ref="BK15:BM15" si="39">(BK$27-SUM(BK$20:BK$22))/(BJ$27-SUM(BJ$20:BJ$22))*BJ15</f>
        <v>42613.993257067857</v>
      </c>
      <c r="BL15" s="41">
        <f t="shared" si="39"/>
        <v>41749.075643135868</v>
      </c>
      <c r="BM15" s="43">
        <f t="shared" si="39"/>
        <v>41728.186670269759</v>
      </c>
    </row>
    <row r="16" spans="1:65" ht="14.25" customHeight="1">
      <c r="A16" s="18">
        <v>39813</v>
      </c>
      <c r="B16" s="19">
        <v>346735.16056126053</v>
      </c>
      <c r="C16" s="20">
        <v>1.759521735413955</v>
      </c>
      <c r="D16" s="20">
        <v>13.48</v>
      </c>
      <c r="E16" s="20">
        <v>-0.90000000000000036</v>
      </c>
      <c r="F16" s="20">
        <f t="shared" si="9"/>
        <v>13.946080171151783</v>
      </c>
      <c r="G16" s="20"/>
      <c r="H16" s="18">
        <v>37711</v>
      </c>
      <c r="I16" s="21">
        <v>5.9757585437295404</v>
      </c>
      <c r="J16" s="22">
        <v>20.6</v>
      </c>
      <c r="K16" s="22">
        <v>20.6</v>
      </c>
      <c r="L16" s="22">
        <v>20.6</v>
      </c>
      <c r="N16" s="18">
        <v>39813</v>
      </c>
      <c r="O16" s="20">
        <f t="shared" si="2"/>
        <v>13.48</v>
      </c>
      <c r="P16" s="20">
        <f t="shared" si="13"/>
        <v>13.48</v>
      </c>
      <c r="Q16" s="20">
        <f t="shared" si="14"/>
        <v>13.48</v>
      </c>
      <c r="R16" s="20">
        <f t="shared" si="15"/>
        <v>13.48</v>
      </c>
      <c r="S16" s="20">
        <f t="shared" si="1"/>
        <v>1.759521735413955</v>
      </c>
      <c r="T16" s="4"/>
      <c r="U16" s="18">
        <v>37711</v>
      </c>
      <c r="V16" s="22">
        <v>19.806284273233931</v>
      </c>
      <c r="W16" s="491">
        <v>19.806284273233931</v>
      </c>
      <c r="X16" s="491">
        <v>19.806284273233931</v>
      </c>
      <c r="AA16" s="33" t="s">
        <v>116</v>
      </c>
      <c r="AB16" s="33" t="s">
        <v>117</v>
      </c>
      <c r="AC16" s="34"/>
      <c r="AD16" s="35">
        <v>28951</v>
      </c>
      <c r="AE16" s="35">
        <v>28231</v>
      </c>
      <c r="AF16" s="35">
        <v>29198</v>
      </c>
      <c r="AG16" s="35">
        <v>29748</v>
      </c>
      <c r="AH16" s="35">
        <v>30428</v>
      </c>
      <c r="AI16" s="35">
        <v>31879</v>
      </c>
      <c r="AJ16" s="35">
        <v>33687</v>
      </c>
      <c r="AK16" s="35">
        <v>35334</v>
      </c>
      <c r="AL16" s="35">
        <v>37139</v>
      </c>
      <c r="AM16" s="35">
        <v>37530</v>
      </c>
      <c r="AN16" s="35">
        <v>36106</v>
      </c>
      <c r="AO16" s="35">
        <v>36619</v>
      </c>
      <c r="AP16" s="35">
        <v>37105</v>
      </c>
      <c r="AQ16" s="35">
        <v>36705</v>
      </c>
      <c r="AR16" s="35">
        <v>35810</v>
      </c>
      <c r="AS16" s="35">
        <v>40002</v>
      </c>
      <c r="AT16" s="35">
        <v>39536</v>
      </c>
      <c r="AU16" s="35">
        <v>38723</v>
      </c>
      <c r="AV16" s="35">
        <v>37326</v>
      </c>
      <c r="AW16" s="35">
        <v>37839</v>
      </c>
      <c r="AX16" s="35">
        <v>38196</v>
      </c>
      <c r="AY16" s="35">
        <v>38185</v>
      </c>
      <c r="AZ16" s="35">
        <v>38001</v>
      </c>
      <c r="BA16" s="35">
        <v>37646</v>
      </c>
      <c r="BB16" s="348">
        <f t="shared" si="3"/>
        <v>37646</v>
      </c>
      <c r="BC16" s="41">
        <f t="shared" ref="BC16:BE16" si="40">(BC$27-SUM(BC$20:BC$22))/(BB$27-SUM(BB$20:BB$22))*BB16</f>
        <v>36768.701556114785</v>
      </c>
      <c r="BD16" s="41">
        <f t="shared" si="40"/>
        <v>34780.980397356776</v>
      </c>
      <c r="BE16" s="43">
        <f t="shared" si="40"/>
        <v>34504.413580151078</v>
      </c>
      <c r="BF16" s="348">
        <f t="shared" si="5"/>
        <v>37646</v>
      </c>
      <c r="BG16" s="41">
        <f t="shared" ref="BG16:BI16" si="41">(BG$27-SUM(BG$20:BG$22))/(BF$27-SUM(BF$20:BF$22))*BF16</f>
        <v>36600.022173011064</v>
      </c>
      <c r="BH16" s="41">
        <f t="shared" si="41"/>
        <v>35179.344799665865</v>
      </c>
      <c r="BI16" s="43">
        <f t="shared" si="41"/>
        <v>35059.306862585239</v>
      </c>
      <c r="BJ16" s="348">
        <f t="shared" si="7"/>
        <v>37646</v>
      </c>
      <c r="BK16" s="41">
        <f t="shared" ref="BK16:BM16" si="42">(BK$27-SUM(BK$20:BK$22))/(BJ$27-SUM(BJ$20:BJ$22))*BJ16</f>
        <v>36323.930491465566</v>
      </c>
      <c r="BL16" s="41">
        <f t="shared" si="42"/>
        <v>35586.67953495965</v>
      </c>
      <c r="BM16" s="43">
        <f t="shared" si="42"/>
        <v>35568.873890840609</v>
      </c>
    </row>
    <row r="17" spans="1:66" ht="14.25" customHeight="1">
      <c r="A17" s="18">
        <v>40178</v>
      </c>
      <c r="B17" s="19">
        <v>330770.75294643943</v>
      </c>
      <c r="C17" s="20">
        <v>-7.3594993654901231</v>
      </c>
      <c r="D17" s="20">
        <v>16.739999999999998</v>
      </c>
      <c r="E17" s="20">
        <v>3.259999999999998</v>
      </c>
      <c r="F17" s="20">
        <f t="shared" si="9"/>
        <v>16.938990279127733</v>
      </c>
      <c r="G17" s="20"/>
      <c r="H17" s="18">
        <v>37802</v>
      </c>
      <c r="I17" s="21">
        <v>6.6723426279648947</v>
      </c>
      <c r="J17" s="22">
        <v>18.5</v>
      </c>
      <c r="K17" s="22">
        <v>18.5</v>
      </c>
      <c r="L17" s="22">
        <v>18.5</v>
      </c>
      <c r="N17" s="18">
        <v>40178</v>
      </c>
      <c r="O17" s="20">
        <f t="shared" si="2"/>
        <v>16.739999999999998</v>
      </c>
      <c r="P17" s="20">
        <f t="shared" si="13"/>
        <v>16.739999999999998</v>
      </c>
      <c r="Q17" s="20">
        <f t="shared" si="14"/>
        <v>16.739999999999998</v>
      </c>
      <c r="R17" s="20">
        <f t="shared" si="15"/>
        <v>16.739999999999998</v>
      </c>
      <c r="S17" s="20">
        <f t="shared" si="1"/>
        <v>-7.3594993654901231</v>
      </c>
      <c r="T17" s="4"/>
      <c r="U17" s="18">
        <v>37802</v>
      </c>
      <c r="V17" s="22">
        <v>19.207453565613989</v>
      </c>
      <c r="W17" s="491">
        <v>19.207453565613989</v>
      </c>
      <c r="X17" s="491">
        <v>19.207453565613989</v>
      </c>
      <c r="AA17" s="33" t="s">
        <v>120</v>
      </c>
      <c r="AB17" s="33" t="s">
        <v>121</v>
      </c>
      <c r="AC17" s="34"/>
      <c r="AD17" s="35">
        <v>2223</v>
      </c>
      <c r="AE17" s="35">
        <v>2190</v>
      </c>
      <c r="AF17" s="35">
        <v>2148</v>
      </c>
      <c r="AG17" s="35">
        <v>2561</v>
      </c>
      <c r="AH17" s="35">
        <v>2811</v>
      </c>
      <c r="AI17" s="35">
        <v>3072</v>
      </c>
      <c r="AJ17" s="35">
        <v>3716</v>
      </c>
      <c r="AK17" s="35">
        <v>4141</v>
      </c>
      <c r="AL17" s="35">
        <v>5000</v>
      </c>
      <c r="AM17" s="35">
        <v>5849</v>
      </c>
      <c r="AN17" s="35">
        <v>5612</v>
      </c>
      <c r="AO17" s="35">
        <v>5858</v>
      </c>
      <c r="AP17" s="35">
        <v>5925</v>
      </c>
      <c r="AQ17" s="35">
        <v>7167</v>
      </c>
      <c r="AR17" s="35">
        <v>6571</v>
      </c>
      <c r="AS17" s="35">
        <v>8316</v>
      </c>
      <c r="AT17" s="35">
        <v>8755</v>
      </c>
      <c r="AU17" s="35">
        <v>9031</v>
      </c>
      <c r="AV17" s="35">
        <v>9067</v>
      </c>
      <c r="AW17" s="35">
        <v>9093</v>
      </c>
      <c r="AX17" s="35">
        <v>9317</v>
      </c>
      <c r="AY17" s="35">
        <v>9555</v>
      </c>
      <c r="AZ17" s="35">
        <v>9424</v>
      </c>
      <c r="BA17" s="35">
        <v>9220</v>
      </c>
      <c r="BB17" s="348">
        <f t="shared" si="3"/>
        <v>9220</v>
      </c>
      <c r="BC17" s="41">
        <f t="shared" ref="BC17:BE17" si="43">(BC$27-SUM(BC$20:BC$22))/(BB$27-SUM(BB$20:BB$22))*BB17</f>
        <v>9005.138084985876</v>
      </c>
      <c r="BD17" s="41">
        <f t="shared" si="43"/>
        <v>8518.3190581636682</v>
      </c>
      <c r="BE17" s="43">
        <f t="shared" si="43"/>
        <v>8450.5842110448102</v>
      </c>
      <c r="BF17" s="348">
        <f t="shared" si="5"/>
        <v>9220</v>
      </c>
      <c r="BG17" s="41">
        <f t="shared" ref="BG17:BI17" si="44">(BG$27-SUM(BG$20:BG$22))/(BF$27-SUM(BF$20:BF$22))*BF17</f>
        <v>8963.8262879233389</v>
      </c>
      <c r="BH17" s="41">
        <f t="shared" si="44"/>
        <v>8615.883734073188</v>
      </c>
      <c r="BI17" s="43">
        <f t="shared" si="44"/>
        <v>8586.4848662018776</v>
      </c>
      <c r="BJ17" s="348">
        <f t="shared" si="7"/>
        <v>9220</v>
      </c>
      <c r="BK17" s="41">
        <f t="shared" ref="BK17:BM17" si="45">(BK$27-SUM(BK$20:BK$22))/(BJ$27-SUM(BJ$20:BJ$22))*BJ17</f>
        <v>8896.2078077700826</v>
      </c>
      <c r="BL17" s="41">
        <f t="shared" si="45"/>
        <v>8715.64536238453</v>
      </c>
      <c r="BM17" s="43">
        <f t="shared" si="45"/>
        <v>8711.2845262059836</v>
      </c>
    </row>
    <row r="18" spans="1:66" ht="14.25" customHeight="1">
      <c r="A18" s="18">
        <v>40543</v>
      </c>
      <c r="B18" s="19">
        <v>328824.16364117799</v>
      </c>
      <c r="C18" s="20">
        <v>-1.4962533356099641</v>
      </c>
      <c r="D18" s="20">
        <v>18.64</v>
      </c>
      <c r="E18" s="20">
        <v>1.9000000000000021</v>
      </c>
      <c r="F18" s="20">
        <f t="shared" si="9"/>
        <v>17.695970548971893</v>
      </c>
      <c r="G18" s="20"/>
      <c r="H18" s="18">
        <v>37894</v>
      </c>
      <c r="I18" s="21">
        <v>5.0627962071036876</v>
      </c>
      <c r="J18" s="22">
        <v>17.88</v>
      </c>
      <c r="K18" s="22">
        <v>17.88</v>
      </c>
      <c r="L18" s="22">
        <v>17.88</v>
      </c>
      <c r="N18" s="18">
        <v>40543</v>
      </c>
      <c r="O18" s="20">
        <f t="shared" si="2"/>
        <v>18.64</v>
      </c>
      <c r="P18" s="20">
        <f t="shared" si="13"/>
        <v>18.64</v>
      </c>
      <c r="Q18" s="20">
        <f t="shared" si="14"/>
        <v>18.64</v>
      </c>
      <c r="R18" s="20">
        <f t="shared" si="15"/>
        <v>18.64</v>
      </c>
      <c r="S18" s="20">
        <f t="shared" si="1"/>
        <v>-1.4962533356099641</v>
      </c>
      <c r="T18" s="4"/>
      <c r="U18" s="18">
        <v>37894</v>
      </c>
      <c r="V18" s="22">
        <v>18.487452080598576</v>
      </c>
      <c r="W18" s="491">
        <v>18.487452080598576</v>
      </c>
      <c r="X18" s="491">
        <v>18.487452080598576</v>
      </c>
      <c r="AA18" s="33" t="s">
        <v>126</v>
      </c>
      <c r="AB18" s="33" t="s">
        <v>127</v>
      </c>
      <c r="AC18" s="34"/>
      <c r="AD18" s="35">
        <v>34368</v>
      </c>
      <c r="AE18" s="35">
        <v>36484</v>
      </c>
      <c r="AF18" s="35">
        <v>35323</v>
      </c>
      <c r="AG18" s="35">
        <v>37524</v>
      </c>
      <c r="AH18" s="35">
        <v>39965</v>
      </c>
      <c r="AI18" s="35">
        <v>42232</v>
      </c>
      <c r="AJ18" s="35">
        <v>46878</v>
      </c>
      <c r="AK18" s="35">
        <v>51692</v>
      </c>
      <c r="AL18" s="35">
        <v>53837</v>
      </c>
      <c r="AM18" s="35">
        <v>51989</v>
      </c>
      <c r="AN18" s="35">
        <v>51069</v>
      </c>
      <c r="AO18" s="35">
        <v>50393</v>
      </c>
      <c r="AP18" s="35">
        <v>51627</v>
      </c>
      <c r="AQ18" s="35">
        <v>51420</v>
      </c>
      <c r="AR18" s="35">
        <v>53915</v>
      </c>
      <c r="AS18" s="35">
        <v>53758</v>
      </c>
      <c r="AT18" s="35">
        <v>58342</v>
      </c>
      <c r="AU18" s="35">
        <v>59696</v>
      </c>
      <c r="AV18" s="35">
        <v>63312</v>
      </c>
      <c r="AW18" s="35">
        <v>61893</v>
      </c>
      <c r="AX18" s="35">
        <v>63125</v>
      </c>
      <c r="AY18" s="35">
        <v>62846</v>
      </c>
      <c r="AZ18" s="35">
        <v>64492</v>
      </c>
      <c r="BA18" s="35">
        <v>63187</v>
      </c>
      <c r="BB18" s="348">
        <f t="shared" si="3"/>
        <v>63187</v>
      </c>
      <c r="BC18" s="41">
        <f t="shared" ref="BC18:BE18" si="46">(BC$27-SUM(BC$20:BC$22))/(BB$27-SUM(BB$20:BB$22))*BB18</f>
        <v>61714.496765293123</v>
      </c>
      <c r="BD18" s="41">
        <f t="shared" si="46"/>
        <v>58378.202421712333</v>
      </c>
      <c r="BE18" s="43">
        <f t="shared" si="46"/>
        <v>57913.998323567073</v>
      </c>
      <c r="BF18" s="348">
        <f t="shared" si="5"/>
        <v>63187</v>
      </c>
      <c r="BG18" s="41">
        <f t="shared" ref="BG18:BI18" si="47">(BG$27-SUM(BG$20:BG$22))/(BF$27-SUM(BF$20:BF$22))*BF18</f>
        <v>61431.376535250762</v>
      </c>
      <c r="BH18" s="41">
        <f t="shared" si="47"/>
        <v>59046.837907254077</v>
      </c>
      <c r="BI18" s="43">
        <f t="shared" si="47"/>
        <v>58845.360004414106</v>
      </c>
      <c r="BJ18" s="348">
        <f t="shared" si="7"/>
        <v>63187</v>
      </c>
      <c r="BK18" s="41">
        <f t="shared" ref="BK18:BM18" si="48">(BK$27-SUM(BK$20:BK$22))/(BJ$27-SUM(BJ$20:BJ$22))*BJ18</f>
        <v>60967.969929454244</v>
      </c>
      <c r="BL18" s="41">
        <f t="shared" si="48"/>
        <v>59730.529665183429</v>
      </c>
      <c r="BM18" s="43">
        <f t="shared" si="48"/>
        <v>59700.643748088653</v>
      </c>
    </row>
    <row r="19" spans="1:66" ht="14.25" customHeight="1">
      <c r="A19" s="18">
        <v>40908</v>
      </c>
      <c r="B19" s="19">
        <v>333214.80289641587</v>
      </c>
      <c r="C19" s="20">
        <v>-0.30982900477832231</v>
      </c>
      <c r="D19" s="20">
        <v>18.558517003648891</v>
      </c>
      <c r="E19" s="20">
        <v>-8.1482996351109449E-2</v>
      </c>
      <c r="F19" s="20">
        <f t="shared" si="9"/>
        <v>19.089486002139868</v>
      </c>
      <c r="G19" s="20"/>
      <c r="H19" s="18">
        <v>37986</v>
      </c>
      <c r="I19" s="21">
        <v>4.8994155622266362</v>
      </c>
      <c r="J19" s="22">
        <v>18.670000000000002</v>
      </c>
      <c r="K19" s="22">
        <v>18.670000000000002</v>
      </c>
      <c r="L19" s="22">
        <v>18.670000000000002</v>
      </c>
      <c r="N19" s="18">
        <v>40908</v>
      </c>
      <c r="O19" s="20">
        <f t="shared" si="2"/>
        <v>18.558517003648891</v>
      </c>
      <c r="P19" s="20">
        <f t="shared" si="13"/>
        <v>18.558517003648891</v>
      </c>
      <c r="Q19" s="20">
        <f t="shared" si="14"/>
        <v>18.558517003648891</v>
      </c>
      <c r="R19" s="20">
        <f t="shared" si="15"/>
        <v>18.558517003648891</v>
      </c>
      <c r="S19" s="20">
        <f t="shared" si="1"/>
        <v>-0.30982900477832231</v>
      </c>
      <c r="T19" s="4"/>
      <c r="U19" s="18">
        <v>37986</v>
      </c>
      <c r="V19" s="22">
        <v>18.254025122637149</v>
      </c>
      <c r="W19" s="491">
        <v>18.254025122637149</v>
      </c>
      <c r="X19" s="491">
        <v>18.254025122637149</v>
      </c>
      <c r="AA19" s="33" t="s">
        <v>131</v>
      </c>
      <c r="AB19" s="33" t="s">
        <v>132</v>
      </c>
      <c r="AC19" s="34"/>
      <c r="AD19" s="35">
        <v>15458</v>
      </c>
      <c r="AE19" s="35">
        <v>16553</v>
      </c>
      <c r="AF19" s="35">
        <v>18360</v>
      </c>
      <c r="AG19" s="35">
        <v>20425</v>
      </c>
      <c r="AH19" s="35">
        <v>23481</v>
      </c>
      <c r="AI19" s="35">
        <v>24420</v>
      </c>
      <c r="AJ19" s="35">
        <v>26650</v>
      </c>
      <c r="AK19" s="35">
        <v>30464</v>
      </c>
      <c r="AL19" s="35">
        <v>32473</v>
      </c>
      <c r="AM19" s="35">
        <v>31953</v>
      </c>
      <c r="AN19" s="35">
        <v>33332</v>
      </c>
      <c r="AO19" s="35">
        <v>34176</v>
      </c>
      <c r="AP19" s="35">
        <v>35103</v>
      </c>
      <c r="AQ19" s="35">
        <v>34192</v>
      </c>
      <c r="AR19" s="35">
        <v>37587</v>
      </c>
      <c r="AS19" s="35">
        <v>41693</v>
      </c>
      <c r="AT19" s="35">
        <v>46430</v>
      </c>
      <c r="AU19" s="35">
        <v>47596</v>
      </c>
      <c r="AV19" s="35">
        <v>50639</v>
      </c>
      <c r="AW19" s="35">
        <v>49941</v>
      </c>
      <c r="AX19" s="35">
        <v>53871</v>
      </c>
      <c r="AY19" s="35">
        <v>54745</v>
      </c>
      <c r="AZ19" s="35">
        <v>52675</v>
      </c>
      <c r="BA19" s="35">
        <v>48604</v>
      </c>
      <c r="BB19" s="348">
        <f t="shared" si="3"/>
        <v>48604</v>
      </c>
      <c r="BC19" s="41">
        <f t="shared" ref="BC19:BE19" si="49">(BC$27-SUM(BC$20:BC$22))/(BB$27-SUM(BB$20:BB$22))*BB19</f>
        <v>47471.337471003637</v>
      </c>
      <c r="BD19" s="41">
        <f t="shared" si="49"/>
        <v>44905.030314857584</v>
      </c>
      <c r="BE19" s="43">
        <f t="shared" si="49"/>
        <v>44547.960411455744</v>
      </c>
      <c r="BF19" s="348">
        <f t="shared" si="5"/>
        <v>48604</v>
      </c>
      <c r="BG19" s="41">
        <f t="shared" ref="BG19:BI19" si="50">(BG$27-SUM(BG$20:BG$22))/(BF$27-SUM(BF$20:BF$22))*BF19</f>
        <v>47253.558882670928</v>
      </c>
      <c r="BH19" s="41">
        <f t="shared" si="50"/>
        <v>45419.350651940702</v>
      </c>
      <c r="BI19" s="43">
        <f t="shared" si="50"/>
        <v>45264.372064737101</v>
      </c>
      <c r="BJ19" s="348">
        <f t="shared" si="7"/>
        <v>48604</v>
      </c>
      <c r="BK19" s="41">
        <f t="shared" ref="BK19:BM19" si="51">(BK$27-SUM(BK$20:BK$22))/(BJ$27-SUM(BJ$20:BJ$22))*BJ19</f>
        <v>46897.102417446535</v>
      </c>
      <c r="BL19" s="41">
        <f t="shared" si="51"/>
        <v>45945.252407086511</v>
      </c>
      <c r="BM19" s="43">
        <f t="shared" si="51"/>
        <v>45922.263894979995</v>
      </c>
    </row>
    <row r="20" spans="1:66" ht="14.25" customHeight="1">
      <c r="A20" s="18">
        <v>41274</v>
      </c>
      <c r="B20" s="19">
        <v>330509.41318129771</v>
      </c>
      <c r="C20" s="20">
        <v>-2.2377241055942534</v>
      </c>
      <c r="D20" s="20">
        <v>20.9</v>
      </c>
      <c r="E20" s="20">
        <v>2.3414829963511075</v>
      </c>
      <c r="F20" s="20">
        <f t="shared" si="9"/>
        <v>19.831021424327076</v>
      </c>
      <c r="G20" s="20"/>
      <c r="H20" s="18">
        <v>38077</v>
      </c>
      <c r="I20" s="21">
        <v>4.810697890281773</v>
      </c>
      <c r="J20" s="22">
        <v>18.89</v>
      </c>
      <c r="K20" s="22">
        <v>18.89</v>
      </c>
      <c r="L20" s="22">
        <v>18.89</v>
      </c>
      <c r="N20" s="18">
        <v>41274</v>
      </c>
      <c r="O20" s="20">
        <f t="shared" si="2"/>
        <v>20.9</v>
      </c>
      <c r="P20" s="20">
        <f t="shared" si="13"/>
        <v>20.9</v>
      </c>
      <c r="Q20" s="20">
        <f t="shared" si="14"/>
        <v>20.9</v>
      </c>
      <c r="R20" s="20">
        <f t="shared" si="15"/>
        <v>20.9</v>
      </c>
      <c r="S20" s="20">
        <f t="shared" si="1"/>
        <v>-2.2377241055942534</v>
      </c>
      <c r="T20" s="4"/>
      <c r="U20" s="18">
        <v>38077</v>
      </c>
      <c r="V20" s="22">
        <v>18.056915580642976</v>
      </c>
      <c r="W20" s="491">
        <v>18.056915580642976</v>
      </c>
      <c r="X20" s="491">
        <v>18.056915580642976</v>
      </c>
      <c r="AA20" s="33" t="s">
        <v>136</v>
      </c>
      <c r="AB20" s="33" t="s">
        <v>137</v>
      </c>
      <c r="AC20" s="34"/>
      <c r="AD20" s="35">
        <v>121300</v>
      </c>
      <c r="AE20" s="35">
        <v>120514</v>
      </c>
      <c r="AF20" s="35">
        <v>116771</v>
      </c>
      <c r="AG20" s="35">
        <v>117460</v>
      </c>
      <c r="AH20" s="35">
        <v>105174</v>
      </c>
      <c r="AI20" s="35">
        <v>104771</v>
      </c>
      <c r="AJ20" s="35">
        <v>104802</v>
      </c>
      <c r="AK20" s="35">
        <v>105545</v>
      </c>
      <c r="AL20" s="35">
        <v>106268</v>
      </c>
      <c r="AM20" s="35">
        <v>106052</v>
      </c>
      <c r="AN20" s="35">
        <v>106825</v>
      </c>
      <c r="AO20" s="35">
        <v>106567</v>
      </c>
      <c r="AP20" s="35">
        <v>104696</v>
      </c>
      <c r="AQ20" s="35">
        <v>105472</v>
      </c>
      <c r="AR20" s="35">
        <v>101877</v>
      </c>
      <c r="AS20" s="35">
        <v>107711</v>
      </c>
      <c r="AT20" s="35">
        <v>110131</v>
      </c>
      <c r="AU20" s="35">
        <v>111115</v>
      </c>
      <c r="AV20" s="35">
        <v>114718</v>
      </c>
      <c r="AW20" s="35">
        <v>109386</v>
      </c>
      <c r="AX20" s="35">
        <v>112004</v>
      </c>
      <c r="AY20" s="35">
        <v>113641</v>
      </c>
      <c r="AZ20" s="35">
        <v>113649</v>
      </c>
      <c r="BA20" s="35">
        <v>110460</v>
      </c>
      <c r="BB20" s="349">
        <f t="shared" si="3"/>
        <v>110460</v>
      </c>
      <c r="BC20" s="69">
        <f t="shared" ref="BC20:BM20" si="52">$BA20</f>
        <v>110460</v>
      </c>
      <c r="BD20" s="69">
        <f t="shared" si="52"/>
        <v>110460</v>
      </c>
      <c r="BE20" s="70">
        <f t="shared" si="52"/>
        <v>110460</v>
      </c>
      <c r="BF20" s="349">
        <f t="shared" si="52"/>
        <v>110460</v>
      </c>
      <c r="BG20" s="69">
        <f t="shared" si="52"/>
        <v>110460</v>
      </c>
      <c r="BH20" s="69">
        <f t="shared" si="52"/>
        <v>110460</v>
      </c>
      <c r="BI20" s="70">
        <f t="shared" si="52"/>
        <v>110460</v>
      </c>
      <c r="BJ20" s="349">
        <f t="shared" si="52"/>
        <v>110460</v>
      </c>
      <c r="BK20" s="69">
        <f t="shared" si="52"/>
        <v>110460</v>
      </c>
      <c r="BL20" s="69">
        <f t="shared" si="52"/>
        <v>110460</v>
      </c>
      <c r="BM20" s="70">
        <f t="shared" si="52"/>
        <v>110460</v>
      </c>
    </row>
    <row r="21" spans="1:66" ht="14.25" customHeight="1">
      <c r="A21" s="18">
        <v>41639</v>
      </c>
      <c r="B21" s="19">
        <v>331209.06141561503</v>
      </c>
      <c r="C21" s="20">
        <v>-0.54850216134040863</v>
      </c>
      <c r="D21" s="20">
        <v>21.5</v>
      </c>
      <c r="E21" s="20">
        <v>0.60000000000000142</v>
      </c>
      <c r="F21" s="20">
        <f t="shared" si="9"/>
        <v>21.45137557267622</v>
      </c>
      <c r="G21" s="20"/>
      <c r="H21" s="18">
        <v>38168</v>
      </c>
      <c r="I21" s="21">
        <v>3.5633158386821009</v>
      </c>
      <c r="J21" s="22">
        <v>17.190000000000001</v>
      </c>
      <c r="K21" s="22">
        <v>17.190000000000001</v>
      </c>
      <c r="L21" s="22">
        <v>17.190000000000001</v>
      </c>
      <c r="N21" s="18">
        <v>41639</v>
      </c>
      <c r="O21" s="20">
        <f t="shared" si="2"/>
        <v>21.5</v>
      </c>
      <c r="P21" s="20">
        <f t="shared" si="13"/>
        <v>21.5</v>
      </c>
      <c r="Q21" s="20">
        <f t="shared" si="14"/>
        <v>21.5</v>
      </c>
      <c r="R21" s="20">
        <f t="shared" si="15"/>
        <v>21.5</v>
      </c>
      <c r="S21" s="20">
        <f t="shared" si="1"/>
        <v>-0.54850216134040863</v>
      </c>
      <c r="T21" s="4"/>
      <c r="U21" s="18">
        <v>38168</v>
      </c>
      <c r="V21" s="22">
        <v>17.948147201702518</v>
      </c>
      <c r="W21" s="491">
        <v>17.948147201702518</v>
      </c>
      <c r="X21" s="491">
        <v>17.948147201702518</v>
      </c>
      <c r="AA21" s="33" t="s">
        <v>140</v>
      </c>
      <c r="AB21" s="33" t="s">
        <v>141</v>
      </c>
      <c r="AC21" s="34"/>
      <c r="AD21" s="35">
        <v>83161</v>
      </c>
      <c r="AE21" s="35">
        <v>84367</v>
      </c>
      <c r="AF21" s="35">
        <v>85613</v>
      </c>
      <c r="AG21" s="35">
        <v>87697</v>
      </c>
      <c r="AH21" s="35">
        <v>90216</v>
      </c>
      <c r="AI21" s="35">
        <v>92937</v>
      </c>
      <c r="AJ21" s="35">
        <v>95490</v>
      </c>
      <c r="AK21" s="35">
        <v>98427</v>
      </c>
      <c r="AL21" s="35">
        <v>101955</v>
      </c>
      <c r="AM21" s="35">
        <v>104566</v>
      </c>
      <c r="AN21" s="35">
        <v>105846</v>
      </c>
      <c r="AO21" s="35">
        <v>107991</v>
      </c>
      <c r="AP21" s="35">
        <v>108500</v>
      </c>
      <c r="AQ21" s="35">
        <v>109937</v>
      </c>
      <c r="AR21" s="35">
        <v>110739</v>
      </c>
      <c r="AS21" s="35">
        <v>108337</v>
      </c>
      <c r="AT21" s="35">
        <v>110855</v>
      </c>
      <c r="AU21" s="35">
        <v>112321</v>
      </c>
      <c r="AV21" s="35">
        <v>115267</v>
      </c>
      <c r="AW21" s="35">
        <v>116484</v>
      </c>
      <c r="AX21" s="35">
        <v>116887</v>
      </c>
      <c r="AY21" s="35">
        <v>108443</v>
      </c>
      <c r="AZ21" s="35">
        <v>116884</v>
      </c>
      <c r="BA21" s="35">
        <v>117891</v>
      </c>
      <c r="BB21" s="349">
        <f t="shared" si="3"/>
        <v>117891</v>
      </c>
      <c r="BC21" s="69">
        <f t="shared" ref="BC21:BM21" si="53">$BA21</f>
        <v>117891</v>
      </c>
      <c r="BD21" s="69">
        <f t="shared" si="53"/>
        <v>117891</v>
      </c>
      <c r="BE21" s="70">
        <f t="shared" si="53"/>
        <v>117891</v>
      </c>
      <c r="BF21" s="349">
        <f t="shared" si="53"/>
        <v>117891</v>
      </c>
      <c r="BG21" s="69">
        <f t="shared" si="53"/>
        <v>117891</v>
      </c>
      <c r="BH21" s="69">
        <f t="shared" si="53"/>
        <v>117891</v>
      </c>
      <c r="BI21" s="70">
        <f t="shared" si="53"/>
        <v>117891</v>
      </c>
      <c r="BJ21" s="349">
        <f t="shared" si="53"/>
        <v>117891</v>
      </c>
      <c r="BK21" s="69">
        <f t="shared" si="53"/>
        <v>117891</v>
      </c>
      <c r="BL21" s="69">
        <f t="shared" si="53"/>
        <v>117891</v>
      </c>
      <c r="BM21" s="70">
        <f t="shared" si="53"/>
        <v>117891</v>
      </c>
    </row>
    <row r="22" spans="1:66" ht="14.25" customHeight="1">
      <c r="A22" s="18">
        <v>42004</v>
      </c>
      <c r="B22" s="19">
        <v>331342.77143817488</v>
      </c>
      <c r="C22" s="20">
        <v>-0.10388062948614163</v>
      </c>
      <c r="D22" s="20">
        <v>19.399999999999999</v>
      </c>
      <c r="E22" s="20">
        <v>-2.1000000000000014</v>
      </c>
      <c r="F22" s="20">
        <f t="shared" si="9"/>
        <v>21.861566640727634</v>
      </c>
      <c r="G22" s="20"/>
      <c r="H22" s="18">
        <v>38260</v>
      </c>
      <c r="I22" s="21">
        <v>3.4414640494622404</v>
      </c>
      <c r="J22" s="22">
        <v>17.38</v>
      </c>
      <c r="K22" s="22">
        <v>17.38</v>
      </c>
      <c r="L22" s="22">
        <v>17.38</v>
      </c>
      <c r="N22" s="18">
        <v>42004</v>
      </c>
      <c r="O22" s="20">
        <f t="shared" si="2"/>
        <v>19.399999999999999</v>
      </c>
      <c r="P22" s="20">
        <f t="shared" si="13"/>
        <v>19.399999999999999</v>
      </c>
      <c r="Q22" s="20">
        <f t="shared" si="14"/>
        <v>19.399999999999999</v>
      </c>
      <c r="R22" s="20">
        <f t="shared" si="15"/>
        <v>19.399999999999999</v>
      </c>
      <c r="S22" s="20">
        <f t="shared" si="1"/>
        <v>-0.10388062948614163</v>
      </c>
      <c r="T22" s="4"/>
      <c r="U22" s="18">
        <v>38260</v>
      </c>
      <c r="V22" s="22">
        <v>18.016393071770217</v>
      </c>
      <c r="W22" s="491">
        <v>18.016393071770217</v>
      </c>
      <c r="X22" s="491">
        <v>18.016393071770217</v>
      </c>
      <c r="AA22" s="33" t="s">
        <v>144</v>
      </c>
      <c r="AB22" s="33" t="s">
        <v>145</v>
      </c>
      <c r="AC22" s="34"/>
      <c r="AD22" s="35">
        <v>69531</v>
      </c>
      <c r="AE22" s="35">
        <v>69101</v>
      </c>
      <c r="AF22" s="35">
        <v>69322</v>
      </c>
      <c r="AG22" s="35">
        <v>70640</v>
      </c>
      <c r="AH22" s="35">
        <v>71445</v>
      </c>
      <c r="AI22" s="35">
        <v>72582</v>
      </c>
      <c r="AJ22" s="35">
        <v>74326</v>
      </c>
      <c r="AK22" s="35">
        <v>77313</v>
      </c>
      <c r="AL22" s="35">
        <v>80141</v>
      </c>
      <c r="AM22" s="35">
        <v>80067</v>
      </c>
      <c r="AN22" s="35">
        <v>81572</v>
      </c>
      <c r="AO22" s="35">
        <v>83206</v>
      </c>
      <c r="AP22" s="35">
        <v>83999</v>
      </c>
      <c r="AQ22" s="35">
        <v>84911</v>
      </c>
      <c r="AR22" s="35">
        <v>82446</v>
      </c>
      <c r="AS22" s="35">
        <v>86804</v>
      </c>
      <c r="AT22" s="35">
        <v>90833</v>
      </c>
      <c r="AU22" s="35">
        <v>94728</v>
      </c>
      <c r="AV22" s="35">
        <v>100045</v>
      </c>
      <c r="AW22" s="35">
        <v>98649</v>
      </c>
      <c r="AX22" s="35">
        <v>99436</v>
      </c>
      <c r="AY22" s="35">
        <v>100068</v>
      </c>
      <c r="AZ22" s="35">
        <v>102105</v>
      </c>
      <c r="BA22" s="35">
        <v>101244</v>
      </c>
      <c r="BB22" s="349">
        <f t="shared" si="3"/>
        <v>101244</v>
      </c>
      <c r="BC22" s="69">
        <f t="shared" ref="BC22:BM22" si="54">$BA22</f>
        <v>101244</v>
      </c>
      <c r="BD22" s="69">
        <f t="shared" si="54"/>
        <v>101244</v>
      </c>
      <c r="BE22" s="70">
        <f t="shared" si="54"/>
        <v>101244</v>
      </c>
      <c r="BF22" s="349">
        <f t="shared" si="54"/>
        <v>101244</v>
      </c>
      <c r="BG22" s="69">
        <f t="shared" si="54"/>
        <v>101244</v>
      </c>
      <c r="BH22" s="69">
        <f t="shared" si="54"/>
        <v>101244</v>
      </c>
      <c r="BI22" s="70">
        <f t="shared" si="54"/>
        <v>101244</v>
      </c>
      <c r="BJ22" s="349">
        <f t="shared" si="54"/>
        <v>101244</v>
      </c>
      <c r="BK22" s="69">
        <f t="shared" si="54"/>
        <v>101244</v>
      </c>
      <c r="BL22" s="69">
        <f t="shared" si="54"/>
        <v>101244</v>
      </c>
      <c r="BM22" s="70">
        <f t="shared" si="54"/>
        <v>101244</v>
      </c>
    </row>
    <row r="23" spans="1:66" ht="14.25" customHeight="1">
      <c r="A23" s="18">
        <v>42369</v>
      </c>
      <c r="B23" s="19">
        <v>339696.07322906982</v>
      </c>
      <c r="C23" s="20">
        <v>2.4371332441033076</v>
      </c>
      <c r="D23" s="20">
        <v>17.225642594526882</v>
      </c>
      <c r="E23" s="20">
        <v>-2.174357405473117</v>
      </c>
      <c r="F23" s="20">
        <f t="shared" si="9"/>
        <v>18.676807818092296</v>
      </c>
      <c r="G23" s="20"/>
      <c r="H23" s="18">
        <v>38352</v>
      </c>
      <c r="I23" s="21">
        <v>4.9468876416354277</v>
      </c>
      <c r="J23" s="22">
        <v>18.52</v>
      </c>
      <c r="K23" s="22">
        <v>18.52</v>
      </c>
      <c r="L23" s="22">
        <v>18.52</v>
      </c>
      <c r="N23" s="18">
        <v>42369</v>
      </c>
      <c r="O23" s="20">
        <f t="shared" si="2"/>
        <v>17.225642594526882</v>
      </c>
      <c r="P23" s="20">
        <f t="shared" si="13"/>
        <v>17.225642594526882</v>
      </c>
      <c r="Q23" s="20">
        <f t="shared" si="14"/>
        <v>17.225642594526882</v>
      </c>
      <c r="R23" s="20">
        <f t="shared" si="15"/>
        <v>17.225642594526882</v>
      </c>
      <c r="S23" s="20">
        <f t="shared" si="1"/>
        <v>2.4371332441033076</v>
      </c>
      <c r="T23" s="4"/>
      <c r="U23" s="18">
        <v>38352</v>
      </c>
      <c r="V23" s="22">
        <v>18.054078227773822</v>
      </c>
      <c r="W23" s="491">
        <v>18.054078227773822</v>
      </c>
      <c r="X23" s="491">
        <v>18.054078227773822</v>
      </c>
      <c r="AA23" s="33" t="s">
        <v>148</v>
      </c>
      <c r="AB23" s="33" t="s">
        <v>149</v>
      </c>
      <c r="AC23" s="34"/>
      <c r="AD23" s="35">
        <v>11199</v>
      </c>
      <c r="AE23" s="35">
        <v>12033</v>
      </c>
      <c r="AF23" s="35">
        <v>12857</v>
      </c>
      <c r="AG23" s="35">
        <v>14295</v>
      </c>
      <c r="AH23" s="35">
        <v>15929</v>
      </c>
      <c r="AI23" s="35">
        <v>16496</v>
      </c>
      <c r="AJ23" s="35">
        <v>17526</v>
      </c>
      <c r="AK23" s="35">
        <v>18424</v>
      </c>
      <c r="AL23" s="35">
        <v>19866</v>
      </c>
      <c r="AM23" s="35">
        <v>20484</v>
      </c>
      <c r="AN23" s="35">
        <v>19990</v>
      </c>
      <c r="AO23" s="35">
        <v>20467</v>
      </c>
      <c r="AP23" s="35">
        <v>20790</v>
      </c>
      <c r="AQ23" s="35">
        <v>20583</v>
      </c>
      <c r="AR23" s="35">
        <v>19263</v>
      </c>
      <c r="AS23" s="35">
        <v>22440</v>
      </c>
      <c r="AT23" s="35">
        <v>23685</v>
      </c>
      <c r="AU23" s="35">
        <v>25316</v>
      </c>
      <c r="AV23" s="35">
        <v>25547</v>
      </c>
      <c r="AW23" s="35">
        <v>25659</v>
      </c>
      <c r="AX23" s="35">
        <v>26957</v>
      </c>
      <c r="AY23" s="35">
        <v>27507</v>
      </c>
      <c r="AZ23" s="35">
        <v>27084</v>
      </c>
      <c r="BA23" s="35">
        <v>26523</v>
      </c>
      <c r="BB23" s="348">
        <f t="shared" si="3"/>
        <v>26523</v>
      </c>
      <c r="BC23" s="41">
        <f t="shared" ref="BC23:BE23" si="55">(BC$27-SUM(BC$20:BC$22))/(BB$27-SUM(BB$20:BB$22))*BB23</f>
        <v>25904.91078395666</v>
      </c>
      <c r="BD23" s="41">
        <f t="shared" si="55"/>
        <v>24504.487676754336</v>
      </c>
      <c r="BE23" s="43">
        <f t="shared" si="55"/>
        <v>24309.636120340725</v>
      </c>
      <c r="BF23" s="348">
        <f t="shared" ref="BF23:BF28" si="56">$BA23</f>
        <v>26523</v>
      </c>
      <c r="BG23" s="41">
        <f t="shared" ref="BG23:BI23" si="57">(BG$27-SUM(BG$20:BG$22))/(BF$27-SUM(BF$20:BF$22))*BF23</f>
        <v>25786.069916983808</v>
      </c>
      <c r="BH23" s="41">
        <f t="shared" si="57"/>
        <v>24785.150138700996</v>
      </c>
      <c r="BI23" s="43">
        <f t="shared" si="57"/>
        <v>24700.578970311541</v>
      </c>
      <c r="BJ23" s="348">
        <f t="shared" ref="BJ23:BJ28" si="58">$BA23</f>
        <v>26523</v>
      </c>
      <c r="BK23" s="41">
        <f t="shared" ref="BK23:BM23" si="59">(BK$27-SUM(BK$20:BK$22))/(BJ$27-SUM(BJ$20:BJ$22))*BJ23</f>
        <v>25591.553111224064</v>
      </c>
      <c r="BL23" s="41">
        <f t="shared" si="59"/>
        <v>25072.132532161046</v>
      </c>
      <c r="BM23" s="43">
        <f t="shared" si="59"/>
        <v>25059.587797023996</v>
      </c>
    </row>
    <row r="24" spans="1:66" ht="14.25" customHeight="1">
      <c r="A24" s="18">
        <v>42735</v>
      </c>
      <c r="B24" s="19">
        <v>351168.65961715468</v>
      </c>
      <c r="C24" s="20">
        <v>3.4835344484677222</v>
      </c>
      <c r="D24" s="20">
        <v>14.1</v>
      </c>
      <c r="E24" s="20">
        <v>-3.125642594526882</v>
      </c>
      <c r="F24" s="20">
        <f t="shared" si="9"/>
        <v>16.055741738476012</v>
      </c>
      <c r="G24" s="20"/>
      <c r="H24" s="18">
        <v>38442</v>
      </c>
      <c r="I24" s="21">
        <v>1.3320108326992681</v>
      </c>
      <c r="J24" s="22">
        <v>19.02</v>
      </c>
      <c r="K24" s="22">
        <v>19.02</v>
      </c>
      <c r="L24" s="22">
        <v>19.02</v>
      </c>
      <c r="N24" s="18">
        <v>42735</v>
      </c>
      <c r="O24" s="20">
        <f t="shared" si="2"/>
        <v>14.1</v>
      </c>
      <c r="P24" s="20">
        <f t="shared" si="13"/>
        <v>14.1</v>
      </c>
      <c r="Q24" s="20">
        <f t="shared" si="14"/>
        <v>14.1</v>
      </c>
      <c r="R24" s="20">
        <f t="shared" si="15"/>
        <v>14.1</v>
      </c>
      <c r="S24" s="20">
        <f t="shared" si="1"/>
        <v>3.4835344484677222</v>
      </c>
      <c r="T24" s="4"/>
      <c r="U24" s="18">
        <v>38442</v>
      </c>
      <c r="V24" s="22">
        <v>18.172802167268411</v>
      </c>
      <c r="W24" s="491">
        <v>18.172802167268411</v>
      </c>
      <c r="X24" s="491">
        <v>18.172802167268411</v>
      </c>
      <c r="AA24" s="33" t="s">
        <v>152</v>
      </c>
      <c r="AB24" s="33" t="s">
        <v>153</v>
      </c>
      <c r="AC24" s="34"/>
      <c r="AD24" s="35">
        <v>10392</v>
      </c>
      <c r="AE24" s="35">
        <v>10365</v>
      </c>
      <c r="AF24" s="35">
        <v>10905</v>
      </c>
      <c r="AG24" s="35">
        <v>11615</v>
      </c>
      <c r="AH24" s="35">
        <v>12088</v>
      </c>
      <c r="AI24" s="35">
        <v>12496</v>
      </c>
      <c r="AJ24" s="35">
        <v>13148</v>
      </c>
      <c r="AK24" s="35">
        <v>14583</v>
      </c>
      <c r="AL24" s="35">
        <v>15166</v>
      </c>
      <c r="AM24" s="35">
        <v>13424</v>
      </c>
      <c r="AN24" s="35">
        <v>13587</v>
      </c>
      <c r="AO24" s="35">
        <v>14489</v>
      </c>
      <c r="AP24" s="35">
        <v>14939</v>
      </c>
      <c r="AQ24" s="35">
        <v>15242</v>
      </c>
      <c r="AR24" s="35">
        <v>12074</v>
      </c>
      <c r="AS24" s="35">
        <v>15646</v>
      </c>
      <c r="AT24" s="35">
        <v>17513</v>
      </c>
      <c r="AU24" s="35">
        <v>17525</v>
      </c>
      <c r="AV24" s="35">
        <v>19703</v>
      </c>
      <c r="AW24" s="35">
        <v>19871</v>
      </c>
      <c r="AX24" s="35">
        <v>20910</v>
      </c>
      <c r="AY24" s="35">
        <v>21793</v>
      </c>
      <c r="AZ24" s="35">
        <v>21047</v>
      </c>
      <c r="BA24" s="35">
        <v>19608</v>
      </c>
      <c r="BB24" s="348">
        <f t="shared" si="3"/>
        <v>19608</v>
      </c>
      <c r="BC24" s="41">
        <f t="shared" ref="BC24:BE24" si="60">(BC$27-SUM(BC$20:BC$22))/(BB$27-SUM(BB$20:BB$22))*BB24</f>
        <v>19151.057220217252</v>
      </c>
      <c r="BD24" s="41">
        <f t="shared" si="60"/>
        <v>18115.748383131584</v>
      </c>
      <c r="BE24" s="43">
        <f t="shared" si="60"/>
        <v>17971.697962057118</v>
      </c>
      <c r="BF24" s="348">
        <f t="shared" si="56"/>
        <v>19608</v>
      </c>
      <c r="BG24" s="41">
        <f t="shared" ref="BG24:BI24" si="61">(BG$27-SUM(BG$20:BG$22))/(BF$27-SUM(BF$20:BF$22))*BF24</f>
        <v>19063.200201041305</v>
      </c>
      <c r="BH24" s="41">
        <f t="shared" si="61"/>
        <v>18323.237338146104</v>
      </c>
      <c r="BI24" s="43">
        <f t="shared" si="61"/>
        <v>18260.715320660132</v>
      </c>
      <c r="BJ24" s="348">
        <f t="shared" si="58"/>
        <v>19608</v>
      </c>
      <c r="BK24" s="41">
        <f t="shared" ref="BK24:BM24" si="62">(BK$27-SUM(BK$20:BK$22))/(BJ$27-SUM(BJ$20:BJ$22))*BJ24</f>
        <v>18919.397255396503</v>
      </c>
      <c r="BL24" s="41">
        <f t="shared" si="62"/>
        <v>18535.398510372652</v>
      </c>
      <c r="BM24" s="43">
        <f t="shared" si="62"/>
        <v>18526.124402369511</v>
      </c>
    </row>
    <row r="25" spans="1:66" ht="14.25" customHeight="1">
      <c r="A25" s="18">
        <v>43100</v>
      </c>
      <c r="B25" s="19">
        <v>366426.12785793905</v>
      </c>
      <c r="C25" s="20">
        <v>3.1391817148095527</v>
      </c>
      <c r="D25" s="20">
        <v>11.2</v>
      </c>
      <c r="E25" s="20">
        <v>-2.9000000000000004</v>
      </c>
      <c r="F25" s="20">
        <f t="shared" si="9"/>
        <v>13.077103325947801</v>
      </c>
      <c r="G25" s="20"/>
      <c r="H25" s="18">
        <v>38533</v>
      </c>
      <c r="I25" s="21">
        <v>5.0810752886051063</v>
      </c>
      <c r="J25" s="22">
        <v>17.18</v>
      </c>
      <c r="K25" s="22">
        <v>17.18</v>
      </c>
      <c r="L25" s="22">
        <v>17.18</v>
      </c>
      <c r="N25" s="18">
        <v>43100</v>
      </c>
      <c r="O25" s="20">
        <f t="shared" si="2"/>
        <v>11.2</v>
      </c>
      <c r="P25" s="20">
        <f t="shared" si="13"/>
        <v>11.2</v>
      </c>
      <c r="Q25" s="20">
        <f t="shared" si="14"/>
        <v>11.2</v>
      </c>
      <c r="R25" s="20">
        <f t="shared" si="15"/>
        <v>11.2</v>
      </c>
      <c r="S25" s="20">
        <f t="shared" si="1"/>
        <v>3.1391817148095527</v>
      </c>
      <c r="T25" s="4"/>
      <c r="U25" s="18">
        <v>38533</v>
      </c>
      <c r="V25" s="22">
        <v>17.996458473542468</v>
      </c>
      <c r="W25" s="491">
        <v>17.996458473542468</v>
      </c>
      <c r="X25" s="491">
        <v>17.996458473542468</v>
      </c>
      <c r="AA25" s="34"/>
      <c r="AB25" s="34" t="s">
        <v>162</v>
      </c>
      <c r="AC25" s="34"/>
      <c r="AD25" s="35"/>
      <c r="AE25" s="35"/>
      <c r="AF25" s="35"/>
      <c r="AG25" s="35"/>
      <c r="AH25" s="35"/>
      <c r="AI25" s="35"/>
      <c r="AJ25" s="35"/>
      <c r="AK25" s="35"/>
      <c r="AL25" s="35"/>
      <c r="AM25" s="35"/>
      <c r="AN25" s="78">
        <v>231936</v>
      </c>
      <c r="AO25" s="35">
        <v>220637</v>
      </c>
      <c r="AP25" s="35">
        <v>212851</v>
      </c>
      <c r="AQ25" s="35">
        <v>206658</v>
      </c>
      <c r="AR25" s="35">
        <v>198911</v>
      </c>
      <c r="AS25" s="35">
        <v>194142</v>
      </c>
      <c r="AT25" s="35">
        <v>193524</v>
      </c>
      <c r="AU25" s="35">
        <v>192233</v>
      </c>
      <c r="AV25" s="35">
        <v>192665</v>
      </c>
      <c r="AW25" s="35">
        <v>183356</v>
      </c>
      <c r="AX25" s="35">
        <v>208440</v>
      </c>
      <c r="AY25" s="35">
        <v>201396</v>
      </c>
      <c r="AZ25" s="35">
        <v>186502</v>
      </c>
      <c r="BA25" s="35">
        <v>181959</v>
      </c>
      <c r="BB25" s="348">
        <f t="shared" si="3"/>
        <v>181959</v>
      </c>
      <c r="BC25" s="41">
        <f t="shared" ref="BC25:BE25" si="63">(BC$27-SUM(BC$20:BC$22))/(BB$27-SUM(BB$20:BB$22))*BB25</f>
        <v>177718.646508237</v>
      </c>
      <c r="BD25" s="41">
        <f t="shared" si="63"/>
        <v>168111.15157314565</v>
      </c>
      <c r="BE25" s="43">
        <f t="shared" si="63"/>
        <v>166774.38746827576</v>
      </c>
      <c r="BF25" s="348">
        <f t="shared" si="56"/>
        <v>181959</v>
      </c>
      <c r="BG25" s="41">
        <f t="shared" ref="BG25:BI25" si="64">(BG$27-SUM(BG$20:BG$22))/(BF$27-SUM(BF$20:BF$22))*BF25</f>
        <v>176903.34788766189</v>
      </c>
      <c r="BH25" s="41">
        <f t="shared" si="64"/>
        <v>170036.61479047974</v>
      </c>
      <c r="BI25" s="43">
        <f t="shared" si="64"/>
        <v>169456.42079926544</v>
      </c>
      <c r="BJ25" s="348">
        <f t="shared" si="58"/>
        <v>181959</v>
      </c>
      <c r="BK25" s="41">
        <f t="shared" ref="BK25:BM25" si="65">(BK$27-SUM(BK$20:BK$22))/(BJ$27-SUM(BJ$20:BJ$22))*BJ25</f>
        <v>175568.8803138868</v>
      </c>
      <c r="BL25" s="41">
        <f t="shared" si="65"/>
        <v>172005.43541151047</v>
      </c>
      <c r="BM25" s="43">
        <f t="shared" si="65"/>
        <v>171919.37322168268</v>
      </c>
    </row>
    <row r="26" spans="1:66" ht="14.25" customHeight="1">
      <c r="A26" s="18">
        <v>43465</v>
      </c>
      <c r="B26" s="19">
        <v>382623.83564079198</v>
      </c>
      <c r="C26" s="20">
        <v>2.6308045773756561</v>
      </c>
      <c r="D26" s="20">
        <v>8.9</v>
      </c>
      <c r="E26" s="20">
        <v>-2.2999999999999989</v>
      </c>
      <c r="F26" s="20">
        <f t="shared" si="9"/>
        <v>10.394129525918332</v>
      </c>
      <c r="G26" s="20"/>
      <c r="H26" s="18">
        <v>38625</v>
      </c>
      <c r="I26" s="21">
        <v>5.4673647442487976</v>
      </c>
      <c r="J26" s="22">
        <v>17</v>
      </c>
      <c r="K26" s="22">
        <v>17</v>
      </c>
      <c r="L26" s="22">
        <v>17</v>
      </c>
      <c r="N26" s="18">
        <v>43465</v>
      </c>
      <c r="O26" s="20">
        <f t="shared" si="2"/>
        <v>8.9</v>
      </c>
      <c r="P26" s="20">
        <f t="shared" si="13"/>
        <v>8.9</v>
      </c>
      <c r="Q26" s="20">
        <f t="shared" si="14"/>
        <v>8.9</v>
      </c>
      <c r="R26" s="20">
        <f t="shared" si="15"/>
        <v>8.9</v>
      </c>
      <c r="S26" s="20">
        <f t="shared" si="1"/>
        <v>2.6308045773756561</v>
      </c>
      <c r="T26" s="4"/>
      <c r="U26" s="18">
        <v>38625</v>
      </c>
      <c r="V26" s="22">
        <v>17.640247345595956</v>
      </c>
      <c r="W26" s="491">
        <v>17.640247345595956</v>
      </c>
      <c r="X26" s="491">
        <v>17.640247345595956</v>
      </c>
      <c r="AA26" s="34"/>
      <c r="AB26" s="34" t="s">
        <v>168</v>
      </c>
      <c r="AC26" s="34"/>
      <c r="AD26" s="35"/>
      <c r="AE26" s="35"/>
      <c r="AF26" s="35"/>
      <c r="AG26" s="35"/>
      <c r="AH26" s="35"/>
      <c r="AI26" s="35"/>
      <c r="AJ26" s="35"/>
      <c r="AK26" s="35"/>
      <c r="AL26" s="35"/>
      <c r="AM26" s="35"/>
      <c r="AN26" s="78">
        <v>32339</v>
      </c>
      <c r="AO26" s="35">
        <v>30944</v>
      </c>
      <c r="AP26" s="35">
        <v>28768</v>
      </c>
      <c r="AQ26" s="35">
        <v>25394</v>
      </c>
      <c r="AR26" s="35">
        <v>22731</v>
      </c>
      <c r="AS26" s="35">
        <v>21204</v>
      </c>
      <c r="AT26" s="35">
        <v>19891</v>
      </c>
      <c r="AU26" s="35">
        <v>19578</v>
      </c>
      <c r="AV26" s="35">
        <v>19476</v>
      </c>
      <c r="AW26" s="35">
        <v>19412</v>
      </c>
      <c r="AX26" s="35">
        <v>19268</v>
      </c>
      <c r="AY26" s="35">
        <v>19209</v>
      </c>
      <c r="AZ26" s="35">
        <v>19213</v>
      </c>
      <c r="BA26" s="35">
        <v>19181</v>
      </c>
      <c r="BB26" s="348">
        <f t="shared" si="3"/>
        <v>19181</v>
      </c>
      <c r="BC26" s="41">
        <f t="shared" ref="BC26:BE26" si="66">(BC$27-SUM(BC$20:BC$22))/(BB$27-SUM(BB$20:BB$22))*BB26</f>
        <v>18734.007983526473</v>
      </c>
      <c r="BD26" s="41">
        <f t="shared" si="66"/>
        <v>17721.244886620098</v>
      </c>
      <c r="BE26" s="43">
        <f t="shared" si="66"/>
        <v>17580.331426469682</v>
      </c>
      <c r="BF26" s="348">
        <f t="shared" si="56"/>
        <v>19181</v>
      </c>
      <c r="BG26" s="41">
        <f t="shared" ref="BG26:BI26" si="67">(BG$27-SUM(BG$20:BG$22))/(BF$27-SUM(BF$20:BF$22))*BF26</f>
        <v>18648.064211351146</v>
      </c>
      <c r="BH26" s="41">
        <f t="shared" si="67"/>
        <v>17924.215390808877</v>
      </c>
      <c r="BI26" s="43">
        <f t="shared" si="67"/>
        <v>17863.054904405446</v>
      </c>
      <c r="BJ26" s="348">
        <f t="shared" si="58"/>
        <v>19181</v>
      </c>
      <c r="BK26" s="41">
        <f t="shared" ref="BK26:BM26" si="68">(BK$27-SUM(BK$20:BK$22))/(BJ$27-SUM(BJ$20:BJ$22))*BJ26</f>
        <v>18507.392837401079</v>
      </c>
      <c r="BL26" s="41">
        <f t="shared" si="68"/>
        <v>18131.756366149421</v>
      </c>
      <c r="BM26" s="43">
        <f t="shared" si="68"/>
        <v>18122.684218780581</v>
      </c>
    </row>
    <row r="27" spans="1:66" ht="14.25" customHeight="1">
      <c r="A27" s="18">
        <v>43830</v>
      </c>
      <c r="B27" s="19">
        <v>400102</v>
      </c>
      <c r="C27" s="20">
        <v>2.9359923102297785</v>
      </c>
      <c r="D27" s="20">
        <v>7.880732391973619</v>
      </c>
      <c r="E27" s="20">
        <v>-1.0192676080263814</v>
      </c>
      <c r="F27" s="20">
        <f t="shared" si="9"/>
        <v>7.963844882762908</v>
      </c>
      <c r="G27" s="20"/>
      <c r="H27" s="18">
        <v>38717</v>
      </c>
      <c r="I27" s="21">
        <v>5.1321934870718309</v>
      </c>
      <c r="J27" s="22">
        <v>17.850000000000001</v>
      </c>
      <c r="K27" s="22">
        <v>17.850000000000001</v>
      </c>
      <c r="L27" s="22">
        <v>17.850000000000001</v>
      </c>
      <c r="N27" s="18">
        <v>43830</v>
      </c>
      <c r="O27" s="20">
        <f t="shared" si="2"/>
        <v>7.880732391973619</v>
      </c>
      <c r="P27" s="20">
        <f t="shared" si="13"/>
        <v>7.8807323919736199</v>
      </c>
      <c r="Q27" s="20">
        <f t="shared" si="14"/>
        <v>7.8807323919736199</v>
      </c>
      <c r="R27" s="20">
        <f t="shared" si="15"/>
        <v>7.8807323919736199</v>
      </c>
      <c r="S27" s="20">
        <f t="shared" si="1"/>
        <v>2.9359923102297785</v>
      </c>
      <c r="T27" s="4"/>
      <c r="U27" s="18">
        <v>38717</v>
      </c>
      <c r="V27" s="22">
        <v>17.35101723584404</v>
      </c>
      <c r="W27" s="491">
        <v>17.35101723584404</v>
      </c>
      <c r="X27" s="491">
        <v>17.35101723584404</v>
      </c>
      <c r="AA27" s="34"/>
      <c r="AB27" s="80" t="s">
        <v>173</v>
      </c>
      <c r="AC27" s="81"/>
      <c r="AD27" s="35"/>
      <c r="AE27" s="35"/>
      <c r="AF27" s="35"/>
      <c r="AG27" s="35"/>
      <c r="AH27" s="35"/>
      <c r="AI27" s="35"/>
      <c r="AJ27" s="35"/>
      <c r="AK27" s="35"/>
      <c r="AL27" s="35"/>
      <c r="AM27" s="35"/>
      <c r="AN27" s="82">
        <v>1432454</v>
      </c>
      <c r="AO27" s="83">
        <v>1411238</v>
      </c>
      <c r="AP27" s="83">
        <v>1395116</v>
      </c>
      <c r="AQ27" s="83">
        <v>1364298</v>
      </c>
      <c r="AR27" s="83">
        <v>1342149</v>
      </c>
      <c r="AS27" s="83">
        <v>1391002</v>
      </c>
      <c r="AT27" s="83">
        <v>1443141</v>
      </c>
      <c r="AU27" s="83">
        <v>1476832</v>
      </c>
      <c r="AV27" s="83">
        <v>1517580</v>
      </c>
      <c r="AW27" s="83">
        <v>1507221</v>
      </c>
      <c r="AX27" s="83">
        <v>1585473</v>
      </c>
      <c r="AY27" s="83">
        <v>1585569</v>
      </c>
      <c r="AZ27" s="83">
        <v>1562312</v>
      </c>
      <c r="BA27" s="83">
        <v>1515174</v>
      </c>
      <c r="BB27" s="350">
        <f>BA27</f>
        <v>1515174</v>
      </c>
      <c r="BC27" s="86">
        <f t="shared" ref="BC27:BM27" si="69">(100-BC4)*BC28/100</f>
        <v>1487545.3910693568</v>
      </c>
      <c r="BD27" s="86">
        <f t="shared" si="69"/>
        <v>1424946.4306571174</v>
      </c>
      <c r="BE27" s="87">
        <f t="shared" si="69"/>
        <v>1416236.5594735676</v>
      </c>
      <c r="BF27" s="350">
        <f t="shared" si="56"/>
        <v>1515174</v>
      </c>
      <c r="BG27" s="86">
        <f t="shared" si="69"/>
        <v>1482233.2002830654</v>
      </c>
      <c r="BH27" s="86">
        <f t="shared" si="69"/>
        <v>1437492.0522298</v>
      </c>
      <c r="BI27" s="87">
        <f t="shared" si="69"/>
        <v>1433711.7181330537</v>
      </c>
      <c r="BJ27" s="350">
        <f t="shared" si="58"/>
        <v>1515174</v>
      </c>
      <c r="BK27" s="86">
        <f t="shared" si="69"/>
        <v>1473538.2924651026</v>
      </c>
      <c r="BL27" s="86">
        <f t="shared" si="69"/>
        <v>1450320.1749555843</v>
      </c>
      <c r="BM27" s="87">
        <f t="shared" si="69"/>
        <v>1449759.4248692801</v>
      </c>
    </row>
    <row r="28" spans="1:66" ht="14.25" customHeight="1" thickBot="1">
      <c r="A28" s="88">
        <v>44196</v>
      </c>
      <c r="B28" s="89">
        <f>SUM(bdp!AP109:AP112)</f>
        <v>285295.28554696182</v>
      </c>
      <c r="C28" s="64">
        <f>(B28/B27-1)*100</f>
        <v>-28.69436155106402</v>
      </c>
      <c r="D28" s="64">
        <f>D27+E28</f>
        <v>20.447575338122849</v>
      </c>
      <c r="E28" s="64">
        <f>B33+B34*C28</f>
        <v>12.566842946149231</v>
      </c>
      <c r="H28" s="18">
        <v>38807</v>
      </c>
      <c r="I28" s="21">
        <v>6.5762501279509991</v>
      </c>
      <c r="J28" s="22">
        <v>17.71</v>
      </c>
      <c r="K28" s="22">
        <v>17.71</v>
      </c>
      <c r="L28" s="22">
        <v>17.71</v>
      </c>
      <c r="N28" s="88">
        <v>44196</v>
      </c>
      <c r="O28" s="64">
        <f t="shared" si="2"/>
        <v>20.447575338122849</v>
      </c>
      <c r="P28" s="64">
        <f t="shared" si="13"/>
        <v>13.58393773435203</v>
      </c>
      <c r="Q28" s="64">
        <f t="shared" si="14"/>
        <v>13.882071661282962</v>
      </c>
      <c r="R28" s="64">
        <f t="shared" si="15"/>
        <v>17.03087522286857</v>
      </c>
      <c r="S28" s="64">
        <f t="shared" si="1"/>
        <v>-28.69436155106402</v>
      </c>
      <c r="T28" s="4"/>
      <c r="U28" s="18">
        <v>38807</v>
      </c>
      <c r="V28" s="22">
        <v>16.856863583235793</v>
      </c>
      <c r="W28" s="491">
        <v>16.856863583235793</v>
      </c>
      <c r="X28" s="491">
        <v>16.856863583235793</v>
      </c>
      <c r="AA28" s="34"/>
      <c r="AB28" s="81" t="s">
        <v>25</v>
      </c>
      <c r="AC28" s="81"/>
      <c r="AD28" s="35"/>
      <c r="AE28" s="35"/>
      <c r="AF28" s="35"/>
      <c r="AG28" s="35"/>
      <c r="AH28" s="35"/>
      <c r="AI28" s="35"/>
      <c r="AJ28" s="35"/>
      <c r="AK28" s="35"/>
      <c r="AL28" s="35"/>
      <c r="AM28" s="35"/>
      <c r="AN28" s="82">
        <v>1734879</v>
      </c>
      <c r="AO28" s="83">
        <v>1716571</v>
      </c>
      <c r="AP28" s="83">
        <v>1719440</v>
      </c>
      <c r="AQ28" s="83">
        <v>1709410</v>
      </c>
      <c r="AR28" s="83">
        <v>1670336</v>
      </c>
      <c r="AS28" s="83">
        <v>1676908</v>
      </c>
      <c r="AT28" s="83">
        <v>1685001</v>
      </c>
      <c r="AU28" s="83">
        <v>1670799</v>
      </c>
      <c r="AV28" s="83">
        <v>1671122</v>
      </c>
      <c r="AW28" s="83">
        <v>1653022</v>
      </c>
      <c r="AX28" s="83">
        <v>1697642</v>
      </c>
      <c r="AY28" s="83">
        <v>1697945</v>
      </c>
      <c r="AZ28" s="83">
        <v>1694065</v>
      </c>
      <c r="BA28" s="83">
        <v>1658635</v>
      </c>
      <c r="BB28" s="351">
        <f>BA28</f>
        <v>1658635</v>
      </c>
      <c r="BC28" s="95">
        <f t="shared" ref="BC28:BM28" si="70">$BA$28</f>
        <v>1658635</v>
      </c>
      <c r="BD28" s="95">
        <f t="shared" si="70"/>
        <v>1658635</v>
      </c>
      <c r="BE28" s="96">
        <f t="shared" si="70"/>
        <v>1658635</v>
      </c>
      <c r="BF28" s="351">
        <f t="shared" si="56"/>
        <v>1658635</v>
      </c>
      <c r="BG28" s="95">
        <f t="shared" si="70"/>
        <v>1658635</v>
      </c>
      <c r="BH28" s="95">
        <f t="shared" si="70"/>
        <v>1658635</v>
      </c>
      <c r="BI28" s="96">
        <f t="shared" si="70"/>
        <v>1658635</v>
      </c>
      <c r="BJ28" s="351">
        <f t="shared" si="58"/>
        <v>1658635</v>
      </c>
      <c r="BK28" s="95">
        <f t="shared" si="70"/>
        <v>1658635</v>
      </c>
      <c r="BL28" s="95">
        <f t="shared" si="70"/>
        <v>1658635</v>
      </c>
      <c r="BM28" s="96">
        <f t="shared" si="70"/>
        <v>1658635</v>
      </c>
    </row>
    <row r="29" spans="1:66" ht="14.25" customHeight="1">
      <c r="A29" s="88"/>
      <c r="B29" s="89"/>
      <c r="C29" s="64"/>
      <c r="D29" s="64"/>
      <c r="E29" s="64"/>
      <c r="H29" s="18">
        <v>38898</v>
      </c>
      <c r="I29" s="21">
        <v>4.1979744499520706</v>
      </c>
      <c r="J29" s="22">
        <v>15.59</v>
      </c>
      <c r="K29" s="22">
        <v>15.59</v>
      </c>
      <c r="L29" s="22">
        <v>15.59</v>
      </c>
      <c r="T29" s="4"/>
      <c r="U29" s="18">
        <v>38898</v>
      </c>
      <c r="V29" s="22">
        <v>16.447038032342665</v>
      </c>
      <c r="W29" s="491">
        <v>16.447038032342665</v>
      </c>
      <c r="X29" s="491">
        <v>16.447038032342665</v>
      </c>
      <c r="AZ29" s="395">
        <f>AZ28-AZ27</f>
        <v>131753</v>
      </c>
      <c r="BA29" s="395">
        <f>BA28-BA27</f>
        <v>143461</v>
      </c>
      <c r="BB29" s="395">
        <f>BB28-BB27</f>
        <v>143461</v>
      </c>
      <c r="BC29" s="395">
        <f t="shared" ref="BC29:BE29" si="71">BC28-BC27</f>
        <v>171089.60893064318</v>
      </c>
      <c r="BD29" s="395">
        <f t="shared" si="71"/>
        <v>233688.56934288261</v>
      </c>
      <c r="BE29" s="395">
        <f t="shared" si="71"/>
        <v>242398.44052643236</v>
      </c>
      <c r="BF29" s="395">
        <f t="shared" ref="BF29" si="72">BF28-BF27</f>
        <v>143461</v>
      </c>
      <c r="BG29" s="395">
        <f t="shared" ref="BG29" si="73">BG28-BG27</f>
        <v>176401.79971693456</v>
      </c>
      <c r="BH29" s="395">
        <f t="shared" ref="BH29" si="74">BH28-BH27</f>
        <v>221142.94777019997</v>
      </c>
      <c r="BI29" s="395">
        <f t="shared" ref="BI29" si="75">BI28-BI27</f>
        <v>224923.28186694626</v>
      </c>
      <c r="BJ29" s="395">
        <f t="shared" ref="BJ29" si="76">BJ28-BJ27</f>
        <v>143461</v>
      </c>
      <c r="BK29" s="395">
        <f t="shared" ref="BK29" si="77">BK28-BK27</f>
        <v>185096.70753489737</v>
      </c>
      <c r="BL29" s="395">
        <f t="shared" ref="BL29" si="78">BL28-BL27</f>
        <v>208314.82504441566</v>
      </c>
      <c r="BM29" s="395">
        <f t="shared" ref="BM29" si="79">BM28-BM27</f>
        <v>208875.57513071992</v>
      </c>
    </row>
    <row r="30" spans="1:66" ht="14.25" customHeight="1">
      <c r="H30" s="18">
        <v>38990</v>
      </c>
      <c r="I30" s="21">
        <v>4.1993772477144802</v>
      </c>
      <c r="J30" s="22">
        <v>15.78</v>
      </c>
      <c r="K30" s="22">
        <v>15.78</v>
      </c>
      <c r="L30" s="22">
        <v>15.78</v>
      </c>
      <c r="T30" s="4"/>
      <c r="U30" s="18">
        <v>38990</v>
      </c>
      <c r="V30" s="22">
        <v>16.414263312616935</v>
      </c>
      <c r="W30" s="491">
        <v>16.414263312616935</v>
      </c>
      <c r="X30" s="491">
        <v>16.414263312616935</v>
      </c>
      <c r="AN30" s="97">
        <f t="shared" ref="AN30:AZ30" si="80">1-AN27/AN28</f>
        <v>0.17432051457190967</v>
      </c>
      <c r="AO30" s="97">
        <f t="shared" si="80"/>
        <v>0.17787379607368414</v>
      </c>
      <c r="AP30" s="97">
        <f t="shared" si="80"/>
        <v>0.18862187689015031</v>
      </c>
      <c r="AQ30" s="97">
        <f t="shared" si="80"/>
        <v>0.20188954083572697</v>
      </c>
      <c r="AR30" s="97">
        <f t="shared" si="80"/>
        <v>0.1964796304456109</v>
      </c>
      <c r="AS30" s="97">
        <f t="shared" si="80"/>
        <v>0.170495936568971</v>
      </c>
      <c r="AT30" s="97">
        <f t="shared" si="80"/>
        <v>0.14353700680296333</v>
      </c>
      <c r="AU30" s="97">
        <f t="shared" si="80"/>
        <v>0.1160923606011256</v>
      </c>
      <c r="AV30" s="97">
        <f t="shared" si="80"/>
        <v>9.1879587486730419E-2</v>
      </c>
      <c r="AW30" s="97">
        <f t="shared" si="80"/>
        <v>8.8202697846731626E-2</v>
      </c>
      <c r="AX30" s="97">
        <f t="shared" si="80"/>
        <v>6.6073412415574073E-2</v>
      </c>
      <c r="AY30" s="97">
        <f t="shared" si="80"/>
        <v>6.6183533624469604E-2</v>
      </c>
      <c r="AZ30" s="97">
        <f t="shared" si="80"/>
        <v>7.777328496840441E-2</v>
      </c>
      <c r="BA30" s="18"/>
      <c r="BB30" s="395">
        <f>BB29-$AZ$29</f>
        <v>11708</v>
      </c>
      <c r="BC30" s="395">
        <f t="shared" ref="BC30:BF30" si="81">BC29-$AZ$29</f>
        <v>39336.608930643182</v>
      </c>
      <c r="BD30" s="395">
        <f t="shared" si="81"/>
        <v>101935.56934288261</v>
      </c>
      <c r="BE30" s="395">
        <f t="shared" si="81"/>
        <v>110645.44052643236</v>
      </c>
      <c r="BF30" s="395">
        <f t="shared" si="81"/>
        <v>11708</v>
      </c>
      <c r="BG30" s="395">
        <f t="shared" ref="BG30" si="82">BG29-$AZ$29</f>
        <v>44648.799716934562</v>
      </c>
      <c r="BH30" s="395">
        <f t="shared" ref="BH30" si="83">BH29-$AZ$29</f>
        <v>89389.947770199971</v>
      </c>
      <c r="BI30" s="395">
        <f t="shared" ref="BI30:BJ30" si="84">BI29-$AZ$29</f>
        <v>93170.281866946258</v>
      </c>
      <c r="BJ30" s="395">
        <f t="shared" si="84"/>
        <v>11708</v>
      </c>
      <c r="BK30" s="395">
        <f t="shared" ref="BK30" si="85">BK29-$AZ$29</f>
        <v>53343.707534897374</v>
      </c>
      <c r="BL30" s="395">
        <f t="shared" ref="BL30" si="86">BL29-$AZ$29</f>
        <v>76561.825044415658</v>
      </c>
      <c r="BM30" s="395">
        <f t="shared" ref="BM30" si="87">BM29-$AZ$29</f>
        <v>77122.575130719924</v>
      </c>
      <c r="BN30" s="101"/>
    </row>
    <row r="31" spans="1:66" ht="14.25" customHeight="1">
      <c r="A31" s="102" t="s">
        <v>186</v>
      </c>
      <c r="H31" s="18">
        <v>39082</v>
      </c>
      <c r="I31" s="21">
        <v>5.2420919651346765</v>
      </c>
      <c r="J31" s="22">
        <v>16.649999999999999</v>
      </c>
      <c r="K31" s="22">
        <v>16.649999999999999</v>
      </c>
      <c r="L31" s="22">
        <v>16.649999999999999</v>
      </c>
      <c r="T31" s="4"/>
      <c r="U31" s="18">
        <v>39082</v>
      </c>
      <c r="V31" s="22">
        <v>16.162297666474061</v>
      </c>
      <c r="W31" s="491">
        <v>16.162297666474061</v>
      </c>
      <c r="X31" s="491">
        <v>16.162297666474061</v>
      </c>
      <c r="AW31" s="352">
        <f>AW30-AV30</f>
        <v>-3.6768896399987927E-3</v>
      </c>
      <c r="AZ31" s="353">
        <f>BB4/100-AZ30</f>
        <v>8.7201267828247164E-3</v>
      </c>
      <c r="BA31" s="18"/>
      <c r="BN31" s="101"/>
    </row>
    <row r="32" spans="1:66" ht="14.25" customHeight="1">
      <c r="A32" s="105"/>
      <c r="B32" s="105" t="s">
        <v>189</v>
      </c>
      <c r="C32" s="105" t="s">
        <v>190</v>
      </c>
      <c r="D32" s="105" t="s">
        <v>191</v>
      </c>
      <c r="E32" s="105" t="s">
        <v>192</v>
      </c>
      <c r="F32" s="105"/>
      <c r="H32" s="18">
        <v>39172</v>
      </c>
      <c r="I32" s="21">
        <v>6.3900088341466699</v>
      </c>
      <c r="J32" s="22">
        <v>16.32</v>
      </c>
      <c r="K32" s="22">
        <v>16.32</v>
      </c>
      <c r="L32" s="22">
        <v>16.32</v>
      </c>
      <c r="T32" s="4"/>
      <c r="U32" s="18">
        <v>39172</v>
      </c>
      <c r="V32" s="22">
        <v>15.439301448019101</v>
      </c>
      <c r="W32" s="491">
        <v>15.439301448019101</v>
      </c>
      <c r="X32" s="491">
        <v>15.439301448019101</v>
      </c>
      <c r="BA32" s="18"/>
      <c r="BE32" s="98"/>
      <c r="BI32" s="98"/>
      <c r="BM32" s="98"/>
    </row>
    <row r="33" spans="1:66" ht="14.25" customHeight="1">
      <c r="A33" s="105" t="s">
        <v>193</v>
      </c>
      <c r="B33" s="105">
        <v>0.31722</v>
      </c>
      <c r="C33" s="105">
        <v>0.35919000000000001</v>
      </c>
      <c r="D33" s="105">
        <v>0.88300000000000001</v>
      </c>
      <c r="E33" s="105">
        <v>0.38819799999999999</v>
      </c>
      <c r="F33" s="105"/>
      <c r="H33" s="18">
        <v>39263</v>
      </c>
      <c r="I33" s="21">
        <v>5.9151569736022083</v>
      </c>
      <c r="J33" s="22">
        <v>13.99</v>
      </c>
      <c r="K33" s="22">
        <v>13.99</v>
      </c>
      <c r="L33" s="22">
        <v>13.99</v>
      </c>
      <c r="T33" s="4"/>
      <c r="U33" s="18">
        <v>39263</v>
      </c>
      <c r="V33" s="22">
        <v>14.852021997673672</v>
      </c>
      <c r="W33" s="491">
        <v>14.852021997673672</v>
      </c>
      <c r="X33" s="491">
        <v>14.852021997673672</v>
      </c>
      <c r="BA33" s="18"/>
      <c r="BB33" s="99" t="s">
        <v>183</v>
      </c>
      <c r="BC33" s="100">
        <f>BB28-BB27</f>
        <v>143461</v>
      </c>
      <c r="BN33" s="99"/>
    </row>
    <row r="34" spans="1:66" ht="14.25" customHeight="1">
      <c r="A34" s="105" t="s">
        <v>11</v>
      </c>
      <c r="B34" s="105">
        <v>-0.4269</v>
      </c>
      <c r="C34" s="105">
        <v>9.8780000000000007E-2</v>
      </c>
      <c r="D34" s="105">
        <v>-4.3220000000000001</v>
      </c>
      <c r="E34" s="105">
        <v>3.68E-4</v>
      </c>
      <c r="F34" s="105" t="s">
        <v>194</v>
      </c>
      <c r="H34" s="18">
        <v>39355</v>
      </c>
      <c r="I34" s="21">
        <v>4.7434249558204016</v>
      </c>
      <c r="J34" s="22">
        <v>13.79</v>
      </c>
      <c r="K34" s="22">
        <v>13.79</v>
      </c>
      <c r="L34" s="22">
        <v>13.79</v>
      </c>
      <c r="T34" s="4"/>
      <c r="U34" s="18">
        <v>39355</v>
      </c>
      <c r="V34" s="22">
        <v>14.46366011500802</v>
      </c>
      <c r="W34" s="491">
        <v>14.46366011500802</v>
      </c>
      <c r="X34" s="491">
        <v>14.46366011500802</v>
      </c>
      <c r="BA34" s="18"/>
      <c r="BB34" s="99" t="s">
        <v>187</v>
      </c>
      <c r="BC34" s="103">
        <f>BC33/BB28</f>
        <v>8.6493411751229168E-2</v>
      </c>
    </row>
    <row r="35" spans="1:66" ht="14.25" customHeight="1">
      <c r="H35" s="18">
        <v>39447</v>
      </c>
      <c r="I35" s="21">
        <v>4.1200517556200396</v>
      </c>
      <c r="J35" s="22">
        <v>14.38</v>
      </c>
      <c r="K35" s="22">
        <v>14.38</v>
      </c>
      <c r="L35" s="22">
        <v>14.38</v>
      </c>
      <c r="T35" s="4"/>
      <c r="U35" s="18">
        <v>39447</v>
      </c>
      <c r="V35" s="22">
        <v>13.923872138358433</v>
      </c>
      <c r="W35" s="491">
        <v>13.923872138358433</v>
      </c>
      <c r="X35" s="491">
        <v>13.923872138358433</v>
      </c>
      <c r="BA35" s="18"/>
    </row>
    <row r="36" spans="1:66" ht="14.25" customHeight="1">
      <c r="H36" s="18">
        <v>39538</v>
      </c>
      <c r="I36" s="21">
        <v>2.901486866103582</v>
      </c>
      <c r="J36" s="22">
        <v>14.26</v>
      </c>
      <c r="K36" s="22">
        <v>14.26</v>
      </c>
      <c r="L36" s="22">
        <v>14.26</v>
      </c>
      <c r="T36" s="4"/>
      <c r="U36" s="18">
        <v>39538</v>
      </c>
      <c r="V36" s="22">
        <v>13.300571388306553</v>
      </c>
      <c r="W36" s="491">
        <v>13.300571388306553</v>
      </c>
      <c r="X36" s="491">
        <v>13.300571388306553</v>
      </c>
      <c r="BA36" s="18"/>
    </row>
    <row r="37" spans="1:66" ht="14.25" customHeight="1">
      <c r="H37" s="18">
        <v>39629</v>
      </c>
      <c r="I37" s="21">
        <v>3.092621264257005</v>
      </c>
      <c r="J37" s="22">
        <v>12.37</v>
      </c>
      <c r="K37" s="22">
        <v>12.37</v>
      </c>
      <c r="L37" s="22">
        <v>12.37</v>
      </c>
      <c r="T37" s="4"/>
      <c r="U37" s="18">
        <v>39629</v>
      </c>
      <c r="V37" s="22">
        <v>13.22933494979319</v>
      </c>
      <c r="W37" s="491">
        <v>13.22933494979319</v>
      </c>
      <c r="X37" s="491">
        <v>13.22933494979319</v>
      </c>
      <c r="BA37" s="18"/>
    </row>
    <row r="38" spans="1:66" ht="14.25" customHeight="1">
      <c r="H38" s="18">
        <v>39721</v>
      </c>
      <c r="I38" s="21">
        <v>1.7035991173792269</v>
      </c>
      <c r="J38" s="22">
        <v>12.37</v>
      </c>
      <c r="K38" s="22">
        <v>12.37</v>
      </c>
      <c r="L38" s="22">
        <v>12.37</v>
      </c>
      <c r="T38" s="4"/>
      <c r="U38" s="18">
        <v>39721</v>
      </c>
      <c r="V38" s="22">
        <v>13.135480921932745</v>
      </c>
      <c r="W38" s="491">
        <v>13.135480921932745</v>
      </c>
      <c r="X38" s="491">
        <v>13.135480921932745</v>
      </c>
      <c r="BA38" s="18"/>
    </row>
    <row r="39" spans="1:66" ht="14.25" customHeight="1">
      <c r="H39" s="18">
        <v>39813</v>
      </c>
      <c r="I39" s="21">
        <v>-0.64648472106203769</v>
      </c>
      <c r="J39" s="22">
        <v>13.48</v>
      </c>
      <c r="K39" s="22">
        <v>13.48</v>
      </c>
      <c r="L39" s="22">
        <v>13.48</v>
      </c>
      <c r="T39" s="4"/>
      <c r="U39" s="18">
        <v>39813</v>
      </c>
      <c r="V39" s="22">
        <v>13.042909457336448</v>
      </c>
      <c r="W39" s="491">
        <v>13.042909457336448</v>
      </c>
      <c r="X39" s="491">
        <v>13.042909457336448</v>
      </c>
      <c r="BA39" s="18"/>
    </row>
    <row r="40" spans="1:66" ht="14.25" customHeight="1">
      <c r="H40" s="18">
        <v>39903</v>
      </c>
      <c r="I40" s="21">
        <v>-8.8169943967401565</v>
      </c>
      <c r="J40" s="22">
        <v>15.08</v>
      </c>
      <c r="K40" s="22">
        <v>15.08</v>
      </c>
      <c r="L40" s="22">
        <v>15.08</v>
      </c>
      <c r="T40" s="4"/>
      <c r="U40" s="18">
        <v>39903</v>
      </c>
      <c r="V40" s="22">
        <v>13.997141567094763</v>
      </c>
      <c r="W40" s="491">
        <v>13.997141567094763</v>
      </c>
      <c r="X40" s="491">
        <v>13.997141567094763</v>
      </c>
      <c r="BA40" s="18"/>
    </row>
    <row r="41" spans="1:66" ht="14.25" customHeight="1">
      <c r="H41" s="18">
        <v>39994</v>
      </c>
      <c r="I41" s="21">
        <v>-8.5892060228062235</v>
      </c>
      <c r="J41" s="22">
        <v>14.01</v>
      </c>
      <c r="K41" s="22">
        <v>14.01</v>
      </c>
      <c r="L41" s="22">
        <v>14.01</v>
      </c>
      <c r="T41" s="4"/>
      <c r="U41" s="18">
        <v>39994</v>
      </c>
      <c r="V41" s="22">
        <v>14.911772067616077</v>
      </c>
      <c r="W41" s="491">
        <v>14.911772067616077</v>
      </c>
      <c r="X41" s="491">
        <v>14.911772067616077</v>
      </c>
      <c r="BA41" s="18"/>
    </row>
    <row r="42" spans="1:66" ht="14.25" customHeight="1">
      <c r="H42" s="18">
        <v>40086</v>
      </c>
      <c r="I42" s="21">
        <v>-7.613715980090987</v>
      </c>
      <c r="J42" s="22">
        <v>14.79</v>
      </c>
      <c r="K42" s="22">
        <v>14.79</v>
      </c>
      <c r="L42" s="22">
        <v>14.79</v>
      </c>
      <c r="T42" s="4"/>
      <c r="U42" s="18">
        <v>40086</v>
      </c>
      <c r="V42" s="22">
        <v>15.700013470837447</v>
      </c>
      <c r="W42" s="491">
        <v>15.700013470837447</v>
      </c>
      <c r="X42" s="491">
        <v>15.700013470837447</v>
      </c>
      <c r="BA42" s="18"/>
    </row>
    <row r="43" spans="1:66" ht="14.25" customHeight="1">
      <c r="H43" s="18">
        <v>40178</v>
      </c>
      <c r="I43" s="21">
        <v>-4.3203717322743387</v>
      </c>
      <c r="J43" s="22">
        <v>16.739999999999998</v>
      </c>
      <c r="K43" s="22">
        <v>16.739999999999998</v>
      </c>
      <c r="L43" s="22">
        <v>16.739999999999998</v>
      </c>
      <c r="T43" s="4"/>
      <c r="U43" s="18">
        <v>40178</v>
      </c>
      <c r="V43" s="22">
        <v>16.247612098112754</v>
      </c>
      <c r="W43" s="491">
        <v>16.247612098112754</v>
      </c>
      <c r="X43" s="491">
        <v>16.247612098112754</v>
      </c>
      <c r="BA43" s="18"/>
    </row>
    <row r="44" spans="1:66" ht="14.25" customHeight="1">
      <c r="H44" s="18">
        <v>40268</v>
      </c>
      <c r="I44" s="21">
        <v>-2.511213415242679</v>
      </c>
      <c r="J44" s="22">
        <v>18.25</v>
      </c>
      <c r="K44" s="22">
        <v>18.25</v>
      </c>
      <c r="L44" s="22">
        <v>18.25</v>
      </c>
      <c r="T44" s="4"/>
      <c r="U44" s="18">
        <v>40268</v>
      </c>
      <c r="V44" s="22">
        <v>17.017538562852806</v>
      </c>
      <c r="W44" s="491">
        <v>17.017538562852806</v>
      </c>
      <c r="X44" s="491">
        <v>17.017538562852806</v>
      </c>
      <c r="BA44" s="18"/>
    </row>
    <row r="45" spans="1:66" ht="14.25" customHeight="1">
      <c r="H45" s="18">
        <v>40359</v>
      </c>
      <c r="I45" s="21">
        <v>-2.939447085478136</v>
      </c>
      <c r="J45" s="22">
        <v>16.46</v>
      </c>
      <c r="K45" s="22">
        <v>16.46</v>
      </c>
      <c r="L45" s="22">
        <v>16.46</v>
      </c>
      <c r="T45" s="4"/>
      <c r="U45" s="18">
        <v>40359</v>
      </c>
      <c r="V45" s="22">
        <v>17.471147589560481</v>
      </c>
      <c r="W45" s="491">
        <v>17.471147589560481</v>
      </c>
      <c r="X45" s="491">
        <v>17.471147589560481</v>
      </c>
      <c r="BA45" s="18"/>
    </row>
    <row r="46" spans="1:66" ht="14.25" customHeight="1">
      <c r="H46" s="18">
        <v>40451</v>
      </c>
      <c r="I46" s="21">
        <v>1.013481423639135</v>
      </c>
      <c r="J46" s="22">
        <v>16.760000000000002</v>
      </c>
      <c r="K46" s="22">
        <v>16.760000000000002</v>
      </c>
      <c r="L46" s="22">
        <v>16.760000000000002</v>
      </c>
      <c r="T46" s="4"/>
      <c r="U46" s="18">
        <v>40451</v>
      </c>
      <c r="V46" s="22">
        <v>17.822467154531747</v>
      </c>
      <c r="W46" s="491">
        <v>17.822467154531747</v>
      </c>
      <c r="X46" s="491">
        <v>17.822467154531747</v>
      </c>
    </row>
    <row r="47" spans="1:66" ht="14.25" customHeight="1">
      <c r="H47" s="18">
        <v>40543</v>
      </c>
      <c r="I47" s="21">
        <v>-1.7422109868578985</v>
      </c>
      <c r="J47" s="22">
        <v>18.64</v>
      </c>
      <c r="K47" s="22">
        <v>18.64</v>
      </c>
      <c r="L47" s="22">
        <v>18.64</v>
      </c>
      <c r="T47" s="4"/>
      <c r="U47" s="18">
        <v>40543</v>
      </c>
      <c r="V47" s="22">
        <v>18.033735238627166</v>
      </c>
      <c r="W47" s="491">
        <v>18.033735238627166</v>
      </c>
      <c r="X47" s="491">
        <v>18.033735238627166</v>
      </c>
    </row>
    <row r="48" spans="1:66" ht="14.25" customHeight="1">
      <c r="H48" s="18">
        <v>40633</v>
      </c>
      <c r="I48" s="21">
        <v>-2.3465731362899902</v>
      </c>
      <c r="J48" s="22">
        <v>19.13</v>
      </c>
      <c r="K48" s="22">
        <v>19.13</v>
      </c>
      <c r="L48" s="22">
        <v>19.13</v>
      </c>
      <c r="T48" s="4"/>
      <c r="U48" s="18">
        <v>40633</v>
      </c>
      <c r="V48" s="22">
        <v>17.768909337948777</v>
      </c>
      <c r="W48" s="491">
        <v>17.768909337948777</v>
      </c>
      <c r="X48" s="491">
        <v>17.768909337948777</v>
      </c>
    </row>
    <row r="49" spans="8:24" ht="14.25" customHeight="1">
      <c r="H49" s="18">
        <v>40724</v>
      </c>
      <c r="I49" s="21">
        <v>1.132389929248717</v>
      </c>
      <c r="J49" s="22">
        <v>16.690000000000001</v>
      </c>
      <c r="K49" s="22">
        <v>16.690000000000001</v>
      </c>
      <c r="L49" s="22">
        <v>16.690000000000001</v>
      </c>
      <c r="T49" s="4"/>
      <c r="U49" s="18">
        <v>40724</v>
      </c>
      <c r="V49" s="22">
        <v>17.870186063390573</v>
      </c>
      <c r="W49" s="491">
        <v>17.870186063390573</v>
      </c>
      <c r="X49" s="491">
        <v>17.870186063390573</v>
      </c>
    </row>
    <row r="50" spans="8:24" ht="14.25" customHeight="1">
      <c r="H50" s="18">
        <v>40816</v>
      </c>
      <c r="I50" s="21">
        <v>2.1107123695230712E-2</v>
      </c>
      <c r="J50" s="22">
        <v>16.600000000000001</v>
      </c>
      <c r="K50" s="22">
        <v>16.600000000000001</v>
      </c>
      <c r="L50" s="22">
        <v>16.600000000000001</v>
      </c>
      <c r="T50" s="4"/>
      <c r="U50" s="18">
        <v>40816</v>
      </c>
      <c r="V50" s="22">
        <v>17.796638235779845</v>
      </c>
      <c r="W50" s="491">
        <v>17.796638235779845</v>
      </c>
      <c r="X50" s="491">
        <v>17.796638235779845</v>
      </c>
    </row>
    <row r="51" spans="8:24" ht="14.25" customHeight="1">
      <c r="H51" s="18">
        <v>40908</v>
      </c>
      <c r="I51" s="21">
        <v>-0.22934433360873641</v>
      </c>
      <c r="J51" s="22">
        <v>18.558517003648891</v>
      </c>
      <c r="K51" s="22">
        <v>18.558517003648891</v>
      </c>
      <c r="L51" s="22">
        <v>18.558517003648891</v>
      </c>
      <c r="T51" s="4"/>
      <c r="U51" s="18">
        <v>40908</v>
      </c>
      <c r="V51" s="22">
        <v>17.814191796193963</v>
      </c>
      <c r="W51" s="491">
        <v>17.814191796193963</v>
      </c>
      <c r="X51" s="491">
        <v>17.814191796193963</v>
      </c>
    </row>
    <row r="52" spans="8:24" ht="14.25" customHeight="1">
      <c r="H52" s="18">
        <v>40999</v>
      </c>
      <c r="I52" s="21">
        <v>-1.2048722074554803</v>
      </c>
      <c r="J52" s="22">
        <v>19.7</v>
      </c>
      <c r="K52" s="22">
        <v>19.7</v>
      </c>
      <c r="L52" s="22">
        <v>19.7</v>
      </c>
      <c r="T52" s="4"/>
      <c r="U52" s="18">
        <v>40999</v>
      </c>
      <c r="V52" s="22">
        <v>18.23902174838415</v>
      </c>
      <c r="W52" s="491">
        <v>18.23902174838415</v>
      </c>
      <c r="X52" s="491">
        <v>18.23902174838415</v>
      </c>
    </row>
    <row r="53" spans="8:24" ht="14.25" customHeight="1">
      <c r="H53" s="18">
        <v>41090</v>
      </c>
      <c r="I53" s="21">
        <v>-2.9945914921394916</v>
      </c>
      <c r="J53" s="22">
        <v>17.100000000000001</v>
      </c>
      <c r="K53" s="22">
        <v>17.100000000000001</v>
      </c>
      <c r="L53" s="22">
        <v>17.100000000000001</v>
      </c>
      <c r="T53" s="4"/>
      <c r="U53" s="18">
        <v>41090</v>
      </c>
      <c r="V53" s="22">
        <v>18.457329438886795</v>
      </c>
      <c r="W53" s="491">
        <v>18.457329438886795</v>
      </c>
      <c r="X53" s="491">
        <v>18.457329438886795</v>
      </c>
    </row>
    <row r="54" spans="8:24" ht="14.25" customHeight="1">
      <c r="H54" s="18">
        <v>41182</v>
      </c>
      <c r="I54" s="21">
        <v>-1.8047831917015174</v>
      </c>
      <c r="J54" s="22">
        <v>18.100000000000001</v>
      </c>
      <c r="K54" s="22">
        <v>18.100000000000001</v>
      </c>
      <c r="L54" s="22">
        <v>18.100000000000001</v>
      </c>
      <c r="T54" s="4"/>
      <c r="U54" s="18">
        <v>41182</v>
      </c>
      <c r="V54" s="22">
        <v>19.396733635784773</v>
      </c>
      <c r="W54" s="491">
        <v>19.396733635784773</v>
      </c>
      <c r="X54" s="491">
        <v>19.396733635784773</v>
      </c>
    </row>
    <row r="55" spans="8:24" ht="14.25" customHeight="1">
      <c r="H55" s="18">
        <v>41274</v>
      </c>
      <c r="I55" s="21">
        <v>-2.8823899790260725</v>
      </c>
      <c r="J55" s="22">
        <v>20.9</v>
      </c>
      <c r="K55" s="22">
        <v>20.9</v>
      </c>
      <c r="L55" s="22">
        <v>20.9</v>
      </c>
      <c r="T55" s="4"/>
      <c r="U55" s="18">
        <v>41274</v>
      </c>
      <c r="V55" s="22">
        <v>20.045407025599296</v>
      </c>
      <c r="W55" s="491">
        <v>20.045407025599296</v>
      </c>
      <c r="X55" s="491">
        <v>20.045407025599296</v>
      </c>
    </row>
    <row r="56" spans="8:24" ht="14.25" customHeight="1">
      <c r="H56" s="18">
        <v>41364</v>
      </c>
      <c r="I56" s="21">
        <v>-1.1781758447468604</v>
      </c>
      <c r="J56" s="22">
        <v>21.5</v>
      </c>
      <c r="K56" s="22">
        <v>21.5</v>
      </c>
      <c r="L56" s="22">
        <v>21.5</v>
      </c>
      <c r="T56" s="4"/>
      <c r="U56" s="18">
        <v>41364</v>
      </c>
      <c r="V56" s="22">
        <v>20.007090008163228</v>
      </c>
      <c r="W56" s="491">
        <v>20.007090008163228</v>
      </c>
      <c r="X56" s="491">
        <v>20.007090008163228</v>
      </c>
    </row>
    <row r="57" spans="8:24" ht="14.25" customHeight="1">
      <c r="H57" s="18">
        <v>41455</v>
      </c>
      <c r="I57" s="21">
        <v>7.5961415204247373E-2</v>
      </c>
      <c r="J57" s="22">
        <v>18.600000000000001</v>
      </c>
      <c r="K57" s="22">
        <v>18.600000000000001</v>
      </c>
      <c r="L57" s="22">
        <v>18.600000000000001</v>
      </c>
      <c r="T57" s="4"/>
      <c r="U57" s="18">
        <v>41455</v>
      </c>
      <c r="V57" s="22">
        <v>20.091930313516063</v>
      </c>
      <c r="W57" s="491">
        <v>20.091930313516063</v>
      </c>
      <c r="X57" s="491">
        <v>20.091930313516063</v>
      </c>
    </row>
    <row r="58" spans="8:24" ht="14.25" customHeight="1">
      <c r="H58" s="18">
        <v>41547</v>
      </c>
      <c r="I58" s="21">
        <v>-0.75772440304913857</v>
      </c>
      <c r="J58" s="22">
        <v>19</v>
      </c>
      <c r="K58" s="22">
        <v>19</v>
      </c>
      <c r="L58" s="22">
        <v>19</v>
      </c>
      <c r="T58" s="4"/>
      <c r="U58" s="18">
        <v>41547</v>
      </c>
      <c r="V58" s="22">
        <v>20.34368597591773</v>
      </c>
      <c r="W58" s="491">
        <v>20.34368597591773</v>
      </c>
      <c r="X58" s="491">
        <v>20.34368597591773</v>
      </c>
    </row>
    <row r="59" spans="8:24" ht="14.25" customHeight="1">
      <c r="H59" s="18">
        <v>41639</v>
      </c>
      <c r="I59" s="21">
        <v>-0.36963614954868262</v>
      </c>
      <c r="J59" s="22">
        <v>21.5</v>
      </c>
      <c r="K59" s="22">
        <v>21.5</v>
      </c>
      <c r="L59" s="22">
        <v>21.5</v>
      </c>
      <c r="T59" s="4"/>
      <c r="U59" s="18">
        <v>41639</v>
      </c>
      <c r="V59" s="22">
        <v>20.575633792381264</v>
      </c>
      <c r="W59" s="491">
        <v>20.575633792381264</v>
      </c>
      <c r="X59" s="491">
        <v>20.575633792381264</v>
      </c>
    </row>
    <row r="60" spans="8:24" ht="14.25" customHeight="1">
      <c r="H60" s="18">
        <v>41729</v>
      </c>
      <c r="I60" s="21">
        <v>-1.0781897487394616</v>
      </c>
      <c r="J60" s="22">
        <v>22.2</v>
      </c>
      <c r="K60" s="22">
        <v>22.2</v>
      </c>
      <c r="L60" s="22">
        <v>22.2</v>
      </c>
      <c r="T60" s="4"/>
      <c r="U60" s="18">
        <v>41729</v>
      </c>
      <c r="V60" s="22">
        <v>20.720375686425157</v>
      </c>
      <c r="W60" s="491">
        <v>20.720375686425157</v>
      </c>
      <c r="X60" s="491">
        <v>20.720375686425157</v>
      </c>
    </row>
    <row r="61" spans="8:24" ht="14.25" customHeight="1">
      <c r="H61" s="18">
        <v>41820</v>
      </c>
      <c r="I61" s="21">
        <v>-0.37078182194473186</v>
      </c>
      <c r="J61" s="22">
        <v>18.2</v>
      </c>
      <c r="K61" s="22">
        <v>18.2</v>
      </c>
      <c r="L61" s="22">
        <v>18.2</v>
      </c>
      <c r="T61" s="4"/>
      <c r="U61" s="18">
        <v>41820</v>
      </c>
      <c r="V61" s="22">
        <v>19.75896996429692</v>
      </c>
      <c r="W61" s="491">
        <v>19.75896996429692</v>
      </c>
      <c r="X61" s="491">
        <v>19.75896996429692</v>
      </c>
    </row>
    <row r="62" spans="8:24" ht="14.25" customHeight="1">
      <c r="H62" s="18">
        <v>41912</v>
      </c>
      <c r="I62" s="21">
        <v>0.18597434456131623</v>
      </c>
      <c r="J62" s="22">
        <v>17.600000000000001</v>
      </c>
      <c r="K62" s="22">
        <v>17.600000000000001</v>
      </c>
      <c r="L62" s="22">
        <v>17.600000000000001</v>
      </c>
      <c r="T62" s="4"/>
      <c r="U62" s="18">
        <v>41912</v>
      </c>
      <c r="V62" s="22">
        <v>18.929195433406449</v>
      </c>
      <c r="W62" s="491">
        <v>18.929195433406449</v>
      </c>
      <c r="X62" s="491">
        <v>18.929195433406449</v>
      </c>
    </row>
    <row r="63" spans="8:24" ht="14.25" customHeight="1">
      <c r="H63" s="18">
        <v>42004</v>
      </c>
      <c r="I63" s="21">
        <v>0.74835852896796951</v>
      </c>
      <c r="J63" s="22">
        <v>19.399999999999999</v>
      </c>
      <c r="K63" s="22">
        <v>19.399999999999999</v>
      </c>
      <c r="L63" s="22">
        <v>19.399999999999999</v>
      </c>
      <c r="T63" s="4"/>
      <c r="U63" s="18">
        <v>42004</v>
      </c>
      <c r="V63" s="22">
        <v>18.431590603837957</v>
      </c>
      <c r="W63" s="491">
        <v>18.431590603837957</v>
      </c>
      <c r="X63" s="491">
        <v>18.431590603837957</v>
      </c>
    </row>
    <row r="64" spans="8:24" ht="14.25" customHeight="1">
      <c r="H64" s="18">
        <v>42094</v>
      </c>
      <c r="I64" s="21">
        <v>1.401207133152667</v>
      </c>
      <c r="J64" s="22">
        <v>19.087103434543717</v>
      </c>
      <c r="K64" s="22">
        <v>19.087103434543717</v>
      </c>
      <c r="L64" s="22">
        <v>19.087103434543717</v>
      </c>
      <c r="T64" s="4"/>
      <c r="U64" s="18">
        <v>42094</v>
      </c>
      <c r="V64" s="22">
        <v>17.675800852047086</v>
      </c>
      <c r="W64" s="491">
        <v>17.675800852047086</v>
      </c>
      <c r="X64" s="491">
        <v>17.675800852047086</v>
      </c>
    </row>
    <row r="65" spans="8:24" ht="14.25" customHeight="1">
      <c r="H65" s="18">
        <v>42185</v>
      </c>
      <c r="I65" s="21">
        <v>1.8522390958709138</v>
      </c>
      <c r="J65" s="22">
        <v>15.551889263358312</v>
      </c>
      <c r="K65" s="22">
        <v>15.551889263358312</v>
      </c>
      <c r="L65" s="22">
        <v>15.551889263358312</v>
      </c>
      <c r="T65" s="4"/>
      <c r="U65" s="18">
        <v>42185</v>
      </c>
      <c r="V65" s="22">
        <v>17.115445353087427</v>
      </c>
      <c r="W65" s="491">
        <v>17.115445353087427</v>
      </c>
      <c r="X65" s="491">
        <v>17.115445353087427</v>
      </c>
    </row>
    <row r="66" spans="8:24" ht="14.25" customHeight="1">
      <c r="H66" s="18">
        <v>42277</v>
      </c>
      <c r="I66" s="21">
        <v>3.9435859255217309</v>
      </c>
      <c r="J66" s="22">
        <v>15.47082260540008</v>
      </c>
      <c r="K66" s="22">
        <v>15.47082260540008</v>
      </c>
      <c r="L66" s="22">
        <v>15.47082260540008</v>
      </c>
      <c r="T66" s="4"/>
      <c r="U66" s="18">
        <v>42277</v>
      </c>
      <c r="V66" s="22">
        <v>16.711840793915869</v>
      </c>
      <c r="W66" s="491">
        <v>16.711840793915869</v>
      </c>
      <c r="X66" s="491">
        <v>16.711840793915869</v>
      </c>
    </row>
    <row r="67" spans="8:24" ht="14.25" customHeight="1">
      <c r="H67" s="18">
        <v>42369</v>
      </c>
      <c r="I67" s="21">
        <v>2.3104276376878516</v>
      </c>
      <c r="J67" s="22">
        <v>17.225642594526882</v>
      </c>
      <c r="K67" s="22">
        <v>17.225642594526882</v>
      </c>
      <c r="L67" s="22">
        <v>17.225642594526882</v>
      </c>
      <c r="T67" s="4"/>
      <c r="U67" s="18">
        <v>42369</v>
      </c>
      <c r="V67" s="22">
        <v>16.247162421313476</v>
      </c>
      <c r="W67" s="491">
        <v>16.247162421313476</v>
      </c>
      <c r="X67" s="491">
        <v>16.247162421313476</v>
      </c>
    </row>
    <row r="68" spans="8:24" ht="14.25" customHeight="1">
      <c r="H68" s="18">
        <v>42460</v>
      </c>
      <c r="I68" s="21">
        <v>3.2795887168851152</v>
      </c>
      <c r="J68" s="22">
        <v>16.5</v>
      </c>
      <c r="K68" s="22">
        <v>16.5</v>
      </c>
      <c r="L68" s="22">
        <v>16.5</v>
      </c>
      <c r="T68" s="4"/>
      <c r="U68" s="18">
        <v>42460</v>
      </c>
      <c r="V68" s="22">
        <v>15.189113141939446</v>
      </c>
      <c r="W68" s="491">
        <v>15.189113141939446</v>
      </c>
      <c r="X68" s="491">
        <v>15.189113141939446</v>
      </c>
    </row>
    <row r="69" spans="8:24" ht="14.25" customHeight="1">
      <c r="H69" s="18">
        <v>42551</v>
      </c>
      <c r="I69" s="21">
        <v>3.0665060429969628</v>
      </c>
      <c r="J69" s="22">
        <v>13</v>
      </c>
      <c r="K69" s="22">
        <v>13</v>
      </c>
      <c r="L69" s="22">
        <v>13</v>
      </c>
      <c r="T69" s="4"/>
      <c r="U69" s="18">
        <v>42551</v>
      </c>
      <c r="V69" s="22">
        <v>14.52084183802414</v>
      </c>
      <c r="W69" s="491">
        <v>14.52084183802414</v>
      </c>
      <c r="X69" s="491">
        <v>14.52084183802414</v>
      </c>
    </row>
    <row r="70" spans="8:24" ht="14.25" customHeight="1">
      <c r="H70" s="18">
        <v>42643</v>
      </c>
      <c r="I70" s="21">
        <v>3.574323815567368</v>
      </c>
      <c r="J70" s="22">
        <v>12.6</v>
      </c>
      <c r="K70" s="22">
        <v>12.6</v>
      </c>
      <c r="L70" s="22">
        <v>12.6</v>
      </c>
      <c r="T70" s="4"/>
      <c r="U70" s="18">
        <v>42643</v>
      </c>
      <c r="V70" s="22">
        <v>13.724619719031995</v>
      </c>
      <c r="W70" s="491">
        <v>13.724619719031995</v>
      </c>
      <c r="X70" s="491">
        <v>13.724619719031995</v>
      </c>
    </row>
    <row r="71" spans="8:24" ht="14.25" customHeight="1">
      <c r="H71" s="18">
        <v>42735</v>
      </c>
      <c r="I71" s="21">
        <v>3.9873547192121634</v>
      </c>
      <c r="J71" s="22">
        <v>14.1</v>
      </c>
      <c r="K71" s="22">
        <v>14.1</v>
      </c>
      <c r="L71" s="22">
        <v>14.1</v>
      </c>
      <c r="T71" s="4"/>
      <c r="U71" s="18">
        <v>42735</v>
      </c>
      <c r="V71" s="22">
        <v>13.151949161815939</v>
      </c>
      <c r="W71" s="491">
        <v>13.151949161815939</v>
      </c>
      <c r="X71" s="491">
        <v>13.151949161815939</v>
      </c>
    </row>
    <row r="72" spans="8:24" ht="14.25" customHeight="1">
      <c r="H72" s="18">
        <v>42825</v>
      </c>
      <c r="I72" s="21">
        <v>3.0209334143764153</v>
      </c>
      <c r="J72" s="22">
        <v>13.6</v>
      </c>
      <c r="K72" s="22">
        <v>13.6</v>
      </c>
      <c r="L72" s="22">
        <v>13.6</v>
      </c>
      <c r="T72" s="4"/>
      <c r="U72" s="18">
        <v>42825</v>
      </c>
      <c r="V72" s="22">
        <v>12.408474148585846</v>
      </c>
      <c r="W72" s="491">
        <v>12.408474148585846</v>
      </c>
      <c r="X72" s="491">
        <v>12.408474148585846</v>
      </c>
    </row>
    <row r="73" spans="8:24" ht="14.25" customHeight="1">
      <c r="H73" s="18">
        <v>42916</v>
      </c>
      <c r="I73" s="21">
        <v>3.3901414600493069</v>
      </c>
      <c r="J73" s="22">
        <v>10.1</v>
      </c>
      <c r="K73" s="22">
        <v>10.1</v>
      </c>
      <c r="L73" s="22">
        <v>10.1</v>
      </c>
      <c r="T73" s="4"/>
      <c r="U73" s="18">
        <v>42916</v>
      </c>
      <c r="V73" s="22">
        <v>11.541942416095328</v>
      </c>
      <c r="W73" s="491">
        <v>11.541942416095328</v>
      </c>
      <c r="X73" s="491">
        <v>11.541942416095328</v>
      </c>
    </row>
    <row r="74" spans="8:24" ht="14.25" customHeight="1">
      <c r="H74" s="18">
        <v>43008</v>
      </c>
      <c r="I74" s="21">
        <v>3.5717153805701969</v>
      </c>
      <c r="J74" s="22">
        <v>10.1</v>
      </c>
      <c r="K74" s="22">
        <v>10.1</v>
      </c>
      <c r="L74" s="22">
        <v>10.1</v>
      </c>
      <c r="T74" s="4"/>
      <c r="U74" s="18">
        <v>43008</v>
      </c>
      <c r="V74" s="22">
        <v>11.108354660609557</v>
      </c>
      <c r="W74" s="491">
        <v>11.108354660609557</v>
      </c>
      <c r="X74" s="491">
        <v>11.108354660609557</v>
      </c>
    </row>
    <row r="75" spans="8:24" ht="14.25" customHeight="1">
      <c r="H75" s="18">
        <v>43100</v>
      </c>
      <c r="I75" s="21">
        <v>2.5103533828245475</v>
      </c>
      <c r="J75" s="22">
        <v>11.2</v>
      </c>
      <c r="K75" s="22">
        <v>11.2</v>
      </c>
      <c r="L75" s="22">
        <v>11.2</v>
      </c>
      <c r="T75" s="4"/>
      <c r="U75" s="18">
        <v>43100</v>
      </c>
      <c r="V75" s="22">
        <v>10.334122696964837</v>
      </c>
      <c r="W75" s="491">
        <v>10.334122696964837</v>
      </c>
      <c r="X75" s="491">
        <v>10.334122696964837</v>
      </c>
    </row>
    <row r="76" spans="8:24" ht="14.25" customHeight="1">
      <c r="H76" s="18">
        <v>43190</v>
      </c>
      <c r="I76" s="21">
        <v>2.2466302999344094</v>
      </c>
      <c r="J76" s="22">
        <v>10.8</v>
      </c>
      <c r="K76" s="22">
        <v>10.8</v>
      </c>
      <c r="L76" s="22">
        <v>10.8</v>
      </c>
      <c r="T76" s="4"/>
      <c r="U76" s="18">
        <v>43190</v>
      </c>
      <c r="V76" s="22">
        <v>9.7159960626202988</v>
      </c>
      <c r="W76" s="491">
        <v>9.7159960626202988</v>
      </c>
      <c r="X76" s="491">
        <v>9.7159960626202988</v>
      </c>
    </row>
    <row r="77" spans="8:24" ht="14.25" customHeight="1">
      <c r="H77" s="18">
        <v>43281</v>
      </c>
      <c r="I77" s="21">
        <v>3.1954440371533082</v>
      </c>
      <c r="J77" s="22">
        <v>8.1999999999999993</v>
      </c>
      <c r="K77" s="22">
        <v>8.1999999999999993</v>
      </c>
      <c r="L77" s="22">
        <v>8.1999999999999993</v>
      </c>
      <c r="T77" s="4"/>
      <c r="U77" s="18">
        <v>43281</v>
      </c>
      <c r="V77" s="22">
        <v>9.537429292499132</v>
      </c>
      <c r="W77" s="491">
        <v>9.537429292499132</v>
      </c>
      <c r="X77" s="491">
        <v>9.537429292499132</v>
      </c>
    </row>
    <row r="78" spans="8:24" ht="14.25" customHeight="1">
      <c r="H78" s="18">
        <v>43373</v>
      </c>
      <c r="I78" s="21">
        <v>3.0187317397612645</v>
      </c>
      <c r="J78" s="22">
        <v>7.8</v>
      </c>
      <c r="K78" s="22">
        <v>7.8</v>
      </c>
      <c r="L78" s="22">
        <v>7.8</v>
      </c>
      <c r="T78" s="4"/>
      <c r="U78" s="18">
        <v>43373</v>
      </c>
      <c r="V78" s="22">
        <v>8.741767372263384</v>
      </c>
      <c r="W78" s="491">
        <v>8.741767372263384</v>
      </c>
      <c r="X78" s="491">
        <v>8.741767372263384</v>
      </c>
    </row>
    <row r="79" spans="8:24" ht="14.25" customHeight="1">
      <c r="H79" s="18">
        <v>43465</v>
      </c>
      <c r="I79" s="21">
        <v>2.2246762643534908</v>
      </c>
      <c r="J79" s="22">
        <v>8.9</v>
      </c>
      <c r="K79" s="22">
        <v>8.9</v>
      </c>
      <c r="L79" s="22">
        <v>8.9</v>
      </c>
      <c r="T79" s="4"/>
      <c r="U79" s="18">
        <v>43465</v>
      </c>
      <c r="V79" s="22">
        <v>8.122957497622382</v>
      </c>
      <c r="W79" s="491">
        <v>8.122957497622382</v>
      </c>
      <c r="X79" s="491">
        <v>8.122957497622382</v>
      </c>
    </row>
    <row r="80" spans="8:24" ht="14.25" customHeight="1">
      <c r="H80" s="18">
        <v>43555</v>
      </c>
      <c r="I80" s="21">
        <v>4.0705329672531008</v>
      </c>
      <c r="J80" s="22">
        <v>8.9</v>
      </c>
      <c r="K80" s="22">
        <v>8.9</v>
      </c>
      <c r="L80" s="22">
        <v>8.9</v>
      </c>
      <c r="T80" s="4"/>
      <c r="U80" s="18">
        <v>43555</v>
      </c>
      <c r="V80" s="22">
        <v>7.8784356463696268</v>
      </c>
      <c r="W80" s="491">
        <v>7.8784356463696268</v>
      </c>
      <c r="X80" s="491">
        <v>7.8784356463696268</v>
      </c>
    </row>
    <row r="81" spans="8:24" ht="14.25" customHeight="1">
      <c r="H81" s="18">
        <v>43646</v>
      </c>
      <c r="I81" s="21">
        <v>2.4152267073920939</v>
      </c>
      <c r="J81" s="22">
        <v>6.7</v>
      </c>
      <c r="K81" s="22">
        <v>6.7</v>
      </c>
      <c r="L81" s="22">
        <v>6.7</v>
      </c>
      <c r="T81" s="4"/>
      <c r="U81" s="18">
        <v>43646</v>
      </c>
      <c r="V81" s="22">
        <v>7.9497838517455675</v>
      </c>
      <c r="W81" s="491">
        <v>7.9497838517455675</v>
      </c>
      <c r="X81" s="491">
        <v>7.9497838517455675</v>
      </c>
    </row>
    <row r="82" spans="8:24" ht="14.25" customHeight="1">
      <c r="H82" s="18">
        <v>43738</v>
      </c>
      <c r="I82" s="21">
        <v>2.9208867078742315</v>
      </c>
      <c r="J82" s="22">
        <v>6.7</v>
      </c>
      <c r="K82" s="22">
        <v>6.7</v>
      </c>
      <c r="L82" s="22">
        <v>6.7</v>
      </c>
      <c r="T82" s="4"/>
      <c r="U82" s="18">
        <v>43738</v>
      </c>
      <c r="V82" s="22">
        <v>7.607520072909888</v>
      </c>
      <c r="W82" s="491">
        <v>7.607520072909888</v>
      </c>
      <c r="X82" s="491">
        <v>7.607520072909888</v>
      </c>
    </row>
    <row r="83" spans="8:24" ht="14.25" customHeight="1">
      <c r="H83" s="18">
        <v>43830</v>
      </c>
      <c r="I83" s="21">
        <v>2.4684831745114195</v>
      </c>
      <c r="J83" s="22">
        <v>7.8807323919736199</v>
      </c>
      <c r="K83" s="22">
        <v>7.8807323919736199</v>
      </c>
      <c r="L83" s="22">
        <v>7.8807323919736199</v>
      </c>
      <c r="T83" s="4"/>
      <c r="U83" s="18">
        <v>43830</v>
      </c>
      <c r="V83" s="22">
        <v>7.1668411358915645</v>
      </c>
      <c r="W83" s="491">
        <v>7.1668411358915645</v>
      </c>
      <c r="X83" s="491">
        <v>7.1668411358915645</v>
      </c>
    </row>
    <row r="84" spans="8:24" ht="14.25" customHeight="1">
      <c r="H84" s="88">
        <v>43921</v>
      </c>
      <c r="I84" s="106">
        <f>bdp!BA109*100</f>
        <v>-2.6251936062721026</v>
      </c>
      <c r="J84" s="107">
        <f t="shared" ref="J84:J87" si="88">J83+($J$91+$J$92*$I84)*($I84/SUM($I$84:$I$87))</f>
        <v>7.9270379584723702</v>
      </c>
      <c r="K84" s="107">
        <f t="shared" ref="K84:K87" si="89">K83+($K$91+$K$92*$I84)*($I84/SUM($I$84:$I$87))</f>
        <v>7.9170799345659635</v>
      </c>
      <c r="L84" s="107">
        <f t="shared" ref="L84:L87" si="90">L83+($L$91+$L$92*$I84)*($I84/SUM($I$84:$I$87))</f>
        <v>7.9185443020721316</v>
      </c>
      <c r="T84" s="4"/>
      <c r="U84" s="357">
        <v>43921</v>
      </c>
      <c r="V84" s="356">
        <f>BB4</f>
        <v>8.6493411751229132</v>
      </c>
      <c r="W84" s="356">
        <f>BF4</f>
        <v>8.6493411751229132</v>
      </c>
      <c r="X84" s="356">
        <f>BJ4</f>
        <v>8.6493411751229132</v>
      </c>
    </row>
    <row r="85" spans="8:24" ht="14.25" customHeight="1">
      <c r="H85" s="88">
        <v>44012</v>
      </c>
      <c r="I85" s="106">
        <f>bdp!BA110*100</f>
        <v>-25.416729893932565</v>
      </c>
      <c r="J85" s="107">
        <f t="shared" si="88"/>
        <v>11.056979952483331</v>
      </c>
      <c r="K85" s="107">
        <f t="shared" si="89"/>
        <v>11.248567444553796</v>
      </c>
      <c r="L85" s="107">
        <f t="shared" si="90"/>
        <v>13.051955237821197</v>
      </c>
      <c r="T85" s="4"/>
      <c r="U85" s="88">
        <v>44012</v>
      </c>
      <c r="V85" s="107">
        <f>V84+0.5*($K$91+$K$92*bdp!BA110*100)*(bdp!BA110/SUM(bdp!BA$109:BA$112))</f>
        <v>10.31508493011683</v>
      </c>
      <c r="W85" s="107">
        <f>W84+0.5*($K$91+$K$92*bdp!BB110*100)*(bdp!BB110/SUM(bdp!BB$109:BB$112))</f>
        <v>10.635359781804596</v>
      </c>
      <c r="X85" s="107">
        <f>X84+0.5*($K$91+$K$92*bdp!BC110*100)*(bdp!BC110/SUM(bdp!BC$109:BC$112))</f>
        <v>11.159580470380604</v>
      </c>
    </row>
    <row r="86" spans="8:24" ht="14.25" customHeight="1">
      <c r="H86" s="88">
        <v>44104</v>
      </c>
      <c r="I86" s="106">
        <f>bdp!BA111*100</f>
        <v>-20.21291562945342</v>
      </c>
      <c r="J86" s="107">
        <f t="shared" si="88"/>
        <v>13.059182018368112</v>
      </c>
      <c r="K86" s="107">
        <f t="shared" si="89"/>
        <v>13.356948823313804</v>
      </c>
      <c r="L86" s="107">
        <f t="shared" si="90"/>
        <v>16.268723758736716</v>
      </c>
      <c r="T86" s="4"/>
      <c r="U86" s="88">
        <v>44104</v>
      </c>
      <c r="V86" s="107">
        <f>V89+($K$91+$K$92*bdp!BA111*100)*(bdp!BA111/SUM(bdp!BA$109:BA$112))</f>
        <v>14.089210063870754</v>
      </c>
      <c r="W86" s="107">
        <f>W89+($K$91+$K$92*bdp!BB111*100)*(bdp!BB111/SUM(bdp!BB$109:BB$112))</f>
        <v>13.332827763202879</v>
      </c>
      <c r="X86" s="107">
        <f>X89+($K$91+$K$92*bdp!BC111*100)*(bdp!BC111/SUM(bdp!BC$109:BC$112))</f>
        <v>12.559413315431998</v>
      </c>
    </row>
    <row r="87" spans="8:24" ht="14.25" customHeight="1">
      <c r="H87" s="88">
        <v>44196</v>
      </c>
      <c r="I87" s="106">
        <f>bdp!BA112*100</f>
        <v>-10.070873203246888</v>
      </c>
      <c r="J87" s="107">
        <f t="shared" si="88"/>
        <v>13.58393773435203</v>
      </c>
      <c r="K87" s="107">
        <f t="shared" si="89"/>
        <v>13.882071661282962</v>
      </c>
      <c r="L87" s="107">
        <f t="shared" si="90"/>
        <v>17.03087522286857</v>
      </c>
      <c r="T87" s="4"/>
      <c r="U87" s="88">
        <v>44196</v>
      </c>
      <c r="V87" s="107">
        <f>V86+($K$91+$K$92*bdp!BA112*100)*(bdp!BA112/SUM(bdp!BA$109:BA$112))</f>
        <v>14.614332901839912</v>
      </c>
      <c r="W87" s="107">
        <f>W86+($K$91+$K$92*bdp!BB112*100)*(bdp!BB112/SUM(bdp!BB$109:BB$112))</f>
        <v>13.560746147702542</v>
      </c>
      <c r="X87" s="107">
        <f>X86+($K$91+$K$92*bdp!BC112*100)*(bdp!BC112/SUM(bdp!BC$109:BC$112))</f>
        <v>12.593221241003588</v>
      </c>
    </row>
    <row r="88" spans="8:24" ht="14.25" customHeight="1">
      <c r="T88" s="4"/>
    </row>
    <row r="89" spans="8:24" ht="14.25" customHeight="1">
      <c r="I89" s="102" t="s">
        <v>186</v>
      </c>
      <c r="J89" s="105" t="s">
        <v>18</v>
      </c>
      <c r="K89" s="105" t="s">
        <v>19</v>
      </c>
      <c r="L89" s="105" t="s">
        <v>20</v>
      </c>
      <c r="T89" s="4"/>
      <c r="U89" s="88">
        <v>44012</v>
      </c>
      <c r="V89" s="107">
        <f>V84+($K$91+$K$92*bdp!BA110*100)*(bdp!BA110*100/SUM($I$84:$I$87))</f>
        <v>11.980828685110746</v>
      </c>
      <c r="W89" s="107">
        <f>W84+($K$91+$K$92*bdp!BB110*100)*(bdp!BB110*100/SUM($I$84:$I$87))</f>
        <v>11.980828685110746</v>
      </c>
      <c r="X89" s="107">
        <f>X84+($K$91+$K$92*bdp!BC110*100)*(bdp!BC110*100/SUM($I$84:$I$87))</f>
        <v>11.980828685110746</v>
      </c>
    </row>
    <row r="90" spans="8:24" ht="14.25" customHeight="1">
      <c r="I90" s="105"/>
      <c r="J90" s="105" t="s">
        <v>206</v>
      </c>
      <c r="K90" s="105" t="s">
        <v>207</v>
      </c>
      <c r="L90" s="105" t="s">
        <v>208</v>
      </c>
      <c r="T90" s="4"/>
      <c r="U90" s="88"/>
      <c r="V90" s="107"/>
      <c r="W90" s="107"/>
      <c r="X90" s="107"/>
    </row>
    <row r="91" spans="8:24" ht="14.25" customHeight="1">
      <c r="I91" s="105" t="s">
        <v>193</v>
      </c>
      <c r="J91" s="108">
        <v>0.32</v>
      </c>
      <c r="K91" s="108">
        <v>0.02</v>
      </c>
      <c r="L91" s="108">
        <v>-0.42</v>
      </c>
      <c r="T91" s="4"/>
    </row>
    <row r="92" spans="8:24" ht="14.25" customHeight="1">
      <c r="I92" s="105" t="s">
        <v>11</v>
      </c>
      <c r="J92" s="108">
        <v>-0.27</v>
      </c>
      <c r="K92" s="108">
        <v>-0.3</v>
      </c>
      <c r="L92" s="108">
        <v>-0.48</v>
      </c>
      <c r="T92" s="4"/>
    </row>
    <row r="93" spans="8:24" ht="14.25" customHeight="1">
      <c r="T93" s="4"/>
    </row>
    <row r="94" spans="8:24" ht="14.25" customHeight="1">
      <c r="T94" s="4"/>
    </row>
    <row r="95" spans="8:24" ht="14.25" customHeight="1">
      <c r="T95" s="4"/>
    </row>
    <row r="96" spans="8:24" ht="14.25" customHeight="1">
      <c r="T96" s="4"/>
    </row>
    <row r="97" spans="20:20" ht="14.25" customHeight="1">
      <c r="T97" s="4"/>
    </row>
    <row r="98" spans="20:20" ht="14.25" customHeight="1">
      <c r="T98" s="4"/>
    </row>
    <row r="99" spans="20:20" ht="14.25" customHeight="1">
      <c r="T99" s="4"/>
    </row>
    <row r="100" spans="20:20" ht="14.25" customHeight="1">
      <c r="T100" s="4"/>
    </row>
    <row r="101" spans="20:20" ht="14.25" customHeight="1">
      <c r="T101" s="4"/>
    </row>
    <row r="102" spans="20:20" ht="14.25" customHeight="1">
      <c r="T102" s="4"/>
    </row>
    <row r="103" spans="20:20" ht="14.25" customHeight="1">
      <c r="T103" s="4"/>
    </row>
    <row r="104" spans="20:20" ht="14.25" customHeight="1">
      <c r="T104" s="4"/>
    </row>
    <row r="105" spans="20:20" ht="14.25" customHeight="1">
      <c r="T105" s="4"/>
    </row>
    <row r="106" spans="20:20" ht="14.25" customHeight="1">
      <c r="T106" s="4"/>
    </row>
    <row r="107" spans="20:20" ht="14.25" customHeight="1">
      <c r="T107" s="4"/>
    </row>
    <row r="108" spans="20:20" ht="14.25" customHeight="1">
      <c r="T108" s="4"/>
    </row>
    <row r="109" spans="20:20" ht="14.25" customHeight="1">
      <c r="T109" s="4"/>
    </row>
    <row r="110" spans="20:20" ht="14.25" customHeight="1">
      <c r="T110" s="4"/>
    </row>
    <row r="111" spans="20:20" ht="14.25" customHeight="1">
      <c r="T111" s="4"/>
    </row>
    <row r="112" spans="20:20" ht="14.25" customHeight="1">
      <c r="T112" s="4"/>
    </row>
    <row r="113" spans="20:20" ht="14.25" customHeight="1">
      <c r="T113" s="4"/>
    </row>
    <row r="114" spans="20:20" ht="14.25" customHeight="1">
      <c r="T114" s="4"/>
    </row>
    <row r="115" spans="20:20" ht="14.25" customHeight="1">
      <c r="T115" s="4"/>
    </row>
    <row r="116" spans="20:20" ht="14.25" customHeight="1">
      <c r="T116" s="4"/>
    </row>
    <row r="117" spans="20:20" ht="14.25" customHeight="1">
      <c r="T117" s="4"/>
    </row>
    <row r="118" spans="20:20" ht="14.25" customHeight="1">
      <c r="T118" s="4"/>
    </row>
    <row r="119" spans="20:20" ht="14.25" customHeight="1">
      <c r="T119" s="4"/>
    </row>
    <row r="120" spans="20:20" ht="14.25" customHeight="1">
      <c r="T120" s="4"/>
    </row>
    <row r="121" spans="20:20" ht="14.25" customHeight="1">
      <c r="T121" s="4"/>
    </row>
    <row r="122" spans="20:20" ht="14.25" customHeight="1">
      <c r="T122" s="4"/>
    </row>
    <row r="123" spans="20:20" ht="14.25" customHeight="1">
      <c r="T123" s="4"/>
    </row>
    <row r="124" spans="20:20" ht="14.25" customHeight="1">
      <c r="T124" s="4"/>
    </row>
    <row r="125" spans="20:20" ht="14.25" customHeight="1">
      <c r="T125" s="4"/>
    </row>
    <row r="126" spans="20:20" ht="14.25" customHeight="1">
      <c r="T126" s="4"/>
    </row>
    <row r="127" spans="20:20" ht="14.25" customHeight="1">
      <c r="T127" s="4"/>
    </row>
    <row r="128" spans="20:20" ht="14.25" customHeight="1">
      <c r="T128" s="4"/>
    </row>
    <row r="129" spans="20:20" ht="14.25" customHeight="1">
      <c r="T129" s="4"/>
    </row>
    <row r="130" spans="20:20" ht="14.25" customHeight="1">
      <c r="T130" s="4"/>
    </row>
    <row r="131" spans="20:20" ht="14.25" customHeight="1">
      <c r="T131" s="4"/>
    </row>
    <row r="132" spans="20:20" ht="14.25" customHeight="1">
      <c r="T132" s="4"/>
    </row>
    <row r="133" spans="20:20" ht="14.25" customHeight="1">
      <c r="T133" s="4"/>
    </row>
    <row r="134" spans="20:20" ht="14.25" customHeight="1">
      <c r="T134" s="4"/>
    </row>
    <row r="135" spans="20:20" ht="14.25" customHeight="1">
      <c r="T135" s="4"/>
    </row>
    <row r="136" spans="20:20" ht="14.25" customHeight="1">
      <c r="T136" s="4"/>
    </row>
    <row r="137" spans="20:20" ht="14.25" customHeight="1">
      <c r="T137" s="4"/>
    </row>
    <row r="138" spans="20:20" ht="14.25" customHeight="1">
      <c r="T138" s="4"/>
    </row>
    <row r="139" spans="20:20" ht="14.25" customHeight="1">
      <c r="T139" s="4"/>
    </row>
    <row r="140" spans="20:20" ht="14.25" customHeight="1">
      <c r="T140" s="4"/>
    </row>
    <row r="141" spans="20:20" ht="14.25" customHeight="1">
      <c r="T141" s="4"/>
    </row>
    <row r="142" spans="20:20" ht="14.25" customHeight="1">
      <c r="T142" s="4"/>
    </row>
    <row r="143" spans="20:20" ht="14.25" customHeight="1">
      <c r="T143" s="4"/>
    </row>
    <row r="144" spans="20:20" ht="14.25" customHeight="1">
      <c r="T144" s="4"/>
    </row>
    <row r="145" spans="20:20" ht="14.25" customHeight="1">
      <c r="T145" s="4"/>
    </row>
    <row r="146" spans="20:20" ht="14.25" customHeight="1">
      <c r="T146" s="4"/>
    </row>
    <row r="147" spans="20:20" ht="14.25" customHeight="1">
      <c r="T147" s="4"/>
    </row>
    <row r="148" spans="20:20" ht="14.25" customHeight="1">
      <c r="T148" s="4"/>
    </row>
    <row r="149" spans="20:20" ht="14.25" customHeight="1">
      <c r="T149" s="4"/>
    </row>
    <row r="150" spans="20:20" ht="14.25" customHeight="1">
      <c r="T150" s="4"/>
    </row>
    <row r="151" spans="20:20" ht="14.25" customHeight="1">
      <c r="T151" s="4"/>
    </row>
    <row r="152" spans="20:20" ht="14.25" customHeight="1">
      <c r="T152" s="4"/>
    </row>
    <row r="153" spans="20:20" ht="14.25" customHeight="1">
      <c r="T153" s="4"/>
    </row>
    <row r="154" spans="20:20" ht="14.25" customHeight="1">
      <c r="T154" s="4"/>
    </row>
    <row r="155" spans="20:20" ht="14.25" customHeight="1">
      <c r="T155" s="4"/>
    </row>
    <row r="156" spans="20:20" ht="14.25" customHeight="1">
      <c r="T156" s="4"/>
    </row>
    <row r="157" spans="20:20" ht="14.25" customHeight="1">
      <c r="T157" s="4"/>
    </row>
    <row r="158" spans="20:20" ht="14.25" customHeight="1">
      <c r="T158" s="4"/>
    </row>
    <row r="159" spans="20:20" ht="14.25" customHeight="1">
      <c r="T159" s="4"/>
    </row>
    <row r="160" spans="20:20" ht="14.25" customHeight="1">
      <c r="T160" s="4"/>
    </row>
    <row r="161" spans="20:20" ht="14.25" customHeight="1">
      <c r="T161" s="4"/>
    </row>
    <row r="162" spans="20:20" ht="14.25" customHeight="1">
      <c r="T162" s="4"/>
    </row>
    <row r="163" spans="20:20" ht="14.25" customHeight="1">
      <c r="T163" s="4"/>
    </row>
    <row r="164" spans="20:20" ht="14.25" customHeight="1">
      <c r="T164" s="4"/>
    </row>
    <row r="165" spans="20:20" ht="14.25" customHeight="1">
      <c r="T165" s="4"/>
    </row>
    <row r="166" spans="20:20" ht="14.25" customHeight="1">
      <c r="T166" s="4"/>
    </row>
    <row r="167" spans="20:20" ht="14.25" customHeight="1">
      <c r="T167" s="4"/>
    </row>
    <row r="168" spans="20:20" ht="14.25" customHeight="1">
      <c r="T168" s="4"/>
    </row>
    <row r="169" spans="20:20" ht="14.25" customHeight="1">
      <c r="T169" s="4"/>
    </row>
    <row r="170" spans="20:20" ht="14.25" customHeight="1">
      <c r="T170" s="4"/>
    </row>
    <row r="171" spans="20:20" ht="14.25" customHeight="1">
      <c r="T171" s="4"/>
    </row>
    <row r="172" spans="20:20" ht="14.25" customHeight="1">
      <c r="T172" s="4"/>
    </row>
    <row r="173" spans="20:20" ht="14.25" customHeight="1">
      <c r="T173" s="4"/>
    </row>
    <row r="174" spans="20:20" ht="14.25" customHeight="1">
      <c r="T174" s="4"/>
    </row>
    <row r="175" spans="20:20" ht="14.25" customHeight="1">
      <c r="T175" s="4"/>
    </row>
    <row r="176" spans="20:20" ht="14.25" customHeight="1">
      <c r="T176" s="4"/>
    </row>
    <row r="177" spans="20:20" ht="14.25" customHeight="1">
      <c r="T177" s="4"/>
    </row>
    <row r="178" spans="20:20" ht="14.25" customHeight="1">
      <c r="T178" s="4"/>
    </row>
    <row r="179" spans="20:20" ht="14.25" customHeight="1">
      <c r="T179" s="4"/>
    </row>
    <row r="180" spans="20:20" ht="14.25" customHeight="1">
      <c r="T180" s="4"/>
    </row>
    <row r="181" spans="20:20" ht="14.25" customHeight="1">
      <c r="T181" s="4"/>
    </row>
    <row r="182" spans="20:20" ht="14.25" customHeight="1">
      <c r="T182" s="4"/>
    </row>
    <row r="183" spans="20:20" ht="14.25" customHeight="1">
      <c r="T183" s="4"/>
    </row>
    <row r="184" spans="20:20" ht="14.25" customHeight="1">
      <c r="T184" s="4"/>
    </row>
    <row r="185" spans="20:20" ht="14.25" customHeight="1">
      <c r="T185" s="4"/>
    </row>
    <row r="186" spans="20:20" ht="14.25" customHeight="1">
      <c r="T186" s="4"/>
    </row>
    <row r="187" spans="20:20" ht="14.25" customHeight="1">
      <c r="T187" s="4"/>
    </row>
    <row r="188" spans="20:20" ht="14.25" customHeight="1">
      <c r="T188" s="4"/>
    </row>
    <row r="189" spans="20:20" ht="14.25" customHeight="1">
      <c r="T189" s="4"/>
    </row>
    <row r="190" spans="20:20" ht="14.25" customHeight="1">
      <c r="T190" s="4"/>
    </row>
    <row r="191" spans="20:20" ht="14.25" customHeight="1">
      <c r="T191" s="4"/>
    </row>
    <row r="192" spans="20:20" ht="14.25" customHeight="1">
      <c r="T192" s="4"/>
    </row>
    <row r="193" spans="20:20" ht="14.25" customHeight="1">
      <c r="T193" s="4"/>
    </row>
    <row r="194" spans="20:20" ht="14.25" customHeight="1">
      <c r="T194" s="4"/>
    </row>
    <row r="195" spans="20:20" ht="14.25" customHeight="1">
      <c r="T195" s="4"/>
    </row>
    <row r="196" spans="20:20" ht="14.25" customHeight="1">
      <c r="T196" s="4"/>
    </row>
    <row r="197" spans="20:20" ht="14.25" customHeight="1">
      <c r="T197" s="4"/>
    </row>
    <row r="198" spans="20:20" ht="14.25" customHeight="1">
      <c r="T198" s="4"/>
    </row>
    <row r="199" spans="20:20" ht="14.25" customHeight="1">
      <c r="T199" s="4"/>
    </row>
    <row r="200" spans="20:20" ht="14.25" customHeight="1">
      <c r="T200" s="4"/>
    </row>
    <row r="201" spans="20:20" ht="14.25" customHeight="1">
      <c r="T201" s="4"/>
    </row>
    <row r="202" spans="20:20" ht="14.25" customHeight="1">
      <c r="T202" s="4"/>
    </row>
    <row r="203" spans="20:20" ht="14.25" customHeight="1">
      <c r="T203" s="4"/>
    </row>
    <row r="204" spans="20:20" ht="14.25" customHeight="1">
      <c r="T204" s="4"/>
    </row>
    <row r="205" spans="20:20" ht="14.25" customHeight="1">
      <c r="T205" s="4"/>
    </row>
    <row r="206" spans="20:20" ht="14.25" customHeight="1">
      <c r="T206" s="4"/>
    </row>
    <row r="207" spans="20:20" ht="14.25" customHeight="1">
      <c r="T207" s="4"/>
    </row>
    <row r="208" spans="20:20" ht="14.25" customHeight="1">
      <c r="T208" s="4"/>
    </row>
    <row r="209" spans="20:20" ht="14.25" customHeight="1">
      <c r="T209" s="4"/>
    </row>
    <row r="210" spans="20:20" ht="14.25" customHeight="1">
      <c r="T210" s="4"/>
    </row>
    <row r="211" spans="20:20" ht="14.25" customHeight="1">
      <c r="T211" s="4"/>
    </row>
    <row r="212" spans="20:20" ht="14.25" customHeight="1">
      <c r="T212" s="4"/>
    </row>
    <row r="213" spans="20:20" ht="14.25" customHeight="1">
      <c r="T213" s="4"/>
    </row>
    <row r="214" spans="20:20" ht="14.25" customHeight="1">
      <c r="T214" s="4"/>
    </row>
    <row r="215" spans="20:20" ht="14.25" customHeight="1">
      <c r="T215" s="4"/>
    </row>
    <row r="216" spans="20:20" ht="14.25" customHeight="1">
      <c r="T216" s="4"/>
    </row>
    <row r="217" spans="20:20" ht="14.25" customHeight="1">
      <c r="T217" s="4"/>
    </row>
    <row r="218" spans="20:20" ht="14.25" customHeight="1">
      <c r="T218" s="4"/>
    </row>
    <row r="219" spans="20:20" ht="14.25" customHeight="1">
      <c r="T219" s="4"/>
    </row>
    <row r="220" spans="20:20" ht="14.25" customHeight="1">
      <c r="T220" s="4"/>
    </row>
    <row r="221" spans="20:20" ht="14.25" customHeight="1">
      <c r="T221" s="4"/>
    </row>
    <row r="222" spans="20:20" ht="14.25" customHeight="1">
      <c r="T222" s="4"/>
    </row>
    <row r="223" spans="20:20" ht="14.25" customHeight="1">
      <c r="T223" s="4"/>
    </row>
    <row r="224" spans="20:20" ht="14.25" customHeight="1">
      <c r="T224" s="4"/>
    </row>
    <row r="225" spans="20:20" ht="14.25" customHeight="1">
      <c r="T225" s="4"/>
    </row>
    <row r="226" spans="20:20" ht="14.25" customHeight="1">
      <c r="T226" s="4"/>
    </row>
    <row r="227" spans="20:20" ht="14.25" customHeight="1">
      <c r="T227" s="4"/>
    </row>
    <row r="228" spans="20:20" ht="14.25" customHeight="1">
      <c r="T228" s="4"/>
    </row>
    <row r="229" spans="20:20" ht="14.25" customHeight="1">
      <c r="T229" s="4"/>
    </row>
    <row r="230" spans="20:20" ht="14.25" customHeight="1">
      <c r="T230" s="4"/>
    </row>
    <row r="231" spans="20:20" ht="14.25" customHeight="1">
      <c r="T231" s="4"/>
    </row>
    <row r="232" spans="20:20" ht="14.25" customHeight="1">
      <c r="T232" s="4"/>
    </row>
    <row r="233" spans="20:20" ht="14.25" customHeight="1">
      <c r="T233" s="4"/>
    </row>
    <row r="234" spans="20:20" ht="14.25" customHeight="1">
      <c r="T234" s="4"/>
    </row>
    <row r="235" spans="20:20" ht="14.25" customHeight="1">
      <c r="T235" s="4"/>
    </row>
    <row r="236" spans="20:20" ht="14.25" customHeight="1">
      <c r="T236" s="4"/>
    </row>
    <row r="237" spans="20:20" ht="14.25" customHeight="1">
      <c r="T237" s="4"/>
    </row>
    <row r="238" spans="20:20" ht="14.25" customHeight="1">
      <c r="T238" s="4"/>
    </row>
    <row r="239" spans="20:20" ht="14.25" customHeight="1">
      <c r="T239" s="4"/>
    </row>
    <row r="240" spans="20:20" ht="14.25" customHeight="1">
      <c r="T240" s="4"/>
    </row>
    <row r="241" spans="20:20" ht="14.25" customHeight="1">
      <c r="T241" s="4"/>
    </row>
    <row r="242" spans="20:20" ht="14.25" customHeight="1">
      <c r="T242" s="4"/>
    </row>
    <row r="243" spans="20:20" ht="14.25" customHeight="1">
      <c r="T243" s="4"/>
    </row>
    <row r="244" spans="20:20" ht="14.25" customHeight="1">
      <c r="T244" s="4"/>
    </row>
    <row r="245" spans="20:20" ht="14.25" customHeight="1">
      <c r="T245" s="4"/>
    </row>
    <row r="246" spans="20:20" ht="14.25" customHeight="1">
      <c r="T246" s="4"/>
    </row>
    <row r="247" spans="20:20" ht="14.25" customHeight="1">
      <c r="T247" s="4"/>
    </row>
    <row r="248" spans="20:20" ht="14.25" customHeight="1">
      <c r="T248" s="4"/>
    </row>
    <row r="249" spans="20:20" ht="14.25" customHeight="1">
      <c r="T249" s="4"/>
    </row>
    <row r="250" spans="20:20" ht="14.25" customHeight="1">
      <c r="T250" s="4"/>
    </row>
    <row r="251" spans="20:20" ht="14.25" customHeight="1">
      <c r="T251" s="4"/>
    </row>
    <row r="252" spans="20:20" ht="14.25" customHeight="1">
      <c r="T252" s="4"/>
    </row>
    <row r="253" spans="20:20" ht="14.25" customHeight="1">
      <c r="T253" s="4"/>
    </row>
    <row r="254" spans="20:20" ht="14.25" customHeight="1">
      <c r="T254" s="4"/>
    </row>
    <row r="255" spans="20:20" ht="14.25" customHeight="1">
      <c r="T255" s="4"/>
    </row>
    <row r="256" spans="20:20" ht="14.25" customHeight="1">
      <c r="T256" s="4"/>
    </row>
    <row r="257" spans="20:20" ht="14.25" customHeight="1">
      <c r="T257" s="4"/>
    </row>
    <row r="258" spans="20:20" ht="14.25" customHeight="1">
      <c r="T258" s="4"/>
    </row>
    <row r="259" spans="20:20" ht="14.25" customHeight="1">
      <c r="T259" s="4"/>
    </row>
    <row r="260" spans="20:20" ht="14.25" customHeight="1">
      <c r="T260" s="4"/>
    </row>
    <row r="261" spans="20:20" ht="14.25" customHeight="1">
      <c r="T261" s="4"/>
    </row>
    <row r="262" spans="20:20" ht="14.25" customHeight="1">
      <c r="T262" s="4"/>
    </row>
    <row r="263" spans="20:20" ht="14.25" customHeight="1">
      <c r="T263" s="4"/>
    </row>
    <row r="264" spans="20:20" ht="14.25" customHeight="1">
      <c r="T264" s="4"/>
    </row>
    <row r="265" spans="20:20" ht="14.25" customHeight="1">
      <c r="T265" s="4"/>
    </row>
    <row r="266" spans="20:20" ht="14.25" customHeight="1">
      <c r="T266" s="4"/>
    </row>
    <row r="267" spans="20:20" ht="14.25" customHeight="1">
      <c r="T267" s="4"/>
    </row>
    <row r="268" spans="20:20" ht="14.25" customHeight="1">
      <c r="T268" s="4"/>
    </row>
    <row r="269" spans="20:20" ht="14.25" customHeight="1">
      <c r="T269" s="4"/>
    </row>
    <row r="270" spans="20:20" ht="14.25" customHeight="1">
      <c r="T270" s="4"/>
    </row>
    <row r="271" spans="20:20" ht="14.25" customHeight="1">
      <c r="T271" s="4"/>
    </row>
    <row r="272" spans="20:20" ht="14.25" customHeight="1">
      <c r="T272" s="4"/>
    </row>
    <row r="273" spans="20:20" ht="14.25" customHeight="1">
      <c r="T273" s="4"/>
    </row>
    <row r="274" spans="20:20" ht="14.25" customHeight="1">
      <c r="T274" s="4"/>
    </row>
    <row r="275" spans="20:20" ht="14.25" customHeight="1">
      <c r="T275" s="4"/>
    </row>
    <row r="276" spans="20:20" ht="14.25" customHeight="1">
      <c r="T276" s="4"/>
    </row>
    <row r="277" spans="20:20" ht="14.25" customHeight="1">
      <c r="T277" s="4"/>
    </row>
    <row r="278" spans="20:20" ht="14.25" customHeight="1">
      <c r="T278" s="4"/>
    </row>
    <row r="279" spans="20:20" ht="14.25" customHeight="1">
      <c r="T279" s="4"/>
    </row>
    <row r="280" spans="20:20" ht="14.25" customHeight="1">
      <c r="T280" s="4"/>
    </row>
    <row r="281" spans="20:20" ht="14.25" customHeight="1">
      <c r="T281" s="4"/>
    </row>
    <row r="282" spans="20:20" ht="14.25" customHeight="1">
      <c r="T282" s="4"/>
    </row>
    <row r="283" spans="20:20" ht="14.25" customHeight="1">
      <c r="T283" s="4"/>
    </row>
    <row r="284" spans="20:20" ht="14.25" customHeight="1">
      <c r="T284" s="4"/>
    </row>
    <row r="285" spans="20:20" ht="14.25" customHeight="1">
      <c r="T285" s="4"/>
    </row>
    <row r="286" spans="20:20" ht="14.25" customHeight="1">
      <c r="T286" s="4"/>
    </row>
    <row r="287" spans="20:20" ht="14.25" customHeight="1">
      <c r="T287" s="4"/>
    </row>
    <row r="288" spans="20:20" ht="14.25" customHeight="1">
      <c r="T288" s="4"/>
    </row>
    <row r="289" spans="20:20" ht="14.25" customHeight="1">
      <c r="T289" s="4"/>
    </row>
    <row r="290" spans="20:20" ht="14.25" customHeight="1">
      <c r="T290" s="4"/>
    </row>
    <row r="291" spans="20:20" ht="14.25" customHeight="1">
      <c r="T291" s="4"/>
    </row>
    <row r="292" spans="20:20" ht="14.25" customHeight="1">
      <c r="T292" s="4"/>
    </row>
    <row r="293" spans="20:20" ht="14.25" customHeight="1">
      <c r="T293" s="4"/>
    </row>
    <row r="294" spans="20:20" ht="14.25" customHeight="1">
      <c r="T294" s="4"/>
    </row>
    <row r="295" spans="20:20" ht="14.25" customHeight="1">
      <c r="T295" s="4"/>
    </row>
    <row r="296" spans="20:20" ht="14.25" customHeight="1">
      <c r="T296" s="4"/>
    </row>
    <row r="297" spans="20:20" ht="14.25" customHeight="1">
      <c r="T297" s="4"/>
    </row>
    <row r="298" spans="20:20" ht="14.25" customHeight="1">
      <c r="T298" s="4"/>
    </row>
    <row r="299" spans="20:20" ht="14.25" customHeight="1">
      <c r="T299" s="4"/>
    </row>
    <row r="300" spans="20:20" ht="14.25" customHeight="1">
      <c r="T300" s="4"/>
    </row>
    <row r="301" spans="20:20" ht="14.25" customHeight="1">
      <c r="T301" s="4"/>
    </row>
    <row r="302" spans="20:20" ht="14.25" customHeight="1">
      <c r="T302" s="4"/>
    </row>
    <row r="303" spans="20:20" ht="14.25" customHeight="1">
      <c r="T303" s="4"/>
    </row>
    <row r="304" spans="20:20" ht="14.25" customHeight="1">
      <c r="T304" s="4"/>
    </row>
    <row r="305" spans="20:20" ht="14.25" customHeight="1">
      <c r="T305" s="4"/>
    </row>
    <row r="306" spans="20:20" ht="14.25" customHeight="1">
      <c r="T306" s="4"/>
    </row>
    <row r="307" spans="20:20" ht="14.25" customHeight="1">
      <c r="T307" s="4"/>
    </row>
    <row r="308" spans="20:20" ht="14.25" customHeight="1">
      <c r="T308" s="4"/>
    </row>
    <row r="309" spans="20:20" ht="14.25" customHeight="1">
      <c r="T309" s="4"/>
    </row>
    <row r="310" spans="20:20" ht="14.25" customHeight="1">
      <c r="T310" s="4"/>
    </row>
    <row r="311" spans="20:20" ht="14.25" customHeight="1">
      <c r="T311" s="4"/>
    </row>
    <row r="312" spans="20:20" ht="14.25" customHeight="1">
      <c r="T312" s="4"/>
    </row>
    <row r="313" spans="20:20" ht="14.25" customHeight="1">
      <c r="T313" s="4"/>
    </row>
    <row r="314" spans="20:20" ht="14.25" customHeight="1">
      <c r="T314" s="4"/>
    </row>
    <row r="315" spans="20:20" ht="14.25" customHeight="1">
      <c r="T315" s="4"/>
    </row>
    <row r="316" spans="20:20" ht="14.25" customHeight="1">
      <c r="T316" s="4"/>
    </row>
    <row r="317" spans="20:20" ht="14.25" customHeight="1">
      <c r="T317" s="4"/>
    </row>
    <row r="318" spans="20:20" ht="14.25" customHeight="1">
      <c r="T318" s="4"/>
    </row>
    <row r="319" spans="20:20" ht="14.25" customHeight="1">
      <c r="T319" s="4"/>
    </row>
    <row r="320" spans="20:20" ht="14.25" customHeight="1">
      <c r="T320" s="4"/>
    </row>
    <row r="321" spans="20:20" ht="14.25" customHeight="1">
      <c r="T321" s="4"/>
    </row>
    <row r="322" spans="20:20" ht="14.25" customHeight="1">
      <c r="T322" s="4"/>
    </row>
    <row r="323" spans="20:20" ht="14.25" customHeight="1">
      <c r="T323" s="4"/>
    </row>
    <row r="324" spans="20:20" ht="14.25" customHeight="1">
      <c r="T324" s="4"/>
    </row>
    <row r="325" spans="20:20" ht="14.25" customHeight="1">
      <c r="T325" s="4"/>
    </row>
    <row r="326" spans="20:20" ht="14.25" customHeight="1">
      <c r="T326" s="4"/>
    </row>
    <row r="327" spans="20:20" ht="14.25" customHeight="1">
      <c r="T327" s="4"/>
    </row>
    <row r="328" spans="20:20" ht="14.25" customHeight="1">
      <c r="T328" s="4"/>
    </row>
    <row r="329" spans="20:20" ht="14.25" customHeight="1">
      <c r="T329" s="4"/>
    </row>
    <row r="330" spans="20:20" ht="14.25" customHeight="1">
      <c r="T330" s="4"/>
    </row>
    <row r="331" spans="20:20" ht="14.25" customHeight="1">
      <c r="T331" s="4"/>
    </row>
    <row r="332" spans="20:20" ht="14.25" customHeight="1">
      <c r="T332" s="4"/>
    </row>
    <row r="333" spans="20:20" ht="14.25" customHeight="1">
      <c r="T333" s="4"/>
    </row>
    <row r="334" spans="20:20" ht="14.25" customHeight="1">
      <c r="T334" s="4"/>
    </row>
    <row r="335" spans="20:20" ht="14.25" customHeight="1">
      <c r="T335" s="4"/>
    </row>
    <row r="336" spans="20:20" ht="14.25" customHeight="1">
      <c r="T336" s="4"/>
    </row>
    <row r="337" spans="20:20" ht="14.25" customHeight="1">
      <c r="T337" s="4"/>
    </row>
    <row r="338" spans="20:20" ht="14.25" customHeight="1">
      <c r="T338" s="4"/>
    </row>
    <row r="339" spans="20:20" ht="14.25" customHeight="1">
      <c r="T339" s="4"/>
    </row>
    <row r="340" spans="20:20" ht="14.25" customHeight="1">
      <c r="T340" s="4"/>
    </row>
    <row r="341" spans="20:20" ht="14.25" customHeight="1">
      <c r="T341" s="4"/>
    </row>
    <row r="342" spans="20:20" ht="14.25" customHeight="1">
      <c r="T342" s="4"/>
    </row>
    <row r="343" spans="20:20" ht="14.25" customHeight="1">
      <c r="T343" s="4"/>
    </row>
    <row r="344" spans="20:20" ht="14.25" customHeight="1">
      <c r="T344" s="4"/>
    </row>
    <row r="345" spans="20:20" ht="14.25" customHeight="1">
      <c r="T345" s="4"/>
    </row>
    <row r="346" spans="20:20" ht="14.25" customHeight="1">
      <c r="T346" s="4"/>
    </row>
    <row r="347" spans="20:20" ht="14.25" customHeight="1">
      <c r="T347" s="4"/>
    </row>
    <row r="348" spans="20:20" ht="14.25" customHeight="1">
      <c r="T348" s="4"/>
    </row>
    <row r="349" spans="20:20" ht="14.25" customHeight="1">
      <c r="T349" s="4"/>
    </row>
    <row r="350" spans="20:20" ht="14.25" customHeight="1">
      <c r="T350" s="4"/>
    </row>
    <row r="351" spans="20:20" ht="14.25" customHeight="1">
      <c r="T351" s="4"/>
    </row>
    <row r="352" spans="20:20" ht="14.25" customHeight="1">
      <c r="T352" s="4"/>
    </row>
    <row r="353" spans="20:20" ht="14.25" customHeight="1">
      <c r="T353" s="4"/>
    </row>
    <row r="354" spans="20:20" ht="14.25" customHeight="1">
      <c r="T354" s="4"/>
    </row>
    <row r="355" spans="20:20" ht="14.25" customHeight="1">
      <c r="T355" s="4"/>
    </row>
    <row r="356" spans="20:20" ht="14.25" customHeight="1">
      <c r="T356" s="4"/>
    </row>
    <row r="357" spans="20:20" ht="14.25" customHeight="1">
      <c r="T357" s="4"/>
    </row>
    <row r="358" spans="20:20" ht="14.25" customHeight="1">
      <c r="T358" s="4"/>
    </row>
    <row r="359" spans="20:20" ht="14.25" customHeight="1">
      <c r="T359" s="4"/>
    </row>
    <row r="360" spans="20:20" ht="14.25" customHeight="1">
      <c r="T360" s="4"/>
    </row>
    <row r="361" spans="20:20" ht="14.25" customHeight="1">
      <c r="T361" s="4"/>
    </row>
    <row r="362" spans="20:20" ht="14.25" customHeight="1">
      <c r="T362" s="4"/>
    </row>
    <row r="363" spans="20:20" ht="14.25" customHeight="1">
      <c r="T363" s="4"/>
    </row>
    <row r="364" spans="20:20" ht="14.25" customHeight="1">
      <c r="T364" s="4"/>
    </row>
    <row r="365" spans="20:20" ht="14.25" customHeight="1">
      <c r="T365" s="4"/>
    </row>
    <row r="366" spans="20:20" ht="14.25" customHeight="1">
      <c r="T366" s="4"/>
    </row>
    <row r="367" spans="20:20" ht="14.25" customHeight="1">
      <c r="T367" s="4"/>
    </row>
    <row r="368" spans="20:20" ht="14.25" customHeight="1">
      <c r="T368" s="4"/>
    </row>
    <row r="369" spans="20:20" ht="14.25" customHeight="1">
      <c r="T369" s="4"/>
    </row>
    <row r="370" spans="20:20" ht="14.25" customHeight="1">
      <c r="T370" s="4"/>
    </row>
    <row r="371" spans="20:20" ht="14.25" customHeight="1">
      <c r="T371" s="4"/>
    </row>
    <row r="372" spans="20:20" ht="14.25" customHeight="1">
      <c r="T372" s="4"/>
    </row>
    <row r="373" spans="20:20" ht="14.25" customHeight="1">
      <c r="T373" s="4"/>
    </row>
    <row r="374" spans="20:20" ht="14.25" customHeight="1">
      <c r="T374" s="4"/>
    </row>
    <row r="375" spans="20:20" ht="14.25" customHeight="1">
      <c r="T375" s="4"/>
    </row>
    <row r="376" spans="20:20" ht="14.25" customHeight="1">
      <c r="T376" s="4"/>
    </row>
    <row r="377" spans="20:20" ht="14.25" customHeight="1">
      <c r="T377" s="4"/>
    </row>
    <row r="378" spans="20:20" ht="14.25" customHeight="1">
      <c r="T378" s="4"/>
    </row>
    <row r="379" spans="20:20" ht="14.25" customHeight="1">
      <c r="T379" s="4"/>
    </row>
    <row r="380" spans="20:20" ht="14.25" customHeight="1">
      <c r="T380" s="4"/>
    </row>
    <row r="381" spans="20:20" ht="14.25" customHeight="1">
      <c r="T381" s="4"/>
    </row>
    <row r="382" spans="20:20" ht="14.25" customHeight="1">
      <c r="T382" s="4"/>
    </row>
    <row r="383" spans="20:20" ht="14.25" customHeight="1">
      <c r="T383" s="4"/>
    </row>
    <row r="384" spans="20:20" ht="14.25" customHeight="1">
      <c r="T384" s="4"/>
    </row>
    <row r="385" spans="20:20" ht="14.25" customHeight="1">
      <c r="T385" s="4"/>
    </row>
    <row r="386" spans="20:20" ht="14.25" customHeight="1">
      <c r="T386" s="4"/>
    </row>
    <row r="387" spans="20:20" ht="14.25" customHeight="1">
      <c r="T387" s="4"/>
    </row>
    <row r="388" spans="20:20" ht="14.25" customHeight="1">
      <c r="T388" s="4"/>
    </row>
    <row r="389" spans="20:20" ht="14.25" customHeight="1">
      <c r="T389" s="4"/>
    </row>
    <row r="390" spans="20:20" ht="14.25" customHeight="1">
      <c r="T390" s="4"/>
    </row>
    <row r="391" spans="20:20" ht="14.25" customHeight="1">
      <c r="T391" s="4"/>
    </row>
    <row r="392" spans="20:20" ht="14.25" customHeight="1">
      <c r="T392" s="4"/>
    </row>
    <row r="393" spans="20:20" ht="14.25" customHeight="1">
      <c r="T393" s="4"/>
    </row>
    <row r="394" spans="20:20" ht="14.25" customHeight="1">
      <c r="T394" s="4"/>
    </row>
    <row r="395" spans="20:20" ht="14.25" customHeight="1">
      <c r="T395" s="4"/>
    </row>
    <row r="396" spans="20:20" ht="14.25" customHeight="1">
      <c r="T396" s="4"/>
    </row>
    <row r="397" spans="20:20" ht="14.25" customHeight="1">
      <c r="T397" s="4"/>
    </row>
    <row r="398" spans="20:20" ht="14.25" customHeight="1">
      <c r="T398" s="4"/>
    </row>
    <row r="399" spans="20:20" ht="14.25" customHeight="1">
      <c r="T399" s="4"/>
    </row>
    <row r="400" spans="20:20" ht="14.25" customHeight="1">
      <c r="T400" s="4"/>
    </row>
    <row r="401" spans="20:20" ht="14.25" customHeight="1">
      <c r="T401" s="4"/>
    </row>
    <row r="402" spans="20:20" ht="14.25" customHeight="1">
      <c r="T402" s="4"/>
    </row>
    <row r="403" spans="20:20" ht="14.25" customHeight="1">
      <c r="T403" s="4"/>
    </row>
    <row r="404" spans="20:20" ht="14.25" customHeight="1">
      <c r="T404" s="4"/>
    </row>
    <row r="405" spans="20:20" ht="14.25" customHeight="1">
      <c r="T405" s="4"/>
    </row>
    <row r="406" spans="20:20" ht="14.25" customHeight="1">
      <c r="T406" s="4"/>
    </row>
    <row r="407" spans="20:20" ht="14.25" customHeight="1">
      <c r="T407" s="4"/>
    </row>
    <row r="408" spans="20:20" ht="14.25" customHeight="1">
      <c r="T408" s="4"/>
    </row>
    <row r="409" spans="20:20" ht="14.25" customHeight="1">
      <c r="T409" s="4"/>
    </row>
    <row r="410" spans="20:20" ht="14.25" customHeight="1">
      <c r="T410" s="4"/>
    </row>
    <row r="411" spans="20:20" ht="14.25" customHeight="1">
      <c r="T411" s="4"/>
    </row>
    <row r="412" spans="20:20" ht="14.25" customHeight="1">
      <c r="T412" s="4"/>
    </row>
    <row r="413" spans="20:20" ht="14.25" customHeight="1">
      <c r="T413" s="4"/>
    </row>
    <row r="414" spans="20:20" ht="14.25" customHeight="1">
      <c r="T414" s="4"/>
    </row>
    <row r="415" spans="20:20" ht="14.25" customHeight="1">
      <c r="T415" s="4"/>
    </row>
    <row r="416" spans="20:20" ht="14.25" customHeight="1">
      <c r="T416" s="4"/>
    </row>
    <row r="417" spans="20:20" ht="14.25" customHeight="1">
      <c r="T417" s="4"/>
    </row>
    <row r="418" spans="20:20" ht="14.25" customHeight="1">
      <c r="T418" s="4"/>
    </row>
    <row r="419" spans="20:20" ht="14.25" customHeight="1">
      <c r="T419" s="4"/>
    </row>
    <row r="420" spans="20:20" ht="14.25" customHeight="1">
      <c r="T420" s="4"/>
    </row>
    <row r="421" spans="20:20" ht="14.25" customHeight="1">
      <c r="T421" s="4"/>
    </row>
    <row r="422" spans="20:20" ht="14.25" customHeight="1">
      <c r="T422" s="4"/>
    </row>
    <row r="423" spans="20:20" ht="14.25" customHeight="1">
      <c r="T423" s="4"/>
    </row>
    <row r="424" spans="20:20" ht="14.25" customHeight="1">
      <c r="T424" s="4"/>
    </row>
    <row r="425" spans="20:20" ht="14.25" customHeight="1">
      <c r="T425" s="4"/>
    </row>
    <row r="426" spans="20:20" ht="14.25" customHeight="1">
      <c r="T426" s="4"/>
    </row>
    <row r="427" spans="20:20" ht="14.25" customHeight="1">
      <c r="T427" s="4"/>
    </row>
    <row r="428" spans="20:20" ht="14.25" customHeight="1">
      <c r="T428" s="4"/>
    </row>
    <row r="429" spans="20:20" ht="14.25" customHeight="1">
      <c r="T429" s="4"/>
    </row>
    <row r="430" spans="20:20" ht="14.25" customHeight="1">
      <c r="T430" s="4"/>
    </row>
    <row r="431" spans="20:20" ht="14.25" customHeight="1">
      <c r="T431" s="4"/>
    </row>
    <row r="432" spans="20:20" ht="14.25" customHeight="1">
      <c r="T432" s="4"/>
    </row>
    <row r="433" spans="20:20" ht="14.25" customHeight="1">
      <c r="T433" s="4"/>
    </row>
    <row r="434" spans="20:20" ht="14.25" customHeight="1">
      <c r="T434" s="4"/>
    </row>
    <row r="435" spans="20:20" ht="14.25" customHeight="1">
      <c r="T435" s="4"/>
    </row>
    <row r="436" spans="20:20" ht="14.25" customHeight="1">
      <c r="T436" s="4"/>
    </row>
    <row r="437" spans="20:20" ht="14.25" customHeight="1">
      <c r="T437" s="4"/>
    </row>
    <row r="438" spans="20:20" ht="14.25" customHeight="1">
      <c r="T438" s="4"/>
    </row>
    <row r="439" spans="20:20" ht="14.25" customHeight="1">
      <c r="T439" s="4"/>
    </row>
    <row r="440" spans="20:20" ht="14.25" customHeight="1">
      <c r="T440" s="4"/>
    </row>
    <row r="441" spans="20:20" ht="14.25" customHeight="1">
      <c r="T441" s="4"/>
    </row>
    <row r="442" spans="20:20" ht="14.25" customHeight="1">
      <c r="T442" s="4"/>
    </row>
    <row r="443" spans="20:20" ht="14.25" customHeight="1">
      <c r="T443" s="4"/>
    </row>
    <row r="444" spans="20:20" ht="14.25" customHeight="1">
      <c r="T444" s="4"/>
    </row>
    <row r="445" spans="20:20" ht="14.25" customHeight="1">
      <c r="T445" s="4"/>
    </row>
    <row r="446" spans="20:20" ht="14.25" customHeight="1">
      <c r="T446" s="4"/>
    </row>
    <row r="447" spans="20:20" ht="14.25" customHeight="1">
      <c r="T447" s="4"/>
    </row>
    <row r="448" spans="20:20" ht="14.25" customHeight="1">
      <c r="T448" s="4"/>
    </row>
    <row r="449" spans="20:20" ht="14.25" customHeight="1">
      <c r="T449" s="4"/>
    </row>
    <row r="450" spans="20:20" ht="14.25" customHeight="1">
      <c r="T450" s="4"/>
    </row>
    <row r="451" spans="20:20" ht="14.25" customHeight="1">
      <c r="T451" s="4"/>
    </row>
    <row r="452" spans="20:20" ht="14.25" customHeight="1">
      <c r="T452" s="4"/>
    </row>
    <row r="453" spans="20:20" ht="14.25" customHeight="1">
      <c r="T453" s="4"/>
    </row>
    <row r="454" spans="20:20" ht="14.25" customHeight="1">
      <c r="T454" s="4"/>
    </row>
    <row r="455" spans="20:20" ht="14.25" customHeight="1">
      <c r="T455" s="4"/>
    </row>
    <row r="456" spans="20:20" ht="14.25" customHeight="1">
      <c r="T456" s="4"/>
    </row>
    <row r="457" spans="20:20" ht="14.25" customHeight="1">
      <c r="T457" s="4"/>
    </row>
    <row r="458" spans="20:20" ht="14.25" customHeight="1">
      <c r="T458" s="4"/>
    </row>
    <row r="459" spans="20:20" ht="14.25" customHeight="1">
      <c r="T459" s="4"/>
    </row>
    <row r="460" spans="20:20" ht="14.25" customHeight="1">
      <c r="T460" s="4"/>
    </row>
    <row r="461" spans="20:20" ht="14.25" customHeight="1">
      <c r="T461" s="4"/>
    </row>
    <row r="462" spans="20:20" ht="14.25" customHeight="1">
      <c r="T462" s="4"/>
    </row>
    <row r="463" spans="20:20" ht="14.25" customHeight="1">
      <c r="T463" s="4"/>
    </row>
    <row r="464" spans="20:20" ht="14.25" customHeight="1">
      <c r="T464" s="4"/>
    </row>
    <row r="465" spans="20:20" ht="14.25" customHeight="1">
      <c r="T465" s="4"/>
    </row>
    <row r="466" spans="20:20" ht="14.25" customHeight="1">
      <c r="T466" s="4"/>
    </row>
    <row r="467" spans="20:20" ht="14.25" customHeight="1">
      <c r="T467" s="4"/>
    </row>
    <row r="468" spans="20:20" ht="14.25" customHeight="1">
      <c r="T468" s="4"/>
    </row>
    <row r="469" spans="20:20" ht="14.25" customHeight="1">
      <c r="T469" s="4"/>
    </row>
    <row r="470" spans="20:20" ht="14.25" customHeight="1">
      <c r="T470" s="4"/>
    </row>
    <row r="471" spans="20:20" ht="14.25" customHeight="1">
      <c r="T471" s="4"/>
    </row>
    <row r="472" spans="20:20" ht="14.25" customHeight="1">
      <c r="T472" s="4"/>
    </row>
    <row r="473" spans="20:20" ht="14.25" customHeight="1">
      <c r="T473" s="4"/>
    </row>
    <row r="474" spans="20:20" ht="14.25" customHeight="1">
      <c r="T474" s="4"/>
    </row>
    <row r="475" spans="20:20" ht="14.25" customHeight="1">
      <c r="T475" s="4"/>
    </row>
    <row r="476" spans="20:20" ht="14.25" customHeight="1">
      <c r="T476" s="4"/>
    </row>
    <row r="477" spans="20:20" ht="14.25" customHeight="1">
      <c r="T477" s="4"/>
    </row>
    <row r="478" spans="20:20" ht="14.25" customHeight="1">
      <c r="T478" s="4"/>
    </row>
    <row r="479" spans="20:20" ht="14.25" customHeight="1">
      <c r="T479" s="4"/>
    </row>
    <row r="480" spans="20:20" ht="14.25" customHeight="1">
      <c r="T480" s="4"/>
    </row>
    <row r="481" spans="20:20" ht="14.25" customHeight="1">
      <c r="T481" s="4"/>
    </row>
    <row r="482" spans="20:20" ht="14.25" customHeight="1">
      <c r="T482" s="4"/>
    </row>
    <row r="483" spans="20:20" ht="14.25" customHeight="1">
      <c r="T483" s="4"/>
    </row>
    <row r="484" spans="20:20" ht="14.25" customHeight="1">
      <c r="T484" s="4"/>
    </row>
    <row r="485" spans="20:20" ht="14.25" customHeight="1">
      <c r="T485" s="4"/>
    </row>
    <row r="486" spans="20:20" ht="14.25" customHeight="1">
      <c r="T486" s="4"/>
    </row>
    <row r="487" spans="20:20" ht="14.25" customHeight="1">
      <c r="T487" s="4"/>
    </row>
    <row r="488" spans="20:20" ht="14.25" customHeight="1">
      <c r="T488" s="4"/>
    </row>
    <row r="489" spans="20:20" ht="14.25" customHeight="1">
      <c r="T489" s="4"/>
    </row>
    <row r="490" spans="20:20" ht="14.25" customHeight="1">
      <c r="T490" s="4"/>
    </row>
    <row r="491" spans="20:20" ht="14.25" customHeight="1">
      <c r="T491" s="4"/>
    </row>
    <row r="492" spans="20:20" ht="14.25" customHeight="1">
      <c r="T492" s="4"/>
    </row>
    <row r="493" spans="20:20" ht="14.25" customHeight="1">
      <c r="T493" s="4"/>
    </row>
    <row r="494" spans="20:20" ht="14.25" customHeight="1">
      <c r="T494" s="4"/>
    </row>
    <row r="495" spans="20:20" ht="14.25" customHeight="1">
      <c r="T495" s="4"/>
    </row>
    <row r="496" spans="20:20" ht="14.25" customHeight="1">
      <c r="T496" s="4"/>
    </row>
    <row r="497" spans="20:20" ht="14.25" customHeight="1">
      <c r="T497" s="4"/>
    </row>
    <row r="498" spans="20:20" ht="14.25" customHeight="1">
      <c r="T498" s="4"/>
    </row>
    <row r="499" spans="20:20" ht="14.25" customHeight="1">
      <c r="T499" s="4"/>
    </row>
    <row r="500" spans="20:20" ht="14.25" customHeight="1">
      <c r="T500" s="4"/>
    </row>
    <row r="501" spans="20:20" ht="14.25" customHeight="1">
      <c r="T501" s="4"/>
    </row>
    <row r="502" spans="20:20" ht="14.25" customHeight="1">
      <c r="T502" s="4"/>
    </row>
    <row r="503" spans="20:20" ht="14.25" customHeight="1">
      <c r="T503" s="4"/>
    </row>
    <row r="504" spans="20:20" ht="14.25" customHeight="1">
      <c r="T504" s="4"/>
    </row>
    <row r="505" spans="20:20" ht="14.25" customHeight="1">
      <c r="T505" s="4"/>
    </row>
    <row r="506" spans="20:20" ht="14.25" customHeight="1">
      <c r="T506" s="4"/>
    </row>
    <row r="507" spans="20:20" ht="14.25" customHeight="1">
      <c r="T507" s="4"/>
    </row>
    <row r="508" spans="20:20" ht="14.25" customHeight="1">
      <c r="T508" s="4"/>
    </row>
    <row r="509" spans="20:20" ht="14.25" customHeight="1">
      <c r="T509" s="4"/>
    </row>
    <row r="510" spans="20:20" ht="14.25" customHeight="1">
      <c r="T510" s="4"/>
    </row>
    <row r="511" spans="20:20" ht="14.25" customHeight="1">
      <c r="T511" s="4"/>
    </row>
    <row r="512" spans="20:20" ht="14.25" customHeight="1">
      <c r="T512" s="4"/>
    </row>
    <row r="513" spans="20:20" ht="14.25" customHeight="1">
      <c r="T513" s="4"/>
    </row>
    <row r="514" spans="20:20" ht="14.25" customHeight="1">
      <c r="T514" s="4"/>
    </row>
    <row r="515" spans="20:20" ht="14.25" customHeight="1">
      <c r="T515" s="4"/>
    </row>
    <row r="516" spans="20:20" ht="14.25" customHeight="1">
      <c r="T516" s="4"/>
    </row>
    <row r="517" spans="20:20" ht="14.25" customHeight="1">
      <c r="T517" s="4"/>
    </row>
    <row r="518" spans="20:20" ht="14.25" customHeight="1">
      <c r="T518" s="4"/>
    </row>
    <row r="519" spans="20:20" ht="14.25" customHeight="1">
      <c r="T519" s="4"/>
    </row>
    <row r="520" spans="20:20" ht="14.25" customHeight="1">
      <c r="T520" s="4"/>
    </row>
    <row r="521" spans="20:20" ht="14.25" customHeight="1">
      <c r="T521" s="4"/>
    </row>
    <row r="522" spans="20:20" ht="14.25" customHeight="1">
      <c r="T522" s="4"/>
    </row>
    <row r="523" spans="20:20" ht="14.25" customHeight="1">
      <c r="T523" s="4"/>
    </row>
    <row r="524" spans="20:20" ht="14.25" customHeight="1">
      <c r="T524" s="4"/>
    </row>
    <row r="525" spans="20:20" ht="14.25" customHeight="1">
      <c r="T525" s="4"/>
    </row>
    <row r="526" spans="20:20" ht="14.25" customHeight="1">
      <c r="T526" s="4"/>
    </row>
    <row r="527" spans="20:20" ht="14.25" customHeight="1">
      <c r="T527" s="4"/>
    </row>
    <row r="528" spans="20:20" ht="14.25" customHeight="1">
      <c r="T528" s="4"/>
    </row>
    <row r="529" spans="20:20" ht="14.25" customHeight="1">
      <c r="T529" s="4"/>
    </row>
    <row r="530" spans="20:20" ht="14.25" customHeight="1">
      <c r="T530" s="4"/>
    </row>
    <row r="531" spans="20:20" ht="14.25" customHeight="1">
      <c r="T531" s="4"/>
    </row>
    <row r="532" spans="20:20" ht="14.25" customHeight="1">
      <c r="T532" s="4"/>
    </row>
    <row r="533" spans="20:20" ht="14.25" customHeight="1">
      <c r="T533" s="4"/>
    </row>
    <row r="534" spans="20:20" ht="14.25" customHeight="1">
      <c r="T534" s="4"/>
    </row>
    <row r="535" spans="20:20" ht="14.25" customHeight="1">
      <c r="T535" s="4"/>
    </row>
    <row r="536" spans="20:20" ht="14.25" customHeight="1">
      <c r="T536" s="4"/>
    </row>
    <row r="537" spans="20:20" ht="14.25" customHeight="1">
      <c r="T537" s="4"/>
    </row>
    <row r="538" spans="20:20" ht="14.25" customHeight="1">
      <c r="T538" s="4"/>
    </row>
    <row r="539" spans="20:20" ht="14.25" customHeight="1">
      <c r="T539" s="4"/>
    </row>
    <row r="540" spans="20:20" ht="14.25" customHeight="1">
      <c r="T540" s="4"/>
    </row>
    <row r="541" spans="20:20" ht="14.25" customHeight="1">
      <c r="T541" s="4"/>
    </row>
    <row r="542" spans="20:20" ht="14.25" customHeight="1">
      <c r="T542" s="4"/>
    </row>
    <row r="543" spans="20:20" ht="14.25" customHeight="1">
      <c r="T543" s="4"/>
    </row>
    <row r="544" spans="20:20" ht="14.25" customHeight="1">
      <c r="T544" s="4"/>
    </row>
    <row r="545" spans="20:20" ht="14.25" customHeight="1">
      <c r="T545" s="4"/>
    </row>
    <row r="546" spans="20:20" ht="14.25" customHeight="1">
      <c r="T546" s="4"/>
    </row>
    <row r="547" spans="20:20" ht="14.25" customHeight="1">
      <c r="T547" s="4"/>
    </row>
    <row r="548" spans="20:20" ht="14.25" customHeight="1">
      <c r="T548" s="4"/>
    </row>
    <row r="549" spans="20:20" ht="14.25" customHeight="1">
      <c r="T549" s="4"/>
    </row>
    <row r="550" spans="20:20" ht="14.25" customHeight="1">
      <c r="T550" s="4"/>
    </row>
    <row r="551" spans="20:20" ht="14.25" customHeight="1">
      <c r="T551" s="4"/>
    </row>
    <row r="552" spans="20:20" ht="14.25" customHeight="1">
      <c r="T552" s="4"/>
    </row>
    <row r="553" spans="20:20" ht="14.25" customHeight="1">
      <c r="T553" s="4"/>
    </row>
    <row r="554" spans="20:20" ht="14.25" customHeight="1">
      <c r="T554" s="4"/>
    </row>
    <row r="555" spans="20:20" ht="14.25" customHeight="1">
      <c r="T555" s="4"/>
    </row>
    <row r="556" spans="20:20" ht="14.25" customHeight="1">
      <c r="T556" s="4"/>
    </row>
    <row r="557" spans="20:20" ht="14.25" customHeight="1">
      <c r="T557" s="4"/>
    </row>
    <row r="558" spans="20:20" ht="14.25" customHeight="1">
      <c r="T558" s="4"/>
    </row>
    <row r="559" spans="20:20" ht="14.25" customHeight="1">
      <c r="T559" s="4"/>
    </row>
    <row r="560" spans="20:20" ht="14.25" customHeight="1">
      <c r="T560" s="4"/>
    </row>
    <row r="561" spans="20:20" ht="14.25" customHeight="1">
      <c r="T561" s="4"/>
    </row>
    <row r="562" spans="20:20" ht="14.25" customHeight="1">
      <c r="T562" s="4"/>
    </row>
    <row r="563" spans="20:20" ht="14.25" customHeight="1">
      <c r="T563" s="4"/>
    </row>
    <row r="564" spans="20:20" ht="14.25" customHeight="1">
      <c r="T564" s="4"/>
    </row>
    <row r="565" spans="20:20" ht="14.25" customHeight="1">
      <c r="T565" s="4"/>
    </row>
    <row r="566" spans="20:20" ht="14.25" customHeight="1">
      <c r="T566" s="4"/>
    </row>
    <row r="567" spans="20:20" ht="14.25" customHeight="1">
      <c r="T567" s="4"/>
    </row>
    <row r="568" spans="20:20" ht="14.25" customHeight="1">
      <c r="T568" s="4"/>
    </row>
    <row r="569" spans="20:20" ht="14.25" customHeight="1">
      <c r="T569" s="4"/>
    </row>
    <row r="570" spans="20:20" ht="14.25" customHeight="1">
      <c r="T570" s="4"/>
    </row>
    <row r="571" spans="20:20" ht="14.25" customHeight="1">
      <c r="T571" s="4"/>
    </row>
    <row r="572" spans="20:20" ht="14.25" customHeight="1">
      <c r="T572" s="4"/>
    </row>
    <row r="573" spans="20:20" ht="14.25" customHeight="1">
      <c r="T573" s="4"/>
    </row>
    <row r="574" spans="20:20" ht="14.25" customHeight="1">
      <c r="T574" s="4"/>
    </row>
    <row r="575" spans="20:20" ht="14.25" customHeight="1">
      <c r="T575" s="4"/>
    </row>
    <row r="576" spans="20:20" ht="14.25" customHeight="1">
      <c r="T576" s="4"/>
    </row>
    <row r="577" spans="20:20" ht="14.25" customHeight="1">
      <c r="T577" s="4"/>
    </row>
    <row r="578" spans="20:20" ht="14.25" customHeight="1">
      <c r="T578" s="4"/>
    </row>
    <row r="579" spans="20:20" ht="14.25" customHeight="1">
      <c r="T579" s="4"/>
    </row>
    <row r="580" spans="20:20" ht="14.25" customHeight="1">
      <c r="T580" s="4"/>
    </row>
    <row r="581" spans="20:20" ht="14.25" customHeight="1">
      <c r="T581" s="4"/>
    </row>
    <row r="582" spans="20:20" ht="14.25" customHeight="1">
      <c r="T582" s="4"/>
    </row>
    <row r="583" spans="20:20" ht="14.25" customHeight="1">
      <c r="T583" s="4"/>
    </row>
    <row r="584" spans="20:20" ht="14.25" customHeight="1">
      <c r="T584" s="4"/>
    </row>
    <row r="585" spans="20:20" ht="14.25" customHeight="1">
      <c r="T585" s="4"/>
    </row>
    <row r="586" spans="20:20" ht="14.25" customHeight="1">
      <c r="T586" s="4"/>
    </row>
    <row r="587" spans="20:20" ht="14.25" customHeight="1">
      <c r="T587" s="4"/>
    </row>
    <row r="588" spans="20:20" ht="14.25" customHeight="1">
      <c r="T588" s="4"/>
    </row>
    <row r="589" spans="20:20" ht="14.25" customHeight="1">
      <c r="T589" s="4"/>
    </row>
    <row r="590" spans="20:20" ht="14.25" customHeight="1">
      <c r="T590" s="4"/>
    </row>
    <row r="591" spans="20:20" ht="14.25" customHeight="1">
      <c r="T591" s="4"/>
    </row>
    <row r="592" spans="20:20" ht="14.25" customHeight="1">
      <c r="T592" s="4"/>
    </row>
    <row r="593" spans="20:20" ht="14.25" customHeight="1">
      <c r="T593" s="4"/>
    </row>
    <row r="594" spans="20:20" ht="14.25" customHeight="1">
      <c r="T594" s="4"/>
    </row>
    <row r="595" spans="20:20" ht="14.25" customHeight="1">
      <c r="T595" s="4"/>
    </row>
    <row r="596" spans="20:20" ht="14.25" customHeight="1">
      <c r="T596" s="4"/>
    </row>
    <row r="597" spans="20:20" ht="14.25" customHeight="1">
      <c r="T597" s="4"/>
    </row>
    <row r="598" spans="20:20" ht="14.25" customHeight="1">
      <c r="T598" s="4"/>
    </row>
    <row r="599" spans="20:20" ht="14.25" customHeight="1">
      <c r="T599" s="4"/>
    </row>
    <row r="600" spans="20:20" ht="14.25" customHeight="1">
      <c r="T600" s="4"/>
    </row>
    <row r="601" spans="20:20" ht="14.25" customHeight="1">
      <c r="T601" s="4"/>
    </row>
    <row r="602" spans="20:20" ht="14.25" customHeight="1">
      <c r="T602" s="4"/>
    </row>
    <row r="603" spans="20:20" ht="14.25" customHeight="1">
      <c r="T603" s="4"/>
    </row>
    <row r="604" spans="20:20" ht="14.25" customHeight="1">
      <c r="T604" s="4"/>
    </row>
    <row r="605" spans="20:20" ht="14.25" customHeight="1">
      <c r="T605" s="4"/>
    </row>
    <row r="606" spans="20:20" ht="14.25" customHeight="1">
      <c r="T606" s="4"/>
    </row>
    <row r="607" spans="20:20" ht="14.25" customHeight="1">
      <c r="T607" s="4"/>
    </row>
    <row r="608" spans="20:20" ht="14.25" customHeight="1">
      <c r="T608" s="4"/>
    </row>
    <row r="609" spans="20:20" ht="14.25" customHeight="1">
      <c r="T609" s="4"/>
    </row>
    <row r="610" spans="20:20" ht="14.25" customHeight="1">
      <c r="T610" s="4"/>
    </row>
    <row r="611" spans="20:20" ht="14.25" customHeight="1">
      <c r="T611" s="4"/>
    </row>
    <row r="612" spans="20:20" ht="14.25" customHeight="1">
      <c r="T612" s="4"/>
    </row>
    <row r="613" spans="20:20" ht="14.25" customHeight="1">
      <c r="T613" s="4"/>
    </row>
    <row r="614" spans="20:20" ht="14.25" customHeight="1">
      <c r="T614" s="4"/>
    </row>
    <row r="615" spans="20:20" ht="14.25" customHeight="1">
      <c r="T615" s="4"/>
    </row>
    <row r="616" spans="20:20" ht="14.25" customHeight="1">
      <c r="T616" s="4"/>
    </row>
    <row r="617" spans="20:20" ht="14.25" customHeight="1">
      <c r="T617" s="4"/>
    </row>
    <row r="618" spans="20:20" ht="14.25" customHeight="1">
      <c r="T618" s="4"/>
    </row>
    <row r="619" spans="20:20" ht="14.25" customHeight="1">
      <c r="T619" s="4"/>
    </row>
    <row r="620" spans="20:20" ht="14.25" customHeight="1">
      <c r="T620" s="4"/>
    </row>
    <row r="621" spans="20:20" ht="14.25" customHeight="1">
      <c r="T621" s="4"/>
    </row>
    <row r="622" spans="20:20" ht="14.25" customHeight="1">
      <c r="T622" s="4"/>
    </row>
    <row r="623" spans="20:20" ht="14.25" customHeight="1">
      <c r="T623" s="4"/>
    </row>
    <row r="624" spans="20:20" ht="14.25" customHeight="1">
      <c r="T624" s="4"/>
    </row>
    <row r="625" spans="20:20" ht="14.25" customHeight="1">
      <c r="T625" s="4"/>
    </row>
    <row r="626" spans="20:20" ht="14.25" customHeight="1">
      <c r="T626" s="4"/>
    </row>
    <row r="627" spans="20:20" ht="14.25" customHeight="1">
      <c r="T627" s="4"/>
    </row>
    <row r="628" spans="20:20" ht="14.25" customHeight="1">
      <c r="T628" s="4"/>
    </row>
    <row r="629" spans="20:20" ht="14.25" customHeight="1">
      <c r="T629" s="4"/>
    </row>
    <row r="630" spans="20:20" ht="14.25" customHeight="1">
      <c r="T630" s="4"/>
    </row>
    <row r="631" spans="20:20" ht="14.25" customHeight="1">
      <c r="T631" s="4"/>
    </row>
    <row r="632" spans="20:20" ht="14.25" customHeight="1">
      <c r="T632" s="4"/>
    </row>
    <row r="633" spans="20:20" ht="14.25" customHeight="1">
      <c r="T633" s="4"/>
    </row>
    <row r="634" spans="20:20" ht="14.25" customHeight="1">
      <c r="T634" s="4"/>
    </row>
    <row r="635" spans="20:20" ht="14.25" customHeight="1">
      <c r="T635" s="4"/>
    </row>
    <row r="636" spans="20:20" ht="14.25" customHeight="1">
      <c r="T636" s="4"/>
    </row>
    <row r="637" spans="20:20" ht="14.25" customHeight="1">
      <c r="T637" s="4"/>
    </row>
    <row r="638" spans="20:20" ht="14.25" customHeight="1">
      <c r="T638" s="4"/>
    </row>
    <row r="639" spans="20:20" ht="14.25" customHeight="1">
      <c r="T639" s="4"/>
    </row>
    <row r="640" spans="20:20" ht="14.25" customHeight="1">
      <c r="T640" s="4"/>
    </row>
    <row r="641" spans="20:20" ht="14.25" customHeight="1">
      <c r="T641" s="4"/>
    </row>
    <row r="642" spans="20:20" ht="14.25" customHeight="1">
      <c r="T642" s="4"/>
    </row>
    <row r="643" spans="20:20" ht="14.25" customHeight="1">
      <c r="T643" s="4"/>
    </row>
    <row r="644" spans="20:20" ht="14.25" customHeight="1">
      <c r="T644" s="4"/>
    </row>
    <row r="645" spans="20:20" ht="14.25" customHeight="1">
      <c r="T645" s="4"/>
    </row>
    <row r="646" spans="20:20" ht="14.25" customHeight="1">
      <c r="T646" s="4"/>
    </row>
    <row r="647" spans="20:20" ht="14.25" customHeight="1">
      <c r="T647" s="4"/>
    </row>
    <row r="648" spans="20:20" ht="14.25" customHeight="1">
      <c r="T648" s="4"/>
    </row>
    <row r="649" spans="20:20" ht="14.25" customHeight="1">
      <c r="T649" s="4"/>
    </row>
    <row r="650" spans="20:20" ht="14.25" customHeight="1">
      <c r="T650" s="4"/>
    </row>
    <row r="651" spans="20:20" ht="14.25" customHeight="1">
      <c r="T651" s="4"/>
    </row>
    <row r="652" spans="20:20" ht="14.25" customHeight="1">
      <c r="T652" s="4"/>
    </row>
    <row r="653" spans="20:20" ht="14.25" customHeight="1">
      <c r="T653" s="4"/>
    </row>
    <row r="654" spans="20:20" ht="14.25" customHeight="1">
      <c r="T654" s="4"/>
    </row>
    <row r="655" spans="20:20" ht="14.25" customHeight="1">
      <c r="T655" s="4"/>
    </row>
    <row r="656" spans="20:20" ht="14.25" customHeight="1">
      <c r="T656" s="4"/>
    </row>
    <row r="657" spans="20:20" ht="14.25" customHeight="1">
      <c r="T657" s="4"/>
    </row>
    <row r="658" spans="20:20" ht="14.25" customHeight="1">
      <c r="T658" s="4"/>
    </row>
    <row r="659" spans="20:20" ht="14.25" customHeight="1">
      <c r="T659" s="4"/>
    </row>
    <row r="660" spans="20:20" ht="14.25" customHeight="1">
      <c r="T660" s="4"/>
    </row>
    <row r="661" spans="20:20" ht="14.25" customHeight="1">
      <c r="T661" s="4"/>
    </row>
    <row r="662" spans="20:20" ht="14.25" customHeight="1">
      <c r="T662" s="4"/>
    </row>
    <row r="663" spans="20:20" ht="14.25" customHeight="1">
      <c r="T663" s="4"/>
    </row>
    <row r="664" spans="20:20" ht="14.25" customHeight="1">
      <c r="T664" s="4"/>
    </row>
    <row r="665" spans="20:20" ht="14.25" customHeight="1">
      <c r="T665" s="4"/>
    </row>
    <row r="666" spans="20:20" ht="14.25" customHeight="1">
      <c r="T666" s="4"/>
    </row>
    <row r="667" spans="20:20" ht="14.25" customHeight="1">
      <c r="T667" s="4"/>
    </row>
    <row r="668" spans="20:20" ht="14.25" customHeight="1">
      <c r="T668" s="4"/>
    </row>
    <row r="669" spans="20:20" ht="14.25" customHeight="1">
      <c r="T669" s="4"/>
    </row>
    <row r="670" spans="20:20" ht="14.25" customHeight="1">
      <c r="T670" s="4"/>
    </row>
    <row r="671" spans="20:20" ht="14.25" customHeight="1">
      <c r="T671" s="4"/>
    </row>
    <row r="672" spans="20:20" ht="14.25" customHeight="1">
      <c r="T672" s="4"/>
    </row>
    <row r="673" spans="20:20" ht="14.25" customHeight="1">
      <c r="T673" s="4"/>
    </row>
    <row r="674" spans="20:20" ht="14.25" customHeight="1">
      <c r="T674" s="4"/>
    </row>
    <row r="675" spans="20:20" ht="14.25" customHeight="1">
      <c r="T675" s="4"/>
    </row>
    <row r="676" spans="20:20" ht="14.25" customHeight="1">
      <c r="T676" s="4"/>
    </row>
    <row r="677" spans="20:20" ht="14.25" customHeight="1">
      <c r="T677" s="4"/>
    </row>
    <row r="678" spans="20:20" ht="14.25" customHeight="1">
      <c r="T678" s="4"/>
    </row>
    <row r="679" spans="20:20" ht="14.25" customHeight="1">
      <c r="T679" s="4"/>
    </row>
    <row r="680" spans="20:20" ht="14.25" customHeight="1">
      <c r="T680" s="4"/>
    </row>
    <row r="681" spans="20:20" ht="14.25" customHeight="1">
      <c r="T681" s="4"/>
    </row>
    <row r="682" spans="20:20" ht="14.25" customHeight="1">
      <c r="T682" s="4"/>
    </row>
    <row r="683" spans="20:20" ht="14.25" customHeight="1">
      <c r="T683" s="4"/>
    </row>
    <row r="684" spans="20:20" ht="14.25" customHeight="1">
      <c r="T684" s="4"/>
    </row>
    <row r="685" spans="20:20" ht="14.25" customHeight="1">
      <c r="T685" s="4"/>
    </row>
    <row r="686" spans="20:20" ht="14.25" customHeight="1">
      <c r="T686" s="4"/>
    </row>
    <row r="687" spans="20:20" ht="14.25" customHeight="1">
      <c r="T687" s="4"/>
    </row>
    <row r="688" spans="20:20" ht="14.25" customHeight="1">
      <c r="T688" s="4"/>
    </row>
    <row r="689" spans="20:20" ht="14.25" customHeight="1">
      <c r="T689" s="4"/>
    </row>
    <row r="690" spans="20:20" ht="14.25" customHeight="1">
      <c r="T690" s="4"/>
    </row>
    <row r="691" spans="20:20" ht="14.25" customHeight="1">
      <c r="T691" s="4"/>
    </row>
    <row r="692" spans="20:20" ht="14.25" customHeight="1">
      <c r="T692" s="4"/>
    </row>
    <row r="693" spans="20:20" ht="14.25" customHeight="1">
      <c r="T693" s="4"/>
    </row>
    <row r="694" spans="20:20" ht="14.25" customHeight="1">
      <c r="T694" s="4"/>
    </row>
    <row r="695" spans="20:20" ht="14.25" customHeight="1">
      <c r="T695" s="4"/>
    </row>
    <row r="696" spans="20:20" ht="14.25" customHeight="1">
      <c r="T696" s="4"/>
    </row>
    <row r="697" spans="20:20" ht="14.25" customHeight="1">
      <c r="T697" s="4"/>
    </row>
    <row r="698" spans="20:20" ht="14.25" customHeight="1">
      <c r="T698" s="4"/>
    </row>
    <row r="699" spans="20:20" ht="14.25" customHeight="1">
      <c r="T699" s="4"/>
    </row>
    <row r="700" spans="20:20" ht="14.25" customHeight="1">
      <c r="T700" s="4"/>
    </row>
    <row r="701" spans="20:20" ht="14.25" customHeight="1">
      <c r="T701" s="4"/>
    </row>
    <row r="702" spans="20:20" ht="14.25" customHeight="1">
      <c r="T702" s="4"/>
    </row>
    <row r="703" spans="20:20" ht="14.25" customHeight="1">
      <c r="T703" s="4"/>
    </row>
    <row r="704" spans="20:20" ht="14.25" customHeight="1">
      <c r="T704" s="4"/>
    </row>
    <row r="705" spans="20:20" ht="14.25" customHeight="1">
      <c r="T705" s="4"/>
    </row>
    <row r="706" spans="20:20" ht="14.25" customHeight="1">
      <c r="T706" s="4"/>
    </row>
    <row r="707" spans="20:20" ht="14.25" customHeight="1">
      <c r="T707" s="4"/>
    </row>
    <row r="708" spans="20:20" ht="14.25" customHeight="1">
      <c r="T708" s="4"/>
    </row>
    <row r="709" spans="20:20" ht="14.25" customHeight="1">
      <c r="T709" s="4"/>
    </row>
    <row r="710" spans="20:20" ht="14.25" customHeight="1">
      <c r="T710" s="4"/>
    </row>
    <row r="711" spans="20:20" ht="14.25" customHeight="1">
      <c r="T711" s="4"/>
    </row>
    <row r="712" spans="20:20" ht="14.25" customHeight="1">
      <c r="T712" s="4"/>
    </row>
    <row r="713" spans="20:20" ht="14.25" customHeight="1">
      <c r="T713" s="4"/>
    </row>
    <row r="714" spans="20:20" ht="14.25" customHeight="1">
      <c r="T714" s="4"/>
    </row>
    <row r="715" spans="20:20" ht="14.25" customHeight="1">
      <c r="T715" s="4"/>
    </row>
    <row r="716" spans="20:20" ht="14.25" customHeight="1">
      <c r="T716" s="4"/>
    </row>
    <row r="717" spans="20:20" ht="14.25" customHeight="1">
      <c r="T717" s="4"/>
    </row>
    <row r="718" spans="20:20" ht="14.25" customHeight="1">
      <c r="T718" s="4"/>
    </row>
    <row r="719" spans="20:20" ht="14.25" customHeight="1">
      <c r="T719" s="4"/>
    </row>
    <row r="720" spans="20:20" ht="14.25" customHeight="1">
      <c r="T720" s="4"/>
    </row>
    <row r="721" spans="20:20" ht="14.25" customHeight="1">
      <c r="T721" s="4"/>
    </row>
    <row r="722" spans="20:20" ht="14.25" customHeight="1">
      <c r="T722" s="4"/>
    </row>
    <row r="723" spans="20:20" ht="14.25" customHeight="1">
      <c r="T723" s="4"/>
    </row>
    <row r="724" spans="20:20" ht="14.25" customHeight="1">
      <c r="T724" s="4"/>
    </row>
    <row r="725" spans="20:20" ht="14.25" customHeight="1">
      <c r="T725" s="4"/>
    </row>
    <row r="726" spans="20:20" ht="14.25" customHeight="1">
      <c r="T726" s="4"/>
    </row>
    <row r="727" spans="20:20" ht="14.25" customHeight="1">
      <c r="T727" s="4"/>
    </row>
    <row r="728" spans="20:20" ht="14.25" customHeight="1">
      <c r="T728" s="4"/>
    </row>
    <row r="729" spans="20:20" ht="14.25" customHeight="1">
      <c r="T729" s="4"/>
    </row>
    <row r="730" spans="20:20" ht="14.25" customHeight="1">
      <c r="T730" s="4"/>
    </row>
    <row r="731" spans="20:20" ht="14.25" customHeight="1">
      <c r="T731" s="4"/>
    </row>
    <row r="732" spans="20:20" ht="14.25" customHeight="1">
      <c r="T732" s="4"/>
    </row>
    <row r="733" spans="20:20" ht="14.25" customHeight="1">
      <c r="T733" s="4"/>
    </row>
    <row r="734" spans="20:20" ht="14.25" customHeight="1">
      <c r="T734" s="4"/>
    </row>
    <row r="735" spans="20:20" ht="14.25" customHeight="1">
      <c r="T735" s="4"/>
    </row>
    <row r="736" spans="20:20" ht="14.25" customHeight="1">
      <c r="T736" s="4"/>
    </row>
    <row r="737" spans="20:20" ht="14.25" customHeight="1">
      <c r="T737" s="4"/>
    </row>
    <row r="738" spans="20:20" ht="14.25" customHeight="1">
      <c r="T738" s="4"/>
    </row>
    <row r="739" spans="20:20" ht="14.25" customHeight="1">
      <c r="T739" s="4"/>
    </row>
    <row r="740" spans="20:20" ht="14.25" customHeight="1">
      <c r="T740" s="4"/>
    </row>
    <row r="741" spans="20:20" ht="14.25" customHeight="1">
      <c r="T741" s="4"/>
    </row>
    <row r="742" spans="20:20" ht="14.25" customHeight="1">
      <c r="T742" s="4"/>
    </row>
    <row r="743" spans="20:20" ht="14.25" customHeight="1">
      <c r="T743" s="4"/>
    </row>
    <row r="744" spans="20:20" ht="14.25" customHeight="1">
      <c r="T744" s="4"/>
    </row>
    <row r="745" spans="20:20" ht="14.25" customHeight="1">
      <c r="T745" s="4"/>
    </row>
    <row r="746" spans="20:20" ht="14.25" customHeight="1">
      <c r="T746" s="4"/>
    </row>
    <row r="747" spans="20:20" ht="14.25" customHeight="1">
      <c r="T747" s="4"/>
    </row>
    <row r="748" spans="20:20" ht="14.25" customHeight="1">
      <c r="T748" s="4"/>
    </row>
    <row r="749" spans="20:20" ht="14.25" customHeight="1">
      <c r="T749" s="4"/>
    </row>
    <row r="750" spans="20:20" ht="14.25" customHeight="1">
      <c r="T750" s="4"/>
    </row>
    <row r="751" spans="20:20" ht="14.25" customHeight="1">
      <c r="T751" s="4"/>
    </row>
    <row r="752" spans="20:20" ht="14.25" customHeight="1">
      <c r="T752" s="4"/>
    </row>
    <row r="753" spans="20:20" ht="14.25" customHeight="1">
      <c r="T753" s="4"/>
    </row>
    <row r="754" spans="20:20" ht="14.25" customHeight="1">
      <c r="T754" s="4"/>
    </row>
    <row r="755" spans="20:20" ht="14.25" customHeight="1">
      <c r="T755" s="4"/>
    </row>
    <row r="756" spans="20:20" ht="14.25" customHeight="1">
      <c r="T756" s="4"/>
    </row>
    <row r="757" spans="20:20" ht="14.25" customHeight="1">
      <c r="T757" s="4"/>
    </row>
    <row r="758" spans="20:20" ht="14.25" customHeight="1">
      <c r="T758" s="4"/>
    </row>
    <row r="759" spans="20:20" ht="14.25" customHeight="1">
      <c r="T759" s="4"/>
    </row>
    <row r="760" spans="20:20" ht="14.25" customHeight="1">
      <c r="T760" s="4"/>
    </row>
    <row r="761" spans="20:20" ht="14.25" customHeight="1">
      <c r="T761" s="4"/>
    </row>
    <row r="762" spans="20:20" ht="14.25" customHeight="1">
      <c r="T762" s="4"/>
    </row>
    <row r="763" spans="20:20" ht="14.25" customHeight="1">
      <c r="T763" s="4"/>
    </row>
    <row r="764" spans="20:20" ht="14.25" customHeight="1">
      <c r="T764" s="4"/>
    </row>
    <row r="765" spans="20:20" ht="14.25" customHeight="1">
      <c r="T765" s="4"/>
    </row>
    <row r="766" spans="20:20" ht="14.25" customHeight="1">
      <c r="T766" s="4"/>
    </row>
    <row r="767" spans="20:20" ht="14.25" customHeight="1">
      <c r="T767" s="4"/>
    </row>
    <row r="768" spans="20:20" ht="14.25" customHeight="1">
      <c r="T768" s="4"/>
    </row>
    <row r="769" spans="20:20" ht="14.25" customHeight="1">
      <c r="T769" s="4"/>
    </row>
    <row r="770" spans="20:20" ht="14.25" customHeight="1">
      <c r="T770" s="4"/>
    </row>
    <row r="771" spans="20:20" ht="14.25" customHeight="1">
      <c r="T771" s="4"/>
    </row>
    <row r="772" spans="20:20" ht="14.25" customHeight="1">
      <c r="T772" s="4"/>
    </row>
    <row r="773" spans="20:20" ht="14.25" customHeight="1">
      <c r="T773" s="4"/>
    </row>
    <row r="774" spans="20:20" ht="14.25" customHeight="1">
      <c r="T774" s="4"/>
    </row>
    <row r="775" spans="20:20" ht="14.25" customHeight="1">
      <c r="T775" s="4"/>
    </row>
    <row r="776" spans="20:20" ht="14.25" customHeight="1">
      <c r="T776" s="4"/>
    </row>
    <row r="777" spans="20:20" ht="14.25" customHeight="1">
      <c r="T777" s="4"/>
    </row>
    <row r="778" spans="20:20" ht="14.25" customHeight="1">
      <c r="T778" s="4"/>
    </row>
    <row r="779" spans="20:20" ht="14.25" customHeight="1">
      <c r="T779" s="4"/>
    </row>
    <row r="780" spans="20:20" ht="14.25" customHeight="1">
      <c r="T780" s="4"/>
    </row>
    <row r="781" spans="20:20" ht="14.25" customHeight="1">
      <c r="T781" s="4"/>
    </row>
    <row r="782" spans="20:20" ht="14.25" customHeight="1">
      <c r="T782" s="4"/>
    </row>
    <row r="783" spans="20:20" ht="14.25" customHeight="1">
      <c r="T783" s="4"/>
    </row>
    <row r="784" spans="20:20" ht="14.25" customHeight="1">
      <c r="T784" s="4"/>
    </row>
    <row r="785" spans="20:20" ht="14.25" customHeight="1">
      <c r="T785" s="4"/>
    </row>
    <row r="786" spans="20:20" ht="14.25" customHeight="1">
      <c r="T786" s="4"/>
    </row>
    <row r="787" spans="20:20" ht="14.25" customHeight="1">
      <c r="T787" s="4"/>
    </row>
    <row r="788" spans="20:20" ht="14.25" customHeight="1">
      <c r="T788" s="4"/>
    </row>
    <row r="789" spans="20:20" ht="14.25" customHeight="1">
      <c r="T789" s="4"/>
    </row>
    <row r="790" spans="20:20" ht="14.25" customHeight="1">
      <c r="T790" s="4"/>
    </row>
    <row r="791" spans="20:20" ht="14.25" customHeight="1">
      <c r="T791" s="4"/>
    </row>
    <row r="792" spans="20:20" ht="14.25" customHeight="1">
      <c r="T792" s="4"/>
    </row>
    <row r="793" spans="20:20" ht="14.25" customHeight="1">
      <c r="T793" s="4"/>
    </row>
    <row r="794" spans="20:20" ht="14.25" customHeight="1">
      <c r="T794" s="4"/>
    </row>
    <row r="795" spans="20:20" ht="14.25" customHeight="1">
      <c r="T795" s="4"/>
    </row>
    <row r="796" spans="20:20" ht="14.25" customHeight="1">
      <c r="T796" s="4"/>
    </row>
    <row r="797" spans="20:20" ht="14.25" customHeight="1">
      <c r="T797" s="4"/>
    </row>
    <row r="798" spans="20:20" ht="14.25" customHeight="1">
      <c r="T798" s="4"/>
    </row>
    <row r="799" spans="20:20" ht="14.25" customHeight="1">
      <c r="T799" s="4"/>
    </row>
    <row r="800" spans="20:20" ht="14.25" customHeight="1">
      <c r="T800" s="4"/>
    </row>
    <row r="801" spans="20:20" ht="14.25" customHeight="1">
      <c r="T801" s="4"/>
    </row>
    <row r="802" spans="20:20" ht="14.25" customHeight="1">
      <c r="T802" s="4"/>
    </row>
    <row r="803" spans="20:20" ht="14.25" customHeight="1">
      <c r="T803" s="4"/>
    </row>
    <row r="804" spans="20:20" ht="14.25" customHeight="1">
      <c r="T804" s="4"/>
    </row>
    <row r="805" spans="20:20" ht="14.25" customHeight="1">
      <c r="T805" s="4"/>
    </row>
    <row r="806" spans="20:20" ht="14.25" customHeight="1">
      <c r="T806" s="4"/>
    </row>
    <row r="807" spans="20:20" ht="14.25" customHeight="1">
      <c r="T807" s="4"/>
    </row>
    <row r="808" spans="20:20" ht="14.25" customHeight="1">
      <c r="T808" s="4"/>
    </row>
    <row r="809" spans="20:20" ht="14.25" customHeight="1">
      <c r="T809" s="4"/>
    </row>
    <row r="810" spans="20:20" ht="14.25" customHeight="1">
      <c r="T810" s="4"/>
    </row>
    <row r="811" spans="20:20" ht="14.25" customHeight="1">
      <c r="T811" s="4"/>
    </row>
    <row r="812" spans="20:20" ht="14.25" customHeight="1">
      <c r="T812" s="4"/>
    </row>
    <row r="813" spans="20:20" ht="14.25" customHeight="1">
      <c r="T813" s="4"/>
    </row>
    <row r="814" spans="20:20" ht="14.25" customHeight="1">
      <c r="T814" s="4"/>
    </row>
    <row r="815" spans="20:20" ht="14.25" customHeight="1">
      <c r="T815" s="4"/>
    </row>
    <row r="816" spans="20:20" ht="14.25" customHeight="1">
      <c r="T816" s="4"/>
    </row>
    <row r="817" spans="20:20" ht="14.25" customHeight="1">
      <c r="T817" s="4"/>
    </row>
    <row r="818" spans="20:20" ht="14.25" customHeight="1">
      <c r="T818" s="4"/>
    </row>
    <row r="819" spans="20:20" ht="14.25" customHeight="1">
      <c r="T819" s="4"/>
    </row>
    <row r="820" spans="20:20" ht="14.25" customHeight="1">
      <c r="T820" s="4"/>
    </row>
    <row r="821" spans="20:20" ht="14.25" customHeight="1">
      <c r="T821" s="4"/>
    </row>
    <row r="822" spans="20:20" ht="14.25" customHeight="1">
      <c r="T822" s="4"/>
    </row>
    <row r="823" spans="20:20" ht="14.25" customHeight="1">
      <c r="T823" s="4"/>
    </row>
    <row r="824" spans="20:20" ht="14.25" customHeight="1">
      <c r="T824" s="4"/>
    </row>
    <row r="825" spans="20:20" ht="14.25" customHeight="1">
      <c r="T825" s="4"/>
    </row>
    <row r="826" spans="20:20" ht="14.25" customHeight="1">
      <c r="T826" s="4"/>
    </row>
    <row r="827" spans="20:20" ht="14.25" customHeight="1">
      <c r="T827" s="4"/>
    </row>
    <row r="828" spans="20:20" ht="14.25" customHeight="1">
      <c r="T828" s="4"/>
    </row>
    <row r="829" spans="20:20" ht="14.25" customHeight="1">
      <c r="T829" s="4"/>
    </row>
    <row r="830" spans="20:20" ht="14.25" customHeight="1">
      <c r="T830" s="4"/>
    </row>
    <row r="831" spans="20:20" ht="14.25" customHeight="1">
      <c r="T831" s="4"/>
    </row>
    <row r="832" spans="20:20" ht="14.25" customHeight="1">
      <c r="T832" s="4"/>
    </row>
    <row r="833" spans="20:20" ht="14.25" customHeight="1">
      <c r="T833" s="4"/>
    </row>
    <row r="834" spans="20:20" ht="14.25" customHeight="1">
      <c r="T834" s="4"/>
    </row>
    <row r="835" spans="20:20" ht="14.25" customHeight="1">
      <c r="T835" s="4"/>
    </row>
    <row r="836" spans="20:20" ht="14.25" customHeight="1">
      <c r="T836" s="4"/>
    </row>
    <row r="837" spans="20:20" ht="14.25" customHeight="1">
      <c r="T837" s="4"/>
    </row>
    <row r="838" spans="20:20" ht="14.25" customHeight="1">
      <c r="T838" s="4"/>
    </row>
    <row r="839" spans="20:20" ht="14.25" customHeight="1">
      <c r="T839" s="4"/>
    </row>
    <row r="840" spans="20:20" ht="14.25" customHeight="1">
      <c r="T840" s="4"/>
    </row>
    <row r="841" spans="20:20" ht="14.25" customHeight="1">
      <c r="T841" s="4"/>
    </row>
    <row r="842" spans="20:20" ht="14.25" customHeight="1">
      <c r="T842" s="4"/>
    </row>
    <row r="843" spans="20:20" ht="14.25" customHeight="1">
      <c r="T843" s="4"/>
    </row>
    <row r="844" spans="20:20" ht="14.25" customHeight="1">
      <c r="T844" s="4"/>
    </row>
    <row r="845" spans="20:20" ht="14.25" customHeight="1">
      <c r="T845" s="4"/>
    </row>
    <row r="846" spans="20:20" ht="14.25" customHeight="1">
      <c r="T846" s="4"/>
    </row>
    <row r="847" spans="20:20" ht="14.25" customHeight="1">
      <c r="T847" s="4"/>
    </row>
    <row r="848" spans="20:20" ht="14.25" customHeight="1">
      <c r="T848" s="4"/>
    </row>
    <row r="849" spans="20:20" ht="14.25" customHeight="1">
      <c r="T849" s="4"/>
    </row>
    <row r="850" spans="20:20" ht="14.25" customHeight="1">
      <c r="T850" s="4"/>
    </row>
    <row r="851" spans="20:20" ht="14.25" customHeight="1">
      <c r="T851" s="4"/>
    </row>
    <row r="852" spans="20:20" ht="14.25" customHeight="1">
      <c r="T852" s="4"/>
    </row>
    <row r="853" spans="20:20" ht="14.25" customHeight="1">
      <c r="T853" s="4"/>
    </row>
    <row r="854" spans="20:20" ht="14.25" customHeight="1">
      <c r="T854" s="4"/>
    </row>
    <row r="855" spans="20:20" ht="14.25" customHeight="1">
      <c r="T855" s="4"/>
    </row>
    <row r="856" spans="20:20" ht="14.25" customHeight="1">
      <c r="T856" s="4"/>
    </row>
    <row r="857" spans="20:20" ht="14.25" customHeight="1">
      <c r="T857" s="4"/>
    </row>
    <row r="858" spans="20:20" ht="14.25" customHeight="1">
      <c r="T858" s="4"/>
    </row>
    <row r="859" spans="20:20" ht="14.25" customHeight="1">
      <c r="T859" s="4"/>
    </row>
    <row r="860" spans="20:20" ht="14.25" customHeight="1">
      <c r="T860" s="4"/>
    </row>
    <row r="861" spans="20:20" ht="14.25" customHeight="1">
      <c r="T861" s="4"/>
    </row>
    <row r="862" spans="20:20" ht="14.25" customHeight="1">
      <c r="T862" s="4"/>
    </row>
    <row r="863" spans="20:20" ht="14.25" customHeight="1">
      <c r="T863" s="4"/>
    </row>
    <row r="864" spans="20:20" ht="14.25" customHeight="1">
      <c r="T864" s="4"/>
    </row>
    <row r="865" spans="20:20" ht="14.25" customHeight="1">
      <c r="T865" s="4"/>
    </row>
    <row r="866" spans="20:20" ht="14.25" customHeight="1">
      <c r="T866" s="4"/>
    </row>
    <row r="867" spans="20:20" ht="14.25" customHeight="1">
      <c r="T867" s="4"/>
    </row>
    <row r="868" spans="20:20" ht="14.25" customHeight="1">
      <c r="T868" s="4"/>
    </row>
    <row r="869" spans="20:20" ht="14.25" customHeight="1">
      <c r="T869" s="4"/>
    </row>
    <row r="870" spans="20:20" ht="14.25" customHeight="1">
      <c r="T870" s="4"/>
    </row>
    <row r="871" spans="20:20" ht="14.25" customHeight="1">
      <c r="T871" s="4"/>
    </row>
    <row r="872" spans="20:20" ht="14.25" customHeight="1">
      <c r="T872" s="4"/>
    </row>
    <row r="873" spans="20:20" ht="14.25" customHeight="1">
      <c r="T873" s="4"/>
    </row>
    <row r="874" spans="20:20" ht="14.25" customHeight="1">
      <c r="T874" s="4"/>
    </row>
    <row r="875" spans="20:20" ht="14.25" customHeight="1">
      <c r="T875" s="4"/>
    </row>
    <row r="876" spans="20:20" ht="14.25" customHeight="1">
      <c r="T876" s="4"/>
    </row>
    <row r="877" spans="20:20" ht="14.25" customHeight="1">
      <c r="T877" s="4"/>
    </row>
    <row r="878" spans="20:20" ht="14.25" customHeight="1">
      <c r="T878" s="4"/>
    </row>
    <row r="879" spans="20:20" ht="14.25" customHeight="1">
      <c r="T879" s="4"/>
    </row>
    <row r="880" spans="20:20" ht="14.25" customHeight="1">
      <c r="T880" s="4"/>
    </row>
    <row r="881" spans="20:20" ht="14.25" customHeight="1">
      <c r="T881" s="4"/>
    </row>
    <row r="882" spans="20:20" ht="14.25" customHeight="1">
      <c r="T882" s="4"/>
    </row>
    <row r="883" spans="20:20" ht="14.25" customHeight="1">
      <c r="T883" s="4"/>
    </row>
    <row r="884" spans="20:20" ht="14.25" customHeight="1">
      <c r="T884" s="4"/>
    </row>
    <row r="885" spans="20:20" ht="14.25" customHeight="1">
      <c r="T885" s="4"/>
    </row>
    <row r="886" spans="20:20" ht="14.25" customHeight="1">
      <c r="T886" s="4"/>
    </row>
    <row r="887" spans="20:20" ht="14.25" customHeight="1">
      <c r="T887" s="4"/>
    </row>
    <row r="888" spans="20:20" ht="14.25" customHeight="1">
      <c r="T888" s="4"/>
    </row>
    <row r="889" spans="20:20" ht="14.25" customHeight="1">
      <c r="T889" s="4"/>
    </row>
    <row r="890" spans="20:20" ht="14.25" customHeight="1">
      <c r="T890" s="4"/>
    </row>
    <row r="891" spans="20:20" ht="14.25" customHeight="1">
      <c r="T891" s="4"/>
    </row>
    <row r="892" spans="20:20" ht="14.25" customHeight="1">
      <c r="T892" s="4"/>
    </row>
    <row r="893" spans="20:20" ht="14.25" customHeight="1">
      <c r="T893" s="4"/>
    </row>
    <row r="894" spans="20:20" ht="14.25" customHeight="1">
      <c r="T894" s="4"/>
    </row>
    <row r="895" spans="20:20" ht="14.25" customHeight="1">
      <c r="T895" s="4"/>
    </row>
    <row r="896" spans="20:20" ht="14.25" customHeight="1">
      <c r="T896" s="4"/>
    </row>
    <row r="897" spans="20:20" ht="14.25" customHeight="1">
      <c r="T897" s="4"/>
    </row>
    <row r="898" spans="20:20" ht="14.25" customHeight="1">
      <c r="T898" s="4"/>
    </row>
    <row r="899" spans="20:20" ht="14.25" customHeight="1">
      <c r="T899" s="4"/>
    </row>
    <row r="900" spans="20:20" ht="14.25" customHeight="1">
      <c r="T900" s="4"/>
    </row>
    <row r="901" spans="20:20" ht="14.25" customHeight="1">
      <c r="T901" s="4"/>
    </row>
    <row r="902" spans="20:20" ht="14.25" customHeight="1">
      <c r="T902" s="4"/>
    </row>
    <row r="903" spans="20:20" ht="14.25" customHeight="1">
      <c r="T903" s="4"/>
    </row>
    <row r="904" spans="20:20" ht="14.25" customHeight="1">
      <c r="T904" s="4"/>
    </row>
    <row r="905" spans="20:20" ht="14.25" customHeight="1">
      <c r="T905" s="4"/>
    </row>
    <row r="906" spans="20:20" ht="14.25" customHeight="1">
      <c r="T906" s="4"/>
    </row>
    <row r="907" spans="20:20" ht="14.25" customHeight="1">
      <c r="T907" s="4"/>
    </row>
    <row r="908" spans="20:20" ht="14.25" customHeight="1">
      <c r="T908" s="4"/>
    </row>
    <row r="909" spans="20:20" ht="14.25" customHeight="1">
      <c r="T909" s="4"/>
    </row>
    <row r="910" spans="20:20" ht="14.25" customHeight="1">
      <c r="T910" s="4"/>
    </row>
    <row r="911" spans="20:20" ht="14.25" customHeight="1">
      <c r="T911" s="4"/>
    </row>
    <row r="912" spans="20:20" ht="14.25" customHeight="1">
      <c r="T912" s="4"/>
    </row>
    <row r="913" spans="20:20" ht="14.25" customHeight="1">
      <c r="T913" s="4"/>
    </row>
    <row r="914" spans="20:20" ht="14.25" customHeight="1">
      <c r="T914" s="4"/>
    </row>
    <row r="915" spans="20:20" ht="14.25" customHeight="1">
      <c r="T915" s="4"/>
    </row>
    <row r="916" spans="20:20" ht="14.25" customHeight="1">
      <c r="T916" s="4"/>
    </row>
    <row r="917" spans="20:20" ht="14.25" customHeight="1">
      <c r="T917" s="4"/>
    </row>
    <row r="918" spans="20:20" ht="14.25" customHeight="1">
      <c r="T918" s="4"/>
    </row>
    <row r="919" spans="20:20" ht="14.25" customHeight="1">
      <c r="T919" s="4"/>
    </row>
    <row r="920" spans="20:20" ht="14.25" customHeight="1">
      <c r="T920" s="4"/>
    </row>
    <row r="921" spans="20:20" ht="14.25" customHeight="1">
      <c r="T921" s="4"/>
    </row>
    <row r="922" spans="20:20" ht="14.25" customHeight="1">
      <c r="T922" s="4"/>
    </row>
    <row r="923" spans="20:20" ht="14.25" customHeight="1">
      <c r="T923" s="4"/>
    </row>
    <row r="924" spans="20:20" ht="14.25" customHeight="1">
      <c r="T924" s="4"/>
    </row>
    <row r="925" spans="20:20" ht="14.25" customHeight="1">
      <c r="T925" s="4"/>
    </row>
    <row r="926" spans="20:20" ht="14.25" customHeight="1">
      <c r="T926" s="4"/>
    </row>
    <row r="927" spans="20:20" ht="14.25" customHeight="1">
      <c r="T927" s="4"/>
    </row>
    <row r="928" spans="20:20" ht="14.25" customHeight="1">
      <c r="T928" s="4"/>
    </row>
    <row r="929" spans="20:20" ht="14.25" customHeight="1">
      <c r="T929" s="4"/>
    </row>
    <row r="930" spans="20:20" ht="14.25" customHeight="1">
      <c r="T930" s="4"/>
    </row>
    <row r="931" spans="20:20" ht="14.25" customHeight="1">
      <c r="T931" s="4"/>
    </row>
    <row r="932" spans="20:20" ht="14.25" customHeight="1">
      <c r="T932" s="4"/>
    </row>
    <row r="933" spans="20:20" ht="14.25" customHeight="1">
      <c r="T933" s="4"/>
    </row>
    <row r="934" spans="20:20" ht="14.25" customHeight="1">
      <c r="T934" s="4"/>
    </row>
    <row r="935" spans="20:20" ht="14.25" customHeight="1">
      <c r="T935" s="4"/>
    </row>
    <row r="936" spans="20:20" ht="14.25" customHeight="1">
      <c r="T936" s="4"/>
    </row>
    <row r="937" spans="20:20" ht="14.25" customHeight="1">
      <c r="T937" s="4"/>
    </row>
    <row r="938" spans="20:20" ht="14.25" customHeight="1">
      <c r="T938" s="4"/>
    </row>
    <row r="939" spans="20:20" ht="14.25" customHeight="1">
      <c r="T939" s="4"/>
    </row>
    <row r="940" spans="20:20" ht="14.25" customHeight="1">
      <c r="T940" s="4"/>
    </row>
    <row r="941" spans="20:20" ht="14.25" customHeight="1">
      <c r="T941" s="4"/>
    </row>
    <row r="942" spans="20:20" ht="14.25" customHeight="1">
      <c r="T942" s="4"/>
    </row>
    <row r="943" spans="20:20" ht="14.25" customHeight="1">
      <c r="T943" s="4"/>
    </row>
    <row r="944" spans="20:20" ht="14.25" customHeight="1">
      <c r="T944" s="4"/>
    </row>
    <row r="945" spans="20:20" ht="14.25" customHeight="1">
      <c r="T945" s="4"/>
    </row>
    <row r="946" spans="20:20" ht="14.25" customHeight="1">
      <c r="T946" s="4"/>
    </row>
    <row r="947" spans="20:20" ht="14.25" customHeight="1">
      <c r="T947" s="4"/>
    </row>
    <row r="948" spans="20:20" ht="14.25" customHeight="1">
      <c r="T948" s="4"/>
    </row>
    <row r="949" spans="20:20" ht="14.25" customHeight="1">
      <c r="T949" s="4"/>
    </row>
    <row r="950" spans="20:20" ht="14.25" customHeight="1">
      <c r="T950" s="4"/>
    </row>
    <row r="951" spans="20:20" ht="14.25" customHeight="1">
      <c r="T951" s="4"/>
    </row>
    <row r="952" spans="20:20" ht="14.25" customHeight="1">
      <c r="T952" s="4"/>
    </row>
    <row r="953" spans="20:20" ht="14.25" customHeight="1">
      <c r="T953" s="4"/>
    </row>
    <row r="954" spans="20:20" ht="14.25" customHeight="1">
      <c r="T954" s="4"/>
    </row>
    <row r="955" spans="20:20" ht="14.25" customHeight="1">
      <c r="T955" s="4"/>
    </row>
    <row r="956" spans="20:20" ht="14.25" customHeight="1">
      <c r="T956" s="4"/>
    </row>
    <row r="957" spans="20:20" ht="14.25" customHeight="1">
      <c r="T957" s="4"/>
    </row>
    <row r="958" spans="20:20" ht="14.25" customHeight="1">
      <c r="T958" s="4"/>
    </row>
    <row r="959" spans="20:20" ht="14.25" customHeight="1">
      <c r="T959" s="4"/>
    </row>
    <row r="960" spans="20:20" ht="14.25" customHeight="1">
      <c r="T960" s="4"/>
    </row>
    <row r="961" spans="20:20" ht="14.25" customHeight="1">
      <c r="T961" s="4"/>
    </row>
    <row r="962" spans="20:20" ht="14.25" customHeight="1">
      <c r="T962" s="4"/>
    </row>
    <row r="963" spans="20:20" ht="14.25" customHeight="1">
      <c r="T963" s="4"/>
    </row>
    <row r="964" spans="20:20" ht="14.25" customHeight="1">
      <c r="T964" s="4"/>
    </row>
    <row r="965" spans="20:20" ht="14.25" customHeight="1">
      <c r="T965" s="4"/>
    </row>
    <row r="966" spans="20:20" ht="14.25" customHeight="1">
      <c r="T966" s="4"/>
    </row>
    <row r="967" spans="20:20" ht="14.25" customHeight="1">
      <c r="T967" s="4"/>
    </row>
    <row r="968" spans="20:20" ht="14.25" customHeight="1">
      <c r="T968" s="4"/>
    </row>
    <row r="969" spans="20:20" ht="14.25" customHeight="1">
      <c r="T969" s="4"/>
    </row>
    <row r="970" spans="20:20" ht="14.25" customHeight="1">
      <c r="T970" s="4"/>
    </row>
    <row r="971" spans="20:20" ht="14.25" customHeight="1">
      <c r="T971" s="4"/>
    </row>
    <row r="972" spans="20:20" ht="14.25" customHeight="1">
      <c r="T972" s="4"/>
    </row>
    <row r="973" spans="20:20" ht="14.25" customHeight="1">
      <c r="T973" s="4"/>
    </row>
    <row r="974" spans="20:20" ht="14.25" customHeight="1">
      <c r="T974" s="4"/>
    </row>
    <row r="975" spans="20:20" ht="14.25" customHeight="1">
      <c r="T975" s="4"/>
    </row>
    <row r="976" spans="20:20" ht="14.25" customHeight="1">
      <c r="T976" s="4"/>
    </row>
    <row r="977" spans="20:20" ht="14.25" customHeight="1">
      <c r="T977" s="4"/>
    </row>
    <row r="978" spans="20:20" ht="14.25" customHeight="1">
      <c r="T978" s="4"/>
    </row>
    <row r="979" spans="20:20" ht="14.25" customHeight="1">
      <c r="T979" s="4"/>
    </row>
    <row r="980" spans="20:20" ht="14.25" customHeight="1">
      <c r="T980" s="4"/>
    </row>
    <row r="981" spans="20:20" ht="14.25" customHeight="1">
      <c r="T981" s="4"/>
    </row>
    <row r="982" spans="20:20" ht="14.25" customHeight="1">
      <c r="T982" s="4"/>
    </row>
    <row r="983" spans="20:20" ht="14.25" customHeight="1">
      <c r="T983" s="4"/>
    </row>
    <row r="984" spans="20:20" ht="14.25" customHeight="1">
      <c r="T984" s="4"/>
    </row>
    <row r="985" spans="20:20" ht="14.25" customHeight="1">
      <c r="T985" s="4"/>
    </row>
    <row r="986" spans="20:20" ht="14.25" customHeight="1">
      <c r="T986" s="4"/>
    </row>
    <row r="987" spans="20:20" ht="14.25" customHeight="1">
      <c r="T987" s="4"/>
    </row>
    <row r="988" spans="20:20" ht="14.25" customHeight="1">
      <c r="T988" s="4"/>
    </row>
    <row r="989" spans="20:20" ht="14.25" customHeight="1">
      <c r="T989" s="4"/>
    </row>
    <row r="990" spans="20:20" ht="14.25" customHeight="1">
      <c r="T990" s="4"/>
    </row>
    <row r="991" spans="20:20" ht="14.25" customHeight="1">
      <c r="T991" s="4"/>
    </row>
    <row r="992" spans="20:20" ht="14.25" customHeight="1">
      <c r="T992" s="4"/>
    </row>
    <row r="993" spans="20:20" ht="14.25" customHeight="1">
      <c r="T993" s="4"/>
    </row>
    <row r="994" spans="20:20" ht="14.25" customHeight="1">
      <c r="T994" s="4"/>
    </row>
    <row r="995" spans="20:20" ht="14.25" customHeight="1">
      <c r="T995" s="4"/>
    </row>
    <row r="996" spans="20:20" ht="14.25" customHeight="1">
      <c r="T996" s="4"/>
    </row>
    <row r="997" spans="20:20" ht="14.25" customHeight="1">
      <c r="T997" s="4"/>
    </row>
    <row r="998" spans="20:20" ht="14.25" customHeight="1">
      <c r="T998" s="4"/>
    </row>
    <row r="999" spans="20:20" ht="14.25" customHeight="1">
      <c r="T999" s="4"/>
    </row>
    <row r="1000" spans="20:20" ht="14.25" customHeight="1">
      <c r="T1000" s="4"/>
    </row>
  </sheetData>
  <mergeCells count="5">
    <mergeCell ref="BB1:BE1"/>
    <mergeCell ref="BF1:BI1"/>
    <mergeCell ref="BJ1:BM1"/>
    <mergeCell ref="AA4:AC4"/>
    <mergeCell ref="AA5:AC5"/>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1000"/>
  <sheetViews>
    <sheetView topLeftCell="H55" zoomScale="78" workbookViewId="0">
      <selection activeCell="Y90" sqref="Y90"/>
    </sheetView>
  </sheetViews>
  <sheetFormatPr defaultColWidth="12.59765625" defaultRowHeight="15" customHeight="1"/>
  <cols>
    <col min="1" max="1" width="8.8984375" customWidth="1"/>
    <col min="2" max="2" width="10.5" customWidth="1"/>
    <col min="3" max="5" width="7.59765625" customWidth="1"/>
    <col min="6" max="6" width="11.69921875" customWidth="1"/>
    <col min="7" max="7" width="17.19921875" customWidth="1"/>
    <col min="8" max="8" width="10.69921875" customWidth="1"/>
    <col min="9" max="9" width="6.3984375" customWidth="1"/>
    <col min="10" max="10" width="5" customWidth="1"/>
    <col min="11" max="11" width="6.09765625" customWidth="1"/>
    <col min="12" max="12" width="6.69921875" customWidth="1"/>
    <col min="13" max="13" width="12.09765625" customWidth="1"/>
    <col min="14" max="14" width="16" customWidth="1"/>
    <col min="15" max="15" width="11.19921875" customWidth="1"/>
    <col min="16" max="16" width="6.3984375" customWidth="1"/>
    <col min="17" max="17" width="5" customWidth="1"/>
    <col min="18" max="18" width="6.09765625" customWidth="1"/>
    <col min="19" max="19" width="6.3984375" customWidth="1"/>
    <col min="20" max="20" width="12.09765625" customWidth="1"/>
    <col min="21" max="21" width="16" customWidth="1"/>
    <col min="22" max="22" width="11.19921875" customWidth="1"/>
    <col min="23" max="23" width="10.19921875" customWidth="1"/>
    <col min="24" max="24" width="8.8984375" customWidth="1"/>
    <col min="25" max="25" width="8.19921875" customWidth="1"/>
    <col min="26" max="27" width="8" customWidth="1"/>
    <col min="28" max="29" width="10.19921875" customWidth="1"/>
    <col min="30" max="30" width="33.5" customWidth="1"/>
    <col min="31" max="31" width="28.09765625" customWidth="1"/>
    <col min="32" max="32" width="8" customWidth="1"/>
    <col min="33" max="33" width="12.3984375" customWidth="1"/>
    <col min="34" max="37" width="8" customWidth="1"/>
  </cols>
  <sheetData>
    <row r="1" spans="1:27" ht="14.25" customHeight="1">
      <c r="B1" s="499" t="s">
        <v>5</v>
      </c>
      <c r="C1" s="500"/>
      <c r="D1" s="500"/>
      <c r="E1" s="500"/>
      <c r="F1" s="500"/>
      <c r="G1" s="500"/>
      <c r="H1" s="501"/>
      <c r="I1" s="502" t="s">
        <v>6</v>
      </c>
      <c r="J1" s="500"/>
      <c r="K1" s="500"/>
      <c r="L1" s="500"/>
      <c r="M1" s="500"/>
      <c r="N1" s="500"/>
      <c r="O1" s="501"/>
      <c r="P1" s="503" t="s">
        <v>7</v>
      </c>
      <c r="Q1" s="500"/>
      <c r="R1" s="500"/>
      <c r="S1" s="500"/>
      <c r="T1" s="500"/>
      <c r="U1" s="500"/>
      <c r="V1" s="501"/>
      <c r="W1" s="121"/>
    </row>
    <row r="2" spans="1:27" ht="14.25" customHeight="1">
      <c r="A2" s="122" t="s">
        <v>9</v>
      </c>
      <c r="B2" s="123" t="s">
        <v>274</v>
      </c>
      <c r="C2" s="122" t="s">
        <v>275</v>
      </c>
      <c r="D2" s="122" t="s">
        <v>12</v>
      </c>
      <c r="E2" s="122" t="s">
        <v>276</v>
      </c>
      <c r="F2" s="124" t="s">
        <v>277</v>
      </c>
      <c r="G2" s="124" t="s">
        <v>278</v>
      </c>
      <c r="H2" s="125" t="s">
        <v>279</v>
      </c>
      <c r="I2" s="123" t="s">
        <v>274</v>
      </c>
      <c r="J2" s="122" t="s">
        <v>275</v>
      </c>
      <c r="K2" s="122" t="s">
        <v>12</v>
      </c>
      <c r="L2" s="122" t="s">
        <v>276</v>
      </c>
      <c r="M2" s="124" t="s">
        <v>277</v>
      </c>
      <c r="N2" s="124" t="s">
        <v>278</v>
      </c>
      <c r="O2" s="125" t="s">
        <v>279</v>
      </c>
      <c r="P2" s="123" t="s">
        <v>274</v>
      </c>
      <c r="Q2" s="122" t="s">
        <v>275</v>
      </c>
      <c r="R2" s="122" t="s">
        <v>12</v>
      </c>
      <c r="S2" s="122" t="s">
        <v>276</v>
      </c>
      <c r="T2" s="124" t="s">
        <v>277</v>
      </c>
      <c r="U2" s="124" t="s">
        <v>278</v>
      </c>
      <c r="V2" s="125" t="s">
        <v>279</v>
      </c>
      <c r="W2" s="122"/>
      <c r="X2" s="122" t="s">
        <v>9</v>
      </c>
      <c r="Y2" s="11" t="s">
        <v>1162</v>
      </c>
      <c r="Z2" s="12" t="s">
        <v>1164</v>
      </c>
      <c r="AA2" s="13" t="s">
        <v>1163</v>
      </c>
    </row>
    <row r="3" spans="1:27" ht="14.25" customHeight="1">
      <c r="A3" s="18">
        <v>35885</v>
      </c>
      <c r="B3" s="126"/>
      <c r="C3" s="97"/>
      <c r="D3" s="97">
        <v>0.1736</v>
      </c>
      <c r="E3" s="97"/>
      <c r="F3" s="127">
        <v>1478234</v>
      </c>
      <c r="G3" s="128"/>
      <c r="H3" s="129"/>
      <c r="I3" s="126"/>
      <c r="J3" s="97"/>
      <c r="K3" s="97">
        <v>0.1736</v>
      </c>
      <c r="L3" s="97"/>
      <c r="M3" s="127">
        <v>1478234</v>
      </c>
      <c r="N3" s="128"/>
      <c r="O3" s="129"/>
      <c r="P3" s="126"/>
      <c r="Q3" s="97"/>
      <c r="R3" s="97">
        <v>0.1736</v>
      </c>
      <c r="S3" s="97"/>
      <c r="T3" s="127">
        <v>1478234</v>
      </c>
      <c r="U3" s="128"/>
      <c r="V3" s="129"/>
      <c r="W3" s="3"/>
      <c r="X3" s="18">
        <v>35885</v>
      </c>
      <c r="Y3" s="130">
        <v>3968.9319195314938</v>
      </c>
      <c r="Z3" s="130">
        <v>3968.9319195314938</v>
      </c>
      <c r="AA3" s="130">
        <v>3968.9319195314938</v>
      </c>
    </row>
    <row r="4" spans="1:27" ht="14.25" customHeight="1">
      <c r="A4" s="18">
        <v>35976</v>
      </c>
      <c r="B4" s="126"/>
      <c r="C4" s="97"/>
      <c r="D4" s="97">
        <v>0.16350000000000001</v>
      </c>
      <c r="E4" s="97"/>
      <c r="F4" s="127">
        <v>1492188</v>
      </c>
      <c r="G4" s="128"/>
      <c r="H4" s="129"/>
      <c r="I4" s="126"/>
      <c r="J4" s="97"/>
      <c r="K4" s="97">
        <v>0.16350000000000001</v>
      </c>
      <c r="L4" s="97"/>
      <c r="M4" s="127">
        <v>1492188</v>
      </c>
      <c r="N4" s="128"/>
      <c r="O4" s="129"/>
      <c r="P4" s="126"/>
      <c r="Q4" s="97"/>
      <c r="R4" s="97">
        <v>0.16350000000000001</v>
      </c>
      <c r="S4" s="97"/>
      <c r="T4" s="127">
        <v>1492188</v>
      </c>
      <c r="U4" s="128"/>
      <c r="V4" s="129"/>
      <c r="W4" s="3"/>
      <c r="X4" s="18">
        <v>35976</v>
      </c>
      <c r="Y4" s="130">
        <v>4087.4607212149413</v>
      </c>
      <c r="Z4" s="130">
        <v>4087.4607212149413</v>
      </c>
      <c r="AA4" s="130">
        <v>4087.4607212149413</v>
      </c>
    </row>
    <row r="5" spans="1:27" ht="14.25" customHeight="1">
      <c r="A5" s="18">
        <v>36068</v>
      </c>
      <c r="B5" s="126"/>
      <c r="C5" s="97"/>
      <c r="D5" s="97">
        <v>0.1711</v>
      </c>
      <c r="E5" s="97"/>
      <c r="F5" s="127">
        <v>1488559</v>
      </c>
      <c r="G5" s="128"/>
      <c r="H5" s="129"/>
      <c r="I5" s="126"/>
      <c r="J5" s="97"/>
      <c r="K5" s="97">
        <v>0.1711</v>
      </c>
      <c r="L5" s="97"/>
      <c r="M5" s="127">
        <v>1488559</v>
      </c>
      <c r="N5" s="128"/>
      <c r="O5" s="129"/>
      <c r="P5" s="126"/>
      <c r="Q5" s="97"/>
      <c r="R5" s="97">
        <v>0.1711</v>
      </c>
      <c r="S5" s="97"/>
      <c r="T5" s="127">
        <v>1488559</v>
      </c>
      <c r="U5" s="128"/>
      <c r="V5" s="129"/>
      <c r="W5" s="3"/>
      <c r="X5" s="18">
        <v>36068</v>
      </c>
      <c r="Y5" s="130">
        <v>4232.776323748054</v>
      </c>
      <c r="Z5" s="130">
        <v>4232.776323748054</v>
      </c>
      <c r="AA5" s="130">
        <v>4232.776323748054</v>
      </c>
    </row>
    <row r="6" spans="1:27" ht="14.25" customHeight="1">
      <c r="A6" s="18">
        <v>36160</v>
      </c>
      <c r="B6" s="126"/>
      <c r="C6" s="97"/>
      <c r="D6" s="97">
        <v>0.18140000000000001</v>
      </c>
      <c r="E6" s="97"/>
      <c r="F6" s="127">
        <v>1471509</v>
      </c>
      <c r="G6" s="128"/>
      <c r="H6" s="129"/>
      <c r="I6" s="126"/>
      <c r="J6" s="97"/>
      <c r="K6" s="97">
        <v>0.18140000000000001</v>
      </c>
      <c r="L6" s="97"/>
      <c r="M6" s="127">
        <v>1471509</v>
      </c>
      <c r="N6" s="128"/>
      <c r="O6" s="129"/>
      <c r="P6" s="126"/>
      <c r="Q6" s="97"/>
      <c r="R6" s="97">
        <v>0.18140000000000001</v>
      </c>
      <c r="S6" s="97"/>
      <c r="T6" s="127">
        <v>1471509</v>
      </c>
      <c r="U6" s="128"/>
      <c r="V6" s="129"/>
      <c r="W6" s="3"/>
      <c r="X6" s="18">
        <v>36160</v>
      </c>
      <c r="Y6" s="130">
        <v>4218.8724233947014</v>
      </c>
      <c r="Z6" s="130">
        <v>4218.8724233947014</v>
      </c>
      <c r="AA6" s="130">
        <v>4218.8724233947014</v>
      </c>
    </row>
    <row r="7" spans="1:27" ht="14.25" customHeight="1">
      <c r="A7" s="18">
        <v>36250</v>
      </c>
      <c r="B7" s="126">
        <f t="shared" ref="B7:B90" si="0">Y7/Y3-1</f>
        <v>0.10720078668714716</v>
      </c>
      <c r="C7" s="97"/>
      <c r="D7" s="97">
        <v>0.18780000000000002</v>
      </c>
      <c r="E7" s="97"/>
      <c r="F7" s="127">
        <v>1430664</v>
      </c>
      <c r="G7" s="128"/>
      <c r="H7" s="129"/>
      <c r="I7" s="126">
        <f t="shared" ref="I7:I90" si="1">Z7/Z3-1</f>
        <v>0.10720078668714716</v>
      </c>
      <c r="J7" s="97"/>
      <c r="K7" s="97">
        <v>0.18780000000000002</v>
      </c>
      <c r="L7" s="97"/>
      <c r="M7" s="127">
        <v>1430664</v>
      </c>
      <c r="N7" s="128"/>
      <c r="O7" s="129"/>
      <c r="P7" s="126">
        <f t="shared" ref="P7:P90" si="2">AA7/AA3-1</f>
        <v>0.10720078668714716</v>
      </c>
      <c r="Q7" s="97"/>
      <c r="R7" s="97">
        <v>0.18780000000000002</v>
      </c>
      <c r="S7" s="97"/>
      <c r="T7" s="127">
        <v>1430664</v>
      </c>
      <c r="U7" s="128"/>
      <c r="V7" s="129"/>
      <c r="W7" s="3"/>
      <c r="X7" s="18">
        <v>36250</v>
      </c>
      <c r="Y7" s="130">
        <v>4394.4045436129991</v>
      </c>
      <c r="Z7" s="130">
        <v>4394.4045436129991</v>
      </c>
      <c r="AA7" s="130">
        <v>4394.4045436129991</v>
      </c>
    </row>
    <row r="8" spans="1:27" ht="14.25" customHeight="1">
      <c r="A8" s="18">
        <v>36341</v>
      </c>
      <c r="B8" s="126">
        <f t="shared" si="0"/>
        <v>9.7960989306197233E-2</v>
      </c>
      <c r="C8" s="97"/>
      <c r="D8" s="97">
        <v>0.1855</v>
      </c>
      <c r="E8" s="97"/>
      <c r="F8" s="127">
        <v>1433143</v>
      </c>
      <c r="G8" s="128"/>
      <c r="H8" s="129"/>
      <c r="I8" s="126">
        <f t="shared" si="1"/>
        <v>9.7960989306197233E-2</v>
      </c>
      <c r="J8" s="97"/>
      <c r="K8" s="97">
        <v>0.1855</v>
      </c>
      <c r="L8" s="97"/>
      <c r="M8" s="127">
        <v>1433143</v>
      </c>
      <c r="N8" s="128"/>
      <c r="O8" s="129"/>
      <c r="P8" s="126">
        <f t="shared" si="2"/>
        <v>9.7960989306197233E-2</v>
      </c>
      <c r="Q8" s="97"/>
      <c r="R8" s="97">
        <v>0.1855</v>
      </c>
      <c r="S8" s="97"/>
      <c r="T8" s="127">
        <v>1433143</v>
      </c>
      <c r="U8" s="128"/>
      <c r="V8" s="129"/>
      <c r="W8" s="3"/>
      <c r="X8" s="18">
        <v>36341</v>
      </c>
      <c r="Y8" s="130">
        <v>4487.8724172153798</v>
      </c>
      <c r="Z8" s="130">
        <v>4487.8724172153798</v>
      </c>
      <c r="AA8" s="130">
        <v>4487.8724172153798</v>
      </c>
    </row>
    <row r="9" spans="1:27" ht="14.25" customHeight="1">
      <c r="A9" s="18">
        <v>36433</v>
      </c>
      <c r="B9" s="126">
        <f t="shared" si="0"/>
        <v>8.2676911217472115E-2</v>
      </c>
      <c r="C9" s="97"/>
      <c r="D9" s="97">
        <v>0.19309999999999999</v>
      </c>
      <c r="E9" s="97"/>
      <c r="F9" s="127">
        <v>1425621</v>
      </c>
      <c r="G9" s="128"/>
      <c r="H9" s="129"/>
      <c r="I9" s="126">
        <f t="shared" si="1"/>
        <v>8.2676911217472115E-2</v>
      </c>
      <c r="J9" s="97"/>
      <c r="K9" s="97">
        <v>0.19309999999999999</v>
      </c>
      <c r="L9" s="97"/>
      <c r="M9" s="127">
        <v>1425621</v>
      </c>
      <c r="N9" s="128"/>
      <c r="O9" s="129"/>
      <c r="P9" s="126">
        <f t="shared" si="2"/>
        <v>8.2676911217472115E-2</v>
      </c>
      <c r="Q9" s="97"/>
      <c r="R9" s="97">
        <v>0.19309999999999999</v>
      </c>
      <c r="S9" s="97"/>
      <c r="T9" s="127">
        <v>1425621</v>
      </c>
      <c r="U9" s="128"/>
      <c r="V9" s="129"/>
      <c r="W9" s="3"/>
      <c r="X9" s="18">
        <v>36433</v>
      </c>
      <c r="Y9" s="130">
        <v>4582.7291960699895</v>
      </c>
      <c r="Z9" s="130">
        <v>4582.7291960699895</v>
      </c>
      <c r="AA9" s="130">
        <v>4582.7291960699895</v>
      </c>
    </row>
    <row r="10" spans="1:27" ht="14.25" customHeight="1">
      <c r="A10" s="18">
        <v>36525</v>
      </c>
      <c r="B10" s="126">
        <f t="shared" si="0"/>
        <v>0.11224188476972596</v>
      </c>
      <c r="C10" s="97">
        <v>3.875E-2</v>
      </c>
      <c r="D10" s="97">
        <v>0.20399999999999999</v>
      </c>
      <c r="E10" s="97"/>
      <c r="F10" s="127">
        <v>1406091</v>
      </c>
      <c r="G10" s="128"/>
      <c r="H10" s="129"/>
      <c r="I10" s="126">
        <f t="shared" si="1"/>
        <v>0.11224188476972596</v>
      </c>
      <c r="J10" s="97">
        <v>3.875E-2</v>
      </c>
      <c r="K10" s="97">
        <v>0.20399999999999999</v>
      </c>
      <c r="L10" s="97"/>
      <c r="M10" s="127">
        <v>1406091</v>
      </c>
      <c r="N10" s="128"/>
      <c r="O10" s="129"/>
      <c r="P10" s="126">
        <f t="shared" si="2"/>
        <v>0.11224188476972596</v>
      </c>
      <c r="Q10" s="97">
        <v>3.875E-2</v>
      </c>
      <c r="R10" s="97">
        <v>0.20399999999999999</v>
      </c>
      <c r="S10" s="97"/>
      <c r="T10" s="127">
        <v>1406091</v>
      </c>
      <c r="U10" s="128"/>
      <c r="V10" s="129"/>
      <c r="W10" s="3"/>
      <c r="X10" s="18">
        <v>36525</v>
      </c>
      <c r="Y10" s="130">
        <v>4692.4066157995439</v>
      </c>
      <c r="Z10" s="130">
        <v>4692.4066157995439</v>
      </c>
      <c r="AA10" s="130">
        <v>4692.4066157995439</v>
      </c>
    </row>
    <row r="11" spans="1:27" ht="14.25" customHeight="1">
      <c r="A11" s="18">
        <v>36616</v>
      </c>
      <c r="B11" s="126">
        <f t="shared" si="0"/>
        <v>9.9484784652531744E-2</v>
      </c>
      <c r="C11" s="97">
        <v>3.9E-2</v>
      </c>
      <c r="D11" s="97">
        <v>0.2104</v>
      </c>
      <c r="E11" s="97"/>
      <c r="F11" s="127">
        <v>1398160</v>
      </c>
      <c r="G11" s="127"/>
      <c r="H11" s="131"/>
      <c r="I11" s="126">
        <f t="shared" si="1"/>
        <v>9.9484784652531744E-2</v>
      </c>
      <c r="J11" s="97">
        <v>3.9E-2</v>
      </c>
      <c r="K11" s="97">
        <v>0.2104</v>
      </c>
      <c r="L11" s="97"/>
      <c r="M11" s="127">
        <v>1398160</v>
      </c>
      <c r="N11" s="127"/>
      <c r="O11" s="131"/>
      <c r="P11" s="126">
        <f t="shared" si="2"/>
        <v>9.9484784652531744E-2</v>
      </c>
      <c r="Q11" s="97">
        <v>3.9E-2</v>
      </c>
      <c r="R11" s="97">
        <v>0.2104</v>
      </c>
      <c r="S11" s="97"/>
      <c r="T11" s="127">
        <v>1398160</v>
      </c>
      <c r="U11" s="127"/>
      <c r="V11" s="131"/>
      <c r="W11" s="19"/>
      <c r="X11" s="18">
        <v>36616</v>
      </c>
      <c r="Y11" s="130">
        <v>4831.5809333104453</v>
      </c>
      <c r="Z11" s="130">
        <v>4831.5809333104453</v>
      </c>
      <c r="AA11" s="130">
        <v>4831.5809333104453</v>
      </c>
    </row>
    <row r="12" spans="1:27" ht="14.25" customHeight="1">
      <c r="A12" s="18">
        <v>36707</v>
      </c>
      <c r="B12" s="126">
        <f t="shared" si="0"/>
        <v>6.8690074751425856E-2</v>
      </c>
      <c r="C12" s="97">
        <v>4.1749999999999995E-2</v>
      </c>
      <c r="D12" s="97">
        <v>0.20190000000000002</v>
      </c>
      <c r="E12" s="97"/>
      <c r="F12" s="127">
        <v>1408644</v>
      </c>
      <c r="G12" s="127"/>
      <c r="H12" s="131"/>
      <c r="I12" s="126">
        <f t="shared" si="1"/>
        <v>6.8690074751425856E-2</v>
      </c>
      <c r="J12" s="97">
        <v>4.1749999999999995E-2</v>
      </c>
      <c r="K12" s="97">
        <v>0.20190000000000002</v>
      </c>
      <c r="L12" s="97"/>
      <c r="M12" s="127">
        <v>1408644</v>
      </c>
      <c r="N12" s="127"/>
      <c r="O12" s="131"/>
      <c r="P12" s="126">
        <f t="shared" si="2"/>
        <v>6.8690074751425856E-2</v>
      </c>
      <c r="Q12" s="97">
        <v>4.1749999999999995E-2</v>
      </c>
      <c r="R12" s="97">
        <v>0.20190000000000002</v>
      </c>
      <c r="S12" s="97"/>
      <c r="T12" s="127">
        <v>1408644</v>
      </c>
      <c r="U12" s="127"/>
      <c r="V12" s="131"/>
      <c r="W12" s="19"/>
      <c r="X12" s="18">
        <v>36707</v>
      </c>
      <c r="Y12" s="130">
        <v>4796.1447090287666</v>
      </c>
      <c r="Z12" s="130">
        <v>4796.1447090287666</v>
      </c>
      <c r="AA12" s="130">
        <v>4796.1447090287666</v>
      </c>
    </row>
    <row r="13" spans="1:27" ht="14.25" customHeight="1">
      <c r="A13" s="18">
        <v>36799</v>
      </c>
      <c r="B13" s="126">
        <f t="shared" si="0"/>
        <v>6.649814525719111E-2</v>
      </c>
      <c r="C13" s="97">
        <v>4.4499999999999998E-2</v>
      </c>
      <c r="D13" s="97">
        <v>0.21129999999999999</v>
      </c>
      <c r="E13" s="97"/>
      <c r="F13" s="127">
        <v>1401301</v>
      </c>
      <c r="G13" s="127"/>
      <c r="H13" s="131"/>
      <c r="I13" s="126">
        <f t="shared" si="1"/>
        <v>6.649814525719111E-2</v>
      </c>
      <c r="J13" s="97">
        <v>4.4499999999999998E-2</v>
      </c>
      <c r="K13" s="97">
        <v>0.21129999999999999</v>
      </c>
      <c r="L13" s="97"/>
      <c r="M13" s="127">
        <v>1401301</v>
      </c>
      <c r="N13" s="127"/>
      <c r="O13" s="131"/>
      <c r="P13" s="126">
        <f t="shared" si="2"/>
        <v>6.649814525719111E-2</v>
      </c>
      <c r="Q13" s="97">
        <v>4.4499999999999998E-2</v>
      </c>
      <c r="R13" s="97">
        <v>0.21129999999999999</v>
      </c>
      <c r="S13" s="97"/>
      <c r="T13" s="127">
        <v>1401301</v>
      </c>
      <c r="U13" s="127"/>
      <c r="V13" s="131"/>
      <c r="W13" s="19"/>
      <c r="X13" s="18">
        <v>36799</v>
      </c>
      <c r="Y13" s="130">
        <v>4887.4721878246219</v>
      </c>
      <c r="Z13" s="130">
        <v>4887.4721878246219</v>
      </c>
      <c r="AA13" s="130">
        <v>4887.4721878246219</v>
      </c>
    </row>
    <row r="14" spans="1:27" ht="14.25" customHeight="1">
      <c r="A14" s="18">
        <v>36891</v>
      </c>
      <c r="B14" s="126">
        <f t="shared" si="0"/>
        <v>5.5119395616705091E-2</v>
      </c>
      <c r="C14" s="97">
        <v>4.8500000000000001E-2</v>
      </c>
      <c r="D14" s="97">
        <v>0.22270000000000001</v>
      </c>
      <c r="E14" s="97"/>
      <c r="F14" s="127">
        <v>1380510</v>
      </c>
      <c r="G14" s="127">
        <f>SUM(bdp!AR29:AR32)*1000000</f>
        <v>179370641922.56406</v>
      </c>
      <c r="H14" s="131">
        <f t="shared" ref="H14:H94" si="3">G14/F14</f>
        <v>129930.70816043641</v>
      </c>
      <c r="I14" s="126">
        <f t="shared" si="1"/>
        <v>5.5119395616705091E-2</v>
      </c>
      <c r="J14" s="97">
        <v>4.8500000000000001E-2</v>
      </c>
      <c r="K14" s="97">
        <v>0.22270000000000001</v>
      </c>
      <c r="L14" s="97"/>
      <c r="M14" s="127">
        <v>1380510</v>
      </c>
      <c r="N14" s="127">
        <f>SUM(bdp!AU29:AU32)*1000000</f>
        <v>179370641922.56406</v>
      </c>
      <c r="O14" s="131">
        <f t="shared" ref="O14:O94" si="4">N14/M14</f>
        <v>129930.70816043641</v>
      </c>
      <c r="P14" s="126">
        <f t="shared" si="2"/>
        <v>5.5119395616705091E-2</v>
      </c>
      <c r="Q14" s="97">
        <v>4.8500000000000001E-2</v>
      </c>
      <c r="R14" s="97">
        <v>0.22270000000000001</v>
      </c>
      <c r="S14" s="97"/>
      <c r="T14" s="127">
        <v>1380510</v>
      </c>
      <c r="U14" s="127">
        <f>SUM(bdp!AX29:AX32)*1000000</f>
        <v>179370641922.56406</v>
      </c>
      <c r="V14" s="131">
        <f t="shared" ref="V14:V94" si="5">U14/T14</f>
        <v>129930.70816043641</v>
      </c>
      <c r="W14" s="19"/>
      <c r="X14" s="18">
        <v>36891</v>
      </c>
      <c r="Y14" s="130">
        <v>4951.0492324502429</v>
      </c>
      <c r="Z14" s="130">
        <v>4951.0492324502429</v>
      </c>
      <c r="AA14" s="130">
        <v>4951.0492324502429</v>
      </c>
    </row>
    <row r="15" spans="1:27" ht="14.25" customHeight="1">
      <c r="A15" s="18">
        <v>36981</v>
      </c>
      <c r="B15" s="126">
        <f t="shared" si="0"/>
        <v>3.3101073972897188E-2</v>
      </c>
      <c r="C15" s="97">
        <v>4.8750000000000002E-2</v>
      </c>
      <c r="D15" s="97">
        <v>0.22570000000000001</v>
      </c>
      <c r="E15" s="97"/>
      <c r="F15" s="127">
        <v>1376278</v>
      </c>
      <c r="G15" s="127">
        <f>SUM(bdp!AR30:AR33)*1000000</f>
        <v>182960499204.83032</v>
      </c>
      <c r="H15" s="131">
        <f t="shared" si="3"/>
        <v>132938.62083447553</v>
      </c>
      <c r="I15" s="126">
        <f t="shared" si="1"/>
        <v>3.3101073972897188E-2</v>
      </c>
      <c r="J15" s="97">
        <v>4.8750000000000002E-2</v>
      </c>
      <c r="K15" s="97">
        <v>0.22570000000000001</v>
      </c>
      <c r="L15" s="97"/>
      <c r="M15" s="127">
        <v>1376278</v>
      </c>
      <c r="N15" s="127">
        <f>SUM(bdp!AU30:AU33)*1000000</f>
        <v>182960499204.83032</v>
      </c>
      <c r="O15" s="131">
        <f t="shared" si="4"/>
        <v>132938.62083447553</v>
      </c>
      <c r="P15" s="126">
        <f t="shared" si="2"/>
        <v>3.3101073972897188E-2</v>
      </c>
      <c r="Q15" s="97">
        <v>4.8750000000000002E-2</v>
      </c>
      <c r="R15" s="97">
        <v>0.22570000000000001</v>
      </c>
      <c r="S15" s="97"/>
      <c r="T15" s="127">
        <v>1376278</v>
      </c>
      <c r="U15" s="127">
        <f>SUM(bdp!AX30:AX33)*1000000</f>
        <v>182960499204.83032</v>
      </c>
      <c r="V15" s="131">
        <f t="shared" si="5"/>
        <v>132938.62083447553</v>
      </c>
      <c r="W15" s="19"/>
      <c r="X15" s="18">
        <v>36981</v>
      </c>
      <c r="Y15" s="130">
        <v>4991.5114511899937</v>
      </c>
      <c r="Z15" s="130">
        <v>4991.5114511899937</v>
      </c>
      <c r="AA15" s="130">
        <v>4991.5114511899937</v>
      </c>
    </row>
    <row r="16" spans="1:27" ht="14.25" customHeight="1">
      <c r="A16" s="18">
        <v>37072</v>
      </c>
      <c r="B16" s="126">
        <f t="shared" si="0"/>
        <v>5.4741172509930935E-2</v>
      </c>
      <c r="C16" s="97">
        <v>4.7750000000000001E-2</v>
      </c>
      <c r="D16" s="97">
        <v>0.21170000000000003</v>
      </c>
      <c r="E16" s="97"/>
      <c r="F16" s="127">
        <v>1415344</v>
      </c>
      <c r="G16" s="127">
        <f>SUM(bdp!AR31:AR34)*1000000</f>
        <v>187281628047.17303</v>
      </c>
      <c r="H16" s="131">
        <f t="shared" si="3"/>
        <v>132322.33863087211</v>
      </c>
      <c r="I16" s="126">
        <f t="shared" si="1"/>
        <v>5.4741172509930935E-2</v>
      </c>
      <c r="J16" s="97">
        <v>4.7750000000000001E-2</v>
      </c>
      <c r="K16" s="97">
        <v>0.21170000000000003</v>
      </c>
      <c r="L16" s="97"/>
      <c r="M16" s="127">
        <v>1415344</v>
      </c>
      <c r="N16" s="127">
        <f>SUM(bdp!AU31:AU34)*1000000</f>
        <v>187281628047.17303</v>
      </c>
      <c r="O16" s="131">
        <f t="shared" si="4"/>
        <v>132322.33863087211</v>
      </c>
      <c r="P16" s="126">
        <f t="shared" si="2"/>
        <v>5.4741172509930935E-2</v>
      </c>
      <c r="Q16" s="97">
        <v>4.7750000000000001E-2</v>
      </c>
      <c r="R16" s="97">
        <v>0.21170000000000003</v>
      </c>
      <c r="S16" s="97"/>
      <c r="T16" s="127">
        <v>1415344</v>
      </c>
      <c r="U16" s="127">
        <f>SUM(bdp!AX31:AX34)*1000000</f>
        <v>187281628047.17303</v>
      </c>
      <c r="V16" s="131">
        <f t="shared" si="5"/>
        <v>132322.33863087211</v>
      </c>
      <c r="W16" s="19"/>
      <c r="X16" s="18">
        <v>37072</v>
      </c>
      <c r="Y16" s="130">
        <v>5058.6912939283029</v>
      </c>
      <c r="Z16" s="130">
        <v>5058.6912939283029</v>
      </c>
      <c r="AA16" s="130">
        <v>5058.6912939283029</v>
      </c>
    </row>
    <row r="17" spans="1:27" ht="14.25" customHeight="1">
      <c r="A17" s="18">
        <v>37164</v>
      </c>
      <c r="B17" s="126">
        <f t="shared" si="0"/>
        <v>3.5976115255917707E-2</v>
      </c>
      <c r="C17" s="97">
        <v>4.3000000000000003E-2</v>
      </c>
      <c r="D17" s="97">
        <v>0.2167</v>
      </c>
      <c r="E17" s="97"/>
      <c r="F17" s="127">
        <v>1420161</v>
      </c>
      <c r="G17" s="127">
        <f>SUM(bdp!AR32:AR35)*1000000</f>
        <v>190371029637.04791</v>
      </c>
      <c r="H17" s="131">
        <f t="shared" si="3"/>
        <v>134048.90687538096</v>
      </c>
      <c r="I17" s="126">
        <f t="shared" si="1"/>
        <v>3.5976115255917707E-2</v>
      </c>
      <c r="J17" s="97">
        <v>4.3000000000000003E-2</v>
      </c>
      <c r="K17" s="97">
        <v>0.2167</v>
      </c>
      <c r="L17" s="97"/>
      <c r="M17" s="127">
        <v>1420161</v>
      </c>
      <c r="N17" s="127">
        <f>SUM(bdp!AU32:AU35)*1000000</f>
        <v>190371029637.04791</v>
      </c>
      <c r="O17" s="131">
        <f t="shared" si="4"/>
        <v>134048.90687538096</v>
      </c>
      <c r="P17" s="126">
        <f t="shared" si="2"/>
        <v>3.5976115255917707E-2</v>
      </c>
      <c r="Q17" s="97">
        <v>4.3000000000000003E-2</v>
      </c>
      <c r="R17" s="97">
        <v>0.2167</v>
      </c>
      <c r="S17" s="97"/>
      <c r="T17" s="127">
        <v>1420161</v>
      </c>
      <c r="U17" s="127">
        <f>SUM(bdp!AX32:AX35)*1000000</f>
        <v>190371029637.04791</v>
      </c>
      <c r="V17" s="131">
        <f t="shared" si="5"/>
        <v>134048.90687538096</v>
      </c>
      <c r="W17" s="19"/>
      <c r="X17" s="18">
        <v>37164</v>
      </c>
      <c r="Y17" s="130">
        <v>5063.3044505638927</v>
      </c>
      <c r="Z17" s="130">
        <v>5063.3044505638927</v>
      </c>
      <c r="AA17" s="130">
        <v>5063.3044505638927</v>
      </c>
    </row>
    <row r="18" spans="1:27" ht="14.25" customHeight="1">
      <c r="A18" s="18">
        <v>37256</v>
      </c>
      <c r="B18" s="126">
        <f t="shared" si="0"/>
        <v>4.0763733942146052E-2</v>
      </c>
      <c r="C18" s="97">
        <v>3.5249999999999997E-2</v>
      </c>
      <c r="D18" s="97">
        <v>0.22769999999999999</v>
      </c>
      <c r="E18" s="97">
        <f t="shared" ref="E18:E94" si="6">H18/H14-1</f>
        <v>6.1359113315752944E-2</v>
      </c>
      <c r="F18" s="127">
        <v>1402102</v>
      </c>
      <c r="G18" s="127">
        <f>SUM(bdp!AR33:AR36)*1000000</f>
        <v>193354270090.72241</v>
      </c>
      <c r="H18" s="131">
        <f t="shared" si="3"/>
        <v>137903.14120564866</v>
      </c>
      <c r="I18" s="126">
        <f t="shared" si="1"/>
        <v>4.0763733942146052E-2</v>
      </c>
      <c r="J18" s="97">
        <v>3.5249999999999997E-2</v>
      </c>
      <c r="K18" s="97">
        <v>0.22769999999999999</v>
      </c>
      <c r="L18" s="97">
        <f t="shared" ref="L18:L94" si="7">O18/O14-1</f>
        <v>6.1359113315752944E-2</v>
      </c>
      <c r="M18" s="127">
        <v>1402102</v>
      </c>
      <c r="N18" s="127">
        <f>SUM(bdp!AU33:AU36)*1000000</f>
        <v>193354270090.72241</v>
      </c>
      <c r="O18" s="131">
        <f t="shared" si="4"/>
        <v>137903.14120564866</v>
      </c>
      <c r="P18" s="126">
        <f t="shared" si="2"/>
        <v>4.0763733942146052E-2</v>
      </c>
      <c r="Q18" s="97">
        <v>3.5249999999999997E-2</v>
      </c>
      <c r="R18" s="97">
        <v>0.22769999999999999</v>
      </c>
      <c r="S18" s="97">
        <f t="shared" ref="S18:S94" si="8">V18/V14-1</f>
        <v>6.1359113315752944E-2</v>
      </c>
      <c r="T18" s="127">
        <v>1402102</v>
      </c>
      <c r="U18" s="127">
        <f>SUM(bdp!AX33:AX36)*1000000</f>
        <v>193354270090.72241</v>
      </c>
      <c r="V18" s="131">
        <f t="shared" si="5"/>
        <v>137903.14120564866</v>
      </c>
      <c r="W18" s="19"/>
      <c r="X18" s="18">
        <v>37256</v>
      </c>
      <c r="Y18" s="130">
        <v>5152.8724860963111</v>
      </c>
      <c r="Z18" s="130">
        <v>5152.8724860963111</v>
      </c>
      <c r="AA18" s="130">
        <v>5152.8724860963111</v>
      </c>
    </row>
    <row r="19" spans="1:27" ht="14.25" customHeight="1">
      <c r="A19" s="18">
        <v>37346</v>
      </c>
      <c r="B19" s="126">
        <f t="shared" si="0"/>
        <v>3.777394039430404E-2</v>
      </c>
      <c r="C19" s="97">
        <v>3.175E-2</v>
      </c>
      <c r="D19" s="97">
        <v>0.2361</v>
      </c>
      <c r="E19" s="97">
        <f t="shared" si="6"/>
        <v>6.4629712393510452E-2</v>
      </c>
      <c r="F19" s="127">
        <v>1398614</v>
      </c>
      <c r="G19" s="127">
        <f>SUM(bdp!AR34:AR37)*1000000</f>
        <v>197946406788.74496</v>
      </c>
      <c r="H19" s="131">
        <f t="shared" si="3"/>
        <v>141530.40566499761</v>
      </c>
      <c r="I19" s="126">
        <f t="shared" si="1"/>
        <v>3.777394039430404E-2</v>
      </c>
      <c r="J19" s="97">
        <v>3.175E-2</v>
      </c>
      <c r="K19" s="97">
        <v>0.2361</v>
      </c>
      <c r="L19" s="97">
        <f t="shared" si="7"/>
        <v>6.4629712393510452E-2</v>
      </c>
      <c r="M19" s="127">
        <v>1398614</v>
      </c>
      <c r="N19" s="127">
        <f>SUM(bdp!AU34:AU37)*1000000</f>
        <v>197946406788.74496</v>
      </c>
      <c r="O19" s="131">
        <f t="shared" si="4"/>
        <v>141530.40566499761</v>
      </c>
      <c r="P19" s="126">
        <f t="shared" si="2"/>
        <v>3.777394039430404E-2</v>
      </c>
      <c r="Q19" s="97">
        <v>3.175E-2</v>
      </c>
      <c r="R19" s="97">
        <v>0.2361</v>
      </c>
      <c r="S19" s="97">
        <f t="shared" si="8"/>
        <v>6.4629712393510452E-2</v>
      </c>
      <c r="T19" s="127">
        <v>1398614</v>
      </c>
      <c r="U19" s="127">
        <f>SUM(bdp!AX34:AX37)*1000000</f>
        <v>197946406788.74496</v>
      </c>
      <c r="V19" s="131">
        <f t="shared" si="5"/>
        <v>141530.40566499761</v>
      </c>
      <c r="W19" s="19"/>
      <c r="X19" s="18">
        <v>37346</v>
      </c>
      <c r="Y19" s="130">
        <v>5180.0605072247308</v>
      </c>
      <c r="Z19" s="130">
        <v>5180.0605072247308</v>
      </c>
      <c r="AA19" s="130">
        <v>5180.0605072247308</v>
      </c>
    </row>
    <row r="20" spans="1:27" ht="14.25" customHeight="1">
      <c r="A20" s="18">
        <v>37437</v>
      </c>
      <c r="B20" s="126">
        <f t="shared" si="0"/>
        <v>5.8853007886493502E-2</v>
      </c>
      <c r="C20" s="97">
        <v>2.3E-2</v>
      </c>
      <c r="D20" s="97">
        <v>0.21940000000000001</v>
      </c>
      <c r="E20" s="97">
        <f t="shared" si="6"/>
        <v>6.4194967315341911E-2</v>
      </c>
      <c r="F20" s="127">
        <v>1432021</v>
      </c>
      <c r="G20" s="127">
        <f>SUM(bdp!AR35:AR38)*1000000</f>
        <v>201652567258.92215</v>
      </c>
      <c r="H20" s="131">
        <f t="shared" si="3"/>
        <v>140816.76683437056</v>
      </c>
      <c r="I20" s="126">
        <f t="shared" si="1"/>
        <v>5.8853007886493502E-2</v>
      </c>
      <c r="J20" s="97">
        <v>2.3E-2</v>
      </c>
      <c r="K20" s="97">
        <v>0.21940000000000001</v>
      </c>
      <c r="L20" s="97">
        <f t="shared" si="7"/>
        <v>6.4194967315341911E-2</v>
      </c>
      <c r="M20" s="127">
        <v>1432021</v>
      </c>
      <c r="N20" s="127">
        <f>SUM(bdp!AU35:AU38)*1000000</f>
        <v>201652567258.92215</v>
      </c>
      <c r="O20" s="131">
        <f t="shared" si="4"/>
        <v>140816.76683437056</v>
      </c>
      <c r="P20" s="126">
        <f t="shared" si="2"/>
        <v>5.8853007886493502E-2</v>
      </c>
      <c r="Q20" s="97">
        <v>2.3E-2</v>
      </c>
      <c r="R20" s="97">
        <v>0.21940000000000001</v>
      </c>
      <c r="S20" s="97">
        <f t="shared" si="8"/>
        <v>6.4194967315341911E-2</v>
      </c>
      <c r="T20" s="127">
        <v>1432021</v>
      </c>
      <c r="U20" s="127">
        <f>SUM(bdp!AX35:AX38)*1000000</f>
        <v>201652567258.92215</v>
      </c>
      <c r="V20" s="131">
        <f t="shared" si="5"/>
        <v>140816.76683437056</v>
      </c>
      <c r="W20" s="19"/>
      <c r="X20" s="18">
        <v>37437</v>
      </c>
      <c r="Y20" s="130">
        <v>5356.4104925452011</v>
      </c>
      <c r="Z20" s="130">
        <v>5356.4104925452011</v>
      </c>
      <c r="AA20" s="130">
        <v>5356.4104925452011</v>
      </c>
    </row>
    <row r="21" spans="1:27" ht="14.25" customHeight="1">
      <c r="A21" s="18">
        <v>37529</v>
      </c>
      <c r="B21" s="126">
        <f t="shared" si="0"/>
        <v>7.1126666326136512E-2</v>
      </c>
      <c r="C21" s="97">
        <v>1.7000000000000001E-2</v>
      </c>
      <c r="D21" s="97">
        <v>0.21460000000000001</v>
      </c>
      <c r="E21" s="97">
        <f t="shared" si="6"/>
        <v>7.4505067564607064E-2</v>
      </c>
      <c r="F21" s="127">
        <v>1441024</v>
      </c>
      <c r="G21" s="127">
        <f>SUM(bdp!AR36:AR39)*1000000</f>
        <v>207559663923.54666</v>
      </c>
      <c r="H21" s="131">
        <f t="shared" si="3"/>
        <v>144036.22973909293</v>
      </c>
      <c r="I21" s="126">
        <f t="shared" si="1"/>
        <v>7.1126666326136512E-2</v>
      </c>
      <c r="J21" s="97">
        <v>1.7000000000000001E-2</v>
      </c>
      <c r="K21" s="97">
        <v>0.21460000000000001</v>
      </c>
      <c r="L21" s="97">
        <f t="shared" si="7"/>
        <v>7.4505067564607064E-2</v>
      </c>
      <c r="M21" s="127">
        <v>1441024</v>
      </c>
      <c r="N21" s="127">
        <f>SUM(bdp!AU36:AU39)*1000000</f>
        <v>207559663923.54666</v>
      </c>
      <c r="O21" s="131">
        <f t="shared" si="4"/>
        <v>144036.22973909293</v>
      </c>
      <c r="P21" s="126">
        <f t="shared" si="2"/>
        <v>7.1126666326136512E-2</v>
      </c>
      <c r="Q21" s="97">
        <v>1.7000000000000001E-2</v>
      </c>
      <c r="R21" s="97">
        <v>0.21460000000000001</v>
      </c>
      <c r="S21" s="97">
        <f t="shared" si="8"/>
        <v>7.4505067564607064E-2</v>
      </c>
      <c r="T21" s="127">
        <v>1441024</v>
      </c>
      <c r="U21" s="127">
        <f>SUM(bdp!AX36:AX39)*1000000</f>
        <v>207559663923.54666</v>
      </c>
      <c r="V21" s="131">
        <f t="shared" si="5"/>
        <v>144036.22973909293</v>
      </c>
      <c r="W21" s="19"/>
      <c r="X21" s="18">
        <v>37529</v>
      </c>
      <c r="Y21" s="130">
        <v>5423.440416726793</v>
      </c>
      <c r="Z21" s="130">
        <v>5423.440416726793</v>
      </c>
      <c r="AA21" s="130">
        <v>5423.440416726793</v>
      </c>
    </row>
    <row r="22" spans="1:27" ht="14.25" customHeight="1">
      <c r="A22" s="18">
        <v>37621</v>
      </c>
      <c r="B22" s="126">
        <f t="shared" si="0"/>
        <v>7.7784214919253358E-2</v>
      </c>
      <c r="C22" s="97">
        <v>1.5500000000000002E-2</v>
      </c>
      <c r="D22" s="97">
        <v>0.2132</v>
      </c>
      <c r="E22" s="97">
        <f t="shared" si="6"/>
        <v>7.6441535569298003E-2</v>
      </c>
      <c r="F22" s="127">
        <v>1421981</v>
      </c>
      <c r="G22" s="127">
        <f>SUM(bdp!AR37:AR40)*1000000</f>
        <v>211085498981.96417</v>
      </c>
      <c r="H22" s="131">
        <f t="shared" si="3"/>
        <v>148444.66907923817</v>
      </c>
      <c r="I22" s="126">
        <f t="shared" si="1"/>
        <v>7.7784214919253358E-2</v>
      </c>
      <c r="J22" s="97">
        <v>1.5500000000000002E-2</v>
      </c>
      <c r="K22" s="97">
        <v>0.2132</v>
      </c>
      <c r="L22" s="97">
        <f t="shared" si="7"/>
        <v>7.6441535569298003E-2</v>
      </c>
      <c r="M22" s="127">
        <v>1421981</v>
      </c>
      <c r="N22" s="127">
        <f>SUM(bdp!AU37:AU40)*1000000</f>
        <v>211085498981.96417</v>
      </c>
      <c r="O22" s="131">
        <f t="shared" si="4"/>
        <v>148444.66907923817</v>
      </c>
      <c r="P22" s="126">
        <f t="shared" si="2"/>
        <v>7.7784214919253358E-2</v>
      </c>
      <c r="Q22" s="97">
        <v>1.5500000000000002E-2</v>
      </c>
      <c r="R22" s="97">
        <v>0.2132</v>
      </c>
      <c r="S22" s="97">
        <f t="shared" si="8"/>
        <v>7.6441535569298003E-2</v>
      </c>
      <c r="T22" s="127">
        <v>1421981</v>
      </c>
      <c r="U22" s="127">
        <f>SUM(bdp!AX37:AX40)*1000000</f>
        <v>211085498981.96417</v>
      </c>
      <c r="V22" s="131">
        <f t="shared" si="5"/>
        <v>148444.66907923817</v>
      </c>
      <c r="W22" s="19"/>
      <c r="X22" s="18">
        <v>37621</v>
      </c>
      <c r="Y22" s="130">
        <v>5553.6846270063343</v>
      </c>
      <c r="Z22" s="130">
        <v>5553.6846270063343</v>
      </c>
      <c r="AA22" s="130">
        <v>5553.6846270063343</v>
      </c>
    </row>
    <row r="23" spans="1:27" ht="14.25" customHeight="1">
      <c r="A23" s="18">
        <v>37711</v>
      </c>
      <c r="B23" s="126">
        <f t="shared" si="0"/>
        <v>6.9702132758422852E-2</v>
      </c>
      <c r="C23" s="97">
        <v>1.4250000000000002E-2</v>
      </c>
      <c r="D23" s="97">
        <v>0.20600000000000002</v>
      </c>
      <c r="E23" s="97">
        <f t="shared" si="6"/>
        <v>7.3603511606069816E-2</v>
      </c>
      <c r="F23" s="127">
        <v>1420495</v>
      </c>
      <c r="G23" s="127">
        <f>SUM(bdp!AR38:AR41)*1000000</f>
        <v>215840721572.3396</v>
      </c>
      <c r="H23" s="131">
        <f t="shared" si="3"/>
        <v>151947.54052097304</v>
      </c>
      <c r="I23" s="126">
        <f t="shared" si="1"/>
        <v>6.9702132758422852E-2</v>
      </c>
      <c r="J23" s="97">
        <v>1.4250000000000002E-2</v>
      </c>
      <c r="K23" s="97">
        <v>0.20600000000000002</v>
      </c>
      <c r="L23" s="97">
        <f t="shared" si="7"/>
        <v>7.3603511606069816E-2</v>
      </c>
      <c r="M23" s="127">
        <v>1420495</v>
      </c>
      <c r="N23" s="127">
        <f>SUM(bdp!AU38:AU41)*1000000</f>
        <v>215840721572.3396</v>
      </c>
      <c r="O23" s="131">
        <f t="shared" si="4"/>
        <v>151947.54052097304</v>
      </c>
      <c r="P23" s="126">
        <f t="shared" si="2"/>
        <v>6.9702132758422852E-2</v>
      </c>
      <c r="Q23" s="97">
        <v>1.4250000000000002E-2</v>
      </c>
      <c r="R23" s="97">
        <v>0.20600000000000002</v>
      </c>
      <c r="S23" s="97">
        <f t="shared" si="8"/>
        <v>7.3603511606069816E-2</v>
      </c>
      <c r="T23" s="127">
        <v>1420495</v>
      </c>
      <c r="U23" s="127">
        <f>SUM(bdp!AX38:AX41)*1000000</f>
        <v>215840721572.3396</v>
      </c>
      <c r="V23" s="131">
        <f t="shared" si="5"/>
        <v>151947.54052097304</v>
      </c>
      <c r="W23" s="19"/>
      <c r="X23" s="18">
        <v>37711</v>
      </c>
      <c r="Y23" s="130">
        <v>5541.1217723959717</v>
      </c>
      <c r="Z23" s="130">
        <v>5541.1217723959717</v>
      </c>
      <c r="AA23" s="130">
        <v>5541.1217723959717</v>
      </c>
    </row>
    <row r="24" spans="1:27" ht="14.25" customHeight="1">
      <c r="A24" s="18">
        <v>37802</v>
      </c>
      <c r="B24" s="126">
        <f t="shared" si="0"/>
        <v>3.8224224778289351E-2</v>
      </c>
      <c r="C24" s="97">
        <v>1.6E-2</v>
      </c>
      <c r="D24" s="97">
        <v>0.185</v>
      </c>
      <c r="E24" s="97">
        <f t="shared" si="6"/>
        <v>7.7827231859792345E-2</v>
      </c>
      <c r="F24" s="127">
        <v>1460618</v>
      </c>
      <c r="G24" s="127">
        <f>SUM(bdp!AR39:AR42)*1000000</f>
        <v>221686970813.1676</v>
      </c>
      <c r="H24" s="131">
        <f t="shared" si="3"/>
        <v>151776.14599653543</v>
      </c>
      <c r="I24" s="126">
        <f t="shared" si="1"/>
        <v>3.8224224778289351E-2</v>
      </c>
      <c r="J24" s="97">
        <v>1.6E-2</v>
      </c>
      <c r="K24" s="97">
        <v>0.185</v>
      </c>
      <c r="L24" s="97">
        <f t="shared" si="7"/>
        <v>7.7827231859792345E-2</v>
      </c>
      <c r="M24" s="127">
        <v>1460618</v>
      </c>
      <c r="N24" s="127">
        <f>SUM(bdp!AU39:AU42)*1000000</f>
        <v>221686970813.1676</v>
      </c>
      <c r="O24" s="131">
        <f t="shared" si="4"/>
        <v>151776.14599653543</v>
      </c>
      <c r="P24" s="126">
        <f t="shared" si="2"/>
        <v>3.8224224778289351E-2</v>
      </c>
      <c r="Q24" s="97">
        <v>1.6E-2</v>
      </c>
      <c r="R24" s="97">
        <v>0.185</v>
      </c>
      <c r="S24" s="97">
        <f t="shared" si="8"/>
        <v>7.7827231859792345E-2</v>
      </c>
      <c r="T24" s="127">
        <v>1460618</v>
      </c>
      <c r="U24" s="127">
        <f>SUM(bdp!AX39:AX42)*1000000</f>
        <v>221686970813.1676</v>
      </c>
      <c r="V24" s="131">
        <f t="shared" si="5"/>
        <v>151776.14599653543</v>
      </c>
      <c r="W24" s="19"/>
      <c r="X24" s="18">
        <v>37802</v>
      </c>
      <c r="Y24" s="130">
        <v>5561.1551312170368</v>
      </c>
      <c r="Z24" s="130">
        <v>5561.1551312170368</v>
      </c>
      <c r="AA24" s="130">
        <v>5561.1551312170368</v>
      </c>
    </row>
    <row r="25" spans="1:27" ht="14.25" customHeight="1">
      <c r="A25" s="18">
        <v>37894</v>
      </c>
      <c r="B25" s="126">
        <f t="shared" si="0"/>
        <v>4.4618497348130504E-2</v>
      </c>
      <c r="C25" s="97">
        <v>1.8500000000000003E-2</v>
      </c>
      <c r="D25" s="97">
        <v>0.17879999999999999</v>
      </c>
      <c r="E25" s="97">
        <f t="shared" si="6"/>
        <v>7.8293879241798647E-2</v>
      </c>
      <c r="F25" s="127">
        <v>1465472</v>
      </c>
      <c r="G25" s="127">
        <f>SUM(bdp!AR40:AR43)*1000000</f>
        <v>227607416820.68933</v>
      </c>
      <c r="H25" s="131">
        <f t="shared" si="3"/>
        <v>155313.38491672944</v>
      </c>
      <c r="I25" s="126">
        <f t="shared" si="1"/>
        <v>4.4618497348130504E-2</v>
      </c>
      <c r="J25" s="97">
        <v>1.8500000000000003E-2</v>
      </c>
      <c r="K25" s="97">
        <v>0.17879999999999999</v>
      </c>
      <c r="L25" s="97">
        <f t="shared" si="7"/>
        <v>7.8293879241798647E-2</v>
      </c>
      <c r="M25" s="127">
        <v>1465472</v>
      </c>
      <c r="N25" s="127">
        <f>SUM(bdp!AU40:AU43)*1000000</f>
        <v>227607416820.68933</v>
      </c>
      <c r="O25" s="131">
        <f t="shared" si="4"/>
        <v>155313.38491672944</v>
      </c>
      <c r="P25" s="126">
        <f t="shared" si="2"/>
        <v>4.4618497348130504E-2</v>
      </c>
      <c r="Q25" s="97">
        <v>1.8500000000000003E-2</v>
      </c>
      <c r="R25" s="97">
        <v>0.17879999999999999</v>
      </c>
      <c r="S25" s="97">
        <f t="shared" si="8"/>
        <v>7.8293879241798647E-2</v>
      </c>
      <c r="T25" s="127">
        <v>1465472</v>
      </c>
      <c r="U25" s="127">
        <f>SUM(bdp!AX40:AX43)*1000000</f>
        <v>227607416820.68933</v>
      </c>
      <c r="V25" s="131">
        <f t="shared" si="5"/>
        <v>155313.38491672944</v>
      </c>
      <c r="W25" s="19"/>
      <c r="X25" s="18">
        <v>37894</v>
      </c>
      <c r="Y25" s="130">
        <v>5665.426178578261</v>
      </c>
      <c r="Z25" s="130">
        <v>5665.426178578261</v>
      </c>
      <c r="AA25" s="130">
        <v>5665.426178578261</v>
      </c>
    </row>
    <row r="26" spans="1:27" ht="14.25" customHeight="1">
      <c r="A26" s="18">
        <v>37986</v>
      </c>
      <c r="B26" s="126">
        <f t="shared" si="0"/>
        <v>2.8696878569142825E-2</v>
      </c>
      <c r="C26" s="97">
        <v>1.8250000000000002E-2</v>
      </c>
      <c r="D26" s="97">
        <v>0.1867</v>
      </c>
      <c r="E26" s="97">
        <f t="shared" si="6"/>
        <v>8.4998736045207579E-2</v>
      </c>
      <c r="F26" s="127">
        <v>1443995</v>
      </c>
      <c r="G26" s="127">
        <f>SUM(bdp!AR41:AR44)*1000000</f>
        <v>232573124587.91928</v>
      </c>
      <c r="H26" s="131">
        <f t="shared" si="3"/>
        <v>161062.27832362251</v>
      </c>
      <c r="I26" s="126">
        <f t="shared" si="1"/>
        <v>2.8696878569142825E-2</v>
      </c>
      <c r="J26" s="97">
        <v>1.8250000000000002E-2</v>
      </c>
      <c r="K26" s="97">
        <v>0.1867</v>
      </c>
      <c r="L26" s="97">
        <f t="shared" si="7"/>
        <v>8.4998736045207579E-2</v>
      </c>
      <c r="M26" s="127">
        <v>1443995</v>
      </c>
      <c r="N26" s="127">
        <f>SUM(bdp!AU41:AU44)*1000000</f>
        <v>232573124587.91928</v>
      </c>
      <c r="O26" s="131">
        <f t="shared" si="4"/>
        <v>161062.27832362251</v>
      </c>
      <c r="P26" s="126">
        <f t="shared" si="2"/>
        <v>2.8696878569142825E-2</v>
      </c>
      <c r="Q26" s="97">
        <v>1.8250000000000002E-2</v>
      </c>
      <c r="R26" s="97">
        <v>0.1867</v>
      </c>
      <c r="S26" s="97">
        <f t="shared" si="8"/>
        <v>8.4998736045207579E-2</v>
      </c>
      <c r="T26" s="127">
        <v>1443995</v>
      </c>
      <c r="U26" s="127">
        <f>SUM(bdp!AX41:AX44)*1000000</f>
        <v>232573124587.91928</v>
      </c>
      <c r="V26" s="131">
        <f t="shared" si="5"/>
        <v>161062.27832362251</v>
      </c>
      <c r="W26" s="19"/>
      <c r="X26" s="18">
        <v>37986</v>
      </c>
      <c r="Y26" s="130">
        <v>5713.0580403588501</v>
      </c>
      <c r="Z26" s="130">
        <v>5713.0580403588501</v>
      </c>
      <c r="AA26" s="130">
        <v>5713.0580403588501</v>
      </c>
    </row>
    <row r="27" spans="1:27" ht="14.25" customHeight="1">
      <c r="A27" s="18">
        <v>38077</v>
      </c>
      <c r="B27" s="126">
        <f t="shared" si="0"/>
        <v>5.4262553136249725E-2</v>
      </c>
      <c r="C27" s="97">
        <v>1.6250000000000001E-2</v>
      </c>
      <c r="D27" s="97">
        <v>0.18890000000000001</v>
      </c>
      <c r="E27" s="97">
        <f t="shared" si="6"/>
        <v>7.9386919070675077E-2</v>
      </c>
      <c r="F27" s="127">
        <v>1444576</v>
      </c>
      <c r="G27" s="127">
        <f>SUM(bdp!AR42:AR45)*1000000</f>
        <v>236925180796.11572</v>
      </c>
      <c r="H27" s="131">
        <f t="shared" si="3"/>
        <v>164010.18762329966</v>
      </c>
      <c r="I27" s="126">
        <f t="shared" si="1"/>
        <v>5.4262553136249725E-2</v>
      </c>
      <c r="J27" s="97">
        <v>1.6250000000000001E-2</v>
      </c>
      <c r="K27" s="97">
        <v>0.18890000000000001</v>
      </c>
      <c r="L27" s="97">
        <f t="shared" si="7"/>
        <v>7.9386919070675077E-2</v>
      </c>
      <c r="M27" s="127">
        <v>1444576</v>
      </c>
      <c r="N27" s="127">
        <f>SUM(bdp!AU42:AU45)*1000000</f>
        <v>236925180796.11572</v>
      </c>
      <c r="O27" s="131">
        <f t="shared" si="4"/>
        <v>164010.18762329966</v>
      </c>
      <c r="P27" s="126">
        <f t="shared" si="2"/>
        <v>5.4262553136249725E-2</v>
      </c>
      <c r="Q27" s="97">
        <v>1.6250000000000001E-2</v>
      </c>
      <c r="R27" s="97">
        <v>0.18890000000000001</v>
      </c>
      <c r="S27" s="97">
        <f t="shared" si="8"/>
        <v>7.9386919070675077E-2</v>
      </c>
      <c r="T27" s="127">
        <v>1444576</v>
      </c>
      <c r="U27" s="127">
        <f>SUM(bdp!AX42:AX45)*1000000</f>
        <v>236925180796.11572</v>
      </c>
      <c r="V27" s="131">
        <f t="shared" si="5"/>
        <v>164010.18762329966</v>
      </c>
      <c r="W27" s="19"/>
      <c r="X27" s="18">
        <v>38077</v>
      </c>
      <c r="Y27" s="130">
        <v>5841.7971870050378</v>
      </c>
      <c r="Z27" s="130">
        <v>5841.7971870050378</v>
      </c>
      <c r="AA27" s="130">
        <v>5841.7971870050378</v>
      </c>
    </row>
    <row r="28" spans="1:27" ht="14.25" customHeight="1">
      <c r="A28" s="18">
        <v>38168</v>
      </c>
      <c r="B28" s="126">
        <f t="shared" si="0"/>
        <v>6.6121885122037982E-2</v>
      </c>
      <c r="C28" s="97">
        <v>1.8750000000000003E-2</v>
      </c>
      <c r="D28" s="97">
        <v>0.17190000000000003</v>
      </c>
      <c r="E28" s="97">
        <f t="shared" si="6"/>
        <v>7.6663474437314694E-2</v>
      </c>
      <c r="F28" s="127">
        <v>1477476</v>
      </c>
      <c r="G28" s="127">
        <f>SUM(bdp!AR43:AR46)*1000000</f>
        <v>241437060908.59796</v>
      </c>
      <c r="H28" s="131">
        <f t="shared" si="3"/>
        <v>163411.83268533496</v>
      </c>
      <c r="I28" s="126">
        <f t="shared" si="1"/>
        <v>6.6121885122037982E-2</v>
      </c>
      <c r="J28" s="97">
        <v>1.8750000000000003E-2</v>
      </c>
      <c r="K28" s="97">
        <v>0.17190000000000003</v>
      </c>
      <c r="L28" s="97">
        <f t="shared" si="7"/>
        <v>7.6663474437314694E-2</v>
      </c>
      <c r="M28" s="127">
        <v>1477476</v>
      </c>
      <c r="N28" s="127">
        <f>SUM(bdp!AU43:AU46)*1000000</f>
        <v>241437060908.59796</v>
      </c>
      <c r="O28" s="131">
        <f t="shared" si="4"/>
        <v>163411.83268533496</v>
      </c>
      <c r="P28" s="126">
        <f t="shared" si="2"/>
        <v>6.6121885122037982E-2</v>
      </c>
      <c r="Q28" s="97">
        <v>1.8750000000000003E-2</v>
      </c>
      <c r="R28" s="97">
        <v>0.17190000000000003</v>
      </c>
      <c r="S28" s="97">
        <f t="shared" si="8"/>
        <v>7.6663474437314694E-2</v>
      </c>
      <c r="T28" s="127">
        <v>1477476</v>
      </c>
      <c r="U28" s="127">
        <f>SUM(bdp!AX43:AX46)*1000000</f>
        <v>241437060908.59796</v>
      </c>
      <c r="V28" s="131">
        <f t="shared" si="5"/>
        <v>163411.83268533496</v>
      </c>
      <c r="W28" s="19"/>
      <c r="X28" s="18">
        <v>38168</v>
      </c>
      <c r="Y28" s="130">
        <v>5928.8691919492012</v>
      </c>
      <c r="Z28" s="130">
        <v>5928.8691919492012</v>
      </c>
      <c r="AA28" s="130">
        <v>5928.8691919492012</v>
      </c>
    </row>
    <row r="29" spans="1:27" ht="14.25" customHeight="1">
      <c r="A29" s="18">
        <v>38260</v>
      </c>
      <c r="B29" s="126">
        <f t="shared" si="0"/>
        <v>6.3933945927444613E-2</v>
      </c>
      <c r="C29" s="97">
        <v>1.8000000000000002E-2</v>
      </c>
      <c r="D29" s="97">
        <v>0.17379999999999998</v>
      </c>
      <c r="E29" s="97">
        <f t="shared" si="6"/>
        <v>6.9116063269170969E-2</v>
      </c>
      <c r="F29" s="127">
        <v>1481243</v>
      </c>
      <c r="G29" s="127">
        <f>SUM(bdp!AR44:AR47)*1000000</f>
        <v>245957488996.74753</v>
      </c>
      <c r="H29" s="131">
        <f t="shared" si="3"/>
        <v>166048.0346551832</v>
      </c>
      <c r="I29" s="126">
        <f t="shared" si="1"/>
        <v>6.3933945927444613E-2</v>
      </c>
      <c r="J29" s="97">
        <v>1.8000000000000002E-2</v>
      </c>
      <c r="K29" s="97">
        <v>0.17379999999999998</v>
      </c>
      <c r="L29" s="97">
        <f t="shared" si="7"/>
        <v>6.9116063269170969E-2</v>
      </c>
      <c r="M29" s="127">
        <v>1481243</v>
      </c>
      <c r="N29" s="127">
        <f>SUM(bdp!AU44:AU47)*1000000</f>
        <v>245957488996.74753</v>
      </c>
      <c r="O29" s="131">
        <f t="shared" si="4"/>
        <v>166048.0346551832</v>
      </c>
      <c r="P29" s="126">
        <f t="shared" si="2"/>
        <v>6.3933945927444613E-2</v>
      </c>
      <c r="Q29" s="97">
        <v>1.8000000000000002E-2</v>
      </c>
      <c r="R29" s="97">
        <v>0.17379999999999998</v>
      </c>
      <c r="S29" s="97">
        <f t="shared" si="8"/>
        <v>6.9116063269170969E-2</v>
      </c>
      <c r="T29" s="127">
        <v>1481243</v>
      </c>
      <c r="U29" s="127">
        <f>SUM(bdp!AX44:AX47)*1000000</f>
        <v>245957488996.74753</v>
      </c>
      <c r="V29" s="131">
        <f t="shared" si="5"/>
        <v>166048.0346551832</v>
      </c>
      <c r="W29" s="19"/>
      <c r="X29" s="18">
        <v>38260</v>
      </c>
      <c r="Y29" s="130">
        <v>6027.6392295354126</v>
      </c>
      <c r="Z29" s="130">
        <v>6027.6392295354126</v>
      </c>
      <c r="AA29" s="130">
        <v>6027.6392295354126</v>
      </c>
    </row>
    <row r="30" spans="1:27" ht="14.25" customHeight="1">
      <c r="A30" s="18">
        <v>38352</v>
      </c>
      <c r="B30" s="126">
        <f t="shared" si="0"/>
        <v>6.332888023447758E-2</v>
      </c>
      <c r="C30" s="97">
        <v>2.0500000000000001E-2</v>
      </c>
      <c r="D30" s="97">
        <v>0.1852</v>
      </c>
      <c r="E30" s="97">
        <f t="shared" si="6"/>
        <v>6.7294330084262111E-2</v>
      </c>
      <c r="F30" s="127">
        <v>1460105</v>
      </c>
      <c r="G30" s="127">
        <f>SUM(bdp!AR45:AR48)*1000000</f>
        <v>250993300000</v>
      </c>
      <c r="H30" s="131">
        <f t="shared" si="3"/>
        <v>171900.85644525566</v>
      </c>
      <c r="I30" s="126">
        <f t="shared" si="1"/>
        <v>6.332888023447758E-2</v>
      </c>
      <c r="J30" s="97">
        <v>2.0500000000000001E-2</v>
      </c>
      <c r="K30" s="97">
        <v>0.1852</v>
      </c>
      <c r="L30" s="97">
        <f t="shared" si="7"/>
        <v>6.7294330084262111E-2</v>
      </c>
      <c r="M30" s="127">
        <v>1460105</v>
      </c>
      <c r="N30" s="127">
        <f>SUM(bdp!AU45:AU48)*1000000</f>
        <v>250993300000</v>
      </c>
      <c r="O30" s="131">
        <f t="shared" si="4"/>
        <v>171900.85644525566</v>
      </c>
      <c r="P30" s="126">
        <f t="shared" si="2"/>
        <v>6.332888023447758E-2</v>
      </c>
      <c r="Q30" s="97">
        <v>2.0500000000000001E-2</v>
      </c>
      <c r="R30" s="97">
        <v>0.1852</v>
      </c>
      <c r="S30" s="97">
        <f t="shared" si="8"/>
        <v>6.7294330084262111E-2</v>
      </c>
      <c r="T30" s="127">
        <v>1460105</v>
      </c>
      <c r="U30" s="127">
        <f>SUM(bdp!AX45:AX48)*1000000</f>
        <v>250993300000</v>
      </c>
      <c r="V30" s="131">
        <f t="shared" si="5"/>
        <v>171900.85644525566</v>
      </c>
      <c r="W30" s="19"/>
      <c r="X30" s="18">
        <v>38352</v>
      </c>
      <c r="Y30" s="130">
        <v>6074.859608769355</v>
      </c>
      <c r="Z30" s="130">
        <v>6074.859608769355</v>
      </c>
      <c r="AA30" s="130">
        <v>6074.859608769355</v>
      </c>
    </row>
    <row r="31" spans="1:27" ht="14.25" customHeight="1">
      <c r="A31" s="18">
        <v>38442</v>
      </c>
      <c r="B31" s="126">
        <f t="shared" si="0"/>
        <v>4.7608096954072643E-2</v>
      </c>
      <c r="C31" s="97">
        <v>2.6750000000000003E-2</v>
      </c>
      <c r="D31" s="97">
        <v>0.19020000000000001</v>
      </c>
      <c r="E31" s="97">
        <f t="shared" si="6"/>
        <v>6.224994065779299E-2</v>
      </c>
      <c r="F31" s="127">
        <v>1456494</v>
      </c>
      <c r="G31" s="127">
        <f>SUM(bdp!AR46:AR49)*1000000</f>
        <v>253750110961.26254</v>
      </c>
      <c r="H31" s="131">
        <f t="shared" si="3"/>
        <v>174219.81207012356</v>
      </c>
      <c r="I31" s="126">
        <f t="shared" si="1"/>
        <v>4.7608096954072643E-2</v>
      </c>
      <c r="J31" s="97">
        <v>2.6750000000000003E-2</v>
      </c>
      <c r="K31" s="97">
        <v>0.19020000000000001</v>
      </c>
      <c r="L31" s="97">
        <f t="shared" si="7"/>
        <v>6.224994065779299E-2</v>
      </c>
      <c r="M31" s="127">
        <v>1456494</v>
      </c>
      <c r="N31" s="127">
        <f>SUM(bdp!AU46:AU49)*1000000</f>
        <v>253750110961.26254</v>
      </c>
      <c r="O31" s="131">
        <f t="shared" si="4"/>
        <v>174219.81207012356</v>
      </c>
      <c r="P31" s="126">
        <f t="shared" si="2"/>
        <v>4.7608096954072643E-2</v>
      </c>
      <c r="Q31" s="97">
        <v>2.6750000000000003E-2</v>
      </c>
      <c r="R31" s="97">
        <v>0.19020000000000001</v>
      </c>
      <c r="S31" s="97">
        <f t="shared" si="8"/>
        <v>6.224994065779299E-2</v>
      </c>
      <c r="T31" s="127">
        <v>1456494</v>
      </c>
      <c r="U31" s="127">
        <f>SUM(bdp!AX46:AX49)*1000000</f>
        <v>253750110961.26254</v>
      </c>
      <c r="V31" s="131">
        <f t="shared" si="5"/>
        <v>174219.81207012356</v>
      </c>
      <c r="W31" s="19"/>
      <c r="X31" s="18">
        <v>38442</v>
      </c>
      <c r="Y31" s="130">
        <v>6119.9140338700026</v>
      </c>
      <c r="Z31" s="130">
        <v>6119.9140338700026</v>
      </c>
      <c r="AA31" s="130">
        <v>6119.9140338700026</v>
      </c>
    </row>
    <row r="32" spans="1:27" ht="14.25" customHeight="1">
      <c r="A32" s="18">
        <v>38533</v>
      </c>
      <c r="B32" s="126">
        <f t="shared" si="0"/>
        <v>5.2845531415469882E-2</v>
      </c>
      <c r="C32" s="97">
        <v>2.775E-2</v>
      </c>
      <c r="D32" s="97">
        <v>0.17180000000000001</v>
      </c>
      <c r="E32" s="97">
        <f t="shared" si="6"/>
        <v>5.0492766646256237E-2</v>
      </c>
      <c r="F32" s="127">
        <v>1507441</v>
      </c>
      <c r="G32" s="127">
        <f>SUM(bdp!AR47:AR50)*1000000</f>
        <v>258771766328.2366</v>
      </c>
      <c r="H32" s="131">
        <f t="shared" si="3"/>
        <v>171662.94822035264</v>
      </c>
      <c r="I32" s="126">
        <f t="shared" si="1"/>
        <v>5.2845531415469882E-2</v>
      </c>
      <c r="J32" s="97">
        <v>2.775E-2</v>
      </c>
      <c r="K32" s="97">
        <v>0.17180000000000001</v>
      </c>
      <c r="L32" s="97">
        <f t="shared" si="7"/>
        <v>5.0492766646256237E-2</v>
      </c>
      <c r="M32" s="127">
        <v>1507441</v>
      </c>
      <c r="N32" s="127">
        <f>SUM(bdp!AU47:AU50)*1000000</f>
        <v>258771766328.2366</v>
      </c>
      <c r="O32" s="131">
        <f t="shared" si="4"/>
        <v>171662.94822035264</v>
      </c>
      <c r="P32" s="126">
        <f t="shared" si="2"/>
        <v>5.2845531415469882E-2</v>
      </c>
      <c r="Q32" s="97">
        <v>2.775E-2</v>
      </c>
      <c r="R32" s="97">
        <v>0.17180000000000001</v>
      </c>
      <c r="S32" s="97">
        <f t="shared" si="8"/>
        <v>5.0492766646256237E-2</v>
      </c>
      <c r="T32" s="127">
        <v>1507441</v>
      </c>
      <c r="U32" s="127">
        <f>SUM(bdp!AX47:AX50)*1000000</f>
        <v>258771766328.2366</v>
      </c>
      <c r="V32" s="131">
        <f t="shared" si="5"/>
        <v>171662.94822035264</v>
      </c>
      <c r="W32" s="19"/>
      <c r="X32" s="18">
        <v>38533</v>
      </c>
      <c r="Y32" s="130">
        <v>6242.1834350905638</v>
      </c>
      <c r="Z32" s="130">
        <v>6242.1834350905638</v>
      </c>
      <c r="AA32" s="130">
        <v>6242.1834350905638</v>
      </c>
    </row>
    <row r="33" spans="1:27" ht="14.25" customHeight="1">
      <c r="A33" s="18">
        <v>38625</v>
      </c>
      <c r="B33" s="126">
        <f t="shared" si="0"/>
        <v>4.4342728707009949E-2</v>
      </c>
      <c r="C33" s="97">
        <v>3.3250000000000002E-2</v>
      </c>
      <c r="D33" s="97">
        <v>0.17</v>
      </c>
      <c r="E33" s="97">
        <f t="shared" si="6"/>
        <v>5.2177488967074304E-2</v>
      </c>
      <c r="F33" s="127">
        <v>1514878</v>
      </c>
      <c r="G33" s="127">
        <f>SUM(bdp!AR48:AR51)*1000000</f>
        <v>264667371424.87726</v>
      </c>
      <c r="H33" s="131">
        <f t="shared" si="3"/>
        <v>174712.00415140842</v>
      </c>
      <c r="I33" s="126">
        <f t="shared" si="1"/>
        <v>4.4342728707009949E-2</v>
      </c>
      <c r="J33" s="97">
        <v>3.3250000000000002E-2</v>
      </c>
      <c r="K33" s="97">
        <v>0.17</v>
      </c>
      <c r="L33" s="97">
        <f t="shared" si="7"/>
        <v>5.2177488967074304E-2</v>
      </c>
      <c r="M33" s="127">
        <v>1514878</v>
      </c>
      <c r="N33" s="127">
        <f>SUM(bdp!AU48:AU51)*1000000</f>
        <v>264667371424.87726</v>
      </c>
      <c r="O33" s="131">
        <f t="shared" si="4"/>
        <v>174712.00415140842</v>
      </c>
      <c r="P33" s="126">
        <f t="shared" si="2"/>
        <v>4.4342728707009949E-2</v>
      </c>
      <c r="Q33" s="97">
        <v>3.3250000000000002E-2</v>
      </c>
      <c r="R33" s="97">
        <v>0.17</v>
      </c>
      <c r="S33" s="97">
        <f t="shared" si="8"/>
        <v>5.2177488967074304E-2</v>
      </c>
      <c r="T33" s="127">
        <v>1514878</v>
      </c>
      <c r="U33" s="127">
        <f>SUM(bdp!AX48:AX51)*1000000</f>
        <v>264667371424.87726</v>
      </c>
      <c r="V33" s="131">
        <f t="shared" si="5"/>
        <v>174712.00415140842</v>
      </c>
      <c r="W33" s="19"/>
      <c r="X33" s="18">
        <v>38625</v>
      </c>
      <c r="Y33" s="130">
        <v>6294.9212006344314</v>
      </c>
      <c r="Z33" s="130">
        <v>6294.9212006344314</v>
      </c>
      <c r="AA33" s="130">
        <v>6294.9212006344314</v>
      </c>
    </row>
    <row r="34" spans="1:27" ht="14.25" customHeight="1">
      <c r="A34" s="18">
        <v>38717</v>
      </c>
      <c r="B34" s="126">
        <f t="shared" si="0"/>
        <v>5.0433574272420678E-2</v>
      </c>
      <c r="C34" s="97">
        <v>3.5500000000000004E-2</v>
      </c>
      <c r="D34" s="97">
        <v>0.17850000000000002</v>
      </c>
      <c r="E34" s="97">
        <f t="shared" si="6"/>
        <v>4.7957082395238215E-2</v>
      </c>
      <c r="F34" s="127">
        <v>1498877</v>
      </c>
      <c r="G34" s="127">
        <f>SUM(bdp!AR49:AR52)*1000000</f>
        <v>270014777451.87988</v>
      </c>
      <c r="H34" s="131">
        <f t="shared" si="3"/>
        <v>180144.71998161281</v>
      </c>
      <c r="I34" s="126">
        <f t="shared" si="1"/>
        <v>5.0433574272420678E-2</v>
      </c>
      <c r="J34" s="97">
        <v>3.5500000000000004E-2</v>
      </c>
      <c r="K34" s="97">
        <v>0.17850000000000002</v>
      </c>
      <c r="L34" s="97">
        <f t="shared" si="7"/>
        <v>4.7957082395238215E-2</v>
      </c>
      <c r="M34" s="127">
        <v>1498877</v>
      </c>
      <c r="N34" s="127">
        <f>SUM(bdp!AU49:AU52)*1000000</f>
        <v>270014777451.87988</v>
      </c>
      <c r="O34" s="131">
        <f t="shared" si="4"/>
        <v>180144.71998161281</v>
      </c>
      <c r="P34" s="126">
        <f t="shared" si="2"/>
        <v>5.0433574272420678E-2</v>
      </c>
      <c r="Q34" s="97">
        <v>3.5500000000000004E-2</v>
      </c>
      <c r="R34" s="97">
        <v>0.17850000000000002</v>
      </c>
      <c r="S34" s="97">
        <f t="shared" si="8"/>
        <v>4.7957082395238215E-2</v>
      </c>
      <c r="T34" s="127">
        <v>1498877</v>
      </c>
      <c r="U34" s="127">
        <f>SUM(bdp!AX49:AX52)*1000000</f>
        <v>270014777451.87988</v>
      </c>
      <c r="V34" s="131">
        <f t="shared" si="5"/>
        <v>180144.71998161281</v>
      </c>
      <c r="W34" s="19"/>
      <c r="X34" s="18">
        <v>38717</v>
      </c>
      <c r="Y34" s="130">
        <v>6381.2364920427526</v>
      </c>
      <c r="Z34" s="130">
        <v>6381.2364920427526</v>
      </c>
      <c r="AA34" s="130">
        <v>6381.2364920427526</v>
      </c>
    </row>
    <row r="35" spans="1:27" ht="14.25" customHeight="1">
      <c r="A35" s="18">
        <v>38807</v>
      </c>
      <c r="B35" s="126">
        <f t="shared" si="0"/>
        <v>5.7728360329998507E-2</v>
      </c>
      <c r="C35" s="97">
        <v>3.3250000000000002E-2</v>
      </c>
      <c r="D35" s="97">
        <v>0.17710000000000001</v>
      </c>
      <c r="E35" s="97">
        <f t="shared" si="6"/>
        <v>5.513486992830452E-2</v>
      </c>
      <c r="F35" s="127">
        <v>1504013</v>
      </c>
      <c r="G35" s="127">
        <f>SUM(bdp!AR50:AR53)*1000000</f>
        <v>276475789446.48914</v>
      </c>
      <c r="H35" s="131">
        <f t="shared" si="3"/>
        <v>183825.39874754348</v>
      </c>
      <c r="I35" s="126">
        <f t="shared" si="1"/>
        <v>5.7728360329998507E-2</v>
      </c>
      <c r="J35" s="97">
        <v>3.3250000000000002E-2</v>
      </c>
      <c r="K35" s="97">
        <v>0.17710000000000001</v>
      </c>
      <c r="L35" s="97">
        <f t="shared" si="7"/>
        <v>5.513486992830452E-2</v>
      </c>
      <c r="M35" s="127">
        <v>1504013</v>
      </c>
      <c r="N35" s="127">
        <f>SUM(bdp!AU50:AU53)*1000000</f>
        <v>276475789446.48914</v>
      </c>
      <c r="O35" s="131">
        <f t="shared" si="4"/>
        <v>183825.39874754348</v>
      </c>
      <c r="P35" s="126">
        <f t="shared" si="2"/>
        <v>5.7728360329998507E-2</v>
      </c>
      <c r="Q35" s="97">
        <v>3.3250000000000002E-2</v>
      </c>
      <c r="R35" s="97">
        <v>0.17710000000000001</v>
      </c>
      <c r="S35" s="97">
        <f t="shared" si="8"/>
        <v>5.513486992830452E-2</v>
      </c>
      <c r="T35" s="127">
        <v>1504013</v>
      </c>
      <c r="U35" s="127">
        <f>SUM(bdp!AX50:AX53)*1000000</f>
        <v>276475789446.48914</v>
      </c>
      <c r="V35" s="131">
        <f t="shared" si="5"/>
        <v>183825.39874754348</v>
      </c>
      <c r="W35" s="19"/>
      <c r="X35" s="18">
        <v>38807</v>
      </c>
      <c r="Y35" s="130">
        <v>6473.2066364058646</v>
      </c>
      <c r="Z35" s="130">
        <v>6473.2066364058646</v>
      </c>
      <c r="AA35" s="130">
        <v>6473.2066364058646</v>
      </c>
    </row>
    <row r="36" spans="1:27" ht="14.25" customHeight="1">
      <c r="A36" s="18">
        <v>38898</v>
      </c>
      <c r="B36" s="126">
        <f t="shared" si="0"/>
        <v>6.0269007667216101E-2</v>
      </c>
      <c r="C36" s="97">
        <v>3.6000000000000004E-2</v>
      </c>
      <c r="D36" s="97">
        <v>0.15590000000000001</v>
      </c>
      <c r="E36" s="97">
        <f t="shared" si="6"/>
        <v>6.3078085733011324E-2</v>
      </c>
      <c r="F36" s="127">
        <v>1547516</v>
      </c>
      <c r="G36" s="127">
        <f>SUM(bdp!AR51:AR54)*1000000</f>
        <v>282407925559.26593</v>
      </c>
      <c r="H36" s="131">
        <f t="shared" si="3"/>
        <v>182491.11838537754</v>
      </c>
      <c r="I36" s="126">
        <f t="shared" si="1"/>
        <v>6.0269007667216101E-2</v>
      </c>
      <c r="J36" s="97">
        <v>3.6000000000000004E-2</v>
      </c>
      <c r="K36" s="97">
        <v>0.15590000000000001</v>
      </c>
      <c r="L36" s="97">
        <f t="shared" si="7"/>
        <v>6.3078085733011324E-2</v>
      </c>
      <c r="M36" s="127">
        <v>1547516</v>
      </c>
      <c r="N36" s="127">
        <f>SUM(bdp!AU51:AU54)*1000000</f>
        <v>282407925559.26593</v>
      </c>
      <c r="O36" s="131">
        <f t="shared" si="4"/>
        <v>182491.11838537754</v>
      </c>
      <c r="P36" s="126">
        <f t="shared" si="2"/>
        <v>6.0269007667216101E-2</v>
      </c>
      <c r="Q36" s="97">
        <v>3.6000000000000004E-2</v>
      </c>
      <c r="R36" s="97">
        <v>0.15590000000000001</v>
      </c>
      <c r="S36" s="97">
        <f t="shared" si="8"/>
        <v>6.3078085733011324E-2</v>
      </c>
      <c r="T36" s="127">
        <v>1547516</v>
      </c>
      <c r="U36" s="127">
        <f>SUM(bdp!AX51:AX54)*1000000</f>
        <v>282407925559.26593</v>
      </c>
      <c r="V36" s="131">
        <f t="shared" si="5"/>
        <v>182491.11838537754</v>
      </c>
      <c r="W36" s="19"/>
      <c r="X36" s="18">
        <v>38898</v>
      </c>
      <c r="Y36" s="130">
        <v>6618.3936364002057</v>
      </c>
      <c r="Z36" s="130">
        <v>6618.3936364002057</v>
      </c>
      <c r="AA36" s="130">
        <v>6618.3936364002057</v>
      </c>
    </row>
    <row r="37" spans="1:27" ht="14.25" customHeight="1">
      <c r="A37" s="18">
        <v>38990</v>
      </c>
      <c r="B37" s="126">
        <f t="shared" si="0"/>
        <v>5.8846614563225597E-2</v>
      </c>
      <c r="C37" s="97">
        <v>3.3500000000000002E-2</v>
      </c>
      <c r="D37" s="97">
        <v>0.1578</v>
      </c>
      <c r="E37" s="97">
        <f t="shared" si="6"/>
        <v>6.2164433550670584E-2</v>
      </c>
      <c r="F37" s="127">
        <v>1553890</v>
      </c>
      <c r="G37" s="127">
        <f>SUM(bdp!AR52:AR55)*1000000</f>
        <v>288359837723.40814</v>
      </c>
      <c r="H37" s="131">
        <f t="shared" si="3"/>
        <v>185572.87692398313</v>
      </c>
      <c r="I37" s="126">
        <f t="shared" si="1"/>
        <v>5.8846614563225597E-2</v>
      </c>
      <c r="J37" s="97">
        <v>3.3500000000000002E-2</v>
      </c>
      <c r="K37" s="97">
        <v>0.1578</v>
      </c>
      <c r="L37" s="97">
        <f t="shared" si="7"/>
        <v>6.2164433550670584E-2</v>
      </c>
      <c r="M37" s="127">
        <v>1553890</v>
      </c>
      <c r="N37" s="127">
        <f>SUM(bdp!AU52:AU55)*1000000</f>
        <v>288359837723.40814</v>
      </c>
      <c r="O37" s="131">
        <f t="shared" si="4"/>
        <v>185572.87692398313</v>
      </c>
      <c r="P37" s="126">
        <f t="shared" si="2"/>
        <v>5.8846614563225597E-2</v>
      </c>
      <c r="Q37" s="97">
        <v>3.3500000000000002E-2</v>
      </c>
      <c r="R37" s="97">
        <v>0.1578</v>
      </c>
      <c r="S37" s="97">
        <f t="shared" si="8"/>
        <v>6.2164433550670584E-2</v>
      </c>
      <c r="T37" s="127">
        <v>1553890</v>
      </c>
      <c r="U37" s="127">
        <f>SUM(bdp!AX52:AX55)*1000000</f>
        <v>288359837723.40814</v>
      </c>
      <c r="V37" s="131">
        <f t="shared" si="5"/>
        <v>185572.87692398313</v>
      </c>
      <c r="W37" s="19"/>
      <c r="X37" s="18">
        <v>38990</v>
      </c>
      <c r="Y37" s="130">
        <v>6665.3560022340425</v>
      </c>
      <c r="Z37" s="130">
        <v>6665.3560022340425</v>
      </c>
      <c r="AA37" s="130">
        <v>6665.3560022340425</v>
      </c>
    </row>
    <row r="38" spans="1:27" ht="14.25" customHeight="1">
      <c r="A38" s="18">
        <v>39082</v>
      </c>
      <c r="B38" s="126">
        <f t="shared" si="0"/>
        <v>7.9200915330848387E-2</v>
      </c>
      <c r="C38" s="97">
        <v>2.9500000000000002E-2</v>
      </c>
      <c r="D38" s="97">
        <v>0.16649999999999998</v>
      </c>
      <c r="E38" s="97">
        <f t="shared" si="6"/>
        <v>6.2620258308408561E-2</v>
      </c>
      <c r="F38" s="127">
        <v>1538170</v>
      </c>
      <c r="G38" s="127">
        <f>SUM(bdp!AR53:AR56)*1000000</f>
        <v>294444851939.97632</v>
      </c>
      <c r="H38" s="131">
        <f t="shared" si="3"/>
        <v>191425.42887975732</v>
      </c>
      <c r="I38" s="126">
        <f t="shared" si="1"/>
        <v>7.9200915330848387E-2</v>
      </c>
      <c r="J38" s="97">
        <v>2.9500000000000002E-2</v>
      </c>
      <c r="K38" s="97">
        <v>0.16649999999999998</v>
      </c>
      <c r="L38" s="97">
        <f t="shared" si="7"/>
        <v>6.2620258308408561E-2</v>
      </c>
      <c r="M38" s="127">
        <v>1538170</v>
      </c>
      <c r="N38" s="127">
        <f>SUM(bdp!AU53:AU56)*1000000</f>
        <v>294444851939.97632</v>
      </c>
      <c r="O38" s="131">
        <f t="shared" si="4"/>
        <v>191425.42887975732</v>
      </c>
      <c r="P38" s="126">
        <f t="shared" si="2"/>
        <v>7.9200915330848387E-2</v>
      </c>
      <c r="Q38" s="97">
        <v>2.9500000000000002E-2</v>
      </c>
      <c r="R38" s="97">
        <v>0.16649999999999998</v>
      </c>
      <c r="S38" s="97">
        <f t="shared" si="8"/>
        <v>6.2620258308408561E-2</v>
      </c>
      <c r="T38" s="127">
        <v>1538170</v>
      </c>
      <c r="U38" s="127">
        <f>SUM(bdp!AX53:AX56)*1000000</f>
        <v>294444851939.97632</v>
      </c>
      <c r="V38" s="131">
        <f t="shared" si="5"/>
        <v>191425.42887975732</v>
      </c>
      <c r="W38" s="19"/>
      <c r="X38" s="18">
        <v>39082</v>
      </c>
      <c r="Y38" s="130">
        <v>6886.6362631551501</v>
      </c>
      <c r="Z38" s="130">
        <v>6886.6362631551501</v>
      </c>
      <c r="AA38" s="130">
        <v>6886.6362631551501</v>
      </c>
    </row>
    <row r="39" spans="1:27" ht="14.25" customHeight="1">
      <c r="A39" s="18">
        <v>39172</v>
      </c>
      <c r="B39" s="126">
        <f t="shared" si="0"/>
        <v>6.3324469093005042E-2</v>
      </c>
      <c r="C39" s="97">
        <v>2.6500000000000003E-2</v>
      </c>
      <c r="D39" s="97">
        <v>0.16320000000000001</v>
      </c>
      <c r="E39" s="97">
        <f t="shared" si="6"/>
        <v>5.9931355708009004E-2</v>
      </c>
      <c r="F39" s="127">
        <v>1545187</v>
      </c>
      <c r="G39" s="127">
        <f>SUM(bdp!AR54:AR57)*1000000</f>
        <v>301067795357.80408</v>
      </c>
      <c r="H39" s="131">
        <f t="shared" si="3"/>
        <v>194842.30410804911</v>
      </c>
      <c r="I39" s="126">
        <f t="shared" si="1"/>
        <v>6.3324469093005042E-2</v>
      </c>
      <c r="J39" s="97">
        <v>2.6500000000000003E-2</v>
      </c>
      <c r="K39" s="97">
        <v>0.16320000000000001</v>
      </c>
      <c r="L39" s="97">
        <f t="shared" si="7"/>
        <v>5.9931355708009004E-2</v>
      </c>
      <c r="M39" s="127">
        <v>1545187</v>
      </c>
      <c r="N39" s="127">
        <f>SUM(bdp!AU54:AU57)*1000000</f>
        <v>301067795357.80408</v>
      </c>
      <c r="O39" s="131">
        <f t="shared" si="4"/>
        <v>194842.30410804911</v>
      </c>
      <c r="P39" s="126">
        <f t="shared" si="2"/>
        <v>6.3324469093005042E-2</v>
      </c>
      <c r="Q39" s="97">
        <v>2.6500000000000003E-2</v>
      </c>
      <c r="R39" s="97">
        <v>0.16320000000000001</v>
      </c>
      <c r="S39" s="97">
        <f t="shared" si="8"/>
        <v>5.9931355708009004E-2</v>
      </c>
      <c r="T39" s="127">
        <v>1545187</v>
      </c>
      <c r="U39" s="127">
        <f>SUM(bdp!AX54:AX57)*1000000</f>
        <v>301067795357.80408</v>
      </c>
      <c r="V39" s="131">
        <f t="shared" si="5"/>
        <v>194842.30410804911</v>
      </c>
      <c r="W39" s="19"/>
      <c r="X39" s="18">
        <v>39172</v>
      </c>
      <c r="Y39" s="130">
        <v>6883.119009985583</v>
      </c>
      <c r="Z39" s="130">
        <v>6883.119009985583</v>
      </c>
      <c r="AA39" s="130">
        <v>6883.119009985583</v>
      </c>
    </row>
    <row r="40" spans="1:27" ht="14.25" customHeight="1">
      <c r="A40" s="18">
        <v>39263</v>
      </c>
      <c r="B40" s="126">
        <f t="shared" si="0"/>
        <v>4.9892829099720926E-2</v>
      </c>
      <c r="C40" s="97">
        <v>2.1250000000000002E-2</v>
      </c>
      <c r="D40" s="97">
        <v>0.1399</v>
      </c>
      <c r="E40" s="97">
        <f t="shared" si="6"/>
        <v>6.3181784337990488E-2</v>
      </c>
      <c r="F40" s="127">
        <v>1589509</v>
      </c>
      <c r="G40" s="127">
        <f>SUM(bdp!AR55:AR58)*1000000</f>
        <v>308398495839.23425</v>
      </c>
      <c r="H40" s="131">
        <f t="shared" si="3"/>
        <v>194021.23287080115</v>
      </c>
      <c r="I40" s="126">
        <f t="shared" si="1"/>
        <v>4.9892829099720926E-2</v>
      </c>
      <c r="J40" s="97">
        <v>2.1250000000000002E-2</v>
      </c>
      <c r="K40" s="97">
        <v>0.1399</v>
      </c>
      <c r="L40" s="97">
        <f t="shared" si="7"/>
        <v>6.3181784337990488E-2</v>
      </c>
      <c r="M40" s="127">
        <v>1589509</v>
      </c>
      <c r="N40" s="127">
        <f>SUM(bdp!AU55:AU58)*1000000</f>
        <v>308398495839.23425</v>
      </c>
      <c r="O40" s="131">
        <f t="shared" si="4"/>
        <v>194021.23287080115</v>
      </c>
      <c r="P40" s="126">
        <f t="shared" si="2"/>
        <v>4.9892829099720926E-2</v>
      </c>
      <c r="Q40" s="97">
        <v>2.1250000000000002E-2</v>
      </c>
      <c r="R40" s="97">
        <v>0.1399</v>
      </c>
      <c r="S40" s="97">
        <f t="shared" si="8"/>
        <v>6.3181784337990488E-2</v>
      </c>
      <c r="T40" s="127">
        <v>1589509</v>
      </c>
      <c r="U40" s="127">
        <f>SUM(bdp!AX55:AX58)*1000000</f>
        <v>308398495839.23425</v>
      </c>
      <c r="V40" s="131">
        <f t="shared" si="5"/>
        <v>194021.23287080115</v>
      </c>
      <c r="W40" s="19"/>
      <c r="X40" s="18">
        <v>39263</v>
      </c>
      <c r="Y40" s="130">
        <v>6948.6040190158019</v>
      </c>
      <c r="Z40" s="130">
        <v>6948.6040190158019</v>
      </c>
      <c r="AA40" s="130">
        <v>6948.6040190158019</v>
      </c>
    </row>
    <row r="41" spans="1:27" ht="14.25" customHeight="1">
      <c r="A41" s="18">
        <v>39355</v>
      </c>
      <c r="B41" s="126">
        <f t="shared" si="0"/>
        <v>6.2322299451748053E-2</v>
      </c>
      <c r="C41" s="97">
        <v>2.4E-2</v>
      </c>
      <c r="D41" s="97">
        <v>0.13789999999999999</v>
      </c>
      <c r="E41" s="97">
        <f t="shared" si="6"/>
        <v>6.6281186180543461E-2</v>
      </c>
      <c r="F41" s="127">
        <v>1596073</v>
      </c>
      <c r="G41" s="127">
        <f>SUM(bdp!AR56:AR59)*1000000</f>
        <v>315819540977.10242</v>
      </c>
      <c r="H41" s="131">
        <f t="shared" si="3"/>
        <v>197872.86732944072</v>
      </c>
      <c r="I41" s="126">
        <f t="shared" si="1"/>
        <v>6.2322299451748053E-2</v>
      </c>
      <c r="J41" s="97">
        <v>2.4E-2</v>
      </c>
      <c r="K41" s="97">
        <v>0.13789999999999999</v>
      </c>
      <c r="L41" s="97">
        <f t="shared" si="7"/>
        <v>6.6281186180543461E-2</v>
      </c>
      <c r="M41" s="127">
        <v>1596073</v>
      </c>
      <c r="N41" s="127">
        <f>SUM(bdp!AU56:AU59)*1000000</f>
        <v>315819540977.10242</v>
      </c>
      <c r="O41" s="131">
        <f t="shared" si="4"/>
        <v>197872.86732944072</v>
      </c>
      <c r="P41" s="126">
        <f t="shared" si="2"/>
        <v>6.2322299451748053E-2</v>
      </c>
      <c r="Q41" s="97">
        <v>2.4E-2</v>
      </c>
      <c r="R41" s="97">
        <v>0.13789999999999999</v>
      </c>
      <c r="S41" s="97">
        <f t="shared" si="8"/>
        <v>6.6281186180543461E-2</v>
      </c>
      <c r="T41" s="127">
        <v>1596073</v>
      </c>
      <c r="U41" s="127">
        <f>SUM(bdp!AX56:AX59)*1000000</f>
        <v>315819540977.10242</v>
      </c>
      <c r="V41" s="131">
        <f t="shared" si="5"/>
        <v>197872.86732944072</v>
      </c>
      <c r="W41" s="19"/>
      <c r="X41" s="18">
        <v>39355</v>
      </c>
      <c r="Y41" s="130">
        <v>7080.7563149577791</v>
      </c>
      <c r="Z41" s="130">
        <v>7080.7563149577791</v>
      </c>
      <c r="AA41" s="130">
        <v>7080.7563149577791</v>
      </c>
    </row>
    <row r="42" spans="1:27" ht="14.25" customHeight="1">
      <c r="A42" s="18">
        <v>39447</v>
      </c>
      <c r="B42" s="126">
        <f t="shared" si="0"/>
        <v>6.1425114097440225E-2</v>
      </c>
      <c r="C42" s="97">
        <v>3.3500000000000002E-2</v>
      </c>
      <c r="D42" s="97">
        <v>0.14380000000000001</v>
      </c>
      <c r="E42" s="97">
        <f t="shared" si="6"/>
        <v>6.7610024330467589E-2</v>
      </c>
      <c r="F42" s="127">
        <v>1579463</v>
      </c>
      <c r="G42" s="127">
        <f>SUM(bdp!AR57:AR60)*1000000</f>
        <v>322791231259.84198</v>
      </c>
      <c r="H42" s="131">
        <f t="shared" si="3"/>
        <v>204367.7067837879</v>
      </c>
      <c r="I42" s="126">
        <f t="shared" si="1"/>
        <v>6.1425114097440225E-2</v>
      </c>
      <c r="J42" s="97">
        <v>3.3500000000000002E-2</v>
      </c>
      <c r="K42" s="97">
        <v>0.14380000000000001</v>
      </c>
      <c r="L42" s="97">
        <f t="shared" si="7"/>
        <v>6.7610024330467589E-2</v>
      </c>
      <c r="M42" s="127">
        <v>1579463</v>
      </c>
      <c r="N42" s="127">
        <f>SUM(bdp!AU57:AU60)*1000000</f>
        <v>322791231259.84198</v>
      </c>
      <c r="O42" s="131">
        <f t="shared" si="4"/>
        <v>204367.7067837879</v>
      </c>
      <c r="P42" s="126">
        <f t="shared" si="2"/>
        <v>6.1425114097440225E-2</v>
      </c>
      <c r="Q42" s="97">
        <v>3.3500000000000002E-2</v>
      </c>
      <c r="R42" s="97">
        <v>0.14380000000000001</v>
      </c>
      <c r="S42" s="97">
        <f t="shared" si="8"/>
        <v>6.7610024330467589E-2</v>
      </c>
      <c r="T42" s="127">
        <v>1579463</v>
      </c>
      <c r="U42" s="127">
        <f>SUM(bdp!AX57:AX60)*1000000</f>
        <v>322791231259.84198</v>
      </c>
      <c r="V42" s="131">
        <f t="shared" si="5"/>
        <v>204367.7067837879</v>
      </c>
      <c r="W42" s="19"/>
      <c r="X42" s="18">
        <v>39447</v>
      </c>
      <c r="Y42" s="130">
        <v>7309.6486813670244</v>
      </c>
      <c r="Z42" s="130">
        <v>7309.6486813670244</v>
      </c>
      <c r="AA42" s="130">
        <v>7309.6486813670244</v>
      </c>
    </row>
    <row r="43" spans="1:27" ht="14.25" customHeight="1">
      <c r="A43" s="18">
        <v>39538</v>
      </c>
      <c r="B43" s="126">
        <f t="shared" si="0"/>
        <v>7.4754357187970744E-2</v>
      </c>
      <c r="C43" s="97">
        <v>4.3249999999999997E-2</v>
      </c>
      <c r="D43" s="97">
        <v>0.1426</v>
      </c>
      <c r="E43" s="97">
        <f t="shared" si="6"/>
        <v>6.2818525739089415E-2</v>
      </c>
      <c r="F43" s="127">
        <v>1587050</v>
      </c>
      <c r="G43" s="127">
        <f>SUM(bdp!AR58:AR61)*1000000</f>
        <v>328649504611.23035</v>
      </c>
      <c r="H43" s="131">
        <f t="shared" si="3"/>
        <v>207082.0104037241</v>
      </c>
      <c r="I43" s="126">
        <f t="shared" si="1"/>
        <v>7.4754357187970744E-2</v>
      </c>
      <c r="J43" s="97">
        <v>4.3249999999999997E-2</v>
      </c>
      <c r="K43" s="97">
        <v>0.1426</v>
      </c>
      <c r="L43" s="97">
        <f t="shared" si="7"/>
        <v>6.2818525739089415E-2</v>
      </c>
      <c r="M43" s="127">
        <v>1587050</v>
      </c>
      <c r="N43" s="127">
        <f>SUM(bdp!AU58:AU61)*1000000</f>
        <v>328649504611.23035</v>
      </c>
      <c r="O43" s="131">
        <f t="shared" si="4"/>
        <v>207082.0104037241</v>
      </c>
      <c r="P43" s="126">
        <f t="shared" si="2"/>
        <v>7.4754357187970744E-2</v>
      </c>
      <c r="Q43" s="97">
        <v>4.3249999999999997E-2</v>
      </c>
      <c r="R43" s="97">
        <v>0.1426</v>
      </c>
      <c r="S43" s="97">
        <f t="shared" si="8"/>
        <v>6.2818525739089415E-2</v>
      </c>
      <c r="T43" s="127">
        <v>1587050</v>
      </c>
      <c r="U43" s="127">
        <f>SUM(bdp!AX58:AX61)*1000000</f>
        <v>328649504611.23035</v>
      </c>
      <c r="V43" s="131">
        <f t="shared" si="5"/>
        <v>207082.0104037241</v>
      </c>
      <c r="W43" s="19"/>
      <c r="X43" s="18">
        <v>39538</v>
      </c>
      <c r="Y43" s="130">
        <v>7397.6621470253567</v>
      </c>
      <c r="Z43" s="130">
        <v>7397.6621470253567</v>
      </c>
      <c r="AA43" s="130">
        <v>7397.6621470253567</v>
      </c>
    </row>
    <row r="44" spans="1:27" ht="14.25" customHeight="1">
      <c r="A44" s="18">
        <v>39629</v>
      </c>
      <c r="B44" s="126">
        <f t="shared" si="0"/>
        <v>8.4432599386018437E-2</v>
      </c>
      <c r="C44" s="97">
        <v>5.7499999999999996E-2</v>
      </c>
      <c r="D44" s="97">
        <v>0.12369999999999999</v>
      </c>
      <c r="E44" s="97">
        <f t="shared" si="6"/>
        <v>6.1450069151430808E-2</v>
      </c>
      <c r="F44" s="127">
        <v>1630463</v>
      </c>
      <c r="G44" s="127">
        <f>SUM(bdp!AR59:AR62)*1000000</f>
        <v>335783829210.55414</v>
      </c>
      <c r="H44" s="131">
        <f t="shared" si="3"/>
        <v>205943.85104755775</v>
      </c>
      <c r="I44" s="126">
        <f t="shared" si="1"/>
        <v>8.4432599386018437E-2</v>
      </c>
      <c r="J44" s="97">
        <v>5.7499999999999996E-2</v>
      </c>
      <c r="K44" s="97">
        <v>0.12369999999999999</v>
      </c>
      <c r="L44" s="97">
        <f t="shared" si="7"/>
        <v>6.1450069151430808E-2</v>
      </c>
      <c r="M44" s="127">
        <v>1630463</v>
      </c>
      <c r="N44" s="127">
        <f>SUM(bdp!AU59:AU62)*1000000</f>
        <v>335783829210.55414</v>
      </c>
      <c r="O44" s="131">
        <f t="shared" si="4"/>
        <v>205943.85104755775</v>
      </c>
      <c r="P44" s="126">
        <f t="shared" si="2"/>
        <v>8.4432599386018437E-2</v>
      </c>
      <c r="Q44" s="97">
        <v>5.7499999999999996E-2</v>
      </c>
      <c r="R44" s="97">
        <v>0.12369999999999999</v>
      </c>
      <c r="S44" s="97">
        <f t="shared" si="8"/>
        <v>6.1450069151430808E-2</v>
      </c>
      <c r="T44" s="127">
        <v>1630463</v>
      </c>
      <c r="U44" s="127">
        <f>SUM(bdp!AX59:AX62)*1000000</f>
        <v>335783829210.55414</v>
      </c>
      <c r="V44" s="131">
        <f t="shared" si="5"/>
        <v>205943.85104755775</v>
      </c>
      <c r="W44" s="19"/>
      <c r="X44" s="18">
        <v>39629</v>
      </c>
      <c r="Y44" s="130">
        <v>7535.2927184454402</v>
      </c>
      <c r="Z44" s="130">
        <v>7535.2927184454402</v>
      </c>
      <c r="AA44" s="130">
        <v>7535.2927184454402</v>
      </c>
    </row>
    <row r="45" spans="1:27" ht="14.25" customHeight="1">
      <c r="A45" s="18">
        <v>39721</v>
      </c>
      <c r="B45" s="126">
        <f t="shared" si="0"/>
        <v>6.9229336317290446E-2</v>
      </c>
      <c r="C45" s="97">
        <v>6.3750000000000001E-2</v>
      </c>
      <c r="D45" s="97">
        <v>0.12369999999999999</v>
      </c>
      <c r="E45" s="97">
        <f t="shared" si="6"/>
        <v>6.3829327603926123E-2</v>
      </c>
      <c r="F45" s="127">
        <v>1629857</v>
      </c>
      <c r="G45" s="127">
        <f>SUM(bdp!AR60:AR63)*1000000</f>
        <v>343089721902.2934</v>
      </c>
      <c r="H45" s="131">
        <f t="shared" si="3"/>
        <v>210502.95940213982</v>
      </c>
      <c r="I45" s="126">
        <f t="shared" si="1"/>
        <v>6.9229336317290446E-2</v>
      </c>
      <c r="J45" s="97">
        <v>6.3750000000000001E-2</v>
      </c>
      <c r="K45" s="97">
        <v>0.12369999999999999</v>
      </c>
      <c r="L45" s="97">
        <f t="shared" si="7"/>
        <v>6.3829327603926123E-2</v>
      </c>
      <c r="M45" s="127">
        <v>1629857</v>
      </c>
      <c r="N45" s="127">
        <f>SUM(bdp!AU60:AU63)*1000000</f>
        <v>343089721902.2934</v>
      </c>
      <c r="O45" s="131">
        <f t="shared" si="4"/>
        <v>210502.95940213982</v>
      </c>
      <c r="P45" s="126">
        <f t="shared" si="2"/>
        <v>6.9229336317290446E-2</v>
      </c>
      <c r="Q45" s="97">
        <v>6.3750000000000001E-2</v>
      </c>
      <c r="R45" s="97">
        <v>0.12369999999999999</v>
      </c>
      <c r="S45" s="97">
        <f t="shared" si="8"/>
        <v>6.3829327603926123E-2</v>
      </c>
      <c r="T45" s="127">
        <v>1629857</v>
      </c>
      <c r="U45" s="127">
        <f>SUM(bdp!AX60:AX63)*1000000</f>
        <v>343089721902.2934</v>
      </c>
      <c r="V45" s="131">
        <f t="shared" si="5"/>
        <v>210502.95940213982</v>
      </c>
      <c r="W45" s="19"/>
      <c r="X45" s="18">
        <v>39721</v>
      </c>
      <c r="Y45" s="130">
        <v>7570.9523752667692</v>
      </c>
      <c r="Z45" s="130">
        <v>7570.9523752667692</v>
      </c>
      <c r="AA45" s="130">
        <v>7570.9523752667692</v>
      </c>
    </row>
    <row r="46" spans="1:27" ht="14.25" customHeight="1">
      <c r="A46" s="18">
        <v>39813</v>
      </c>
      <c r="B46" s="126">
        <f t="shared" si="0"/>
        <v>5.6602970440929878E-2</v>
      </c>
      <c r="C46" s="97">
        <v>5.6500000000000002E-2</v>
      </c>
      <c r="D46" s="97">
        <v>0.1348</v>
      </c>
      <c r="E46" s="97">
        <f t="shared" si="6"/>
        <v>5.7186565739350437E-2</v>
      </c>
      <c r="F46" s="127">
        <v>1604848</v>
      </c>
      <c r="G46" s="127">
        <f>SUM(bdp!AR61:AR64)*1000000</f>
        <v>346735104174.16016</v>
      </c>
      <c r="H46" s="131">
        <f t="shared" si="3"/>
        <v>216054.79408277926</v>
      </c>
      <c r="I46" s="126">
        <f t="shared" si="1"/>
        <v>5.6602970440929878E-2</v>
      </c>
      <c r="J46" s="97">
        <v>5.6500000000000002E-2</v>
      </c>
      <c r="K46" s="97">
        <v>0.1348</v>
      </c>
      <c r="L46" s="97">
        <f t="shared" si="7"/>
        <v>5.7186565739350437E-2</v>
      </c>
      <c r="M46" s="127">
        <v>1604848</v>
      </c>
      <c r="N46" s="127">
        <f>SUM(bdp!AU61:AU64)*1000000</f>
        <v>346735104174.16016</v>
      </c>
      <c r="O46" s="131">
        <f t="shared" si="4"/>
        <v>216054.79408277926</v>
      </c>
      <c r="P46" s="126">
        <f t="shared" si="2"/>
        <v>5.6602970440929878E-2</v>
      </c>
      <c r="Q46" s="97">
        <v>5.6500000000000002E-2</v>
      </c>
      <c r="R46" s="97">
        <v>0.1348</v>
      </c>
      <c r="S46" s="97">
        <f t="shared" si="8"/>
        <v>5.7186565739350437E-2</v>
      </c>
      <c r="T46" s="127">
        <v>1604848</v>
      </c>
      <c r="U46" s="127">
        <f>SUM(bdp!AX61:AX64)*1000000</f>
        <v>346735104174.16016</v>
      </c>
      <c r="V46" s="131">
        <f t="shared" si="5"/>
        <v>216054.79408277926</v>
      </c>
      <c r="W46" s="19"/>
      <c r="X46" s="18">
        <v>39813</v>
      </c>
      <c r="Y46" s="130">
        <v>7723.3965096120246</v>
      </c>
      <c r="Z46" s="130">
        <v>7723.3965096120246</v>
      </c>
      <c r="AA46" s="130">
        <v>7723.3965096120246</v>
      </c>
    </row>
    <row r="47" spans="1:27" ht="14.25" customHeight="1">
      <c r="A47" s="18">
        <v>39903</v>
      </c>
      <c r="B47" s="126">
        <f t="shared" si="0"/>
        <v>4.6324415493260274E-2</v>
      </c>
      <c r="C47" s="97">
        <v>5.1750000000000004E-2</v>
      </c>
      <c r="D47" s="97">
        <v>0.15079999999999999</v>
      </c>
      <c r="E47" s="97">
        <f t="shared" si="6"/>
        <v>5.0505337058741162E-2</v>
      </c>
      <c r="F47" s="127">
        <v>1578709</v>
      </c>
      <c r="G47" s="127">
        <f>SUM(bdp!AR62:AR65)*1000000</f>
        <v>343433551160.52106</v>
      </c>
      <c r="H47" s="131">
        <f t="shared" si="3"/>
        <v>217540.75713796593</v>
      </c>
      <c r="I47" s="126">
        <f t="shared" si="1"/>
        <v>4.6324415493260274E-2</v>
      </c>
      <c r="J47" s="97">
        <v>5.1750000000000004E-2</v>
      </c>
      <c r="K47" s="97">
        <v>0.15079999999999999</v>
      </c>
      <c r="L47" s="97">
        <f t="shared" si="7"/>
        <v>5.0505337058741162E-2</v>
      </c>
      <c r="M47" s="127">
        <v>1578709</v>
      </c>
      <c r="N47" s="127">
        <f>SUM(bdp!AU62:AU65)*1000000</f>
        <v>343433551160.52106</v>
      </c>
      <c r="O47" s="131">
        <f t="shared" si="4"/>
        <v>217540.75713796593</v>
      </c>
      <c r="P47" s="126">
        <f t="shared" si="2"/>
        <v>4.6324415493260274E-2</v>
      </c>
      <c r="Q47" s="97">
        <v>5.1750000000000004E-2</v>
      </c>
      <c r="R47" s="97">
        <v>0.15079999999999999</v>
      </c>
      <c r="S47" s="97">
        <f t="shared" si="8"/>
        <v>5.0505337058741162E-2</v>
      </c>
      <c r="T47" s="127">
        <v>1578709</v>
      </c>
      <c r="U47" s="127">
        <f>SUM(bdp!AX62:AX65)*1000000</f>
        <v>343433551160.52106</v>
      </c>
      <c r="V47" s="131">
        <f t="shared" si="5"/>
        <v>217540.75713796593</v>
      </c>
      <c r="W47" s="19"/>
      <c r="X47" s="18">
        <v>39903</v>
      </c>
      <c r="Y47" s="130">
        <v>7740.3545220029227</v>
      </c>
      <c r="Z47" s="130">
        <v>7740.3545220029227</v>
      </c>
      <c r="AA47" s="130">
        <v>7740.3545220029227</v>
      </c>
    </row>
    <row r="48" spans="1:27" ht="14.25" customHeight="1">
      <c r="A48" s="18">
        <v>39994</v>
      </c>
      <c r="B48" s="126">
        <f t="shared" si="0"/>
        <v>2.4761213995123654E-2</v>
      </c>
      <c r="C48" s="97">
        <v>3.7999999999999999E-2</v>
      </c>
      <c r="D48" s="97">
        <v>0.1401</v>
      </c>
      <c r="E48" s="97">
        <f t="shared" si="6"/>
        <v>3.204761615727536E-2</v>
      </c>
      <c r="F48" s="127">
        <v>1596346</v>
      </c>
      <c r="G48" s="127">
        <f>SUM(bdp!AR63:AR66)*1000000</f>
        <v>339293541591.01147</v>
      </c>
      <c r="H48" s="131">
        <f t="shared" si="3"/>
        <v>212543.86053588099</v>
      </c>
      <c r="I48" s="126">
        <f t="shared" si="1"/>
        <v>2.4761213995123654E-2</v>
      </c>
      <c r="J48" s="97">
        <v>3.7999999999999999E-2</v>
      </c>
      <c r="K48" s="97">
        <v>0.1401</v>
      </c>
      <c r="L48" s="97">
        <f t="shared" si="7"/>
        <v>3.204761615727536E-2</v>
      </c>
      <c r="M48" s="127">
        <v>1596346</v>
      </c>
      <c r="N48" s="127">
        <f>SUM(bdp!AU63:AU66)*1000000</f>
        <v>339293541591.01147</v>
      </c>
      <c r="O48" s="131">
        <f t="shared" si="4"/>
        <v>212543.86053588099</v>
      </c>
      <c r="P48" s="126">
        <f t="shared" si="2"/>
        <v>2.4761213995123654E-2</v>
      </c>
      <c r="Q48" s="97">
        <v>3.7999999999999999E-2</v>
      </c>
      <c r="R48" s="97">
        <v>0.1401</v>
      </c>
      <c r="S48" s="97">
        <f t="shared" si="8"/>
        <v>3.204761615727536E-2</v>
      </c>
      <c r="T48" s="127">
        <v>1596346</v>
      </c>
      <c r="U48" s="127">
        <f>SUM(bdp!AX63:AX66)*1000000</f>
        <v>339293541591.01147</v>
      </c>
      <c r="V48" s="131">
        <f t="shared" si="5"/>
        <v>212543.86053588099</v>
      </c>
      <c r="W48" s="19"/>
      <c r="X48" s="18">
        <v>39994</v>
      </c>
      <c r="Y48" s="130">
        <v>7721.8757139627651</v>
      </c>
      <c r="Z48" s="130">
        <v>7721.8757139627651</v>
      </c>
      <c r="AA48" s="130">
        <v>7721.8757139627651</v>
      </c>
    </row>
    <row r="49" spans="1:27" ht="14.25" customHeight="1">
      <c r="A49" s="18">
        <v>40086</v>
      </c>
      <c r="B49" s="126">
        <f t="shared" si="0"/>
        <v>1.6202029416767294E-2</v>
      </c>
      <c r="C49" s="97">
        <v>2.4500000000000001E-2</v>
      </c>
      <c r="D49" s="97">
        <v>0.1479</v>
      </c>
      <c r="E49" s="97">
        <f t="shared" si="6"/>
        <v>4.5109168707759828E-3</v>
      </c>
      <c r="F49" s="127">
        <v>1575219</v>
      </c>
      <c r="G49" s="127">
        <f>SUM(bdp!AR64:AR67)*1000000</f>
        <v>333084028288.10687</v>
      </c>
      <c r="H49" s="131">
        <f t="shared" si="3"/>
        <v>211452.5207530552</v>
      </c>
      <c r="I49" s="126">
        <f t="shared" si="1"/>
        <v>1.6202029416767294E-2</v>
      </c>
      <c r="J49" s="97">
        <v>2.4500000000000001E-2</v>
      </c>
      <c r="K49" s="97">
        <v>0.1479</v>
      </c>
      <c r="L49" s="97">
        <f t="shared" si="7"/>
        <v>4.5109168707759828E-3</v>
      </c>
      <c r="M49" s="127">
        <v>1575219</v>
      </c>
      <c r="N49" s="127">
        <f>SUM(bdp!AU64:AU67)*1000000</f>
        <v>333084028288.10687</v>
      </c>
      <c r="O49" s="131">
        <f t="shared" si="4"/>
        <v>211452.5207530552</v>
      </c>
      <c r="P49" s="126">
        <f t="shared" si="2"/>
        <v>1.6202029416767294E-2</v>
      </c>
      <c r="Q49" s="97">
        <v>2.4500000000000001E-2</v>
      </c>
      <c r="R49" s="97">
        <v>0.1479</v>
      </c>
      <c r="S49" s="97">
        <f t="shared" si="8"/>
        <v>4.5109168707759828E-3</v>
      </c>
      <c r="T49" s="127">
        <v>1575219</v>
      </c>
      <c r="U49" s="127">
        <f>SUM(bdp!AX64:AX67)*1000000</f>
        <v>333084028288.10687</v>
      </c>
      <c r="V49" s="131">
        <f t="shared" si="5"/>
        <v>211452.5207530552</v>
      </c>
      <c r="W49" s="19"/>
      <c r="X49" s="18">
        <v>40086</v>
      </c>
      <c r="Y49" s="130">
        <v>7693.6171683637858</v>
      </c>
      <c r="Z49" s="130">
        <v>7693.6171683637858</v>
      </c>
      <c r="AA49" s="130">
        <v>7693.6171683637858</v>
      </c>
    </row>
    <row r="50" spans="1:27" ht="14.25" customHeight="1">
      <c r="A50" s="18">
        <v>40178</v>
      </c>
      <c r="B50" s="126">
        <f t="shared" si="0"/>
        <v>-8.1159233077969795E-3</v>
      </c>
      <c r="C50" s="97">
        <v>2.1999999999999999E-2</v>
      </c>
      <c r="D50" s="97">
        <v>0.16739999999999999</v>
      </c>
      <c r="E50" s="97">
        <f t="shared" si="6"/>
        <v>4.7275239902111466E-4</v>
      </c>
      <c r="F50" s="127">
        <v>1530233</v>
      </c>
      <c r="G50" s="127">
        <f>SUM(bdp!AR65:AR68)*1000000</f>
        <v>330770474358.39264</v>
      </c>
      <c r="H50" s="131">
        <f t="shared" si="3"/>
        <v>216156.93450500193</v>
      </c>
      <c r="I50" s="126">
        <f t="shared" si="1"/>
        <v>-8.1159233077969795E-3</v>
      </c>
      <c r="J50" s="97">
        <v>2.1999999999999999E-2</v>
      </c>
      <c r="K50" s="97">
        <v>0.16739999999999999</v>
      </c>
      <c r="L50" s="97">
        <f t="shared" si="7"/>
        <v>4.7275239902111466E-4</v>
      </c>
      <c r="M50" s="127">
        <v>1530233</v>
      </c>
      <c r="N50" s="127">
        <f>SUM(bdp!AU65:AU68)*1000000</f>
        <v>330770474358.39264</v>
      </c>
      <c r="O50" s="131">
        <f t="shared" si="4"/>
        <v>216156.93450500193</v>
      </c>
      <c r="P50" s="126">
        <f t="shared" si="2"/>
        <v>-8.1159233077969795E-3</v>
      </c>
      <c r="Q50" s="97">
        <v>2.1999999999999999E-2</v>
      </c>
      <c r="R50" s="97">
        <v>0.16739999999999999</v>
      </c>
      <c r="S50" s="97">
        <f t="shared" si="8"/>
        <v>4.7275239902111466E-4</v>
      </c>
      <c r="T50" s="127">
        <v>1530233</v>
      </c>
      <c r="U50" s="127">
        <f>SUM(bdp!AX65:AX68)*1000000</f>
        <v>330770474358.39264</v>
      </c>
      <c r="V50" s="131">
        <f t="shared" si="5"/>
        <v>216156.93450500193</v>
      </c>
      <c r="W50" s="19"/>
      <c r="X50" s="18">
        <v>40178</v>
      </c>
      <c r="Y50" s="130">
        <v>7660.7140158643069</v>
      </c>
      <c r="Z50" s="130">
        <v>7660.7140158643069</v>
      </c>
      <c r="AA50" s="130">
        <v>7660.7140158643069</v>
      </c>
    </row>
    <row r="51" spans="1:27" ht="14.25" customHeight="1">
      <c r="A51" s="18">
        <v>40268</v>
      </c>
      <c r="B51" s="126">
        <f t="shared" si="0"/>
        <v>-1.8293632725485343E-2</v>
      </c>
      <c r="C51" s="97">
        <v>1.4750000000000001E-2</v>
      </c>
      <c r="D51" s="97">
        <v>0.1825</v>
      </c>
      <c r="E51" s="97">
        <f t="shared" si="6"/>
        <v>1.1649525206809619E-2</v>
      </c>
      <c r="F51" s="127">
        <v>1498222</v>
      </c>
      <c r="G51" s="127">
        <f>SUM(bdp!AR66:AR69)*1000000</f>
        <v>329721212151.10132</v>
      </c>
      <c r="H51" s="131">
        <f t="shared" si="3"/>
        <v>220075.00367175313</v>
      </c>
      <c r="I51" s="126">
        <f t="shared" si="1"/>
        <v>-1.8293632725485343E-2</v>
      </c>
      <c r="J51" s="97">
        <v>1.4750000000000001E-2</v>
      </c>
      <c r="K51" s="97">
        <v>0.1825</v>
      </c>
      <c r="L51" s="97">
        <f t="shared" si="7"/>
        <v>1.1649525206809619E-2</v>
      </c>
      <c r="M51" s="127">
        <v>1498222</v>
      </c>
      <c r="N51" s="127">
        <f>SUM(bdp!AU66:AU69)*1000000</f>
        <v>329721212151.10132</v>
      </c>
      <c r="O51" s="131">
        <f t="shared" si="4"/>
        <v>220075.00367175313</v>
      </c>
      <c r="P51" s="126">
        <f t="shared" si="2"/>
        <v>-1.8293632725485343E-2</v>
      </c>
      <c r="Q51" s="97">
        <v>1.4750000000000001E-2</v>
      </c>
      <c r="R51" s="97">
        <v>0.1825</v>
      </c>
      <c r="S51" s="97">
        <f t="shared" si="8"/>
        <v>1.1649525206809619E-2</v>
      </c>
      <c r="T51" s="127">
        <v>1498222</v>
      </c>
      <c r="U51" s="127">
        <f>SUM(bdp!AX66:AX69)*1000000</f>
        <v>329721212151.10132</v>
      </c>
      <c r="V51" s="131">
        <f t="shared" si="5"/>
        <v>220075.00367175313</v>
      </c>
      <c r="W51" s="19"/>
      <c r="X51" s="18">
        <v>40268</v>
      </c>
      <c r="Y51" s="130">
        <v>7598.7553192123514</v>
      </c>
      <c r="Z51" s="130">
        <v>7598.7553192123514</v>
      </c>
      <c r="AA51" s="130">
        <v>7598.7553192123514</v>
      </c>
    </row>
    <row r="52" spans="1:27" ht="14.25" customHeight="1">
      <c r="A52" s="18">
        <v>40359</v>
      </c>
      <c r="B52" s="126">
        <f t="shared" si="0"/>
        <v>-1.0239337944161986E-2</v>
      </c>
      <c r="C52" s="97">
        <v>1.125E-2</v>
      </c>
      <c r="D52" s="97">
        <v>0.1646</v>
      </c>
      <c r="E52" s="97">
        <f t="shared" si="6"/>
        <v>6.2773056867742039E-3</v>
      </c>
      <c r="F52" s="127">
        <v>1532633</v>
      </c>
      <c r="G52" s="127">
        <f>SUM(bdp!AR67:AR70)*1000000</f>
        <v>327796577820.79944</v>
      </c>
      <c r="H52" s="131">
        <f t="shared" si="3"/>
        <v>213878.06332031181</v>
      </c>
      <c r="I52" s="126">
        <f t="shared" si="1"/>
        <v>-1.0239337944161986E-2</v>
      </c>
      <c r="J52" s="97">
        <v>1.125E-2</v>
      </c>
      <c r="K52" s="97">
        <v>0.1646</v>
      </c>
      <c r="L52" s="97">
        <f t="shared" si="7"/>
        <v>6.2773056867742039E-3</v>
      </c>
      <c r="M52" s="127">
        <v>1532633</v>
      </c>
      <c r="N52" s="127">
        <f>SUM(bdp!AU67:AU70)*1000000</f>
        <v>327796577820.79944</v>
      </c>
      <c r="O52" s="131">
        <f t="shared" si="4"/>
        <v>213878.06332031181</v>
      </c>
      <c r="P52" s="126">
        <f t="shared" si="2"/>
        <v>-1.0239337944161986E-2</v>
      </c>
      <c r="Q52" s="97">
        <v>1.125E-2</v>
      </c>
      <c r="R52" s="97">
        <v>0.1646</v>
      </c>
      <c r="S52" s="97">
        <f t="shared" si="8"/>
        <v>6.2773056867742039E-3</v>
      </c>
      <c r="T52" s="127">
        <v>1532633</v>
      </c>
      <c r="U52" s="127">
        <f>SUM(bdp!AX67:AX70)*1000000</f>
        <v>327796577820.79944</v>
      </c>
      <c r="V52" s="131">
        <f t="shared" si="5"/>
        <v>213878.06332031181</v>
      </c>
      <c r="W52" s="19"/>
      <c r="X52" s="18">
        <v>40359</v>
      </c>
      <c r="Y52" s="130">
        <v>7642.8088189646833</v>
      </c>
      <c r="Z52" s="130">
        <v>7642.8088189646833</v>
      </c>
      <c r="AA52" s="130">
        <v>7642.8088189646833</v>
      </c>
    </row>
    <row r="53" spans="1:27" ht="14.25" customHeight="1">
      <c r="A53" s="18">
        <v>40451</v>
      </c>
      <c r="B53" s="126">
        <f t="shared" si="0"/>
        <v>1.9494514443529898E-3</v>
      </c>
      <c r="C53" s="97">
        <v>1.225E-2</v>
      </c>
      <c r="D53" s="97">
        <v>0.16760000000000003</v>
      </c>
      <c r="E53" s="97">
        <f t="shared" si="6"/>
        <v>2.6282223167890972E-2</v>
      </c>
      <c r="F53" s="127">
        <v>1517737</v>
      </c>
      <c r="G53" s="127">
        <f>SUM(bdp!AR68:AR71)*1000000</f>
        <v>329364050354.72894</v>
      </c>
      <c r="H53" s="131">
        <f t="shared" si="3"/>
        <v>217009.96309290011</v>
      </c>
      <c r="I53" s="126">
        <f t="shared" si="1"/>
        <v>1.9494514443529898E-3</v>
      </c>
      <c r="J53" s="97">
        <v>1.225E-2</v>
      </c>
      <c r="K53" s="97">
        <v>0.16760000000000003</v>
      </c>
      <c r="L53" s="97">
        <f t="shared" si="7"/>
        <v>2.6282223167890972E-2</v>
      </c>
      <c r="M53" s="127">
        <v>1517737</v>
      </c>
      <c r="N53" s="127">
        <f>SUM(bdp!AU68:AU71)*1000000</f>
        <v>329364050354.72894</v>
      </c>
      <c r="O53" s="131">
        <f t="shared" si="4"/>
        <v>217009.96309290011</v>
      </c>
      <c r="P53" s="126">
        <f t="shared" si="2"/>
        <v>1.9494514443529898E-3</v>
      </c>
      <c r="Q53" s="97">
        <v>1.225E-2</v>
      </c>
      <c r="R53" s="97">
        <v>0.16760000000000003</v>
      </c>
      <c r="S53" s="97">
        <f t="shared" si="8"/>
        <v>2.6282223167890972E-2</v>
      </c>
      <c r="T53" s="127">
        <v>1517737</v>
      </c>
      <c r="U53" s="127">
        <f>SUM(bdp!AX68:AX71)*1000000</f>
        <v>329364050354.72894</v>
      </c>
      <c r="V53" s="131">
        <f t="shared" si="5"/>
        <v>217009.96309290011</v>
      </c>
      <c r="W53" s="19"/>
      <c r="X53" s="18">
        <v>40451</v>
      </c>
      <c r="Y53" s="130">
        <v>7708.6155014649521</v>
      </c>
      <c r="Z53" s="130">
        <v>7708.6155014649521</v>
      </c>
      <c r="AA53" s="130">
        <v>7708.6155014649521</v>
      </c>
    </row>
    <row r="54" spans="1:27" ht="14.25" customHeight="1">
      <c r="A54" s="18">
        <v>40543</v>
      </c>
      <c r="B54" s="126">
        <f t="shared" si="0"/>
        <v>6.1342761120628531E-3</v>
      </c>
      <c r="C54" s="97">
        <v>1.2E-2</v>
      </c>
      <c r="D54" s="97">
        <v>0.18640000000000001</v>
      </c>
      <c r="E54" s="97">
        <f t="shared" si="6"/>
        <v>3.1088316020046358E-2</v>
      </c>
      <c r="F54" s="127">
        <v>1475363</v>
      </c>
      <c r="G54" s="127">
        <f>SUM(bdp!AR69:AR72)*1000000</f>
        <v>328824316463.2793</v>
      </c>
      <c r="H54" s="131">
        <f t="shared" si="3"/>
        <v>222876.88959481788</v>
      </c>
      <c r="I54" s="126">
        <f t="shared" si="1"/>
        <v>6.1342761120628531E-3</v>
      </c>
      <c r="J54" s="97">
        <v>1.2E-2</v>
      </c>
      <c r="K54" s="97">
        <v>0.18640000000000001</v>
      </c>
      <c r="L54" s="97">
        <f t="shared" si="7"/>
        <v>3.1088316020046358E-2</v>
      </c>
      <c r="M54" s="127">
        <v>1475363</v>
      </c>
      <c r="N54" s="127">
        <f>SUM(bdp!AU69:AU72)*1000000</f>
        <v>328824316463.2793</v>
      </c>
      <c r="O54" s="131">
        <f t="shared" si="4"/>
        <v>222876.88959481788</v>
      </c>
      <c r="P54" s="126">
        <f t="shared" si="2"/>
        <v>6.1342761120628531E-3</v>
      </c>
      <c r="Q54" s="97">
        <v>1.2E-2</v>
      </c>
      <c r="R54" s="97">
        <v>0.18640000000000001</v>
      </c>
      <c r="S54" s="97">
        <f t="shared" si="8"/>
        <v>3.1088316020046358E-2</v>
      </c>
      <c r="T54" s="127">
        <v>1475363</v>
      </c>
      <c r="U54" s="127">
        <f>SUM(bdp!AX69:AX72)*1000000</f>
        <v>328824316463.2793</v>
      </c>
      <c r="V54" s="131">
        <f t="shared" si="5"/>
        <v>222876.88959481788</v>
      </c>
      <c r="W54" s="19"/>
      <c r="X54" s="18">
        <v>40543</v>
      </c>
      <c r="Y54" s="130">
        <v>7707.7069508531686</v>
      </c>
      <c r="Z54" s="130">
        <v>7707.7069508531686</v>
      </c>
      <c r="AA54" s="130">
        <v>7707.7069508531686</v>
      </c>
    </row>
    <row r="55" spans="1:27" ht="14.25" customHeight="1">
      <c r="A55" s="18">
        <v>40633</v>
      </c>
      <c r="B55" s="126">
        <f t="shared" si="0"/>
        <v>2.9895240254913524E-3</v>
      </c>
      <c r="C55" s="97">
        <v>1.6250000000000001E-2</v>
      </c>
      <c r="D55" s="97">
        <v>0.1913</v>
      </c>
      <c r="E55" s="97">
        <f t="shared" si="6"/>
        <v>1.5852242287100138E-2</v>
      </c>
      <c r="F55" s="127">
        <v>1469809</v>
      </c>
      <c r="G55" s="127">
        <f>SUM(bdp!AR70:AR73)*1000000</f>
        <v>328595917684.38287</v>
      </c>
      <c r="H55" s="131">
        <f t="shared" si="3"/>
        <v>223563.68595129222</v>
      </c>
      <c r="I55" s="126">
        <f t="shared" si="1"/>
        <v>2.9895240254913524E-3</v>
      </c>
      <c r="J55" s="97">
        <v>1.6250000000000001E-2</v>
      </c>
      <c r="K55" s="97">
        <v>0.1913</v>
      </c>
      <c r="L55" s="97">
        <f t="shared" si="7"/>
        <v>1.5852242287100138E-2</v>
      </c>
      <c r="M55" s="127">
        <v>1469809</v>
      </c>
      <c r="N55" s="127">
        <f>SUM(bdp!AU70:AU73)*1000000</f>
        <v>328595917684.38287</v>
      </c>
      <c r="O55" s="131">
        <f t="shared" si="4"/>
        <v>223563.68595129222</v>
      </c>
      <c r="P55" s="126">
        <f t="shared" si="2"/>
        <v>2.9895240254913524E-3</v>
      </c>
      <c r="Q55" s="97">
        <v>1.6250000000000001E-2</v>
      </c>
      <c r="R55" s="97">
        <v>0.1913</v>
      </c>
      <c r="S55" s="97">
        <f t="shared" si="8"/>
        <v>1.5852242287100138E-2</v>
      </c>
      <c r="T55" s="127">
        <v>1469809</v>
      </c>
      <c r="U55" s="127">
        <f>SUM(bdp!AX70:AX73)*1000000</f>
        <v>328595917684.38287</v>
      </c>
      <c r="V55" s="131">
        <f t="shared" si="5"/>
        <v>223563.68595129222</v>
      </c>
      <c r="W55" s="19"/>
      <c r="X55" s="18">
        <v>40633</v>
      </c>
      <c r="Y55" s="130">
        <v>7621.4719808029668</v>
      </c>
      <c r="Z55" s="130">
        <v>7621.4719808029668</v>
      </c>
      <c r="AA55" s="130">
        <v>7621.4719808029668</v>
      </c>
    </row>
    <row r="56" spans="1:27" ht="14.25" customHeight="1">
      <c r="A56" s="18">
        <v>40724</v>
      </c>
      <c r="B56" s="126">
        <f t="shared" si="0"/>
        <v>9.0136141357723965E-3</v>
      </c>
      <c r="C56" s="97">
        <v>1.95E-2</v>
      </c>
      <c r="D56" s="97">
        <v>0.16690000000000002</v>
      </c>
      <c r="E56" s="97">
        <f t="shared" si="6"/>
        <v>1.6656666954003141E-2</v>
      </c>
      <c r="F56" s="127">
        <v>1521090</v>
      </c>
      <c r="G56" s="127">
        <f>SUM(bdp!AR71:AR74)*1000000</f>
        <v>330746659873.80316</v>
      </c>
      <c r="H56" s="131">
        <f t="shared" si="3"/>
        <v>217440.55898980543</v>
      </c>
      <c r="I56" s="126">
        <f t="shared" si="1"/>
        <v>9.0136141357723965E-3</v>
      </c>
      <c r="J56" s="97">
        <v>1.95E-2</v>
      </c>
      <c r="K56" s="97">
        <v>0.16690000000000002</v>
      </c>
      <c r="L56" s="97">
        <f t="shared" si="7"/>
        <v>1.6656666954003141E-2</v>
      </c>
      <c r="M56" s="127">
        <v>1521090</v>
      </c>
      <c r="N56" s="127">
        <f>SUM(bdp!AU71:AU74)*1000000</f>
        <v>330746659873.80316</v>
      </c>
      <c r="O56" s="131">
        <f t="shared" si="4"/>
        <v>217440.55898980543</v>
      </c>
      <c r="P56" s="126">
        <f t="shared" si="2"/>
        <v>9.0136141357723965E-3</v>
      </c>
      <c r="Q56" s="97">
        <v>1.95E-2</v>
      </c>
      <c r="R56" s="97">
        <v>0.16690000000000002</v>
      </c>
      <c r="S56" s="97">
        <f t="shared" si="8"/>
        <v>1.6656666954003141E-2</v>
      </c>
      <c r="T56" s="127">
        <v>1521090</v>
      </c>
      <c r="U56" s="127">
        <f>SUM(bdp!AX71:AX74)*1000000</f>
        <v>330746659873.80316</v>
      </c>
      <c r="V56" s="131">
        <f t="shared" si="5"/>
        <v>217440.55898980543</v>
      </c>
      <c r="W56" s="19"/>
      <c r="X56" s="18">
        <v>40724</v>
      </c>
      <c r="Y56" s="130">
        <v>7711.698148572309</v>
      </c>
      <c r="Z56" s="130">
        <v>7711.698148572309</v>
      </c>
      <c r="AA56" s="130">
        <v>7711.698148572309</v>
      </c>
    </row>
    <row r="57" spans="1:27" ht="14.25" customHeight="1">
      <c r="A57" s="18">
        <v>40816</v>
      </c>
      <c r="B57" s="126">
        <f t="shared" si="0"/>
        <v>1.8225423872560986E-2</v>
      </c>
      <c r="C57" s="97">
        <v>2.1500000000000002E-2</v>
      </c>
      <c r="D57" s="97">
        <v>0.16600000000000001</v>
      </c>
      <c r="E57" s="97">
        <f t="shared" si="6"/>
        <v>1.1899455876385634E-2</v>
      </c>
      <c r="F57" s="127">
        <v>1512337</v>
      </c>
      <c r="G57" s="127">
        <f>SUM(bdp!AR72:AR75)*1000000</f>
        <v>332097505115.896</v>
      </c>
      <c r="H57" s="131">
        <f t="shared" si="3"/>
        <v>219592.26357346014</v>
      </c>
      <c r="I57" s="126">
        <f t="shared" si="1"/>
        <v>1.8225423872560986E-2</v>
      </c>
      <c r="J57" s="97">
        <v>2.1500000000000002E-2</v>
      </c>
      <c r="K57" s="97">
        <v>0.16600000000000001</v>
      </c>
      <c r="L57" s="97">
        <f t="shared" si="7"/>
        <v>1.1899455876385634E-2</v>
      </c>
      <c r="M57" s="127">
        <v>1512337</v>
      </c>
      <c r="N57" s="127">
        <f>SUM(bdp!AU72:AU75)*1000000</f>
        <v>332097505115.896</v>
      </c>
      <c r="O57" s="131">
        <f t="shared" si="4"/>
        <v>219592.26357346014</v>
      </c>
      <c r="P57" s="126">
        <f t="shared" si="2"/>
        <v>1.8225423872560986E-2</v>
      </c>
      <c r="Q57" s="97">
        <v>2.1500000000000002E-2</v>
      </c>
      <c r="R57" s="97">
        <v>0.16600000000000001</v>
      </c>
      <c r="S57" s="97">
        <f t="shared" si="8"/>
        <v>1.1899455876385634E-2</v>
      </c>
      <c r="T57" s="127">
        <v>1512337</v>
      </c>
      <c r="U57" s="127">
        <f>SUM(bdp!AX72:AX75)*1000000</f>
        <v>332097505115.896</v>
      </c>
      <c r="V57" s="131">
        <f t="shared" si="5"/>
        <v>219592.26357346014</v>
      </c>
      <c r="W57" s="19"/>
      <c r="X57" s="18">
        <v>40816</v>
      </c>
      <c r="Y57" s="130">
        <v>7849.1082864497457</v>
      </c>
      <c r="Z57" s="130">
        <v>7849.1082864497457</v>
      </c>
      <c r="AA57" s="130">
        <v>7849.1082864497457</v>
      </c>
    </row>
    <row r="58" spans="1:27" ht="14.25" customHeight="1">
      <c r="A58" s="18">
        <v>40908</v>
      </c>
      <c r="B58" s="126">
        <f t="shared" si="0"/>
        <v>3.2690629555404138E-2</v>
      </c>
      <c r="C58" s="97">
        <v>2.2250000000000002E-2</v>
      </c>
      <c r="D58" s="97">
        <v>0.18558517003648892</v>
      </c>
      <c r="E58" s="97">
        <f t="shared" si="6"/>
        <v>1.8342032678571041E-2</v>
      </c>
      <c r="F58" s="127">
        <v>1468133</v>
      </c>
      <c r="G58" s="127">
        <f>SUM(bdp!AR73:AR76)*1000000</f>
        <v>333214666559.74707</v>
      </c>
      <c r="H58" s="131">
        <f t="shared" si="3"/>
        <v>226964.9047870643</v>
      </c>
      <c r="I58" s="126">
        <f t="shared" si="1"/>
        <v>3.2690629555404138E-2</v>
      </c>
      <c r="J58" s="97">
        <v>2.2250000000000002E-2</v>
      </c>
      <c r="K58" s="97">
        <v>0.18558517003648892</v>
      </c>
      <c r="L58" s="97">
        <f t="shared" si="7"/>
        <v>1.8342032678571041E-2</v>
      </c>
      <c r="M58" s="127">
        <v>1468133</v>
      </c>
      <c r="N58" s="127">
        <f>SUM(bdp!AU73:AU76)*1000000</f>
        <v>333214666559.74707</v>
      </c>
      <c r="O58" s="131">
        <f t="shared" si="4"/>
        <v>226964.9047870643</v>
      </c>
      <c r="P58" s="126">
        <f t="shared" si="2"/>
        <v>3.2690629555404138E-2</v>
      </c>
      <c r="Q58" s="97">
        <v>2.2250000000000002E-2</v>
      </c>
      <c r="R58" s="97">
        <v>0.18558517003648892</v>
      </c>
      <c r="S58" s="97">
        <f t="shared" si="8"/>
        <v>1.8342032678571041E-2</v>
      </c>
      <c r="T58" s="127">
        <v>1468133</v>
      </c>
      <c r="U58" s="127">
        <f>SUM(bdp!AX73:AX76)*1000000</f>
        <v>333214666559.74707</v>
      </c>
      <c r="V58" s="131">
        <f t="shared" si="5"/>
        <v>226964.9047870643</v>
      </c>
      <c r="W58" s="19"/>
      <c r="X58" s="18">
        <v>40908</v>
      </c>
      <c r="Y58" s="130">
        <v>7959.6767435051233</v>
      </c>
      <c r="Z58" s="130">
        <v>7959.6767435051233</v>
      </c>
      <c r="AA58" s="130">
        <v>7959.6767435051233</v>
      </c>
    </row>
    <row r="59" spans="1:27" ht="14.25" customHeight="1">
      <c r="A59" s="18">
        <v>40999</v>
      </c>
      <c r="B59" s="126">
        <f t="shared" si="0"/>
        <v>1.6243548607388414E-2</v>
      </c>
      <c r="C59" s="97">
        <v>2.0750000000000001E-2</v>
      </c>
      <c r="D59" s="97">
        <v>0.19699999999999998</v>
      </c>
      <c r="E59" s="97">
        <f t="shared" si="6"/>
        <v>2.3340214829219663E-2</v>
      </c>
      <c r="F59" s="127">
        <v>1455433</v>
      </c>
      <c r="G59" s="127">
        <f>SUM(bdp!AR74:AR77)*1000000</f>
        <v>332976451126.29529</v>
      </c>
      <c r="H59" s="131">
        <f t="shared" si="3"/>
        <v>228781.71040940756</v>
      </c>
      <c r="I59" s="126">
        <f t="shared" si="1"/>
        <v>1.6243548607388414E-2</v>
      </c>
      <c r="J59" s="97">
        <v>2.0750000000000001E-2</v>
      </c>
      <c r="K59" s="97">
        <v>0.19699999999999998</v>
      </c>
      <c r="L59" s="97">
        <f t="shared" si="7"/>
        <v>2.3340214829219663E-2</v>
      </c>
      <c r="M59" s="127">
        <v>1455433</v>
      </c>
      <c r="N59" s="127">
        <f>SUM(bdp!AU74:AU77)*1000000</f>
        <v>332976451126.29529</v>
      </c>
      <c r="O59" s="131">
        <f t="shared" si="4"/>
        <v>228781.71040940756</v>
      </c>
      <c r="P59" s="126">
        <f t="shared" si="2"/>
        <v>1.6243548607388414E-2</v>
      </c>
      <c r="Q59" s="97">
        <v>2.0750000000000001E-2</v>
      </c>
      <c r="R59" s="97">
        <v>0.19699999999999998</v>
      </c>
      <c r="S59" s="97">
        <f t="shared" si="8"/>
        <v>2.3340214829219663E-2</v>
      </c>
      <c r="T59" s="127">
        <v>1455433</v>
      </c>
      <c r="U59" s="127">
        <f>SUM(bdp!AX74:AX77)*1000000</f>
        <v>332976451126.29529</v>
      </c>
      <c r="V59" s="131">
        <f t="shared" si="5"/>
        <v>228781.71040940756</v>
      </c>
      <c r="W59" s="19"/>
      <c r="X59" s="18">
        <v>40999</v>
      </c>
      <c r="Y59" s="130">
        <v>7745.2717313829889</v>
      </c>
      <c r="Z59" s="130">
        <v>7745.2717313829889</v>
      </c>
      <c r="AA59" s="130">
        <v>7745.2717313829889</v>
      </c>
    </row>
    <row r="60" spans="1:27" ht="14.25" customHeight="1">
      <c r="A60" s="18">
        <v>41090</v>
      </c>
      <c r="B60" s="126">
        <f t="shared" si="0"/>
        <v>1.969003851009421E-2</v>
      </c>
      <c r="C60" s="97">
        <v>2.5250000000000002E-2</v>
      </c>
      <c r="D60" s="97">
        <v>0.17100000000000001</v>
      </c>
      <c r="E60" s="97">
        <f t="shared" si="6"/>
        <v>9.5585090606542522E-3</v>
      </c>
      <c r="F60" s="127">
        <v>1511737</v>
      </c>
      <c r="G60" s="127">
        <f>SUM(bdp!AR75:AR78)*1000000</f>
        <v>331854943924.91077</v>
      </c>
      <c r="H60" s="131">
        <f t="shared" si="3"/>
        <v>219518.96654306323</v>
      </c>
      <c r="I60" s="126">
        <f t="shared" si="1"/>
        <v>1.969003851009421E-2</v>
      </c>
      <c r="J60" s="97">
        <v>2.5250000000000002E-2</v>
      </c>
      <c r="K60" s="97">
        <v>0.17100000000000001</v>
      </c>
      <c r="L60" s="97">
        <f t="shared" si="7"/>
        <v>9.5585090606542522E-3</v>
      </c>
      <c r="M60" s="127">
        <v>1511737</v>
      </c>
      <c r="N60" s="127">
        <f>SUM(bdp!AU75:AU78)*1000000</f>
        <v>331854943924.91077</v>
      </c>
      <c r="O60" s="131">
        <f t="shared" si="4"/>
        <v>219518.96654306323</v>
      </c>
      <c r="P60" s="126">
        <f t="shared" si="2"/>
        <v>1.969003851009421E-2</v>
      </c>
      <c r="Q60" s="97">
        <v>2.5250000000000002E-2</v>
      </c>
      <c r="R60" s="97">
        <v>0.17100000000000001</v>
      </c>
      <c r="S60" s="97">
        <f t="shared" si="8"/>
        <v>9.5585090606542522E-3</v>
      </c>
      <c r="T60" s="127">
        <v>1511737</v>
      </c>
      <c r="U60" s="127">
        <f>SUM(bdp!AX75:AX78)*1000000</f>
        <v>331854943924.91077</v>
      </c>
      <c r="V60" s="131">
        <f t="shared" si="5"/>
        <v>219518.96654306323</v>
      </c>
      <c r="W60" s="19"/>
      <c r="X60" s="18">
        <v>41090</v>
      </c>
      <c r="Y60" s="130">
        <v>7863.5417820959201</v>
      </c>
      <c r="Z60" s="130">
        <v>7863.5417820959201</v>
      </c>
      <c r="AA60" s="130">
        <v>7863.5417820959201</v>
      </c>
    </row>
    <row r="61" spans="1:27" ht="14.25" customHeight="1">
      <c r="A61" s="18">
        <v>41182</v>
      </c>
      <c r="B61" s="126">
        <f t="shared" si="0"/>
        <v>7.934504277647747E-3</v>
      </c>
      <c r="C61" s="97">
        <v>3.2250000000000001E-2</v>
      </c>
      <c r="D61" s="97">
        <v>0.18100000000000002</v>
      </c>
      <c r="E61" s="97">
        <f t="shared" si="6"/>
        <v>1.5103892623395065E-2</v>
      </c>
      <c r="F61" s="127">
        <v>1486425</v>
      </c>
      <c r="G61" s="127">
        <f>SUM(bdp!AR76:AR79)*1000000</f>
        <v>331337453162.15125</v>
      </c>
      <c r="H61" s="131">
        <f t="shared" si="3"/>
        <v>222908.96154340197</v>
      </c>
      <c r="I61" s="126">
        <f t="shared" si="1"/>
        <v>7.934504277647747E-3</v>
      </c>
      <c r="J61" s="97">
        <v>3.2250000000000001E-2</v>
      </c>
      <c r="K61" s="97">
        <v>0.18100000000000002</v>
      </c>
      <c r="L61" s="97">
        <f t="shared" si="7"/>
        <v>1.5103892623395065E-2</v>
      </c>
      <c r="M61" s="127">
        <v>1486425</v>
      </c>
      <c r="N61" s="127">
        <f>SUM(bdp!AU76:AU79)*1000000</f>
        <v>331337453162.15125</v>
      </c>
      <c r="O61" s="131">
        <f t="shared" si="4"/>
        <v>222908.96154340197</v>
      </c>
      <c r="P61" s="126">
        <f t="shared" si="2"/>
        <v>7.934504277647747E-3</v>
      </c>
      <c r="Q61" s="97">
        <v>3.2250000000000001E-2</v>
      </c>
      <c r="R61" s="97">
        <v>0.18100000000000002</v>
      </c>
      <c r="S61" s="97">
        <f t="shared" si="8"/>
        <v>1.5103892623395065E-2</v>
      </c>
      <c r="T61" s="127">
        <v>1486425</v>
      </c>
      <c r="U61" s="127">
        <f>SUM(bdp!AX76:AX79)*1000000</f>
        <v>331337453162.15125</v>
      </c>
      <c r="V61" s="131">
        <f t="shared" si="5"/>
        <v>222908.96154340197</v>
      </c>
      <c r="W61" s="19"/>
      <c r="X61" s="18">
        <v>41182</v>
      </c>
      <c r="Y61" s="130">
        <v>7911.3870697243019</v>
      </c>
      <c r="Z61" s="130">
        <v>7911.3870697243019</v>
      </c>
      <c r="AA61" s="130">
        <v>7911.3870697243019</v>
      </c>
    </row>
    <row r="62" spans="1:27" ht="14.25" customHeight="1">
      <c r="A62" s="18">
        <v>41274</v>
      </c>
      <c r="B62" s="126">
        <f t="shared" si="0"/>
        <v>-4.8695747681695156E-3</v>
      </c>
      <c r="C62" s="97">
        <v>3.875E-2</v>
      </c>
      <c r="D62" s="97">
        <v>0.20899999999999999</v>
      </c>
      <c r="E62" s="97">
        <f t="shared" si="6"/>
        <v>1.6383650642543657E-2</v>
      </c>
      <c r="F62" s="127">
        <v>1432740</v>
      </c>
      <c r="G62" s="127">
        <f>SUM(bdp!AR77:AR80)*1000000</f>
        <v>330509361014.83252</v>
      </c>
      <c r="H62" s="131">
        <f t="shared" si="3"/>
        <v>230683.41849521373</v>
      </c>
      <c r="I62" s="126">
        <f t="shared" si="1"/>
        <v>-4.8695747681695156E-3</v>
      </c>
      <c r="J62" s="97">
        <v>3.875E-2</v>
      </c>
      <c r="K62" s="97">
        <v>0.20899999999999999</v>
      </c>
      <c r="L62" s="97">
        <f t="shared" si="7"/>
        <v>1.6383650642543657E-2</v>
      </c>
      <c r="M62" s="127">
        <v>1432740</v>
      </c>
      <c r="N62" s="127">
        <f>SUM(bdp!AU77:AU80)*1000000</f>
        <v>330509361014.83252</v>
      </c>
      <c r="O62" s="131">
        <f t="shared" si="4"/>
        <v>230683.41849521373</v>
      </c>
      <c r="P62" s="126">
        <f t="shared" si="2"/>
        <v>-4.8695747681695156E-3</v>
      </c>
      <c r="Q62" s="97">
        <v>3.875E-2</v>
      </c>
      <c r="R62" s="97">
        <v>0.20899999999999999</v>
      </c>
      <c r="S62" s="97">
        <f t="shared" si="8"/>
        <v>1.6383650642543657E-2</v>
      </c>
      <c r="T62" s="127">
        <v>1432740</v>
      </c>
      <c r="U62" s="127">
        <f>SUM(bdp!AX77:AX80)*1000000</f>
        <v>330509361014.83252</v>
      </c>
      <c r="V62" s="131">
        <f t="shared" si="5"/>
        <v>230683.41849521373</v>
      </c>
      <c r="W62" s="19"/>
      <c r="X62" s="18">
        <v>41274</v>
      </c>
      <c r="Y62" s="130">
        <v>7920.9165024721651</v>
      </c>
      <c r="Z62" s="130">
        <v>7920.9165024721651</v>
      </c>
      <c r="AA62" s="130">
        <v>7920.9165024721651</v>
      </c>
    </row>
    <row r="63" spans="1:27" ht="14.25" customHeight="1">
      <c r="A63" s="18">
        <v>41364</v>
      </c>
      <c r="B63" s="126">
        <f t="shared" si="0"/>
        <v>2.9817611605632788E-2</v>
      </c>
      <c r="C63" s="97">
        <v>4.3000000000000003E-2</v>
      </c>
      <c r="D63" s="97">
        <v>0.215</v>
      </c>
      <c r="E63" s="97">
        <f t="shared" si="6"/>
        <v>1.0949023888744858E-2</v>
      </c>
      <c r="F63" s="127">
        <v>1431939</v>
      </c>
      <c r="G63" s="127">
        <f>SUM(bdp!AR78:AR81)*1000000</f>
        <v>331188369763.6308</v>
      </c>
      <c r="H63" s="131">
        <f t="shared" si="3"/>
        <v>231286.64682198808</v>
      </c>
      <c r="I63" s="126">
        <f t="shared" si="1"/>
        <v>2.9817611605632788E-2</v>
      </c>
      <c r="J63" s="97">
        <v>4.3000000000000003E-2</v>
      </c>
      <c r="K63" s="97">
        <v>0.215</v>
      </c>
      <c r="L63" s="97">
        <f t="shared" si="7"/>
        <v>1.0949023888744858E-2</v>
      </c>
      <c r="M63" s="127">
        <v>1431939</v>
      </c>
      <c r="N63" s="127">
        <f>SUM(bdp!AU78:AU81)*1000000</f>
        <v>331188369763.6308</v>
      </c>
      <c r="O63" s="131">
        <f t="shared" si="4"/>
        <v>231286.64682198808</v>
      </c>
      <c r="P63" s="126">
        <f t="shared" si="2"/>
        <v>2.9817611605632788E-2</v>
      </c>
      <c r="Q63" s="97">
        <v>4.3000000000000003E-2</v>
      </c>
      <c r="R63" s="97">
        <v>0.215</v>
      </c>
      <c r="S63" s="97">
        <f t="shared" si="8"/>
        <v>1.0949023888744858E-2</v>
      </c>
      <c r="T63" s="127">
        <v>1431939</v>
      </c>
      <c r="U63" s="127">
        <f>SUM(bdp!AX78:AX81)*1000000</f>
        <v>331188369763.6308</v>
      </c>
      <c r="V63" s="131">
        <f t="shared" si="5"/>
        <v>231286.64682198808</v>
      </c>
      <c r="W63" s="19"/>
      <c r="X63" s="18">
        <v>41364</v>
      </c>
      <c r="Y63" s="130">
        <v>7976.2172356494539</v>
      </c>
      <c r="Z63" s="130">
        <v>7976.2172356494539</v>
      </c>
      <c r="AA63" s="130">
        <v>7976.2172356494539</v>
      </c>
    </row>
    <row r="64" spans="1:27" ht="14.25" customHeight="1">
      <c r="A64" s="18">
        <v>41455</v>
      </c>
      <c r="B64" s="126">
        <f t="shared" si="0"/>
        <v>1.0937483746707555E-2</v>
      </c>
      <c r="C64" s="97">
        <v>3.85E-2</v>
      </c>
      <c r="D64" s="97">
        <v>0.18600000000000003</v>
      </c>
      <c r="E64" s="97">
        <f t="shared" si="6"/>
        <v>1.0562358351563272E-2</v>
      </c>
      <c r="F64" s="127">
        <v>1497355</v>
      </c>
      <c r="G64" s="127">
        <f>SUM(bdp!AR79:AR82)*1000000</f>
        <v>332169646334.995</v>
      </c>
      <c r="H64" s="131">
        <f t="shared" si="3"/>
        <v>221837.60453265591</v>
      </c>
      <c r="I64" s="126">
        <f t="shared" si="1"/>
        <v>1.0937483746707555E-2</v>
      </c>
      <c r="J64" s="97">
        <v>3.85E-2</v>
      </c>
      <c r="K64" s="97">
        <v>0.18600000000000003</v>
      </c>
      <c r="L64" s="97">
        <f t="shared" si="7"/>
        <v>1.0562358351563272E-2</v>
      </c>
      <c r="M64" s="127">
        <v>1497355</v>
      </c>
      <c r="N64" s="127">
        <f>SUM(bdp!AU79:AU82)*1000000</f>
        <v>332169646334.995</v>
      </c>
      <c r="O64" s="131">
        <f t="shared" si="4"/>
        <v>221837.60453265591</v>
      </c>
      <c r="P64" s="126">
        <f t="shared" si="2"/>
        <v>1.0937483746707555E-2</v>
      </c>
      <c r="Q64" s="97">
        <v>3.85E-2</v>
      </c>
      <c r="R64" s="97">
        <v>0.18600000000000003</v>
      </c>
      <c r="S64" s="97">
        <f t="shared" si="8"/>
        <v>1.0562358351563272E-2</v>
      </c>
      <c r="T64" s="127">
        <v>1497355</v>
      </c>
      <c r="U64" s="127">
        <f>SUM(bdp!AX79:AX82)*1000000</f>
        <v>332169646334.995</v>
      </c>
      <c r="V64" s="131">
        <f t="shared" si="5"/>
        <v>221837.60453265591</v>
      </c>
      <c r="W64" s="19"/>
      <c r="X64" s="18">
        <v>41455</v>
      </c>
      <c r="Y64" s="130">
        <v>7949.5491425291493</v>
      </c>
      <c r="Z64" s="130">
        <v>7949.5491425291493</v>
      </c>
      <c r="AA64" s="130">
        <v>7949.5491425291493</v>
      </c>
    </row>
    <row r="65" spans="1:37" ht="14.25" customHeight="1">
      <c r="A65" s="18">
        <v>41547</v>
      </c>
      <c r="B65" s="126">
        <f t="shared" si="0"/>
        <v>1.148185264712609E-3</v>
      </c>
      <c r="C65" s="97">
        <v>2.8750000000000001E-2</v>
      </c>
      <c r="D65" s="97">
        <v>0.19</v>
      </c>
      <c r="E65" s="97">
        <f t="shared" si="6"/>
        <v>8.8127836501479262E-3</v>
      </c>
      <c r="F65" s="127">
        <v>1475496</v>
      </c>
      <c r="G65" s="127">
        <f>SUM(bdp!AR80:AR83)*1000000</f>
        <v>331799816954.22321</v>
      </c>
      <c r="H65" s="131">
        <f t="shared" si="3"/>
        <v>224873.40999516312</v>
      </c>
      <c r="I65" s="126">
        <f t="shared" si="1"/>
        <v>1.148185264712609E-3</v>
      </c>
      <c r="J65" s="97">
        <v>2.8750000000000001E-2</v>
      </c>
      <c r="K65" s="97">
        <v>0.19</v>
      </c>
      <c r="L65" s="97">
        <f t="shared" si="7"/>
        <v>8.8127836501479262E-3</v>
      </c>
      <c r="M65" s="127">
        <v>1475496</v>
      </c>
      <c r="N65" s="127">
        <f>SUM(bdp!AU80:AU83)*1000000</f>
        <v>331799816954.22321</v>
      </c>
      <c r="O65" s="131">
        <f t="shared" si="4"/>
        <v>224873.40999516312</v>
      </c>
      <c r="P65" s="126">
        <f t="shared" si="2"/>
        <v>1.148185264712609E-3</v>
      </c>
      <c r="Q65" s="97">
        <v>2.8750000000000001E-2</v>
      </c>
      <c r="R65" s="97">
        <v>0.19</v>
      </c>
      <c r="S65" s="97">
        <f t="shared" si="8"/>
        <v>8.8127836501479262E-3</v>
      </c>
      <c r="T65" s="127">
        <v>1475496</v>
      </c>
      <c r="U65" s="127">
        <f>SUM(bdp!AX80:AX83)*1000000</f>
        <v>331799816954.22321</v>
      </c>
      <c r="V65" s="131">
        <f t="shared" si="5"/>
        <v>224873.40999516312</v>
      </c>
      <c r="W65" s="19"/>
      <c r="X65" s="18">
        <v>41547</v>
      </c>
      <c r="Y65" s="130">
        <v>7920.4708077811974</v>
      </c>
      <c r="Z65" s="130">
        <v>7920.4708077811974</v>
      </c>
      <c r="AA65" s="130">
        <v>7920.4708077811974</v>
      </c>
    </row>
    <row r="66" spans="1:37" ht="14.25" customHeight="1">
      <c r="A66" s="18">
        <v>41639</v>
      </c>
      <c r="B66" s="126">
        <f t="shared" si="0"/>
        <v>-5.7103102885835977E-4</v>
      </c>
      <c r="C66" s="97">
        <v>1.7750000000000002E-2</v>
      </c>
      <c r="D66" s="97">
        <v>0.215</v>
      </c>
      <c r="E66" s="97">
        <f t="shared" si="6"/>
        <v>2.5089886156050012E-2</v>
      </c>
      <c r="F66" s="127">
        <v>1400631</v>
      </c>
      <c r="G66" s="127">
        <f>SUM(bdp!AR81:AR84)*1000000</f>
        <v>331208948236.62323</v>
      </c>
      <c r="H66" s="131">
        <f t="shared" si="3"/>
        <v>236471.2392033471</v>
      </c>
      <c r="I66" s="126">
        <f t="shared" si="1"/>
        <v>-5.7103102885835977E-4</v>
      </c>
      <c r="J66" s="97">
        <v>1.7750000000000002E-2</v>
      </c>
      <c r="K66" s="97">
        <v>0.215</v>
      </c>
      <c r="L66" s="97">
        <f t="shared" si="7"/>
        <v>2.5089886156050012E-2</v>
      </c>
      <c r="M66" s="127">
        <v>1400631</v>
      </c>
      <c r="N66" s="127">
        <f>SUM(bdp!AU81:AU84)*1000000</f>
        <v>331208948236.62323</v>
      </c>
      <c r="O66" s="131">
        <f t="shared" si="4"/>
        <v>236471.2392033471</v>
      </c>
      <c r="P66" s="126">
        <f t="shared" si="2"/>
        <v>-5.7103102885835977E-4</v>
      </c>
      <c r="Q66" s="97">
        <v>1.7750000000000002E-2</v>
      </c>
      <c r="R66" s="97">
        <v>0.215</v>
      </c>
      <c r="S66" s="97">
        <f t="shared" si="8"/>
        <v>2.5089886156050012E-2</v>
      </c>
      <c r="T66" s="127">
        <v>1400631</v>
      </c>
      <c r="U66" s="127">
        <f>SUM(bdp!AX81:AX84)*1000000</f>
        <v>331208948236.62323</v>
      </c>
      <c r="V66" s="131">
        <f t="shared" si="5"/>
        <v>236471.2392033471</v>
      </c>
      <c r="W66" s="19"/>
      <c r="X66" s="18">
        <v>41639</v>
      </c>
      <c r="Y66" s="130">
        <v>7916.3934133722569</v>
      </c>
      <c r="Z66" s="130">
        <v>7916.3934133722569</v>
      </c>
      <c r="AA66" s="130">
        <v>7916.3934133722569</v>
      </c>
    </row>
    <row r="67" spans="1:37" ht="14.25" customHeight="1">
      <c r="A67" s="18">
        <v>41729</v>
      </c>
      <c r="B67" s="126">
        <f t="shared" si="0"/>
        <v>-9.4584056577006193E-3</v>
      </c>
      <c r="C67" s="97">
        <v>7.5000000000000006E-3</v>
      </c>
      <c r="D67" s="97">
        <v>0.222</v>
      </c>
      <c r="E67" s="97">
        <f t="shared" si="6"/>
        <v>2.2596995540605569E-2</v>
      </c>
      <c r="F67" s="127">
        <v>1394788</v>
      </c>
      <c r="G67" s="127">
        <f>SUM(bdp!AR82:AR85)*1000000</f>
        <v>329885536295.22095</v>
      </c>
      <c r="H67" s="131">
        <f t="shared" si="3"/>
        <v>236513.03014882616</v>
      </c>
      <c r="I67" s="126">
        <f t="shared" si="1"/>
        <v>-9.4584056577006193E-3</v>
      </c>
      <c r="J67" s="97">
        <v>7.5000000000000006E-3</v>
      </c>
      <c r="K67" s="97">
        <v>0.222</v>
      </c>
      <c r="L67" s="97">
        <f t="shared" si="7"/>
        <v>2.2596995540605569E-2</v>
      </c>
      <c r="M67" s="127">
        <v>1394788</v>
      </c>
      <c r="N67" s="127">
        <f>SUM(bdp!AU82:AU85)*1000000</f>
        <v>329885536295.22095</v>
      </c>
      <c r="O67" s="131">
        <f t="shared" si="4"/>
        <v>236513.03014882616</v>
      </c>
      <c r="P67" s="126">
        <f t="shared" si="2"/>
        <v>-9.4584056577006193E-3</v>
      </c>
      <c r="Q67" s="97">
        <v>7.5000000000000006E-3</v>
      </c>
      <c r="R67" s="97">
        <v>0.222</v>
      </c>
      <c r="S67" s="97">
        <f t="shared" si="8"/>
        <v>2.2596995540605569E-2</v>
      </c>
      <c r="T67" s="127">
        <v>1394788</v>
      </c>
      <c r="U67" s="127">
        <f>SUM(bdp!AX82:AX85)*1000000</f>
        <v>329885536295.22095</v>
      </c>
      <c r="V67" s="131">
        <f t="shared" si="5"/>
        <v>236513.03014882616</v>
      </c>
      <c r="W67" s="19"/>
      <c r="X67" s="18">
        <v>41729</v>
      </c>
      <c r="Y67" s="130">
        <v>7900.7749374207378</v>
      </c>
      <c r="Z67" s="130">
        <v>7900.7749374207378</v>
      </c>
      <c r="AA67" s="130">
        <v>7900.7749374207378</v>
      </c>
    </row>
    <row r="68" spans="1:37" ht="14.25" customHeight="1">
      <c r="A68" s="18">
        <v>41820</v>
      </c>
      <c r="B68" s="126">
        <f t="shared" si="0"/>
        <v>-1.1120271786917768E-2</v>
      </c>
      <c r="C68" s="97">
        <v>1.5000000000000005E-3</v>
      </c>
      <c r="D68" s="97">
        <v>0.182</v>
      </c>
      <c r="E68" s="97">
        <f t="shared" si="6"/>
        <v>1.7124493763108317E-2</v>
      </c>
      <c r="F68" s="127">
        <v>1460042</v>
      </c>
      <c r="G68" s="127">
        <f>SUM(bdp!AR83:AR86)*1000000</f>
        <v>329438710094.90216</v>
      </c>
      <c r="H68" s="131">
        <f t="shared" si="3"/>
        <v>225636.46120789825</v>
      </c>
      <c r="I68" s="126">
        <f t="shared" si="1"/>
        <v>-1.1120271786917768E-2</v>
      </c>
      <c r="J68" s="97">
        <v>1.5000000000000005E-3</v>
      </c>
      <c r="K68" s="97">
        <v>0.182</v>
      </c>
      <c r="L68" s="97">
        <f t="shared" si="7"/>
        <v>1.7124493763108317E-2</v>
      </c>
      <c r="M68" s="127">
        <v>1460042</v>
      </c>
      <c r="N68" s="127">
        <f>SUM(bdp!AU83:AU86)*1000000</f>
        <v>329438710094.90216</v>
      </c>
      <c r="O68" s="131">
        <f t="shared" si="4"/>
        <v>225636.46120789825</v>
      </c>
      <c r="P68" s="126">
        <f t="shared" si="2"/>
        <v>-1.1120271786917768E-2</v>
      </c>
      <c r="Q68" s="97">
        <v>1.5000000000000005E-3</v>
      </c>
      <c r="R68" s="97">
        <v>0.182</v>
      </c>
      <c r="S68" s="97">
        <f t="shared" si="8"/>
        <v>1.7124493763108317E-2</v>
      </c>
      <c r="T68" s="127">
        <v>1460042</v>
      </c>
      <c r="U68" s="127">
        <f>SUM(bdp!AX83:AX86)*1000000</f>
        <v>329438710094.90216</v>
      </c>
      <c r="V68" s="131">
        <f t="shared" si="5"/>
        <v>225636.46120789825</v>
      </c>
      <c r="W68" s="19"/>
      <c r="X68" s="18">
        <v>41820</v>
      </c>
      <c r="Y68" s="130">
        <v>7861.1479954807664</v>
      </c>
      <c r="Z68" s="130">
        <v>7861.1479954807664</v>
      </c>
      <c r="AA68" s="130">
        <v>7861.1479954807664</v>
      </c>
    </row>
    <row r="69" spans="1:37" ht="14.25" customHeight="1">
      <c r="A69" s="18">
        <v>41912</v>
      </c>
      <c r="B69" s="126">
        <f t="shared" si="0"/>
        <v>8.1628701579137264E-3</v>
      </c>
      <c r="C69" s="97">
        <v>-1.75E-3</v>
      </c>
      <c r="D69" s="97">
        <v>0.17600000000000002</v>
      </c>
      <c r="E69" s="97">
        <f t="shared" si="6"/>
        <v>1.7389097056727643E-2</v>
      </c>
      <c r="F69" s="127">
        <v>1443744</v>
      </c>
      <c r="G69" s="127">
        <f>SUM(bdp!AR84:AR87)*1000000</f>
        <v>330305174368.51489</v>
      </c>
      <c r="H69" s="131">
        <f t="shared" si="3"/>
        <v>228783.75554704634</v>
      </c>
      <c r="I69" s="126">
        <f t="shared" si="1"/>
        <v>8.1628701579137264E-3</v>
      </c>
      <c r="J69" s="97">
        <v>-1.75E-3</v>
      </c>
      <c r="K69" s="97">
        <v>0.17600000000000002</v>
      </c>
      <c r="L69" s="97">
        <f t="shared" si="7"/>
        <v>1.7389097056727643E-2</v>
      </c>
      <c r="M69" s="127">
        <v>1443744</v>
      </c>
      <c r="N69" s="127">
        <f>SUM(bdp!AU84:AU87)*1000000</f>
        <v>330305174368.51489</v>
      </c>
      <c r="O69" s="131">
        <f t="shared" si="4"/>
        <v>228783.75554704634</v>
      </c>
      <c r="P69" s="126">
        <f t="shared" si="2"/>
        <v>8.1628701579137264E-3</v>
      </c>
      <c r="Q69" s="97">
        <v>-1.75E-3</v>
      </c>
      <c r="R69" s="97">
        <v>0.17600000000000002</v>
      </c>
      <c r="S69" s="97">
        <f t="shared" si="8"/>
        <v>1.7389097056727643E-2</v>
      </c>
      <c r="T69" s="127">
        <v>1443744</v>
      </c>
      <c r="U69" s="127">
        <f>SUM(bdp!AX84:AX87)*1000000</f>
        <v>330305174368.51489</v>
      </c>
      <c r="V69" s="131">
        <f t="shared" si="5"/>
        <v>228783.75554704634</v>
      </c>
      <c r="W69" s="19"/>
      <c r="X69" s="18">
        <v>41912</v>
      </c>
      <c r="Y69" s="130">
        <v>7985.1245825746619</v>
      </c>
      <c r="Z69" s="130">
        <v>7985.1245825746619</v>
      </c>
      <c r="AA69" s="130">
        <v>7985.1245825746619</v>
      </c>
    </row>
    <row r="70" spans="1:37" ht="14.25" customHeight="1">
      <c r="A70" s="18">
        <v>42004</v>
      </c>
      <c r="B70" s="126">
        <f t="shared" si="0"/>
        <v>1.0747345927294649E-2</v>
      </c>
      <c r="C70" s="97">
        <v>-3.7499999999999999E-3</v>
      </c>
      <c r="D70" s="97">
        <v>0.19399999999999998</v>
      </c>
      <c r="E70" s="97">
        <f t="shared" si="6"/>
        <v>2.7171052062933132E-3</v>
      </c>
      <c r="F70" s="127">
        <v>1397400</v>
      </c>
      <c r="G70" s="127">
        <f>SUM(bdp!AR85:AR88)*1000000</f>
        <v>331342763247.19501</v>
      </c>
      <c r="H70" s="131">
        <f t="shared" si="3"/>
        <v>237113.75643852513</v>
      </c>
      <c r="I70" s="126">
        <f t="shared" si="1"/>
        <v>1.0747345927294649E-2</v>
      </c>
      <c r="J70" s="97">
        <v>-3.7499999999999999E-3</v>
      </c>
      <c r="K70" s="97">
        <v>0.19399999999999998</v>
      </c>
      <c r="L70" s="97">
        <f t="shared" si="7"/>
        <v>2.7171052062933132E-3</v>
      </c>
      <c r="M70" s="127">
        <v>1397400</v>
      </c>
      <c r="N70" s="127">
        <f>SUM(bdp!AU85:AU88)*1000000</f>
        <v>331342763247.19501</v>
      </c>
      <c r="O70" s="131">
        <f t="shared" si="4"/>
        <v>237113.75643852513</v>
      </c>
      <c r="P70" s="126">
        <f t="shared" si="2"/>
        <v>1.0747345927294649E-2</v>
      </c>
      <c r="Q70" s="97">
        <v>-3.7499999999999999E-3</v>
      </c>
      <c r="R70" s="97">
        <v>0.19399999999999998</v>
      </c>
      <c r="S70" s="97">
        <f t="shared" si="8"/>
        <v>2.7171052062933132E-3</v>
      </c>
      <c r="T70" s="127">
        <v>1397400</v>
      </c>
      <c r="U70" s="127">
        <f>SUM(bdp!AX85:AX88)*1000000</f>
        <v>331342763247.19501</v>
      </c>
      <c r="V70" s="131">
        <f t="shared" si="5"/>
        <v>237113.75643852513</v>
      </c>
      <c r="W70" s="19"/>
      <c r="X70" s="18">
        <v>42004</v>
      </c>
      <c r="Y70" s="130">
        <v>8001.4736318823261</v>
      </c>
      <c r="Z70" s="130">
        <v>8001.4736318823261</v>
      </c>
      <c r="AA70" s="130">
        <v>8001.4736318823261</v>
      </c>
    </row>
    <row r="71" spans="1:37" ht="14.25" customHeight="1">
      <c r="A71" s="18">
        <v>42094</v>
      </c>
      <c r="B71" s="126">
        <f t="shared" si="0"/>
        <v>-4.3300833802127459E-2</v>
      </c>
      <c r="C71" s="97">
        <v>-2.4999999999999996E-3</v>
      </c>
      <c r="D71" s="97">
        <v>0.19087103434543717</v>
      </c>
      <c r="E71" s="97">
        <f t="shared" si="6"/>
        <v>5.474266690166818E-3</v>
      </c>
      <c r="F71" s="127">
        <v>1399509</v>
      </c>
      <c r="G71" s="127">
        <f>SUM(bdp!AR86:AR89)*1000000</f>
        <v>332814108159.29865</v>
      </c>
      <c r="H71" s="131">
        <f t="shared" si="3"/>
        <v>237807.76555156033</v>
      </c>
      <c r="I71" s="126">
        <f t="shared" si="1"/>
        <v>-4.3300833802127459E-2</v>
      </c>
      <c r="J71" s="97">
        <v>-2.4999999999999996E-3</v>
      </c>
      <c r="K71" s="97">
        <v>0.19087103434543717</v>
      </c>
      <c r="L71" s="97">
        <f t="shared" si="7"/>
        <v>5.474266690166818E-3</v>
      </c>
      <c r="M71" s="127">
        <v>1399509</v>
      </c>
      <c r="N71" s="127">
        <f>SUM(bdp!AU86:AU89)*1000000</f>
        <v>332814108159.29865</v>
      </c>
      <c r="O71" s="131">
        <f t="shared" si="4"/>
        <v>237807.76555156033</v>
      </c>
      <c r="P71" s="126">
        <f t="shared" si="2"/>
        <v>-4.3300833802127459E-2</v>
      </c>
      <c r="Q71" s="97">
        <v>-2.4999999999999996E-3</v>
      </c>
      <c r="R71" s="97">
        <v>0.19087103434543717</v>
      </c>
      <c r="S71" s="97">
        <f t="shared" si="8"/>
        <v>5.474266690166818E-3</v>
      </c>
      <c r="T71" s="127">
        <v>1399509</v>
      </c>
      <c r="U71" s="127">
        <f>SUM(bdp!AX86:AX89)*1000000</f>
        <v>332814108159.29865</v>
      </c>
      <c r="V71" s="131">
        <f t="shared" si="5"/>
        <v>237807.76555156033</v>
      </c>
      <c r="W71" s="19"/>
      <c r="X71" s="18">
        <v>42094</v>
      </c>
      <c r="Y71" s="130">
        <v>7558.6647949474682</v>
      </c>
      <c r="Z71" s="130">
        <v>7558.6647949474682</v>
      </c>
      <c r="AA71" s="130">
        <v>7558.6647949474682</v>
      </c>
    </row>
    <row r="72" spans="1:37" ht="14.25" customHeight="1">
      <c r="A72" s="18">
        <v>42185</v>
      </c>
      <c r="B72" s="126">
        <f t="shared" si="0"/>
        <v>-3.5465549519204109E-2</v>
      </c>
      <c r="C72" s="97">
        <v>-1.5E-3</v>
      </c>
      <c r="D72" s="97">
        <v>0.15551889263358312</v>
      </c>
      <c r="E72" s="97">
        <f t="shared" si="6"/>
        <v>7.3055737032781121E-3</v>
      </c>
      <c r="F72" s="127">
        <v>1472497</v>
      </c>
      <c r="G72" s="127">
        <f>SUM(bdp!AR87:AR90)*1000000</f>
        <v>334676281865.85559</v>
      </c>
      <c r="H72" s="131">
        <f t="shared" si="3"/>
        <v>227284.86500539939</v>
      </c>
      <c r="I72" s="126">
        <f t="shared" si="1"/>
        <v>-3.5465549519204109E-2</v>
      </c>
      <c r="J72" s="97">
        <v>-1.5E-3</v>
      </c>
      <c r="K72" s="97">
        <v>0.15551889263358312</v>
      </c>
      <c r="L72" s="97">
        <f t="shared" si="7"/>
        <v>7.3055737032781121E-3</v>
      </c>
      <c r="M72" s="127">
        <v>1472497</v>
      </c>
      <c r="N72" s="127">
        <f>SUM(bdp!AU87:AU90)*1000000</f>
        <v>334676281865.85559</v>
      </c>
      <c r="O72" s="131">
        <f t="shared" si="4"/>
        <v>227284.86500539939</v>
      </c>
      <c r="P72" s="126">
        <f t="shared" si="2"/>
        <v>-3.5465549519204109E-2</v>
      </c>
      <c r="Q72" s="97">
        <v>-1.5E-3</v>
      </c>
      <c r="R72" s="97">
        <v>0.15551889263358312</v>
      </c>
      <c r="S72" s="97">
        <f t="shared" si="8"/>
        <v>7.3055737032781121E-3</v>
      </c>
      <c r="T72" s="127">
        <v>1472497</v>
      </c>
      <c r="U72" s="127">
        <f>SUM(bdp!AX87:AX90)*1000000</f>
        <v>334676281865.85559</v>
      </c>
      <c r="V72" s="131">
        <f t="shared" si="5"/>
        <v>227284.86500539939</v>
      </c>
      <c r="W72" s="19"/>
      <c r="X72" s="18">
        <v>42185</v>
      </c>
      <c r="Y72" s="130">
        <v>7582.3480619692509</v>
      </c>
      <c r="Z72" s="130">
        <v>7582.3480619692509</v>
      </c>
      <c r="AA72" s="130">
        <v>7582.3480619692509</v>
      </c>
    </row>
    <row r="73" spans="1:37" ht="14.25" customHeight="1">
      <c r="A73" s="18">
        <v>42277</v>
      </c>
      <c r="B73" s="126">
        <f t="shared" si="0"/>
        <v>-4.366560032834188E-2</v>
      </c>
      <c r="C73" s="97">
        <v>-3.0000000000000001E-3</v>
      </c>
      <c r="D73" s="97">
        <v>0.15470822605400081</v>
      </c>
      <c r="E73" s="97">
        <f t="shared" si="6"/>
        <v>1.0937317565598903E-2</v>
      </c>
      <c r="F73" s="127">
        <v>1459211</v>
      </c>
      <c r="G73" s="127">
        <f>SUM(bdp!AR88:AR91)*1000000</f>
        <v>337495128075.04877</v>
      </c>
      <c r="H73" s="131">
        <f t="shared" si="3"/>
        <v>231286.03613531476</v>
      </c>
      <c r="I73" s="126">
        <f t="shared" si="1"/>
        <v>-4.366560032834188E-2</v>
      </c>
      <c r="J73" s="97">
        <v>-3.0000000000000001E-3</v>
      </c>
      <c r="K73" s="97">
        <v>0.15470822605400081</v>
      </c>
      <c r="L73" s="97">
        <f t="shared" si="7"/>
        <v>1.0937317565598903E-2</v>
      </c>
      <c r="M73" s="127">
        <v>1459211</v>
      </c>
      <c r="N73" s="127">
        <f>SUM(bdp!AU88:AU91)*1000000</f>
        <v>337495128075.04877</v>
      </c>
      <c r="O73" s="131">
        <f t="shared" si="4"/>
        <v>231286.03613531476</v>
      </c>
      <c r="P73" s="126">
        <f t="shared" si="2"/>
        <v>-4.366560032834188E-2</v>
      </c>
      <c r="Q73" s="97">
        <v>-3.0000000000000001E-3</v>
      </c>
      <c r="R73" s="97">
        <v>0.15470822605400081</v>
      </c>
      <c r="S73" s="97">
        <f t="shared" si="8"/>
        <v>1.0937317565598903E-2</v>
      </c>
      <c r="T73" s="127">
        <v>1459211</v>
      </c>
      <c r="U73" s="127">
        <f>SUM(bdp!AX88:AX91)*1000000</f>
        <v>337495128075.04877</v>
      </c>
      <c r="V73" s="131">
        <f t="shared" si="5"/>
        <v>231286.03613531476</v>
      </c>
      <c r="W73" s="19"/>
      <c r="X73" s="18">
        <v>42277</v>
      </c>
      <c r="Y73" s="130">
        <v>7636.4493239799385</v>
      </c>
      <c r="Z73" s="130">
        <v>7636.4493239799385</v>
      </c>
      <c r="AA73" s="130">
        <v>7636.4493239799385</v>
      </c>
    </row>
    <row r="74" spans="1:37" ht="14.25" customHeight="1">
      <c r="A74" s="18">
        <v>42369</v>
      </c>
      <c r="B74" s="126">
        <f t="shared" si="0"/>
        <v>-3.9898269610761261E-2</v>
      </c>
      <c r="C74" s="97">
        <v>-3.2500000000000003E-3</v>
      </c>
      <c r="D74" s="97">
        <v>0.17225642594526883</v>
      </c>
      <c r="E74" s="97">
        <f t="shared" si="6"/>
        <v>1.3436041471347249E-2</v>
      </c>
      <c r="F74" s="127">
        <v>1413637</v>
      </c>
      <c r="G74" s="127">
        <f>SUM(bdp!AR89:AR92)*1000000</f>
        <v>339696443394.19916</v>
      </c>
      <c r="H74" s="131">
        <f t="shared" si="3"/>
        <v>240299.62670346006</v>
      </c>
      <c r="I74" s="126">
        <f t="shared" si="1"/>
        <v>-3.9898269610761261E-2</v>
      </c>
      <c r="J74" s="97">
        <v>-3.2500000000000003E-3</v>
      </c>
      <c r="K74" s="97">
        <v>0.17225642594526883</v>
      </c>
      <c r="L74" s="97">
        <f t="shared" si="7"/>
        <v>1.3436041471347249E-2</v>
      </c>
      <c r="M74" s="127">
        <v>1413637</v>
      </c>
      <c r="N74" s="127">
        <f>SUM(bdp!AU89:AU92)*1000000</f>
        <v>339696443394.19916</v>
      </c>
      <c r="O74" s="131">
        <f t="shared" si="4"/>
        <v>240299.62670346006</v>
      </c>
      <c r="P74" s="126">
        <f t="shared" si="2"/>
        <v>-3.9898269610761261E-2</v>
      </c>
      <c r="Q74" s="97">
        <v>-3.2500000000000003E-3</v>
      </c>
      <c r="R74" s="97">
        <v>0.17225642594526883</v>
      </c>
      <c r="S74" s="97">
        <f t="shared" si="8"/>
        <v>1.3436041471347249E-2</v>
      </c>
      <c r="T74" s="127">
        <v>1413637</v>
      </c>
      <c r="U74" s="127">
        <f>SUM(bdp!AX89:AX92)*1000000</f>
        <v>339696443394.19916</v>
      </c>
      <c r="V74" s="131">
        <f t="shared" si="5"/>
        <v>240299.62670346006</v>
      </c>
      <c r="W74" s="19"/>
      <c r="X74" s="18">
        <v>42369</v>
      </c>
      <c r="Y74" s="130">
        <v>7682.2286796340877</v>
      </c>
      <c r="Z74" s="130">
        <v>7682.2286796340877</v>
      </c>
      <c r="AA74" s="130">
        <v>7682.2286796340877</v>
      </c>
    </row>
    <row r="75" spans="1:37" ht="14.25" customHeight="1">
      <c r="A75" s="18">
        <v>42460</v>
      </c>
      <c r="B75" s="126">
        <f t="shared" si="0"/>
        <v>1.9532965554471371E-2</v>
      </c>
      <c r="C75" s="97">
        <v>-7.7499999999999999E-3</v>
      </c>
      <c r="D75" s="97">
        <v>0.16500000000000001</v>
      </c>
      <c r="E75" s="97">
        <f t="shared" si="6"/>
        <v>6.969698886003739E-3</v>
      </c>
      <c r="F75" s="127">
        <v>1425201</v>
      </c>
      <c r="G75" s="127">
        <f>SUM(bdp!AR90:AR93)*1000000</f>
        <v>341286062558.07458</v>
      </c>
      <c r="H75" s="131">
        <f t="shared" si="3"/>
        <v>239465.21407020805</v>
      </c>
      <c r="I75" s="126">
        <f t="shared" si="1"/>
        <v>1.9532965554471371E-2</v>
      </c>
      <c r="J75" s="97">
        <v>-7.7499999999999999E-3</v>
      </c>
      <c r="K75" s="97">
        <v>0.16500000000000001</v>
      </c>
      <c r="L75" s="97">
        <f t="shared" si="7"/>
        <v>6.969698886003739E-3</v>
      </c>
      <c r="M75" s="127">
        <v>1425201</v>
      </c>
      <c r="N75" s="127">
        <f>SUM(bdp!AU90:AU93)*1000000</f>
        <v>341286062558.07458</v>
      </c>
      <c r="O75" s="131">
        <f t="shared" si="4"/>
        <v>239465.21407020805</v>
      </c>
      <c r="P75" s="126">
        <f t="shared" si="2"/>
        <v>1.9532965554471371E-2</v>
      </c>
      <c r="Q75" s="97">
        <v>-7.7499999999999999E-3</v>
      </c>
      <c r="R75" s="97">
        <v>0.16500000000000001</v>
      </c>
      <c r="S75" s="97">
        <f t="shared" si="8"/>
        <v>6.969698886003739E-3</v>
      </c>
      <c r="T75" s="127">
        <v>1425201</v>
      </c>
      <c r="U75" s="127">
        <f>SUM(bdp!AX90:AX93)*1000000</f>
        <v>341286062558.07458</v>
      </c>
      <c r="V75" s="131">
        <f t="shared" si="5"/>
        <v>239465.21407020805</v>
      </c>
      <c r="W75" s="19"/>
      <c r="X75" s="18">
        <v>42460</v>
      </c>
      <c r="Y75" s="130">
        <v>7706.3079340249724</v>
      </c>
      <c r="Z75" s="130">
        <v>7706.3079340249724</v>
      </c>
      <c r="AA75" s="130">
        <v>7706.3079340249724</v>
      </c>
    </row>
    <row r="76" spans="1:37" ht="14.25" customHeight="1">
      <c r="A76" s="18">
        <v>42551</v>
      </c>
      <c r="B76" s="126">
        <f t="shared" si="0"/>
        <v>1.9483546358210369E-2</v>
      </c>
      <c r="C76" s="97">
        <v>-1.175E-2</v>
      </c>
      <c r="D76" s="97">
        <v>0.13</v>
      </c>
      <c r="E76" s="97">
        <f t="shared" si="6"/>
        <v>8.6156707815987499E-3</v>
      </c>
      <c r="F76" s="127">
        <v>1498922</v>
      </c>
      <c r="G76" s="127">
        <f>SUM(bdp!AR91:AR94)*1000000</f>
        <v>343617490827.34015</v>
      </c>
      <c r="H76" s="131">
        <f t="shared" si="3"/>
        <v>229243.07657592601</v>
      </c>
      <c r="I76" s="126">
        <f t="shared" si="1"/>
        <v>1.9483546358210369E-2</v>
      </c>
      <c r="J76" s="97">
        <v>-1.175E-2</v>
      </c>
      <c r="K76" s="97">
        <v>0.13</v>
      </c>
      <c r="L76" s="97">
        <f t="shared" si="7"/>
        <v>8.6156707815987499E-3</v>
      </c>
      <c r="M76" s="127">
        <v>1498922</v>
      </c>
      <c r="N76" s="127">
        <f>SUM(bdp!AU91:AU94)*1000000</f>
        <v>343617490827.34015</v>
      </c>
      <c r="O76" s="131">
        <f t="shared" si="4"/>
        <v>229243.07657592601</v>
      </c>
      <c r="P76" s="126">
        <f t="shared" si="2"/>
        <v>1.9483546358210369E-2</v>
      </c>
      <c r="Q76" s="97">
        <v>-1.175E-2</v>
      </c>
      <c r="R76" s="97">
        <v>0.13</v>
      </c>
      <c r="S76" s="97">
        <f t="shared" si="8"/>
        <v>8.6156707815987499E-3</v>
      </c>
      <c r="T76" s="127">
        <v>1498922</v>
      </c>
      <c r="U76" s="127">
        <f>SUM(bdp!AX91:AX94)*1000000</f>
        <v>343617490827.34015</v>
      </c>
      <c r="V76" s="131">
        <f t="shared" si="5"/>
        <v>229243.07657592601</v>
      </c>
      <c r="W76" s="19"/>
      <c r="X76" s="18">
        <v>42551</v>
      </c>
      <c r="Y76" s="130">
        <v>7730.0790919387155</v>
      </c>
      <c r="Z76" s="130">
        <v>7730.0790919387155</v>
      </c>
      <c r="AA76" s="130">
        <v>7730.0790919387155</v>
      </c>
    </row>
    <row r="77" spans="1:37" ht="14.25" customHeight="1">
      <c r="A77" s="18">
        <v>42643</v>
      </c>
      <c r="B77" s="126">
        <f t="shared" si="0"/>
        <v>1.2541411130300828E-2</v>
      </c>
      <c r="C77" s="97">
        <v>-1.2E-2</v>
      </c>
      <c r="D77" s="97">
        <v>0.126</v>
      </c>
      <c r="E77" s="97">
        <f t="shared" si="6"/>
        <v>1.1191501307783236E-2</v>
      </c>
      <c r="F77" s="127">
        <v>1488807</v>
      </c>
      <c r="G77" s="127">
        <f>SUM(bdp!AR92:AR95)*1000000</f>
        <v>348193954178.0661</v>
      </c>
      <c r="H77" s="131">
        <f t="shared" si="3"/>
        <v>233874.47411119513</v>
      </c>
      <c r="I77" s="126">
        <f t="shared" si="1"/>
        <v>1.2541411130300828E-2</v>
      </c>
      <c r="J77" s="97">
        <v>-1.2E-2</v>
      </c>
      <c r="K77" s="97">
        <v>0.126</v>
      </c>
      <c r="L77" s="97">
        <f t="shared" si="7"/>
        <v>1.1191501307783236E-2</v>
      </c>
      <c r="M77" s="127">
        <v>1488807</v>
      </c>
      <c r="N77" s="127">
        <f>SUM(bdp!AU92:AU95)*1000000</f>
        <v>348193954178.0661</v>
      </c>
      <c r="O77" s="131">
        <f t="shared" si="4"/>
        <v>233874.47411119513</v>
      </c>
      <c r="P77" s="126">
        <f t="shared" si="2"/>
        <v>1.2541411130300828E-2</v>
      </c>
      <c r="Q77" s="97">
        <v>-1.2E-2</v>
      </c>
      <c r="R77" s="97">
        <v>0.126</v>
      </c>
      <c r="S77" s="97">
        <f t="shared" si="8"/>
        <v>1.1191501307783236E-2</v>
      </c>
      <c r="T77" s="127">
        <v>1488807</v>
      </c>
      <c r="U77" s="127">
        <f>SUM(bdp!AX92:AX95)*1000000</f>
        <v>348193954178.0661</v>
      </c>
      <c r="V77" s="131">
        <f t="shared" si="5"/>
        <v>233874.47411119513</v>
      </c>
      <c r="W77" s="97"/>
      <c r="X77" s="18">
        <v>42643</v>
      </c>
      <c r="Y77" s="130">
        <v>7732.2211745276791</v>
      </c>
      <c r="Z77" s="130">
        <v>7732.2211745276791</v>
      </c>
      <c r="AA77" s="130">
        <v>7732.2211745276791</v>
      </c>
    </row>
    <row r="78" spans="1:37" ht="14.25" customHeight="1">
      <c r="A78" s="18">
        <v>42735</v>
      </c>
      <c r="B78" s="126">
        <f t="shared" si="0"/>
        <v>1.984059976565411E-2</v>
      </c>
      <c r="C78" s="97">
        <v>-0.01</v>
      </c>
      <c r="D78" s="97">
        <v>0.14099999999999999</v>
      </c>
      <c r="E78" s="97">
        <f t="shared" si="6"/>
        <v>1.4713805726064288E-2</v>
      </c>
      <c r="F78" s="127">
        <v>1440188</v>
      </c>
      <c r="G78" s="127">
        <f>SUM(bdp!AR93:AR96)*1000000</f>
        <v>351168743212.18219</v>
      </c>
      <c r="H78" s="131">
        <f t="shared" si="3"/>
        <v>243835.34872682052</v>
      </c>
      <c r="I78" s="126">
        <f t="shared" si="1"/>
        <v>1.984059976565411E-2</v>
      </c>
      <c r="J78" s="97">
        <v>-0.01</v>
      </c>
      <c r="K78" s="97">
        <v>0.14099999999999999</v>
      </c>
      <c r="L78" s="97">
        <f t="shared" si="7"/>
        <v>1.4713805726064288E-2</v>
      </c>
      <c r="M78" s="127">
        <v>1440188</v>
      </c>
      <c r="N78" s="127">
        <f>SUM(bdp!AU93:AU96)*1000000</f>
        <v>351168743212.18219</v>
      </c>
      <c r="O78" s="131">
        <f t="shared" si="4"/>
        <v>243835.34872682052</v>
      </c>
      <c r="P78" s="126">
        <f t="shared" si="2"/>
        <v>1.984059976565411E-2</v>
      </c>
      <c r="Q78" s="97">
        <v>-0.01</v>
      </c>
      <c r="R78" s="97">
        <v>0.14099999999999999</v>
      </c>
      <c r="S78" s="97">
        <f t="shared" si="8"/>
        <v>1.4713805726064288E-2</v>
      </c>
      <c r="T78" s="127">
        <v>1440188</v>
      </c>
      <c r="U78" s="127">
        <f>SUM(bdp!AX93:AX96)*1000000</f>
        <v>351168743212.18219</v>
      </c>
      <c r="V78" s="131">
        <f t="shared" si="5"/>
        <v>243835.34872682052</v>
      </c>
      <c r="W78" s="97"/>
      <c r="X78" s="18">
        <v>42735</v>
      </c>
      <c r="Y78" s="130">
        <v>7834.6487041749378</v>
      </c>
      <c r="Z78" s="130">
        <v>7834.6487041749378</v>
      </c>
      <c r="AA78" s="130">
        <v>7834.6487041749378</v>
      </c>
      <c r="AC78" s="137"/>
      <c r="AD78" s="138" t="s">
        <v>418</v>
      </c>
      <c r="AE78" s="139">
        <v>9500000000</v>
      </c>
      <c r="AF78" s="137"/>
      <c r="AG78" s="137"/>
      <c r="AH78" s="137"/>
      <c r="AI78" s="140"/>
      <c r="AJ78" s="140"/>
      <c r="AK78" s="140"/>
    </row>
    <row r="79" spans="1:37" ht="14.25" customHeight="1">
      <c r="A79" s="18">
        <v>42825</v>
      </c>
      <c r="B79" s="126">
        <f t="shared" si="0"/>
        <v>3.4599141067207739E-2</v>
      </c>
      <c r="C79" s="97">
        <v>-2.9999999999999996E-3</v>
      </c>
      <c r="D79" s="97">
        <v>0.13600000000000001</v>
      </c>
      <c r="E79" s="97">
        <f t="shared" si="6"/>
        <v>1.7313373619612937E-2</v>
      </c>
      <c r="F79" s="127">
        <v>1452052</v>
      </c>
      <c r="G79" s="127">
        <f>SUM(bdp!AR94:AR97)*1000000</f>
        <v>353736079056.09363</v>
      </c>
      <c r="H79" s="131">
        <f t="shared" si="3"/>
        <v>243611.16479030615</v>
      </c>
      <c r="I79" s="126">
        <f t="shared" si="1"/>
        <v>3.4599141067207739E-2</v>
      </c>
      <c r="J79" s="97">
        <v>-2.9999999999999996E-3</v>
      </c>
      <c r="K79" s="97">
        <v>0.13600000000000001</v>
      </c>
      <c r="L79" s="97">
        <f t="shared" si="7"/>
        <v>1.7313373619612937E-2</v>
      </c>
      <c r="M79" s="127">
        <v>1452052</v>
      </c>
      <c r="N79" s="127">
        <f>SUM(bdp!AU94:AU97)*1000000</f>
        <v>353736079056.09363</v>
      </c>
      <c r="O79" s="131">
        <f t="shared" si="4"/>
        <v>243611.16479030615</v>
      </c>
      <c r="P79" s="126">
        <f t="shared" si="2"/>
        <v>3.4599141067207739E-2</v>
      </c>
      <c r="Q79" s="97">
        <v>-2.9999999999999996E-3</v>
      </c>
      <c r="R79" s="97">
        <v>0.13600000000000001</v>
      </c>
      <c r="S79" s="97">
        <f t="shared" si="8"/>
        <v>1.7313373619612937E-2</v>
      </c>
      <c r="T79" s="127">
        <v>1452052</v>
      </c>
      <c r="U79" s="127">
        <f>SUM(bdp!AX94:AX97)*1000000</f>
        <v>353736079056.09363</v>
      </c>
      <c r="V79" s="131">
        <f t="shared" si="5"/>
        <v>243611.16479030615</v>
      </c>
      <c r="W79" s="97"/>
      <c r="X79" s="18">
        <v>42825</v>
      </c>
      <c r="Y79" s="130">
        <v>7972.9395693416445</v>
      </c>
      <c r="Z79" s="130">
        <v>7972.9395693416445</v>
      </c>
      <c r="AA79" s="130">
        <v>7972.9395693416445</v>
      </c>
      <c r="AC79" s="137"/>
      <c r="AD79" s="137"/>
      <c r="AE79" s="137"/>
      <c r="AF79" s="137"/>
      <c r="AG79" s="137"/>
      <c r="AH79" s="137"/>
      <c r="AI79" s="140"/>
      <c r="AJ79" s="140"/>
      <c r="AK79" s="140"/>
    </row>
    <row r="80" spans="1:37" ht="14.25" customHeight="1">
      <c r="A80" s="18">
        <v>42916</v>
      </c>
      <c r="B80" s="126">
        <f t="shared" si="0"/>
        <v>3.4408831137661355E-2</v>
      </c>
      <c r="C80" s="97">
        <v>2.7500000000000072E-3</v>
      </c>
      <c r="D80" s="97">
        <v>0.10099999999999999</v>
      </c>
      <c r="E80" s="97">
        <f t="shared" si="6"/>
        <v>2.4061031642301556E-2</v>
      </c>
      <c r="F80" s="127">
        <v>1525457</v>
      </c>
      <c r="G80" s="127">
        <f>SUM(bdp!AR95:AR98)*1000000</f>
        <v>358114609598.1601</v>
      </c>
      <c r="H80" s="131">
        <f t="shared" si="3"/>
        <v>234758.9014951979</v>
      </c>
      <c r="I80" s="126">
        <f t="shared" si="1"/>
        <v>3.4408831137661355E-2</v>
      </c>
      <c r="J80" s="97">
        <v>2.7500000000000072E-3</v>
      </c>
      <c r="K80" s="97">
        <v>0.10099999999999999</v>
      </c>
      <c r="L80" s="97">
        <f t="shared" si="7"/>
        <v>2.4061031642301556E-2</v>
      </c>
      <c r="M80" s="127">
        <v>1525457</v>
      </c>
      <c r="N80" s="127">
        <f>SUM(bdp!AU95:AU98)*1000000</f>
        <v>358114609598.1601</v>
      </c>
      <c r="O80" s="131">
        <f t="shared" si="4"/>
        <v>234758.9014951979</v>
      </c>
      <c r="P80" s="126">
        <f t="shared" si="2"/>
        <v>3.4408831137661355E-2</v>
      </c>
      <c r="Q80" s="97">
        <v>2.7500000000000072E-3</v>
      </c>
      <c r="R80" s="97">
        <v>0.10099999999999999</v>
      </c>
      <c r="S80" s="97">
        <f t="shared" si="8"/>
        <v>2.4061031642301556E-2</v>
      </c>
      <c r="T80" s="127">
        <v>1525457</v>
      </c>
      <c r="U80" s="127">
        <f>SUM(bdp!AX95:AX98)*1000000</f>
        <v>358114609598.1601</v>
      </c>
      <c r="V80" s="131">
        <f t="shared" si="5"/>
        <v>234758.9014951979</v>
      </c>
      <c r="W80" s="97"/>
      <c r="X80" s="18">
        <v>42916</v>
      </c>
      <c r="Y80" s="130">
        <v>7996.0620780940008</v>
      </c>
      <c r="Z80" s="130">
        <v>7996.0620780940008</v>
      </c>
      <c r="AA80" s="130">
        <v>7996.0620780940008</v>
      </c>
      <c r="AC80" s="137"/>
      <c r="AD80" s="141" t="s">
        <v>424</v>
      </c>
      <c r="AE80" s="142" t="s">
        <v>426</v>
      </c>
      <c r="AF80" s="142" t="s">
        <v>427</v>
      </c>
      <c r="AG80" s="142" t="s">
        <v>428</v>
      </c>
      <c r="AH80" s="514" t="s">
        <v>429</v>
      </c>
      <c r="AI80" s="515"/>
      <c r="AJ80" s="515"/>
      <c r="AK80" s="140"/>
    </row>
    <row r="81" spans="1:37" ht="14.25" customHeight="1">
      <c r="A81" s="18">
        <v>43008</v>
      </c>
      <c r="B81" s="126">
        <f t="shared" si="0"/>
        <v>4.7355946115209768E-2</v>
      </c>
      <c r="C81" s="97">
        <v>8.5000000000000075E-3</v>
      </c>
      <c r="D81" s="97">
        <v>0.10099999999999999</v>
      </c>
      <c r="E81" s="97">
        <f t="shared" si="6"/>
        <v>2.4379497216681312E-2</v>
      </c>
      <c r="F81" s="127">
        <v>1514241</v>
      </c>
      <c r="G81" s="127">
        <f>SUM(bdp!AR96:AR99)*1000000</f>
        <v>362776129197.69318</v>
      </c>
      <c r="H81" s="131">
        <f t="shared" si="3"/>
        <v>239576.21620184183</v>
      </c>
      <c r="I81" s="126">
        <f t="shared" si="1"/>
        <v>4.7355946115209768E-2</v>
      </c>
      <c r="J81" s="97">
        <v>8.5000000000000075E-3</v>
      </c>
      <c r="K81" s="97">
        <v>0.10099999999999999</v>
      </c>
      <c r="L81" s="97">
        <f t="shared" si="7"/>
        <v>2.4379497216681312E-2</v>
      </c>
      <c r="M81" s="127">
        <v>1514241</v>
      </c>
      <c r="N81" s="127">
        <f>SUM(bdp!AU96:AU99)*1000000</f>
        <v>362776129197.69318</v>
      </c>
      <c r="O81" s="131">
        <f t="shared" si="4"/>
        <v>239576.21620184183</v>
      </c>
      <c r="P81" s="126">
        <f t="shared" si="2"/>
        <v>4.7355946115209768E-2</v>
      </c>
      <c r="Q81" s="97">
        <v>8.5000000000000075E-3</v>
      </c>
      <c r="R81" s="97">
        <v>0.10099999999999999</v>
      </c>
      <c r="S81" s="97">
        <f t="shared" si="8"/>
        <v>2.4379497216681312E-2</v>
      </c>
      <c r="T81" s="127">
        <v>1514241</v>
      </c>
      <c r="U81" s="127">
        <f>SUM(bdp!AX96:AX99)*1000000</f>
        <v>362776129197.69318</v>
      </c>
      <c r="V81" s="131">
        <f t="shared" si="5"/>
        <v>239576.21620184183</v>
      </c>
      <c r="W81" s="97"/>
      <c r="X81" s="18">
        <v>43008</v>
      </c>
      <c r="Y81" s="130">
        <v>8098.3878238194957</v>
      </c>
      <c r="Z81" s="130">
        <v>8098.3878238194957</v>
      </c>
      <c r="AA81" s="130">
        <v>8098.3878238194957</v>
      </c>
      <c r="AC81" s="143" t="s">
        <v>434</v>
      </c>
      <c r="AD81" s="144">
        <v>3198.5340129321698</v>
      </c>
      <c r="AE81" s="144">
        <f t="shared" ref="AE81:AE83" si="9">AD81/(1-15%-5%)*(5%+15%+16.5%)</f>
        <v>1459.3311434003026</v>
      </c>
      <c r="AF81" s="145">
        <v>484992</v>
      </c>
      <c r="AG81" s="145">
        <f t="shared" ref="AG81:AG83" si="10">(AD81+AE81)*AF81</f>
        <v>2259027337.8999987</v>
      </c>
      <c r="AH81" s="137"/>
      <c r="AI81" s="140"/>
      <c r="AJ81" s="140"/>
      <c r="AK81" s="140"/>
    </row>
    <row r="82" spans="1:37" ht="14.25" customHeight="1">
      <c r="A82" s="18">
        <v>43100</v>
      </c>
      <c r="B82" s="126">
        <f t="shared" si="0"/>
        <v>5.4568120233337902E-2</v>
      </c>
      <c r="C82" s="97">
        <v>1.1000000000000006E-2</v>
      </c>
      <c r="D82" s="97">
        <v>0.11199999999999999</v>
      </c>
      <c r="E82" s="97">
        <f t="shared" si="6"/>
        <v>1.8790504519410778E-2</v>
      </c>
      <c r="F82" s="127">
        <v>1475044</v>
      </c>
      <c r="G82" s="127">
        <f>SUM(bdp!AR97:AR100)*1000000</f>
        <v>366426208828.93909</v>
      </c>
      <c r="H82" s="131">
        <f t="shared" si="3"/>
        <v>248417.13794906394</v>
      </c>
      <c r="I82" s="126">
        <f t="shared" si="1"/>
        <v>5.4568120233337902E-2</v>
      </c>
      <c r="J82" s="97">
        <v>1.1000000000000006E-2</v>
      </c>
      <c r="K82" s="97">
        <v>0.11199999999999999</v>
      </c>
      <c r="L82" s="97">
        <f t="shared" si="7"/>
        <v>1.8790504519410778E-2</v>
      </c>
      <c r="M82" s="127">
        <v>1475044</v>
      </c>
      <c r="N82" s="127">
        <f>SUM(bdp!AU97:AU100)*1000000</f>
        <v>366426208828.93909</v>
      </c>
      <c r="O82" s="131">
        <f t="shared" si="4"/>
        <v>248417.13794906394</v>
      </c>
      <c r="P82" s="126">
        <f t="shared" si="2"/>
        <v>5.4568120233337902E-2</v>
      </c>
      <c r="Q82" s="97">
        <v>1.1000000000000006E-2</v>
      </c>
      <c r="R82" s="97">
        <v>0.11199999999999999</v>
      </c>
      <c r="S82" s="97">
        <f t="shared" si="8"/>
        <v>1.8790504519410778E-2</v>
      </c>
      <c r="T82" s="127">
        <v>1475044</v>
      </c>
      <c r="U82" s="127">
        <f>SUM(bdp!AX97:AX100)*1000000</f>
        <v>366426208828.93909</v>
      </c>
      <c r="V82" s="131">
        <f t="shared" si="5"/>
        <v>248417.13794906394</v>
      </c>
      <c r="W82" s="97"/>
      <c r="X82" s="18">
        <v>43100</v>
      </c>
      <c r="Y82" s="130">
        <v>8262.170756650321</v>
      </c>
      <c r="Z82" s="130">
        <v>8262.170756650321</v>
      </c>
      <c r="AA82" s="130">
        <v>8262.170756650321</v>
      </c>
      <c r="AC82" s="146" t="s">
        <v>440</v>
      </c>
      <c r="AD82" s="144">
        <f>AD81/3250*4000</f>
        <v>3936.6572466857479</v>
      </c>
      <c r="AE82" s="144">
        <f t="shared" si="9"/>
        <v>1796.0998688003726</v>
      </c>
      <c r="AF82" s="145">
        <f t="shared" ref="AF82:AF83" si="11">ROUND(AF81*(1+AH82),0)</f>
        <v>601390</v>
      </c>
      <c r="AG82" s="145">
        <f t="shared" si="10"/>
        <v>3447622801.682198</v>
      </c>
      <c r="AH82" s="147">
        <v>0.24</v>
      </c>
      <c r="AI82" s="140"/>
      <c r="AJ82" s="140"/>
      <c r="AK82" s="140"/>
    </row>
    <row r="83" spans="1:37" ht="14.25" customHeight="1">
      <c r="A83" s="18">
        <v>43190</v>
      </c>
      <c r="B83" s="126">
        <f t="shared" si="0"/>
        <v>4.1521690189609606E-2</v>
      </c>
      <c r="C83" s="97">
        <v>1.1000000000000008E-2</v>
      </c>
      <c r="D83" s="97">
        <v>0.10800000000000001</v>
      </c>
      <c r="E83" s="97">
        <f t="shared" si="6"/>
        <v>2.0482777644453609E-2</v>
      </c>
      <c r="F83" s="127">
        <v>1489091</v>
      </c>
      <c r="G83" s="127">
        <f>SUM(bdp!AR98:AR101)*1000000</f>
        <v>370189508877.23206</v>
      </c>
      <c r="H83" s="131">
        <f t="shared" si="3"/>
        <v>248600.99811041236</v>
      </c>
      <c r="I83" s="126">
        <f t="shared" si="1"/>
        <v>4.1521690189609606E-2</v>
      </c>
      <c r="J83" s="97">
        <v>1.1000000000000008E-2</v>
      </c>
      <c r="K83" s="97">
        <v>0.10800000000000001</v>
      </c>
      <c r="L83" s="97">
        <f t="shared" si="7"/>
        <v>2.0482777644453609E-2</v>
      </c>
      <c r="M83" s="127">
        <v>1489091</v>
      </c>
      <c r="N83" s="127">
        <f>SUM(bdp!AU98:AU101)*1000000</f>
        <v>370189508877.23206</v>
      </c>
      <c r="O83" s="131">
        <f t="shared" si="4"/>
        <v>248600.99811041236</v>
      </c>
      <c r="P83" s="126">
        <f t="shared" si="2"/>
        <v>4.1521690189609606E-2</v>
      </c>
      <c r="Q83" s="97">
        <v>1.1000000000000008E-2</v>
      </c>
      <c r="R83" s="97">
        <v>0.10800000000000001</v>
      </c>
      <c r="S83" s="97">
        <f t="shared" si="8"/>
        <v>2.0482777644453609E-2</v>
      </c>
      <c r="T83" s="127">
        <v>1489091</v>
      </c>
      <c r="U83" s="127">
        <f>SUM(bdp!AX98:AX101)*1000000</f>
        <v>370189508877.23206</v>
      </c>
      <c r="V83" s="131">
        <f t="shared" si="5"/>
        <v>248600.99811041236</v>
      </c>
      <c r="W83" s="97"/>
      <c r="X83" s="18">
        <v>43190</v>
      </c>
      <c r="Y83" s="130">
        <v>8303.9894960403271</v>
      </c>
      <c r="Z83" s="130">
        <v>8303.9894960403271</v>
      </c>
      <c r="AA83" s="130">
        <v>8303.9894960403271</v>
      </c>
      <c r="AC83" s="146" t="s">
        <v>443</v>
      </c>
      <c r="AD83" s="144">
        <f>AD82</f>
        <v>3936.6572466857479</v>
      </c>
      <c r="AE83" s="144">
        <f t="shared" si="9"/>
        <v>1796.0998688003726</v>
      </c>
      <c r="AF83" s="145">
        <f t="shared" si="11"/>
        <v>673557</v>
      </c>
      <c r="AG83" s="145">
        <f t="shared" si="10"/>
        <v>3861338684.4354849</v>
      </c>
      <c r="AH83" s="147">
        <v>0.12</v>
      </c>
      <c r="AI83" s="140"/>
      <c r="AJ83" s="140"/>
      <c r="AK83" s="140"/>
    </row>
    <row r="84" spans="1:37" ht="14.25" customHeight="1">
      <c r="A84" s="18">
        <v>43281</v>
      </c>
      <c r="B84" s="126">
        <f t="shared" si="0"/>
        <v>6.4494672721802315E-2</v>
      </c>
      <c r="C84" s="97">
        <v>1.525E-2</v>
      </c>
      <c r="D84" s="97">
        <v>8.199999999999999E-2</v>
      </c>
      <c r="E84" s="97">
        <f t="shared" si="6"/>
        <v>2.6361693933055985E-2</v>
      </c>
      <c r="F84" s="127">
        <v>1554821</v>
      </c>
      <c r="G84" s="127">
        <f>SUM(bdp!AR99:AR102)*1000000</f>
        <v>374630301005.61725</v>
      </c>
      <c r="H84" s="131">
        <f t="shared" si="3"/>
        <v>240947.54380447476</v>
      </c>
      <c r="I84" s="126">
        <f t="shared" si="1"/>
        <v>6.4494672721802315E-2</v>
      </c>
      <c r="J84" s="97">
        <v>1.525E-2</v>
      </c>
      <c r="K84" s="97">
        <v>8.199999999999999E-2</v>
      </c>
      <c r="L84" s="97">
        <f t="shared" si="7"/>
        <v>2.6361693933055985E-2</v>
      </c>
      <c r="M84" s="127">
        <v>1554821</v>
      </c>
      <c r="N84" s="127">
        <f>SUM(bdp!AU99:AU102)*1000000</f>
        <v>374630301005.61725</v>
      </c>
      <c r="O84" s="131">
        <f t="shared" si="4"/>
        <v>240947.54380447476</v>
      </c>
      <c r="P84" s="126">
        <f t="shared" si="2"/>
        <v>6.4494672721802315E-2</v>
      </c>
      <c r="Q84" s="97">
        <v>1.525E-2</v>
      </c>
      <c r="R84" s="97">
        <v>8.199999999999999E-2</v>
      </c>
      <c r="S84" s="97">
        <f t="shared" si="8"/>
        <v>2.6361693933055985E-2</v>
      </c>
      <c r="T84" s="127">
        <v>1554821</v>
      </c>
      <c r="U84" s="127">
        <f>SUM(bdp!AX99:AX102)*1000000</f>
        <v>374630301005.61725</v>
      </c>
      <c r="V84" s="131">
        <f t="shared" si="5"/>
        <v>240947.54380447476</v>
      </c>
      <c r="W84" s="97"/>
      <c r="X84" s="18">
        <v>43281</v>
      </c>
      <c r="Y84" s="130">
        <v>8511.7654848838883</v>
      </c>
      <c r="Z84" s="130">
        <v>8511.7654848838883</v>
      </c>
      <c r="AA84" s="130">
        <v>8511.7654848838883</v>
      </c>
      <c r="AC84" s="137"/>
      <c r="AD84" s="137"/>
      <c r="AE84" s="137"/>
      <c r="AF84" s="148" t="s">
        <v>449</v>
      </c>
      <c r="AG84" s="149">
        <f>SUM(AG81:AG83)</f>
        <v>9567988824.0176811</v>
      </c>
      <c r="AH84" s="140"/>
      <c r="AI84" s="140"/>
      <c r="AJ84" s="140"/>
      <c r="AK84" s="140"/>
    </row>
    <row r="85" spans="1:37" ht="14.25" customHeight="1">
      <c r="A85" s="18">
        <v>43373</v>
      </c>
      <c r="B85" s="126">
        <f t="shared" si="0"/>
        <v>4.8266186344143591E-2</v>
      </c>
      <c r="C85" s="97">
        <v>1.525E-2</v>
      </c>
      <c r="D85" s="97">
        <v>7.8E-2</v>
      </c>
      <c r="E85" s="97">
        <f t="shared" si="6"/>
        <v>2.4234347291048453E-2</v>
      </c>
      <c r="F85" s="127">
        <v>1546848</v>
      </c>
      <c r="G85" s="127">
        <f>SUM(bdp!AR100:AR103)*1000000</f>
        <v>379568948952.24957</v>
      </c>
      <c r="H85" s="131">
        <f t="shared" si="3"/>
        <v>245382.18942795257</v>
      </c>
      <c r="I85" s="126">
        <f t="shared" si="1"/>
        <v>4.8266186344143591E-2</v>
      </c>
      <c r="J85" s="97">
        <v>1.525E-2</v>
      </c>
      <c r="K85" s="97">
        <v>7.8E-2</v>
      </c>
      <c r="L85" s="97">
        <f t="shared" si="7"/>
        <v>2.4234347291048453E-2</v>
      </c>
      <c r="M85" s="127">
        <v>1546848</v>
      </c>
      <c r="N85" s="127">
        <f>SUM(bdp!AU100:AU103)*1000000</f>
        <v>379568948952.24957</v>
      </c>
      <c r="O85" s="131">
        <f t="shared" si="4"/>
        <v>245382.18942795257</v>
      </c>
      <c r="P85" s="126">
        <f t="shared" si="2"/>
        <v>4.8266186344143591E-2</v>
      </c>
      <c r="Q85" s="97">
        <v>1.525E-2</v>
      </c>
      <c r="R85" s="97">
        <v>7.8E-2</v>
      </c>
      <c r="S85" s="97">
        <f t="shared" si="8"/>
        <v>2.4234347291048453E-2</v>
      </c>
      <c r="T85" s="127">
        <v>1546848</v>
      </c>
      <c r="U85" s="127">
        <f>SUM(bdp!AX100:AX103)*1000000</f>
        <v>379568948952.24957</v>
      </c>
      <c r="V85" s="131">
        <f t="shared" si="5"/>
        <v>245382.18942795257</v>
      </c>
      <c r="W85" s="97"/>
      <c r="X85" s="18">
        <v>43373</v>
      </c>
      <c r="Y85" s="130">
        <v>8489.2661196111112</v>
      </c>
      <c r="Z85" s="130">
        <v>8489.2661196111112</v>
      </c>
      <c r="AA85" s="130">
        <v>8489.2661196111112</v>
      </c>
      <c r="AC85" s="137"/>
      <c r="AD85" s="137"/>
      <c r="AE85" s="137"/>
      <c r="AF85" s="138" t="s">
        <v>453</v>
      </c>
      <c r="AG85" s="150">
        <f>AG84/AE78</f>
        <v>1.0071567183176506</v>
      </c>
      <c r="AH85" s="137"/>
      <c r="AI85" s="140"/>
      <c r="AJ85" s="140"/>
      <c r="AK85" s="140"/>
    </row>
    <row r="86" spans="1:37" ht="14.25" customHeight="1">
      <c r="A86" s="18">
        <v>43465</v>
      </c>
      <c r="B86" s="126">
        <f t="shared" si="0"/>
        <v>1.0503535982684387E-2</v>
      </c>
      <c r="C86" s="97">
        <v>1.4250000000000001E-2</v>
      </c>
      <c r="D86" s="97">
        <v>8.900000000000001E-2</v>
      </c>
      <c r="E86" s="97">
        <f t="shared" si="6"/>
        <v>2.3033097765843946E-2</v>
      </c>
      <c r="F86" s="127">
        <v>1506912</v>
      </c>
      <c r="G86" s="127">
        <f>SUM(bdp!AR101:AR104)*1000000</f>
        <v>382965039712.4856</v>
      </c>
      <c r="H86" s="131">
        <f t="shared" si="3"/>
        <v>254138.95417415589</v>
      </c>
      <c r="I86" s="126">
        <f t="shared" si="1"/>
        <v>1.0503535982684387E-2</v>
      </c>
      <c r="J86" s="97">
        <v>1.4250000000000001E-2</v>
      </c>
      <c r="K86" s="97">
        <v>8.900000000000001E-2</v>
      </c>
      <c r="L86" s="97">
        <f t="shared" si="7"/>
        <v>2.3033097765843946E-2</v>
      </c>
      <c r="M86" s="127">
        <v>1506912</v>
      </c>
      <c r="N86" s="127">
        <f>SUM(bdp!AU101:AU104)*1000000</f>
        <v>382965039712.4856</v>
      </c>
      <c r="O86" s="131">
        <f t="shared" si="4"/>
        <v>254138.95417415589</v>
      </c>
      <c r="P86" s="126">
        <f t="shared" si="2"/>
        <v>1.0503535982684387E-2</v>
      </c>
      <c r="Q86" s="97">
        <v>1.4250000000000001E-2</v>
      </c>
      <c r="R86" s="97">
        <v>8.900000000000001E-2</v>
      </c>
      <c r="S86" s="97">
        <f t="shared" si="8"/>
        <v>2.3033097765843946E-2</v>
      </c>
      <c r="T86" s="127">
        <v>1506912</v>
      </c>
      <c r="U86" s="127">
        <f>SUM(bdp!AX101:AX104)*1000000</f>
        <v>382965039712.4856</v>
      </c>
      <c r="V86" s="131">
        <f t="shared" si="5"/>
        <v>254138.95417415589</v>
      </c>
      <c r="W86" s="97"/>
      <c r="X86" s="18">
        <v>43465</v>
      </c>
      <c r="Y86" s="130">
        <v>8348.9527644878799</v>
      </c>
      <c r="Z86" s="130">
        <v>8348.9527644878799</v>
      </c>
      <c r="AA86" s="130">
        <v>8348.9527644878799</v>
      </c>
      <c r="AC86" s="140"/>
      <c r="AD86" s="140"/>
      <c r="AE86" s="137"/>
      <c r="AF86" s="137"/>
      <c r="AG86" s="137"/>
      <c r="AH86" s="137"/>
      <c r="AI86" s="140"/>
      <c r="AJ86" s="140"/>
      <c r="AK86" s="140"/>
    </row>
    <row r="87" spans="1:37" ht="14.25" customHeight="1">
      <c r="A87" s="18">
        <v>43555</v>
      </c>
      <c r="B87" s="126">
        <f t="shared" si="0"/>
        <v>4.4051410463139318E-2</v>
      </c>
      <c r="C87" s="97">
        <v>1.375E-2</v>
      </c>
      <c r="D87" s="97">
        <v>8.900000000000001E-2</v>
      </c>
      <c r="E87" s="97">
        <f t="shared" si="6"/>
        <v>2.5205086305336355E-2</v>
      </c>
      <c r="F87" s="127">
        <v>1521259</v>
      </c>
      <c r="G87" s="127">
        <f>SUM(bdp!AR102:AR105)*1000000</f>
        <v>387718729302.25836</v>
      </c>
      <c r="H87" s="131">
        <f t="shared" si="3"/>
        <v>254867.00772337805</v>
      </c>
      <c r="I87" s="126">
        <f t="shared" si="1"/>
        <v>4.4051410463139318E-2</v>
      </c>
      <c r="J87" s="97">
        <v>1.375E-2</v>
      </c>
      <c r="K87" s="97">
        <v>8.900000000000001E-2</v>
      </c>
      <c r="L87" s="97">
        <f t="shared" si="7"/>
        <v>2.5205086305336355E-2</v>
      </c>
      <c r="M87" s="127">
        <v>1521259</v>
      </c>
      <c r="N87" s="127">
        <f>SUM(bdp!AU102:AU105)*1000000</f>
        <v>387718729302.25836</v>
      </c>
      <c r="O87" s="131">
        <f t="shared" si="4"/>
        <v>254867.00772337805</v>
      </c>
      <c r="P87" s="126">
        <f t="shared" si="2"/>
        <v>4.4051410463139318E-2</v>
      </c>
      <c r="Q87" s="97">
        <v>1.375E-2</v>
      </c>
      <c r="R87" s="97">
        <v>8.900000000000001E-2</v>
      </c>
      <c r="S87" s="97">
        <f t="shared" si="8"/>
        <v>2.5205086305336355E-2</v>
      </c>
      <c r="T87" s="127">
        <v>1521259</v>
      </c>
      <c r="U87" s="127">
        <f>SUM(bdp!AX102:AX105)*1000000</f>
        <v>387718729302.25836</v>
      </c>
      <c r="V87" s="131">
        <f t="shared" si="5"/>
        <v>254867.00772337805</v>
      </c>
      <c r="W87" s="97"/>
      <c r="X87" s="18">
        <v>43555</v>
      </c>
      <c r="Y87" s="130">
        <v>8669.7919458119977</v>
      </c>
      <c r="Z87" s="130">
        <v>8669.7919458119977</v>
      </c>
      <c r="AA87" s="130">
        <v>8669.7919458119977</v>
      </c>
      <c r="AC87" s="514" t="s">
        <v>461</v>
      </c>
      <c r="AD87" s="515"/>
      <c r="AE87" s="515"/>
      <c r="AF87" s="515"/>
      <c r="AG87" s="137"/>
      <c r="AH87" s="137"/>
      <c r="AI87" s="140"/>
      <c r="AJ87" s="140"/>
      <c r="AK87" s="140"/>
    </row>
    <row r="88" spans="1:37" ht="14.25" customHeight="1">
      <c r="A88" s="18">
        <v>43646</v>
      </c>
      <c r="B88" s="126">
        <f t="shared" si="0"/>
        <v>2.1162009264757753E-2</v>
      </c>
      <c r="C88" s="97">
        <v>9.2499999999999995E-3</v>
      </c>
      <c r="D88" s="97">
        <v>6.7000000000000004E-2</v>
      </c>
      <c r="E88" s="97">
        <f t="shared" si="6"/>
        <v>1.9351038693286915E-2</v>
      </c>
      <c r="F88" s="127">
        <v>1593583</v>
      </c>
      <c r="G88" s="127">
        <f>SUM(bdp!AR103:AR106)*1000000</f>
        <v>391400126278.20111</v>
      </c>
      <c r="H88" s="131">
        <f t="shared" si="3"/>
        <v>245610.12904768757</v>
      </c>
      <c r="I88" s="126">
        <f t="shared" si="1"/>
        <v>2.1162009264757753E-2</v>
      </c>
      <c r="J88" s="97">
        <v>9.2499999999999995E-3</v>
      </c>
      <c r="K88" s="97">
        <v>6.7000000000000004E-2</v>
      </c>
      <c r="L88" s="97">
        <f t="shared" si="7"/>
        <v>1.9351038693286915E-2</v>
      </c>
      <c r="M88" s="127">
        <v>1593583</v>
      </c>
      <c r="N88" s="127">
        <f>SUM(bdp!AU103:AU106)*1000000</f>
        <v>391400126278.20111</v>
      </c>
      <c r="O88" s="131">
        <f t="shared" si="4"/>
        <v>245610.12904768757</v>
      </c>
      <c r="P88" s="126">
        <f t="shared" si="2"/>
        <v>2.1162009264757753E-2</v>
      </c>
      <c r="Q88" s="97">
        <v>9.2499999999999995E-3</v>
      </c>
      <c r="R88" s="97">
        <v>6.7000000000000004E-2</v>
      </c>
      <c r="S88" s="97">
        <f t="shared" si="8"/>
        <v>1.9351038693286915E-2</v>
      </c>
      <c r="T88" s="127">
        <v>1593583</v>
      </c>
      <c r="U88" s="127">
        <f>SUM(bdp!AX103:AX106)*1000000</f>
        <v>391400126278.20111</v>
      </c>
      <c r="V88" s="131">
        <f t="shared" si="5"/>
        <v>245610.12904768757</v>
      </c>
      <c r="W88" s="97"/>
      <c r="X88" s="18">
        <v>43646</v>
      </c>
      <c r="Y88" s="130">
        <v>8691.8915449344458</v>
      </c>
      <c r="Z88" s="130">
        <v>8691.8915449344458</v>
      </c>
      <c r="AA88" s="130">
        <v>8691.8915449344458</v>
      </c>
      <c r="AC88" s="140"/>
      <c r="AD88" s="151"/>
      <c r="AE88" s="137"/>
      <c r="AF88" s="137"/>
      <c r="AG88" s="137"/>
      <c r="AH88" s="137"/>
      <c r="AI88" s="140"/>
      <c r="AJ88" s="140"/>
      <c r="AK88" s="140"/>
    </row>
    <row r="89" spans="1:37" ht="14.25" customHeight="1">
      <c r="A89" s="18">
        <v>43738</v>
      </c>
      <c r="B89" s="126">
        <f t="shared" si="0"/>
        <v>3.7749571122218883E-2</v>
      </c>
      <c r="C89" s="97">
        <v>7.7499999999999999E-3</v>
      </c>
      <c r="D89" s="97">
        <v>6.7000000000000004E-2</v>
      </c>
      <c r="E89" s="97">
        <f t="shared" si="6"/>
        <v>1.789531031876157E-2</v>
      </c>
      <c r="F89" s="127">
        <v>1585676</v>
      </c>
      <c r="G89" s="127">
        <f>SUM(bdp!AR104:AR107)*1000000</f>
        <v>396059653874.10535</v>
      </c>
      <c r="H89" s="131">
        <f t="shared" si="3"/>
        <v>249773.37985446292</v>
      </c>
      <c r="I89" s="126">
        <f t="shared" si="1"/>
        <v>3.7749571122218883E-2</v>
      </c>
      <c r="J89" s="97">
        <v>7.7499999999999999E-3</v>
      </c>
      <c r="K89" s="97">
        <v>6.7000000000000004E-2</v>
      </c>
      <c r="L89" s="97">
        <f t="shared" si="7"/>
        <v>1.789531031876157E-2</v>
      </c>
      <c r="M89" s="127">
        <v>1585676</v>
      </c>
      <c r="N89" s="127">
        <f>SUM(bdp!AU104:AU107)*1000000</f>
        <v>396059653874.10535</v>
      </c>
      <c r="O89" s="131">
        <f t="shared" si="4"/>
        <v>249773.37985446292</v>
      </c>
      <c r="P89" s="126">
        <f t="shared" si="2"/>
        <v>3.7749571122218883E-2</v>
      </c>
      <c r="Q89" s="97">
        <v>7.7499999999999999E-3</v>
      </c>
      <c r="R89" s="97">
        <v>6.7000000000000004E-2</v>
      </c>
      <c r="S89" s="97">
        <f t="shared" si="8"/>
        <v>1.789531031876157E-2</v>
      </c>
      <c r="T89" s="127">
        <v>1585676</v>
      </c>
      <c r="U89" s="127">
        <f>SUM(bdp!AX104:AX107)*1000000</f>
        <v>396059653874.10535</v>
      </c>
      <c r="V89" s="131">
        <f t="shared" si="5"/>
        <v>249773.37985446292</v>
      </c>
      <c r="W89" s="97"/>
      <c r="X89" s="18">
        <v>43738</v>
      </c>
      <c r="Y89" s="130">
        <v>8809.732274768814</v>
      </c>
      <c r="Z89" s="130">
        <v>8809.732274768814</v>
      </c>
      <c r="AA89" s="130">
        <v>8809.732274768814</v>
      </c>
      <c r="AC89" s="137"/>
      <c r="AD89" s="510" t="s">
        <v>467</v>
      </c>
      <c r="AE89" s="511"/>
      <c r="AF89" s="512" t="s">
        <v>468</v>
      </c>
      <c r="AG89" s="513"/>
      <c r="AH89" s="511"/>
      <c r="AI89" s="512" t="s">
        <v>472</v>
      </c>
      <c r="AJ89" s="513"/>
      <c r="AK89" s="511"/>
    </row>
    <row r="90" spans="1:37" ht="14.25" customHeight="1">
      <c r="A90" s="18">
        <v>43830</v>
      </c>
      <c r="B90" s="126">
        <f t="shared" si="0"/>
        <v>5.611200615055556E-2</v>
      </c>
      <c r="C90" s="97">
        <v>9.2499999999999995E-3</v>
      </c>
      <c r="D90" s="97">
        <v>7.8807323919736189E-2</v>
      </c>
      <c r="E90" s="97">
        <f t="shared" si="6"/>
        <v>1.8867457281276367E-2</v>
      </c>
      <c r="F90" s="127">
        <v>1545192</v>
      </c>
      <c r="G90" s="127">
        <f>SUM(bdp!AR105:AR108)*1000000</f>
        <v>400102606315.64392</v>
      </c>
      <c r="H90" s="131">
        <f t="shared" si="3"/>
        <v>258933.91003554504</v>
      </c>
      <c r="I90" s="126">
        <f t="shared" si="1"/>
        <v>5.611200615055556E-2</v>
      </c>
      <c r="J90" s="97">
        <v>9.2499999999999995E-3</v>
      </c>
      <c r="K90" s="97">
        <v>7.8807323919736189E-2</v>
      </c>
      <c r="L90" s="97">
        <f t="shared" si="7"/>
        <v>1.8867457281276367E-2</v>
      </c>
      <c r="M90" s="127">
        <v>1545192</v>
      </c>
      <c r="N90" s="127">
        <f>SUM(bdp!AU105:AU108)*1000000</f>
        <v>400102606315.64392</v>
      </c>
      <c r="O90" s="131">
        <f t="shared" si="4"/>
        <v>258933.91003554504</v>
      </c>
      <c r="P90" s="126">
        <f t="shared" si="2"/>
        <v>5.611200615055556E-2</v>
      </c>
      <c r="Q90" s="97">
        <v>9.2499999999999995E-3</v>
      </c>
      <c r="R90" s="97">
        <v>7.8807323919736189E-2</v>
      </c>
      <c r="S90" s="97">
        <f t="shared" si="8"/>
        <v>1.8867457281276367E-2</v>
      </c>
      <c r="T90" s="127">
        <v>1545192</v>
      </c>
      <c r="U90" s="127">
        <f>SUM(bdp!AX105:AX108)*1000000</f>
        <v>400102606315.64392</v>
      </c>
      <c r="V90" s="131">
        <f t="shared" si="5"/>
        <v>258933.91003554504</v>
      </c>
      <c r="W90" s="97"/>
      <c r="X90" s="18">
        <v>43830</v>
      </c>
      <c r="Y90" s="130">
        <v>8817.4292533595217</v>
      </c>
      <c r="Z90" s="130">
        <v>8817.4292533595217</v>
      </c>
      <c r="AA90" s="130">
        <v>8817.4292533595217</v>
      </c>
      <c r="AB90" s="354" t="s">
        <v>1145</v>
      </c>
      <c r="AC90" s="137"/>
      <c r="AD90" s="152" t="s">
        <v>427</v>
      </c>
      <c r="AE90" s="153" t="s">
        <v>477</v>
      </c>
      <c r="AF90" s="154" t="s">
        <v>22</v>
      </c>
      <c r="AG90" s="154" t="s">
        <v>23</v>
      </c>
      <c r="AH90" s="153" t="s">
        <v>24</v>
      </c>
      <c r="AI90" s="155" t="s">
        <v>22</v>
      </c>
      <c r="AJ90" s="155" t="s">
        <v>23</v>
      </c>
      <c r="AK90" s="156" t="s">
        <v>24</v>
      </c>
    </row>
    <row r="91" spans="1:37" ht="14.25" customHeight="1">
      <c r="A91" s="88">
        <v>43921</v>
      </c>
      <c r="B91" s="157">
        <f t="shared" ref="B91:B94" si="12">$B$99+$B$100*C91+$B$101*D91+$B$102*E91</f>
        <v>4.438138632684234E-2</v>
      </c>
      <c r="C91" s="158">
        <f>inflacija!C79/100</f>
        <v>1.3433892836233386E-2</v>
      </c>
      <c r="D91" s="158">
        <f>nezaposlenost!V84/100</f>
        <v>8.6493411751229127E-2</v>
      </c>
      <c r="E91" s="158">
        <f t="shared" si="6"/>
        <v>3.0095291424668158E-2</v>
      </c>
      <c r="F91" s="159">
        <f>nezaposlenost!BB27</f>
        <v>1515174</v>
      </c>
      <c r="G91" s="159">
        <f>SUM(bdp!AR106:AR109)*1000000</f>
        <v>397789697952.94916</v>
      </c>
      <c r="H91" s="160">
        <f t="shared" si="3"/>
        <v>262537.30459534627</v>
      </c>
      <c r="I91" s="157">
        <f t="shared" ref="I91:I94" si="13">$B$99+$B$100*J91+$B$101*K91+$B$102*L91</f>
        <v>4.4275225057713641E-2</v>
      </c>
      <c r="J91" s="158">
        <f>inflacija!G79/100</f>
        <v>1.303223085810701E-2</v>
      </c>
      <c r="K91" s="158">
        <f>nezaposlenost!W84/100</f>
        <v>8.6493411751229127E-2</v>
      </c>
      <c r="L91" s="158">
        <f t="shared" si="7"/>
        <v>3.0095291424668158E-2</v>
      </c>
      <c r="M91" s="159">
        <f>nezaposlenost!BF27</f>
        <v>1515174</v>
      </c>
      <c r="N91" s="159">
        <f>SUM(bdp!AU106:AU109)*1000000</f>
        <v>397789697952.94916</v>
      </c>
      <c r="O91" s="160">
        <f t="shared" si="4"/>
        <v>262537.30459534627</v>
      </c>
      <c r="P91" s="157">
        <f t="shared" ref="P91:P94" si="14">$B$99+$B$100*Q91+$B$101*R91+$B$102*S91</f>
        <v>4.4186240562115522E-2</v>
      </c>
      <c r="Q91" s="158">
        <f>inflacija!J79/100</f>
        <v>1.2695557334722572E-2</v>
      </c>
      <c r="R91" s="158">
        <f>nezaposlenost!X84/100</f>
        <v>8.6493411751229127E-2</v>
      </c>
      <c r="S91" s="158">
        <f t="shared" si="8"/>
        <v>3.0095291424668158E-2</v>
      </c>
      <c r="T91" s="159">
        <f>nezaposlenost!BJ27</f>
        <v>1515174</v>
      </c>
      <c r="U91" s="159">
        <f>SUM(bdp!AX106:AX109)*1000000</f>
        <v>397789697952.94916</v>
      </c>
      <c r="V91" s="160">
        <f t="shared" si="5"/>
        <v>262537.30459534627</v>
      </c>
      <c r="W91" s="89"/>
      <c r="X91" s="88">
        <v>43921</v>
      </c>
      <c r="Y91" s="161">
        <f>(2*Y87*(1+B91)*AF91+$AE91*$AD91+Y87*(1+B91)*(AF91-$AD91))/(3*AF91)</f>
        <v>8515.0681632972774</v>
      </c>
      <c r="Z91" s="161">
        <f>(2*Z87*(1+I91)*AG91+$AE91*$AD91+Z87*(1+I91)*(AG91-$AD91))/(3*AG91)</f>
        <v>8514.2459703695768</v>
      </c>
      <c r="AA91" s="161">
        <f>(2*AA87*(1+P91)*AH91+$AE91*$AD91+AA87*(1+P91)*(AH91-$AD91))/(3*AH91)</f>
        <v>8513.5568073296472</v>
      </c>
      <c r="AB91" s="355" t="s">
        <v>1146</v>
      </c>
      <c r="AC91" s="162"/>
      <c r="AD91" s="163">
        <f>AF81</f>
        <v>484992</v>
      </c>
      <c r="AE91" s="164">
        <f>AD81/(1-5%-15%)</f>
        <v>3998.1675161652124</v>
      </c>
      <c r="AF91" s="165">
        <f t="array" ref="AF91:AF94">TRANSPOSE(nezaposlenost!BB27:BE27)</f>
        <v>1515174</v>
      </c>
      <c r="AG91" s="165">
        <f t="array" ref="AG91:AG94">TRANSPOSE(nezaposlenost!BF27:BI27)</f>
        <v>1515174</v>
      </c>
      <c r="AH91" s="166">
        <f t="array" ref="AH91:AH94">TRANSPOSE(nezaposlenost!BJ27:BM27)</f>
        <v>1515174</v>
      </c>
      <c r="AI91" s="167">
        <f t="shared" ref="AI91:AI94" si="15">(Y87*(1+B91)*(AF91-$AD91)+$AD91*$AE91)/AF91</f>
        <v>7436.0658268269754</v>
      </c>
      <c r="AJ91" s="167">
        <f t="shared" ref="AJ91:AJ94" si="16">(Z87*(1+I91)*(AG91-$AD91)+$AD91*$AE91)/AG91</f>
        <v>7435.4400402759757</v>
      </c>
      <c r="AK91" s="168">
        <f t="shared" ref="AK91:AK94" si="17">+(AA87*(1+P91)*(AH91-$AD91)+$AD91*$AE91)/AH91</f>
        <v>7434.9155052826618</v>
      </c>
    </row>
    <row r="92" spans="1:37" ht="14.25" customHeight="1">
      <c r="A92" s="88">
        <v>44012</v>
      </c>
      <c r="B92" s="157">
        <f t="shared" si="12"/>
        <v>2.758678279262031E-2</v>
      </c>
      <c r="C92" s="158">
        <f>inflacija!C80/100</f>
        <v>3.9667322440439289E-3</v>
      </c>
      <c r="D92" s="158">
        <f>nezaposlenost!V85/100</f>
        <v>0.1031508493011683</v>
      </c>
      <c r="E92" s="158">
        <f t="shared" si="6"/>
        <v>1.8885173160386959E-2</v>
      </c>
      <c r="F92" s="159">
        <f>nezaposlenost!BC27</f>
        <v>1487545.3910693568</v>
      </c>
      <c r="G92" s="159">
        <f>SUM(bdp!AR107:AR110)*1000000</f>
        <v>372256030859.11469</v>
      </c>
      <c r="H92" s="160">
        <f t="shared" si="3"/>
        <v>250248.51886469813</v>
      </c>
      <c r="I92" s="157">
        <f t="shared" si="13"/>
        <v>2.9782903189552217E-2</v>
      </c>
      <c r="J92" s="158">
        <f>inflacija!G80/100</f>
        <v>3.5390739570933215E-3</v>
      </c>
      <c r="K92" s="158">
        <f>nezaposlenost!W85/100</f>
        <v>0.10635359781804596</v>
      </c>
      <c r="L92" s="158">
        <f t="shared" si="7"/>
        <v>2.2536766194545033E-2</v>
      </c>
      <c r="M92" s="159">
        <f>nezaposlenost!BG27</f>
        <v>1482233.2002830654</v>
      </c>
      <c r="N92" s="159">
        <f>SUM(bdp!AU107:AU110)*1000000</f>
        <v>372256030859.11469</v>
      </c>
      <c r="O92" s="160">
        <f t="shared" si="4"/>
        <v>251145.38710104732</v>
      </c>
      <c r="P92" s="157">
        <f t="shared" si="14"/>
        <v>3.35172201449732E-2</v>
      </c>
      <c r="Q92" s="158">
        <f>inflacija!J80/100</f>
        <v>3.1806044410314805E-3</v>
      </c>
      <c r="R92" s="158">
        <f>nezaposlenost!X85/100</f>
        <v>0.11159580470380603</v>
      </c>
      <c r="S92" s="158">
        <f t="shared" si="8"/>
        <v>2.8570449179237345E-2</v>
      </c>
      <c r="T92" s="159">
        <f>nezaposlenost!BK27</f>
        <v>1473538.2924651026</v>
      </c>
      <c r="U92" s="159">
        <f>SUM(bdp!AX107:AX110)*1000000</f>
        <v>372256030859.11469</v>
      </c>
      <c r="V92" s="160">
        <f t="shared" si="5"/>
        <v>252627.32075755045</v>
      </c>
      <c r="W92" s="89"/>
      <c r="X92" s="88">
        <v>44012</v>
      </c>
      <c r="Y92" s="161">
        <f>(Y88*(1+B92)*AF92+$AE92*$AD92+2*Y88*(1+B92)*(AF92-$AD92))/(3*AF92)</f>
        <v>6978.2248574693222</v>
      </c>
      <c r="Z92" s="161">
        <f>(Z88*(1+I92)*AG92+$AE92*$AD92+2*Z88*(1+I92)*(AG92-$AD92))/(3*AG92)</f>
        <v>6984.5295309704734</v>
      </c>
      <c r="AA92" s="161">
        <f>(AA88*(1+P92)*AH92+$AE92*$AD92+2*AA88*(1+P92)*(AH92-$AD92))/(3*AH92)</f>
        <v>6995.4945064278336</v>
      </c>
      <c r="AB92" s="355" t="s">
        <v>1146</v>
      </c>
      <c r="AC92" s="162"/>
      <c r="AD92" s="163">
        <f>AF83</f>
        <v>673557</v>
      </c>
      <c r="AE92" s="164">
        <f>AD83/(1-5%-15%)</f>
        <v>4920.8215583571855</v>
      </c>
      <c r="AF92" s="165">
        <v>1487545.3910693568</v>
      </c>
      <c r="AG92" s="165">
        <v>1482233.2002830654</v>
      </c>
      <c r="AH92" s="166">
        <v>1473538.2924651026</v>
      </c>
      <c r="AI92" s="167">
        <f t="shared" si="15"/>
        <v>7115.5689756816637</v>
      </c>
      <c r="AJ92" s="167">
        <f t="shared" si="16"/>
        <v>7119.4744859675329</v>
      </c>
      <c r="AK92" s="168">
        <f t="shared" si="17"/>
        <v>7126.2901521067561</v>
      </c>
    </row>
    <row r="93" spans="1:37" ht="14.25" customHeight="1">
      <c r="A93" s="88">
        <v>44104</v>
      </c>
      <c r="B93" s="157">
        <f t="shared" si="12"/>
        <v>-1.6728630786620128E-2</v>
      </c>
      <c r="C93" s="158">
        <f>inflacija!C81/100</f>
        <v>-2.6620144449791528E-3</v>
      </c>
      <c r="D93" s="158">
        <f>nezaposlenost!V86/100</f>
        <v>0.14089210063870752</v>
      </c>
      <c r="E93" s="158">
        <f t="shared" si="6"/>
        <v>-1.8204103986497522E-2</v>
      </c>
      <c r="F93" s="159">
        <f>nezaposlenost!BD27</f>
        <v>1424946.4306571174</v>
      </c>
      <c r="G93" s="159">
        <f>SUM(bdp!AR108:AR111)*1000000</f>
        <v>349434596344.85785</v>
      </c>
      <c r="H93" s="160">
        <f t="shared" si="3"/>
        <v>245226.47927453334</v>
      </c>
      <c r="I93" s="157">
        <f t="shared" si="13"/>
        <v>-6.9377503622424976E-3</v>
      </c>
      <c r="J93" s="158">
        <f>inflacija!G81/100</f>
        <v>-1.0988959199354608E-3</v>
      </c>
      <c r="K93" s="158">
        <f>nezaposlenost!W86/100</f>
        <v>0.13332827763202879</v>
      </c>
      <c r="L93" s="158">
        <f t="shared" si="7"/>
        <v>-9.7977919964199467E-3</v>
      </c>
      <c r="M93" s="159">
        <f>nezaposlenost!BH27</f>
        <v>1437492.0522298</v>
      </c>
      <c r="N93" s="159">
        <f>SUM(bdp!AU108:AU111)*1000000</f>
        <v>355529378142.66138</v>
      </c>
      <c r="O93" s="160">
        <f t="shared" si="4"/>
        <v>247326.15223240611</v>
      </c>
      <c r="P93" s="157">
        <f t="shared" si="14"/>
        <v>4.7308561959815247E-3</v>
      </c>
      <c r="Q93" s="158">
        <f>inflacija!J81/100</f>
        <v>1.9312823654155765E-4</v>
      </c>
      <c r="R93" s="158">
        <f>nezaposlenost!X86/100</f>
        <v>0.12559413315431997</v>
      </c>
      <c r="S93" s="158">
        <f t="shared" si="8"/>
        <v>7.9374153066491537E-4</v>
      </c>
      <c r="T93" s="159">
        <f>nezaposlenost!BL27</f>
        <v>1450320.1749555843</v>
      </c>
      <c r="U93" s="159">
        <f>SUM(bdp!AX108:AX111)*1000000</f>
        <v>362538905928.24506</v>
      </c>
      <c r="V93" s="160">
        <f t="shared" si="5"/>
        <v>249971.63535930795</v>
      </c>
      <c r="W93" s="89"/>
      <c r="X93" s="88">
        <v>44104</v>
      </c>
      <c r="Y93" s="161">
        <f>Y89*(1+B93)</f>
        <v>8662.3575162152356</v>
      </c>
      <c r="Z93" s="161">
        <f>Z89*(1+I93)</f>
        <v>8748.6125514882769</v>
      </c>
      <c r="AA93" s="161">
        <f>AA89*(1+P93)</f>
        <v>8851.4098512858436</v>
      </c>
      <c r="AB93" s="355" t="s">
        <v>1147</v>
      </c>
      <c r="AC93" s="162"/>
      <c r="AD93" s="163">
        <f t="shared" ref="AD93:AE93" si="18">AD92</f>
        <v>673557</v>
      </c>
      <c r="AE93" s="164">
        <f t="shared" si="18"/>
        <v>4920.8215583571855</v>
      </c>
      <c r="AF93" s="165">
        <v>1424946.4306571174</v>
      </c>
      <c r="AG93" s="165">
        <v>1437492.0522298</v>
      </c>
      <c r="AH93" s="166">
        <v>1450320.1749555843</v>
      </c>
      <c r="AI93" s="167">
        <f t="shared" si="15"/>
        <v>6893.77332178708</v>
      </c>
      <c r="AJ93" s="167">
        <f t="shared" si="16"/>
        <v>6955.0475617124339</v>
      </c>
      <c r="AK93" s="168">
        <f t="shared" si="17"/>
        <v>7025.9679216090217</v>
      </c>
    </row>
    <row r="94" spans="1:37" ht="14.25" customHeight="1">
      <c r="A94" s="88">
        <v>44196</v>
      </c>
      <c r="B94" s="169">
        <f t="shared" si="12"/>
        <v>-6.7464296470719803E-2</v>
      </c>
      <c r="C94" s="170">
        <f>inflacija!C82/100</f>
        <v>-4.7105108787512309E-3</v>
      </c>
      <c r="D94" s="170">
        <f>nezaposlenost!V87/100</f>
        <v>0.14614332901839913</v>
      </c>
      <c r="E94" s="170">
        <f t="shared" si="6"/>
        <v>-7.4200747655002286E-2</v>
      </c>
      <c r="F94" s="171">
        <f>nezaposlenost!BE27</f>
        <v>1416236.5594735676</v>
      </c>
      <c r="G94" s="171">
        <f>SUM(bdp!AR109:AR112)*1000000</f>
        <v>339501389800.88464</v>
      </c>
      <c r="H94" s="172">
        <f t="shared" si="3"/>
        <v>239720.82031767449</v>
      </c>
      <c r="I94" s="169">
        <f t="shared" si="13"/>
        <v>-5.0293602063581598E-2</v>
      </c>
      <c r="J94" s="170">
        <f>inflacija!G82/100</f>
        <v>-2.5839019616758006E-3</v>
      </c>
      <c r="K94" s="170">
        <f>nezaposlenost!W87/100</f>
        <v>0.1356074614770254</v>
      </c>
      <c r="L94" s="170">
        <f t="shared" si="7"/>
        <v>-5.8419490237261673E-2</v>
      </c>
      <c r="M94" s="171">
        <f>nezaposlenost!BI27</f>
        <v>1433711.7181330537</v>
      </c>
      <c r="N94" s="171">
        <f>SUM(bdp!AU109:AU112)*1000000</f>
        <v>349549129218.19183</v>
      </c>
      <c r="O94" s="172">
        <f t="shared" si="4"/>
        <v>243807.12300612751</v>
      </c>
      <c r="P94" s="169">
        <f t="shared" si="14"/>
        <v>-3.0831580283802743E-2</v>
      </c>
      <c r="Q94" s="170">
        <f>inflacija!J82/100</f>
        <v>-7.8406184763628371E-4</v>
      </c>
      <c r="R94" s="170">
        <f>nezaposlenost!X87/100</f>
        <v>0.12593221241003588</v>
      </c>
      <c r="S94" s="170">
        <f t="shared" si="8"/>
        <v>-3.963927511711185E-2</v>
      </c>
      <c r="T94" s="171">
        <f>nezaposlenost!BM27</f>
        <v>1449759.4248692801</v>
      </c>
      <c r="U94" s="171">
        <f>SUM(bdp!AX109:AX112)*1000000</f>
        <v>360511614623.27911</v>
      </c>
      <c r="V94" s="172">
        <f t="shared" si="5"/>
        <v>248669.95753849659</v>
      </c>
      <c r="W94" s="89"/>
      <c r="X94" s="88">
        <v>44196</v>
      </c>
      <c r="Y94" s="161">
        <f>Y90*(1+B94)</f>
        <v>8222.5675921012771</v>
      </c>
      <c r="Z94" s="161">
        <f>Z90*(1+I94)</f>
        <v>8373.9689752672748</v>
      </c>
      <c r="AA94" s="161">
        <f>AA90*(1+P94)</f>
        <v>8545.5739754378174</v>
      </c>
      <c r="AB94" s="355" t="s">
        <v>1147</v>
      </c>
      <c r="AC94" s="162"/>
      <c r="AD94" s="173">
        <f t="shared" ref="AD94:AE94" si="19">AD93</f>
        <v>673557</v>
      </c>
      <c r="AE94" s="174">
        <f t="shared" si="19"/>
        <v>4920.8215583571855</v>
      </c>
      <c r="AF94" s="175">
        <v>1416236.5594735676</v>
      </c>
      <c r="AG94" s="175">
        <v>1433711.7181330537</v>
      </c>
      <c r="AH94" s="176">
        <v>1449759.4248692801</v>
      </c>
      <c r="AI94" s="177">
        <f t="shared" si="15"/>
        <v>6652.2690862660475</v>
      </c>
      <c r="AJ94" s="177">
        <f t="shared" si="16"/>
        <v>6751.6821617644664</v>
      </c>
      <c r="AK94" s="178">
        <f t="shared" si="17"/>
        <v>6861.5170747477468</v>
      </c>
    </row>
    <row r="95" spans="1:37" ht="14.25" customHeight="1">
      <c r="W95" s="3"/>
    </row>
    <row r="96" spans="1:37" ht="14.25" customHeight="1">
      <c r="W96" s="3"/>
    </row>
    <row r="97" spans="1:23" ht="14.25" customHeight="1">
      <c r="A97" s="179"/>
      <c r="W97" s="3"/>
    </row>
    <row r="98" spans="1:23" ht="14.25" customHeight="1">
      <c r="A98" s="105" t="s">
        <v>518</v>
      </c>
      <c r="B98" s="105" t="s">
        <v>189</v>
      </c>
      <c r="C98" s="105" t="s">
        <v>190</v>
      </c>
      <c r="D98" s="105" t="s">
        <v>191</v>
      </c>
      <c r="E98" s="105" t="s">
        <v>192</v>
      </c>
      <c r="F98" s="105"/>
      <c r="W98" s="3"/>
    </row>
    <row r="99" spans="1:23" ht="14.25" customHeight="1">
      <c r="A99" s="105" t="s">
        <v>193</v>
      </c>
      <c r="B99" s="105">
        <v>3.8142000000000002E-2</v>
      </c>
      <c r="C99" s="105">
        <v>9.5630000000000003E-3</v>
      </c>
      <c r="D99" s="105">
        <v>3.9889999999999999</v>
      </c>
      <c r="E99" s="180">
        <v>1.63E-4</v>
      </c>
      <c r="F99" s="105" t="s">
        <v>194</v>
      </c>
      <c r="W99" s="3"/>
    </row>
    <row r="100" spans="1:23" ht="14.25" customHeight="1">
      <c r="A100" s="105" t="s">
        <v>275</v>
      </c>
      <c r="B100" s="105">
        <v>0.26430500000000001</v>
      </c>
      <c r="C100" s="105">
        <v>0.15759000000000001</v>
      </c>
      <c r="D100" s="105">
        <v>1.677</v>
      </c>
      <c r="E100" s="180">
        <v>9.8033999999999996E-2</v>
      </c>
      <c r="F100" s="105" t="s">
        <v>520</v>
      </c>
      <c r="W100" s="3"/>
    </row>
    <row r="101" spans="1:23" ht="14.25" customHeight="1">
      <c r="A101" s="105" t="s">
        <v>12</v>
      </c>
      <c r="B101" s="105">
        <v>-0.27193499999999998</v>
      </c>
      <c r="C101" s="105">
        <v>5.8361999999999997E-2</v>
      </c>
      <c r="D101" s="105">
        <v>-4.6589999999999998</v>
      </c>
      <c r="E101" s="180">
        <v>1.5E-5</v>
      </c>
      <c r="F101" s="105" t="s">
        <v>194</v>
      </c>
      <c r="W101" s="3"/>
    </row>
    <row r="102" spans="1:23" ht="14.25" customHeight="1">
      <c r="A102" s="105" t="s">
        <v>276</v>
      </c>
      <c r="B102" s="105">
        <v>0.87087800000000004</v>
      </c>
      <c r="C102" s="105">
        <v>0.10143099999999999</v>
      </c>
      <c r="D102" s="105">
        <v>8.5860000000000003</v>
      </c>
      <c r="E102" s="180">
        <v>1.7E-12</v>
      </c>
      <c r="F102" s="105" t="s">
        <v>194</v>
      </c>
      <c r="W102" s="3"/>
    </row>
    <row r="103" spans="1:23" ht="14.25" customHeight="1">
      <c r="W103" s="3"/>
    </row>
    <row r="104" spans="1:23" ht="14.25" customHeight="1">
      <c r="W104" s="3"/>
    </row>
    <row r="105" spans="1:23" ht="14.25" customHeight="1">
      <c r="W105" s="3"/>
    </row>
    <row r="106" spans="1:23" ht="14.25" customHeight="1">
      <c r="W106" s="3"/>
    </row>
    <row r="107" spans="1:23" ht="14.25" customHeight="1">
      <c r="E107" s="181"/>
      <c r="W107" s="3"/>
    </row>
    <row r="108" spans="1:23" ht="14.25" customHeight="1">
      <c r="E108" s="181"/>
      <c r="W108" s="3"/>
    </row>
    <row r="109" spans="1:23" ht="14.25" customHeight="1">
      <c r="W109" s="3"/>
    </row>
    <row r="110" spans="1:23" ht="14.25" customHeight="1">
      <c r="W110" s="3"/>
    </row>
    <row r="111" spans="1:23" ht="14.25" customHeight="1">
      <c r="W111" s="3"/>
    </row>
    <row r="112" spans="1:23" ht="14.25" customHeight="1">
      <c r="W112" s="3"/>
    </row>
    <row r="113" spans="23:23" ht="14.25" customHeight="1">
      <c r="W113" s="3"/>
    </row>
    <row r="114" spans="23:23" ht="14.25" customHeight="1">
      <c r="W114" s="3"/>
    </row>
    <row r="115" spans="23:23" ht="14.25" customHeight="1">
      <c r="W115" s="3"/>
    </row>
    <row r="116" spans="23:23" ht="14.25" customHeight="1">
      <c r="W116" s="3"/>
    </row>
    <row r="117" spans="23:23" ht="14.25" customHeight="1">
      <c r="W117" s="3"/>
    </row>
    <row r="118" spans="23:23" ht="14.25" customHeight="1">
      <c r="W118" s="3"/>
    </row>
    <row r="119" spans="23:23" ht="14.25" customHeight="1">
      <c r="W119" s="3"/>
    </row>
    <row r="120" spans="23:23" ht="14.25" customHeight="1">
      <c r="W120" s="3"/>
    </row>
    <row r="121" spans="23:23" ht="14.25" customHeight="1">
      <c r="W121" s="3"/>
    </row>
    <row r="122" spans="23:23" ht="14.25" customHeight="1">
      <c r="W122" s="3"/>
    </row>
    <row r="123" spans="23:23" ht="14.25" customHeight="1">
      <c r="W123" s="3"/>
    </row>
    <row r="124" spans="23:23" ht="14.25" customHeight="1">
      <c r="W124" s="3"/>
    </row>
    <row r="125" spans="23:23" ht="14.25" customHeight="1">
      <c r="W125" s="3"/>
    </row>
    <row r="126" spans="23:23" ht="14.25" customHeight="1">
      <c r="W126" s="3"/>
    </row>
    <row r="127" spans="23:23" ht="14.25" customHeight="1">
      <c r="W127" s="3"/>
    </row>
    <row r="128" spans="23:23" ht="14.25" customHeight="1">
      <c r="W128" s="3"/>
    </row>
    <row r="129" spans="23:23" ht="14.25" customHeight="1">
      <c r="W129" s="3"/>
    </row>
    <row r="130" spans="23:23" ht="14.25" customHeight="1">
      <c r="W130" s="3"/>
    </row>
    <row r="131" spans="23:23" ht="14.25" customHeight="1">
      <c r="W131" s="3"/>
    </row>
    <row r="132" spans="23:23" ht="14.25" customHeight="1">
      <c r="W132" s="3"/>
    </row>
    <row r="133" spans="23:23" ht="14.25" customHeight="1">
      <c r="W133" s="3"/>
    </row>
    <row r="134" spans="23:23" ht="14.25" customHeight="1">
      <c r="W134" s="3"/>
    </row>
    <row r="135" spans="23:23" ht="14.25" customHeight="1">
      <c r="W135" s="3"/>
    </row>
    <row r="136" spans="23:23" ht="14.25" customHeight="1">
      <c r="W136" s="3"/>
    </row>
    <row r="137" spans="23:23" ht="14.25" customHeight="1">
      <c r="W137" s="3"/>
    </row>
    <row r="138" spans="23:23" ht="14.25" customHeight="1">
      <c r="W138" s="3"/>
    </row>
    <row r="139" spans="23:23" ht="14.25" customHeight="1">
      <c r="W139" s="3"/>
    </row>
    <row r="140" spans="23:23" ht="14.25" customHeight="1">
      <c r="W140" s="3"/>
    </row>
    <row r="141" spans="23:23" ht="14.25" customHeight="1">
      <c r="W141" s="3"/>
    </row>
    <row r="142" spans="23:23" ht="14.25" customHeight="1">
      <c r="W142" s="3"/>
    </row>
    <row r="143" spans="23:23" ht="14.25" customHeight="1">
      <c r="W143" s="3"/>
    </row>
    <row r="144" spans="23:23" ht="14.25" customHeight="1">
      <c r="W144" s="3"/>
    </row>
    <row r="145" spans="23:23" ht="14.25" customHeight="1">
      <c r="W145" s="3"/>
    </row>
    <row r="146" spans="23:23" ht="14.25" customHeight="1">
      <c r="W146" s="3"/>
    </row>
    <row r="147" spans="23:23" ht="14.25" customHeight="1">
      <c r="W147" s="3"/>
    </row>
    <row r="148" spans="23:23" ht="14.25" customHeight="1">
      <c r="W148" s="3"/>
    </row>
    <row r="149" spans="23:23" ht="14.25" customHeight="1">
      <c r="W149" s="3"/>
    </row>
    <row r="150" spans="23:23" ht="14.25" customHeight="1">
      <c r="W150" s="3"/>
    </row>
    <row r="151" spans="23:23" ht="14.25" customHeight="1">
      <c r="W151" s="3"/>
    </row>
    <row r="152" spans="23:23" ht="14.25" customHeight="1">
      <c r="W152" s="3"/>
    </row>
    <row r="153" spans="23:23" ht="14.25" customHeight="1">
      <c r="W153" s="3"/>
    </row>
    <row r="154" spans="23:23" ht="14.25" customHeight="1">
      <c r="W154" s="3"/>
    </row>
    <row r="155" spans="23:23" ht="14.25" customHeight="1">
      <c r="W155" s="3"/>
    </row>
    <row r="156" spans="23:23" ht="14.25" customHeight="1">
      <c r="W156" s="3"/>
    </row>
    <row r="157" spans="23:23" ht="14.25" customHeight="1">
      <c r="W157" s="3"/>
    </row>
    <row r="158" spans="23:23" ht="14.25" customHeight="1">
      <c r="W158" s="3"/>
    </row>
    <row r="159" spans="23:23" ht="14.25" customHeight="1">
      <c r="W159" s="3"/>
    </row>
    <row r="160" spans="23:23" ht="14.25" customHeight="1">
      <c r="W160" s="3"/>
    </row>
    <row r="161" spans="23:23" ht="14.25" customHeight="1">
      <c r="W161" s="3"/>
    </row>
    <row r="162" spans="23:23" ht="14.25" customHeight="1">
      <c r="W162" s="3"/>
    </row>
    <row r="163" spans="23:23" ht="14.25" customHeight="1">
      <c r="W163" s="3"/>
    </row>
    <row r="164" spans="23:23" ht="14.25" customHeight="1">
      <c r="W164" s="3"/>
    </row>
    <row r="165" spans="23:23" ht="14.25" customHeight="1">
      <c r="W165" s="3"/>
    </row>
    <row r="166" spans="23:23" ht="14.25" customHeight="1">
      <c r="W166" s="3"/>
    </row>
    <row r="167" spans="23:23" ht="14.25" customHeight="1">
      <c r="W167" s="3"/>
    </row>
    <row r="168" spans="23:23" ht="14.25" customHeight="1">
      <c r="W168" s="3"/>
    </row>
    <row r="169" spans="23:23" ht="14.25" customHeight="1">
      <c r="W169" s="3"/>
    </row>
    <row r="170" spans="23:23" ht="14.25" customHeight="1">
      <c r="W170" s="3"/>
    </row>
    <row r="171" spans="23:23" ht="14.25" customHeight="1">
      <c r="W171" s="3"/>
    </row>
    <row r="172" spans="23:23" ht="14.25" customHeight="1">
      <c r="W172" s="3"/>
    </row>
    <row r="173" spans="23:23" ht="14.25" customHeight="1">
      <c r="W173" s="3"/>
    </row>
    <row r="174" spans="23:23" ht="14.25" customHeight="1">
      <c r="W174" s="3"/>
    </row>
    <row r="175" spans="23:23" ht="14.25" customHeight="1">
      <c r="W175" s="3"/>
    </row>
    <row r="176" spans="23:23" ht="14.25" customHeight="1">
      <c r="W176" s="3"/>
    </row>
    <row r="177" spans="23:23" ht="14.25" customHeight="1">
      <c r="W177" s="3"/>
    </row>
    <row r="178" spans="23:23" ht="14.25" customHeight="1">
      <c r="W178" s="3"/>
    </row>
    <row r="179" spans="23:23" ht="14.25" customHeight="1">
      <c r="W179" s="3"/>
    </row>
    <row r="180" spans="23:23" ht="14.25" customHeight="1">
      <c r="W180" s="3"/>
    </row>
    <row r="181" spans="23:23" ht="14.25" customHeight="1">
      <c r="W181" s="3"/>
    </row>
    <row r="182" spans="23:23" ht="14.25" customHeight="1">
      <c r="W182" s="3"/>
    </row>
    <row r="183" spans="23:23" ht="14.25" customHeight="1">
      <c r="W183" s="3"/>
    </row>
    <row r="184" spans="23:23" ht="14.25" customHeight="1">
      <c r="W184" s="3"/>
    </row>
    <row r="185" spans="23:23" ht="14.25" customHeight="1">
      <c r="W185" s="3"/>
    </row>
    <row r="186" spans="23:23" ht="14.25" customHeight="1">
      <c r="W186" s="3"/>
    </row>
    <row r="187" spans="23:23" ht="14.25" customHeight="1">
      <c r="W187" s="3"/>
    </row>
    <row r="188" spans="23:23" ht="14.25" customHeight="1">
      <c r="W188" s="3"/>
    </row>
    <row r="189" spans="23:23" ht="14.25" customHeight="1">
      <c r="W189" s="3"/>
    </row>
    <row r="190" spans="23:23" ht="14.25" customHeight="1">
      <c r="W190" s="3"/>
    </row>
    <row r="191" spans="23:23" ht="14.25" customHeight="1">
      <c r="W191" s="3"/>
    </row>
    <row r="192" spans="23:23" ht="14.25" customHeight="1">
      <c r="W192" s="3"/>
    </row>
    <row r="193" spans="23:23" ht="14.25" customHeight="1">
      <c r="W193" s="3"/>
    </row>
    <row r="194" spans="23:23" ht="14.25" customHeight="1">
      <c r="W194" s="3"/>
    </row>
    <row r="195" spans="23:23" ht="14.25" customHeight="1">
      <c r="W195" s="3"/>
    </row>
    <row r="196" spans="23:23" ht="14.25" customHeight="1">
      <c r="W196" s="3"/>
    </row>
    <row r="197" spans="23:23" ht="14.25" customHeight="1">
      <c r="W197" s="3"/>
    </row>
    <row r="198" spans="23:23" ht="14.25" customHeight="1">
      <c r="W198" s="3"/>
    </row>
    <row r="199" spans="23:23" ht="14.25" customHeight="1">
      <c r="W199" s="3"/>
    </row>
    <row r="200" spans="23:23" ht="14.25" customHeight="1">
      <c r="W200" s="3"/>
    </row>
    <row r="201" spans="23:23" ht="14.25" customHeight="1">
      <c r="W201" s="3"/>
    </row>
    <row r="202" spans="23:23" ht="14.25" customHeight="1">
      <c r="W202" s="3"/>
    </row>
    <row r="203" spans="23:23" ht="14.25" customHeight="1">
      <c r="W203" s="3"/>
    </row>
    <row r="204" spans="23:23" ht="14.25" customHeight="1">
      <c r="W204" s="3"/>
    </row>
    <row r="205" spans="23:23" ht="14.25" customHeight="1">
      <c r="W205" s="3"/>
    </row>
    <row r="206" spans="23:23" ht="14.25" customHeight="1">
      <c r="W206" s="3"/>
    </row>
    <row r="207" spans="23:23" ht="14.25" customHeight="1">
      <c r="W207" s="3"/>
    </row>
    <row r="208" spans="23:23" ht="14.25" customHeight="1">
      <c r="W208" s="3"/>
    </row>
    <row r="209" spans="23:23" ht="14.25" customHeight="1">
      <c r="W209" s="3"/>
    </row>
    <row r="210" spans="23:23" ht="14.25" customHeight="1">
      <c r="W210" s="3"/>
    </row>
    <row r="211" spans="23:23" ht="14.25" customHeight="1">
      <c r="W211" s="3"/>
    </row>
    <row r="212" spans="23:23" ht="14.25" customHeight="1">
      <c r="W212" s="3"/>
    </row>
    <row r="213" spans="23:23" ht="14.25" customHeight="1">
      <c r="W213" s="3"/>
    </row>
    <row r="214" spans="23:23" ht="14.25" customHeight="1">
      <c r="W214" s="3"/>
    </row>
    <row r="215" spans="23:23" ht="14.25" customHeight="1">
      <c r="W215" s="3"/>
    </row>
    <row r="216" spans="23:23" ht="14.25" customHeight="1">
      <c r="W216" s="3"/>
    </row>
    <row r="217" spans="23:23" ht="14.25" customHeight="1">
      <c r="W217" s="3"/>
    </row>
    <row r="218" spans="23:23" ht="14.25" customHeight="1">
      <c r="W218" s="3"/>
    </row>
    <row r="219" spans="23:23" ht="14.25" customHeight="1">
      <c r="W219" s="3"/>
    </row>
    <row r="220" spans="23:23" ht="14.25" customHeight="1">
      <c r="W220" s="3"/>
    </row>
    <row r="221" spans="23:23" ht="14.25" customHeight="1">
      <c r="W221" s="3"/>
    </row>
    <row r="222" spans="23:23" ht="14.25" customHeight="1">
      <c r="W222" s="3"/>
    </row>
    <row r="223" spans="23:23" ht="14.25" customHeight="1">
      <c r="W223" s="3"/>
    </row>
    <row r="224" spans="23:23" ht="14.25" customHeight="1">
      <c r="W224" s="3"/>
    </row>
    <row r="225" spans="23:23" ht="14.25" customHeight="1">
      <c r="W225" s="3"/>
    </row>
    <row r="226" spans="23:23" ht="14.25" customHeight="1">
      <c r="W226" s="3"/>
    </row>
    <row r="227" spans="23:23" ht="14.25" customHeight="1">
      <c r="W227" s="3"/>
    </row>
    <row r="228" spans="23:23" ht="14.25" customHeight="1">
      <c r="W228" s="3"/>
    </row>
    <row r="229" spans="23:23" ht="14.25" customHeight="1">
      <c r="W229" s="3"/>
    </row>
    <row r="230" spans="23:23" ht="14.25" customHeight="1">
      <c r="W230" s="3"/>
    </row>
    <row r="231" spans="23:23" ht="14.25" customHeight="1">
      <c r="W231" s="3"/>
    </row>
    <row r="232" spans="23:23" ht="14.25" customHeight="1">
      <c r="W232" s="3"/>
    </row>
    <row r="233" spans="23:23" ht="14.25" customHeight="1">
      <c r="W233" s="3"/>
    </row>
    <row r="234" spans="23:23" ht="14.25" customHeight="1">
      <c r="W234" s="3"/>
    </row>
    <row r="235" spans="23:23" ht="14.25" customHeight="1">
      <c r="W235" s="3"/>
    </row>
    <row r="236" spans="23:23" ht="14.25" customHeight="1">
      <c r="W236" s="3"/>
    </row>
    <row r="237" spans="23:23" ht="14.25" customHeight="1">
      <c r="W237" s="3"/>
    </row>
    <row r="238" spans="23:23" ht="14.25" customHeight="1">
      <c r="W238" s="3"/>
    </row>
    <row r="239" spans="23:23" ht="14.25" customHeight="1">
      <c r="W239" s="3"/>
    </row>
    <row r="240" spans="23:23" ht="14.25" customHeight="1">
      <c r="W240" s="3"/>
    </row>
    <row r="241" spans="23:23" ht="14.25" customHeight="1">
      <c r="W241" s="3"/>
    </row>
    <row r="242" spans="23:23" ht="14.25" customHeight="1">
      <c r="W242" s="3"/>
    </row>
    <row r="243" spans="23:23" ht="14.25" customHeight="1">
      <c r="W243" s="3"/>
    </row>
    <row r="244" spans="23:23" ht="14.25" customHeight="1">
      <c r="W244" s="3"/>
    </row>
    <row r="245" spans="23:23" ht="14.25" customHeight="1">
      <c r="W245" s="3"/>
    </row>
    <row r="246" spans="23:23" ht="14.25" customHeight="1">
      <c r="W246" s="3"/>
    </row>
    <row r="247" spans="23:23" ht="14.25" customHeight="1">
      <c r="W247" s="3"/>
    </row>
    <row r="248" spans="23:23" ht="14.25" customHeight="1">
      <c r="W248" s="3"/>
    </row>
    <row r="249" spans="23:23" ht="14.25" customHeight="1">
      <c r="W249" s="3"/>
    </row>
    <row r="250" spans="23:23" ht="14.25" customHeight="1">
      <c r="W250" s="3"/>
    </row>
    <row r="251" spans="23:23" ht="14.25" customHeight="1">
      <c r="W251" s="3"/>
    </row>
    <row r="252" spans="23:23" ht="14.25" customHeight="1">
      <c r="W252" s="3"/>
    </row>
    <row r="253" spans="23:23" ht="14.25" customHeight="1">
      <c r="W253" s="3"/>
    </row>
    <row r="254" spans="23:23" ht="14.25" customHeight="1">
      <c r="W254" s="3"/>
    </row>
    <row r="255" spans="23:23" ht="14.25" customHeight="1">
      <c r="W255" s="3"/>
    </row>
    <row r="256" spans="23:23" ht="14.25" customHeight="1">
      <c r="W256" s="3"/>
    </row>
    <row r="257" spans="23:23" ht="14.25" customHeight="1">
      <c r="W257" s="3"/>
    </row>
    <row r="258" spans="23:23" ht="14.25" customHeight="1">
      <c r="W258" s="3"/>
    </row>
    <row r="259" spans="23:23" ht="14.25" customHeight="1">
      <c r="W259" s="3"/>
    </row>
    <row r="260" spans="23:23" ht="14.25" customHeight="1">
      <c r="W260" s="3"/>
    </row>
    <row r="261" spans="23:23" ht="14.25" customHeight="1">
      <c r="W261" s="3"/>
    </row>
    <row r="262" spans="23:23" ht="14.25" customHeight="1">
      <c r="W262" s="3"/>
    </row>
    <row r="263" spans="23:23" ht="14.25" customHeight="1">
      <c r="W263" s="3"/>
    </row>
    <row r="264" spans="23:23" ht="14.25" customHeight="1">
      <c r="W264" s="3"/>
    </row>
    <row r="265" spans="23:23" ht="14.25" customHeight="1">
      <c r="W265" s="3"/>
    </row>
    <row r="266" spans="23:23" ht="14.25" customHeight="1">
      <c r="W266" s="3"/>
    </row>
    <row r="267" spans="23:23" ht="14.25" customHeight="1">
      <c r="W267" s="3"/>
    </row>
    <row r="268" spans="23:23" ht="14.25" customHeight="1">
      <c r="W268" s="3"/>
    </row>
    <row r="269" spans="23:23" ht="14.25" customHeight="1">
      <c r="W269" s="3"/>
    </row>
    <row r="270" spans="23:23" ht="14.25" customHeight="1">
      <c r="W270" s="3"/>
    </row>
    <row r="271" spans="23:23" ht="14.25" customHeight="1">
      <c r="W271" s="3"/>
    </row>
    <row r="272" spans="23:23" ht="14.25" customHeight="1">
      <c r="W272" s="3"/>
    </row>
    <row r="273" spans="23:23" ht="14.25" customHeight="1">
      <c r="W273" s="3"/>
    </row>
    <row r="274" spans="23:23" ht="14.25" customHeight="1">
      <c r="W274" s="3"/>
    </row>
    <row r="275" spans="23:23" ht="14.25" customHeight="1">
      <c r="W275" s="3"/>
    </row>
    <row r="276" spans="23:23" ht="14.25" customHeight="1">
      <c r="W276" s="3"/>
    </row>
    <row r="277" spans="23:23" ht="14.25" customHeight="1">
      <c r="W277" s="3"/>
    </row>
    <row r="278" spans="23:23" ht="14.25" customHeight="1">
      <c r="W278" s="3"/>
    </row>
    <row r="279" spans="23:23" ht="14.25" customHeight="1">
      <c r="W279" s="3"/>
    </row>
    <row r="280" spans="23:23" ht="14.25" customHeight="1">
      <c r="W280" s="3"/>
    </row>
    <row r="281" spans="23:23" ht="14.25" customHeight="1">
      <c r="W281" s="3"/>
    </row>
    <row r="282" spans="23:23" ht="14.25" customHeight="1">
      <c r="W282" s="3"/>
    </row>
    <row r="283" spans="23:23" ht="14.25" customHeight="1">
      <c r="W283" s="3"/>
    </row>
    <row r="284" spans="23:23" ht="14.25" customHeight="1">
      <c r="W284" s="3"/>
    </row>
    <row r="285" spans="23:23" ht="14.25" customHeight="1">
      <c r="W285" s="3"/>
    </row>
    <row r="286" spans="23:23" ht="14.25" customHeight="1">
      <c r="W286" s="3"/>
    </row>
    <row r="287" spans="23:23" ht="14.25" customHeight="1">
      <c r="W287" s="3"/>
    </row>
    <row r="288" spans="23:23" ht="14.25" customHeight="1">
      <c r="W288" s="3"/>
    </row>
    <row r="289" spans="23:23" ht="14.25" customHeight="1">
      <c r="W289" s="3"/>
    </row>
    <row r="290" spans="23:23" ht="14.25" customHeight="1">
      <c r="W290" s="3"/>
    </row>
    <row r="291" spans="23:23" ht="14.25" customHeight="1">
      <c r="W291" s="3"/>
    </row>
    <row r="292" spans="23:23" ht="14.25" customHeight="1">
      <c r="W292" s="3"/>
    </row>
    <row r="293" spans="23:23" ht="14.25" customHeight="1">
      <c r="W293" s="3"/>
    </row>
    <row r="294" spans="23:23" ht="14.25" customHeight="1">
      <c r="W294" s="3"/>
    </row>
    <row r="295" spans="23:23" ht="14.25" customHeight="1">
      <c r="W295" s="3"/>
    </row>
    <row r="296" spans="23:23" ht="14.25" customHeight="1">
      <c r="W296" s="3"/>
    </row>
    <row r="297" spans="23:23" ht="14.25" customHeight="1">
      <c r="W297" s="3"/>
    </row>
    <row r="298" spans="23:23" ht="14.25" customHeight="1">
      <c r="W298" s="3"/>
    </row>
    <row r="299" spans="23:23" ht="14.25" customHeight="1">
      <c r="W299" s="3"/>
    </row>
    <row r="300" spans="23:23" ht="14.25" customHeight="1">
      <c r="W300" s="3"/>
    </row>
    <row r="301" spans="23:23" ht="14.25" customHeight="1">
      <c r="W301" s="3"/>
    </row>
    <row r="302" spans="23:23" ht="14.25" customHeight="1">
      <c r="W302" s="3"/>
    </row>
    <row r="303" spans="23:23" ht="14.25" customHeight="1">
      <c r="W303" s="3"/>
    </row>
    <row r="304" spans="23:23" ht="14.25" customHeight="1">
      <c r="W304" s="3"/>
    </row>
    <row r="305" spans="23:23" ht="14.25" customHeight="1">
      <c r="W305" s="3"/>
    </row>
    <row r="306" spans="23:23" ht="14.25" customHeight="1">
      <c r="W306" s="3"/>
    </row>
    <row r="307" spans="23:23" ht="14.25" customHeight="1">
      <c r="W307" s="3"/>
    </row>
    <row r="308" spans="23:23" ht="14.25" customHeight="1">
      <c r="W308" s="3"/>
    </row>
    <row r="309" spans="23:23" ht="14.25" customHeight="1">
      <c r="W309" s="3"/>
    </row>
    <row r="310" spans="23:23" ht="14.25" customHeight="1">
      <c r="W310" s="3"/>
    </row>
    <row r="311" spans="23:23" ht="14.25" customHeight="1">
      <c r="W311" s="3"/>
    </row>
    <row r="312" spans="23:23" ht="14.25" customHeight="1">
      <c r="W312" s="3"/>
    </row>
    <row r="313" spans="23:23" ht="14.25" customHeight="1">
      <c r="W313" s="3"/>
    </row>
    <row r="314" spans="23:23" ht="14.25" customHeight="1">
      <c r="W314" s="3"/>
    </row>
    <row r="315" spans="23:23" ht="14.25" customHeight="1">
      <c r="W315" s="3"/>
    </row>
    <row r="316" spans="23:23" ht="14.25" customHeight="1">
      <c r="W316" s="3"/>
    </row>
    <row r="317" spans="23:23" ht="14.25" customHeight="1">
      <c r="W317" s="3"/>
    </row>
    <row r="318" spans="23:23" ht="14.25" customHeight="1">
      <c r="W318" s="3"/>
    </row>
    <row r="319" spans="23:23" ht="14.25" customHeight="1">
      <c r="W319" s="3"/>
    </row>
    <row r="320" spans="23:23" ht="14.25" customHeight="1">
      <c r="W320" s="3"/>
    </row>
    <row r="321" spans="23:23" ht="14.25" customHeight="1">
      <c r="W321" s="3"/>
    </row>
    <row r="322" spans="23:23" ht="14.25" customHeight="1">
      <c r="W322" s="3"/>
    </row>
    <row r="323" spans="23:23" ht="14.25" customHeight="1">
      <c r="W323" s="3"/>
    </row>
    <row r="324" spans="23:23" ht="14.25" customHeight="1">
      <c r="W324" s="3"/>
    </row>
    <row r="325" spans="23:23" ht="14.25" customHeight="1">
      <c r="W325" s="3"/>
    </row>
    <row r="326" spans="23:23" ht="14.25" customHeight="1">
      <c r="W326" s="3"/>
    </row>
    <row r="327" spans="23:23" ht="14.25" customHeight="1">
      <c r="W327" s="3"/>
    </row>
    <row r="328" spans="23:23" ht="14.25" customHeight="1">
      <c r="W328" s="3"/>
    </row>
    <row r="329" spans="23:23" ht="14.25" customHeight="1">
      <c r="W329" s="3"/>
    </row>
    <row r="330" spans="23:23" ht="14.25" customHeight="1">
      <c r="W330" s="3"/>
    </row>
    <row r="331" spans="23:23" ht="14.25" customHeight="1">
      <c r="W331" s="3"/>
    </row>
    <row r="332" spans="23:23" ht="14.25" customHeight="1">
      <c r="W332" s="3"/>
    </row>
    <row r="333" spans="23:23" ht="14.25" customHeight="1">
      <c r="W333" s="3"/>
    </row>
    <row r="334" spans="23:23" ht="14.25" customHeight="1">
      <c r="W334" s="3"/>
    </row>
    <row r="335" spans="23:23" ht="14.25" customHeight="1">
      <c r="W335" s="3"/>
    </row>
    <row r="336" spans="23:23" ht="14.25" customHeight="1">
      <c r="W336" s="3"/>
    </row>
    <row r="337" spans="23:23" ht="14.25" customHeight="1">
      <c r="W337" s="3"/>
    </row>
    <row r="338" spans="23:23" ht="14.25" customHeight="1">
      <c r="W338" s="3"/>
    </row>
    <row r="339" spans="23:23" ht="14.25" customHeight="1">
      <c r="W339" s="3"/>
    </row>
    <row r="340" spans="23:23" ht="14.25" customHeight="1">
      <c r="W340" s="3"/>
    </row>
    <row r="341" spans="23:23" ht="14.25" customHeight="1">
      <c r="W341" s="3"/>
    </row>
    <row r="342" spans="23:23" ht="14.25" customHeight="1">
      <c r="W342" s="3"/>
    </row>
    <row r="343" spans="23:23" ht="14.25" customHeight="1">
      <c r="W343" s="3"/>
    </row>
    <row r="344" spans="23:23" ht="14.25" customHeight="1">
      <c r="W344" s="3"/>
    </row>
    <row r="345" spans="23:23" ht="14.25" customHeight="1">
      <c r="W345" s="3"/>
    </row>
    <row r="346" spans="23:23" ht="14.25" customHeight="1">
      <c r="W346" s="3"/>
    </row>
    <row r="347" spans="23:23" ht="14.25" customHeight="1">
      <c r="W347" s="3"/>
    </row>
    <row r="348" spans="23:23" ht="14.25" customHeight="1">
      <c r="W348" s="3"/>
    </row>
    <row r="349" spans="23:23" ht="14.25" customHeight="1">
      <c r="W349" s="3"/>
    </row>
    <row r="350" spans="23:23" ht="14.25" customHeight="1">
      <c r="W350" s="3"/>
    </row>
    <row r="351" spans="23:23" ht="14.25" customHeight="1">
      <c r="W351" s="3"/>
    </row>
    <row r="352" spans="23:23" ht="14.25" customHeight="1">
      <c r="W352" s="3"/>
    </row>
    <row r="353" spans="23:23" ht="14.25" customHeight="1">
      <c r="W353" s="3"/>
    </row>
    <row r="354" spans="23:23" ht="14.25" customHeight="1">
      <c r="W354" s="3"/>
    </row>
    <row r="355" spans="23:23" ht="14.25" customHeight="1">
      <c r="W355" s="3"/>
    </row>
    <row r="356" spans="23:23" ht="14.25" customHeight="1">
      <c r="W356" s="3"/>
    </row>
    <row r="357" spans="23:23" ht="14.25" customHeight="1">
      <c r="W357" s="3"/>
    </row>
    <row r="358" spans="23:23" ht="14.25" customHeight="1">
      <c r="W358" s="3"/>
    </row>
    <row r="359" spans="23:23" ht="14.25" customHeight="1">
      <c r="W359" s="3"/>
    </row>
    <row r="360" spans="23:23" ht="14.25" customHeight="1">
      <c r="W360" s="3"/>
    </row>
    <row r="361" spans="23:23" ht="14.25" customHeight="1">
      <c r="W361" s="3"/>
    </row>
    <row r="362" spans="23:23" ht="14.25" customHeight="1">
      <c r="W362" s="3"/>
    </row>
    <row r="363" spans="23:23" ht="14.25" customHeight="1">
      <c r="W363" s="3"/>
    </row>
    <row r="364" spans="23:23" ht="14.25" customHeight="1">
      <c r="W364" s="3"/>
    </row>
    <row r="365" spans="23:23" ht="14.25" customHeight="1">
      <c r="W365" s="3"/>
    </row>
    <row r="366" spans="23:23" ht="14.25" customHeight="1">
      <c r="W366" s="3"/>
    </row>
    <row r="367" spans="23:23" ht="14.25" customHeight="1">
      <c r="W367" s="3"/>
    </row>
    <row r="368" spans="23:23" ht="14.25" customHeight="1">
      <c r="W368" s="3"/>
    </row>
    <row r="369" spans="23:23" ht="14.25" customHeight="1">
      <c r="W369" s="3"/>
    </row>
    <row r="370" spans="23:23" ht="14.25" customHeight="1">
      <c r="W370" s="3"/>
    </row>
    <row r="371" spans="23:23" ht="14.25" customHeight="1">
      <c r="W371" s="3"/>
    </row>
    <row r="372" spans="23:23" ht="14.25" customHeight="1">
      <c r="W372" s="3"/>
    </row>
    <row r="373" spans="23:23" ht="14.25" customHeight="1">
      <c r="W373" s="3"/>
    </row>
    <row r="374" spans="23:23" ht="14.25" customHeight="1">
      <c r="W374" s="3"/>
    </row>
    <row r="375" spans="23:23" ht="14.25" customHeight="1">
      <c r="W375" s="3"/>
    </row>
    <row r="376" spans="23:23" ht="14.25" customHeight="1">
      <c r="W376" s="3"/>
    </row>
    <row r="377" spans="23:23" ht="14.25" customHeight="1">
      <c r="W377" s="3"/>
    </row>
    <row r="378" spans="23:23" ht="14.25" customHeight="1">
      <c r="W378" s="3"/>
    </row>
    <row r="379" spans="23:23" ht="14.25" customHeight="1">
      <c r="W379" s="3"/>
    </row>
    <row r="380" spans="23:23" ht="14.25" customHeight="1">
      <c r="W380" s="3"/>
    </row>
    <row r="381" spans="23:23" ht="14.25" customHeight="1">
      <c r="W381" s="3"/>
    </row>
    <row r="382" spans="23:23" ht="14.25" customHeight="1">
      <c r="W382" s="3"/>
    </row>
    <row r="383" spans="23:23" ht="14.25" customHeight="1">
      <c r="W383" s="3"/>
    </row>
    <row r="384" spans="23:23" ht="14.25" customHeight="1">
      <c r="W384" s="3"/>
    </row>
    <row r="385" spans="23:23" ht="14.25" customHeight="1">
      <c r="W385" s="3"/>
    </row>
    <row r="386" spans="23:23" ht="14.25" customHeight="1">
      <c r="W386" s="3"/>
    </row>
    <row r="387" spans="23:23" ht="14.25" customHeight="1">
      <c r="W387" s="3"/>
    </row>
    <row r="388" spans="23:23" ht="14.25" customHeight="1">
      <c r="W388" s="3"/>
    </row>
    <row r="389" spans="23:23" ht="14.25" customHeight="1">
      <c r="W389" s="3"/>
    </row>
    <row r="390" spans="23:23" ht="14.25" customHeight="1">
      <c r="W390" s="3"/>
    </row>
    <row r="391" spans="23:23" ht="14.25" customHeight="1">
      <c r="W391" s="3"/>
    </row>
    <row r="392" spans="23:23" ht="14.25" customHeight="1">
      <c r="W392" s="3"/>
    </row>
    <row r="393" spans="23:23" ht="14.25" customHeight="1">
      <c r="W393" s="3"/>
    </row>
    <row r="394" spans="23:23" ht="14.25" customHeight="1">
      <c r="W394" s="3"/>
    </row>
    <row r="395" spans="23:23" ht="14.25" customHeight="1">
      <c r="W395" s="3"/>
    </row>
    <row r="396" spans="23:23" ht="14.25" customHeight="1">
      <c r="W396" s="3"/>
    </row>
    <row r="397" spans="23:23" ht="14.25" customHeight="1">
      <c r="W397" s="3"/>
    </row>
    <row r="398" spans="23:23" ht="14.25" customHeight="1">
      <c r="W398" s="3"/>
    </row>
    <row r="399" spans="23:23" ht="14.25" customHeight="1">
      <c r="W399" s="3"/>
    </row>
    <row r="400" spans="23:23" ht="14.25" customHeight="1">
      <c r="W400" s="3"/>
    </row>
    <row r="401" spans="23:23" ht="14.25" customHeight="1">
      <c r="W401" s="3"/>
    </row>
    <row r="402" spans="23:23" ht="14.25" customHeight="1">
      <c r="W402" s="3"/>
    </row>
    <row r="403" spans="23:23" ht="14.25" customHeight="1">
      <c r="W403" s="3"/>
    </row>
    <row r="404" spans="23:23" ht="14.25" customHeight="1">
      <c r="W404" s="3"/>
    </row>
    <row r="405" spans="23:23" ht="14.25" customHeight="1">
      <c r="W405" s="3"/>
    </row>
    <row r="406" spans="23:23" ht="14.25" customHeight="1">
      <c r="W406" s="3"/>
    </row>
    <row r="407" spans="23:23" ht="14.25" customHeight="1">
      <c r="W407" s="3"/>
    </row>
    <row r="408" spans="23:23" ht="14.25" customHeight="1">
      <c r="W408" s="3"/>
    </row>
    <row r="409" spans="23:23" ht="14.25" customHeight="1">
      <c r="W409" s="3"/>
    </row>
    <row r="410" spans="23:23" ht="14.25" customHeight="1">
      <c r="W410" s="3"/>
    </row>
    <row r="411" spans="23:23" ht="14.25" customHeight="1">
      <c r="W411" s="3"/>
    </row>
    <row r="412" spans="23:23" ht="14.25" customHeight="1">
      <c r="W412" s="3"/>
    </row>
    <row r="413" spans="23:23" ht="14.25" customHeight="1">
      <c r="W413" s="3"/>
    </row>
    <row r="414" spans="23:23" ht="14.25" customHeight="1">
      <c r="W414" s="3"/>
    </row>
    <row r="415" spans="23:23" ht="14.25" customHeight="1">
      <c r="W415" s="3"/>
    </row>
    <row r="416" spans="23:23" ht="14.25" customHeight="1">
      <c r="W416" s="3"/>
    </row>
    <row r="417" spans="23:23" ht="14.25" customHeight="1">
      <c r="W417" s="3"/>
    </row>
    <row r="418" spans="23:23" ht="14.25" customHeight="1">
      <c r="W418" s="3"/>
    </row>
    <row r="419" spans="23:23" ht="14.25" customHeight="1">
      <c r="W419" s="3"/>
    </row>
    <row r="420" spans="23:23" ht="14.25" customHeight="1">
      <c r="W420" s="3"/>
    </row>
    <row r="421" spans="23:23" ht="14.25" customHeight="1">
      <c r="W421" s="3"/>
    </row>
    <row r="422" spans="23:23" ht="14.25" customHeight="1">
      <c r="W422" s="3"/>
    </row>
    <row r="423" spans="23:23" ht="14.25" customHeight="1">
      <c r="W423" s="3"/>
    </row>
    <row r="424" spans="23:23" ht="14.25" customHeight="1">
      <c r="W424" s="3"/>
    </row>
    <row r="425" spans="23:23" ht="14.25" customHeight="1">
      <c r="W425" s="3"/>
    </row>
    <row r="426" spans="23:23" ht="14.25" customHeight="1">
      <c r="W426" s="3"/>
    </row>
    <row r="427" spans="23:23" ht="14.25" customHeight="1">
      <c r="W427" s="3"/>
    </row>
    <row r="428" spans="23:23" ht="14.25" customHeight="1">
      <c r="W428" s="3"/>
    </row>
    <row r="429" spans="23:23" ht="14.25" customHeight="1">
      <c r="W429" s="3"/>
    </row>
    <row r="430" spans="23:23" ht="14.25" customHeight="1">
      <c r="W430" s="3"/>
    </row>
    <row r="431" spans="23:23" ht="14.25" customHeight="1">
      <c r="W431" s="3"/>
    </row>
    <row r="432" spans="23:23" ht="14.25" customHeight="1">
      <c r="W432" s="3"/>
    </row>
    <row r="433" spans="23:23" ht="14.25" customHeight="1">
      <c r="W433" s="3"/>
    </row>
    <row r="434" spans="23:23" ht="14.25" customHeight="1">
      <c r="W434" s="3"/>
    </row>
    <row r="435" spans="23:23" ht="14.25" customHeight="1">
      <c r="W435" s="3"/>
    </row>
    <row r="436" spans="23:23" ht="14.25" customHeight="1">
      <c r="W436" s="3"/>
    </row>
    <row r="437" spans="23:23" ht="14.25" customHeight="1">
      <c r="W437" s="3"/>
    </row>
    <row r="438" spans="23:23" ht="14.25" customHeight="1">
      <c r="W438" s="3"/>
    </row>
    <row r="439" spans="23:23" ht="14.25" customHeight="1">
      <c r="W439" s="3"/>
    </row>
    <row r="440" spans="23:23" ht="14.25" customHeight="1">
      <c r="W440" s="3"/>
    </row>
    <row r="441" spans="23:23" ht="14.25" customHeight="1">
      <c r="W441" s="3"/>
    </row>
    <row r="442" spans="23:23" ht="14.25" customHeight="1">
      <c r="W442" s="3"/>
    </row>
    <row r="443" spans="23:23" ht="14.25" customHeight="1">
      <c r="W443" s="3"/>
    </row>
    <row r="444" spans="23:23" ht="14.25" customHeight="1">
      <c r="W444" s="3"/>
    </row>
    <row r="445" spans="23:23" ht="14.25" customHeight="1">
      <c r="W445" s="3"/>
    </row>
    <row r="446" spans="23:23" ht="14.25" customHeight="1">
      <c r="W446" s="3"/>
    </row>
    <row r="447" spans="23:23" ht="14.25" customHeight="1">
      <c r="W447" s="3"/>
    </row>
    <row r="448" spans="23:23" ht="14.25" customHeight="1">
      <c r="W448" s="3"/>
    </row>
    <row r="449" spans="23:23" ht="14.25" customHeight="1">
      <c r="W449" s="3"/>
    </row>
    <row r="450" spans="23:23" ht="14.25" customHeight="1">
      <c r="W450" s="3"/>
    </row>
    <row r="451" spans="23:23" ht="14.25" customHeight="1">
      <c r="W451" s="3"/>
    </row>
    <row r="452" spans="23:23" ht="14.25" customHeight="1">
      <c r="W452" s="3"/>
    </row>
    <row r="453" spans="23:23" ht="14.25" customHeight="1">
      <c r="W453" s="3"/>
    </row>
    <row r="454" spans="23:23" ht="14.25" customHeight="1">
      <c r="W454" s="3"/>
    </row>
    <row r="455" spans="23:23" ht="14.25" customHeight="1">
      <c r="W455" s="3"/>
    </row>
    <row r="456" spans="23:23" ht="14.25" customHeight="1">
      <c r="W456" s="3"/>
    </row>
    <row r="457" spans="23:23" ht="14.25" customHeight="1">
      <c r="W457" s="3"/>
    </row>
    <row r="458" spans="23:23" ht="14.25" customHeight="1">
      <c r="W458" s="3"/>
    </row>
    <row r="459" spans="23:23" ht="14.25" customHeight="1">
      <c r="W459" s="3"/>
    </row>
    <row r="460" spans="23:23" ht="14.25" customHeight="1">
      <c r="W460" s="3"/>
    </row>
    <row r="461" spans="23:23" ht="14.25" customHeight="1">
      <c r="W461" s="3"/>
    </row>
    <row r="462" spans="23:23" ht="14.25" customHeight="1">
      <c r="W462" s="3"/>
    </row>
    <row r="463" spans="23:23" ht="14.25" customHeight="1">
      <c r="W463" s="3"/>
    </row>
    <row r="464" spans="23:23" ht="14.25" customHeight="1">
      <c r="W464" s="3"/>
    </row>
    <row r="465" spans="23:23" ht="14.25" customHeight="1">
      <c r="W465" s="3"/>
    </row>
    <row r="466" spans="23:23" ht="14.25" customHeight="1">
      <c r="W466" s="3"/>
    </row>
    <row r="467" spans="23:23" ht="14.25" customHeight="1">
      <c r="W467" s="3"/>
    </row>
    <row r="468" spans="23:23" ht="14.25" customHeight="1">
      <c r="W468" s="3"/>
    </row>
    <row r="469" spans="23:23" ht="14.25" customHeight="1">
      <c r="W469" s="3"/>
    </row>
    <row r="470" spans="23:23" ht="14.25" customHeight="1">
      <c r="W470" s="3"/>
    </row>
    <row r="471" spans="23:23" ht="14.25" customHeight="1">
      <c r="W471" s="3"/>
    </row>
    <row r="472" spans="23:23" ht="14.25" customHeight="1">
      <c r="W472" s="3"/>
    </row>
    <row r="473" spans="23:23" ht="14.25" customHeight="1">
      <c r="W473" s="3"/>
    </row>
    <row r="474" spans="23:23" ht="14.25" customHeight="1">
      <c r="W474" s="3"/>
    </row>
    <row r="475" spans="23:23" ht="14.25" customHeight="1">
      <c r="W475" s="3"/>
    </row>
    <row r="476" spans="23:23" ht="14.25" customHeight="1">
      <c r="W476" s="3"/>
    </row>
    <row r="477" spans="23:23" ht="14.25" customHeight="1">
      <c r="W477" s="3"/>
    </row>
    <row r="478" spans="23:23" ht="14.25" customHeight="1">
      <c r="W478" s="3"/>
    </row>
    <row r="479" spans="23:23" ht="14.25" customHeight="1">
      <c r="W479" s="3"/>
    </row>
    <row r="480" spans="23:23" ht="14.25" customHeight="1">
      <c r="W480" s="3"/>
    </row>
    <row r="481" spans="23:23" ht="14.25" customHeight="1">
      <c r="W481" s="3"/>
    </row>
    <row r="482" spans="23:23" ht="14.25" customHeight="1">
      <c r="W482" s="3"/>
    </row>
    <row r="483" spans="23:23" ht="14.25" customHeight="1">
      <c r="W483" s="3"/>
    </row>
    <row r="484" spans="23:23" ht="14.25" customHeight="1">
      <c r="W484" s="3"/>
    </row>
    <row r="485" spans="23:23" ht="14.25" customHeight="1">
      <c r="W485" s="3"/>
    </row>
    <row r="486" spans="23:23" ht="14.25" customHeight="1">
      <c r="W486" s="3"/>
    </row>
    <row r="487" spans="23:23" ht="14.25" customHeight="1">
      <c r="W487" s="3"/>
    </row>
    <row r="488" spans="23:23" ht="14.25" customHeight="1">
      <c r="W488" s="3"/>
    </row>
    <row r="489" spans="23:23" ht="14.25" customHeight="1">
      <c r="W489" s="3"/>
    </row>
    <row r="490" spans="23:23" ht="14.25" customHeight="1">
      <c r="W490" s="3"/>
    </row>
    <row r="491" spans="23:23" ht="14.25" customHeight="1">
      <c r="W491" s="3"/>
    </row>
    <row r="492" spans="23:23" ht="14.25" customHeight="1">
      <c r="W492" s="3"/>
    </row>
    <row r="493" spans="23:23" ht="14.25" customHeight="1">
      <c r="W493" s="3"/>
    </row>
    <row r="494" spans="23:23" ht="14.25" customHeight="1">
      <c r="W494" s="3"/>
    </row>
    <row r="495" spans="23:23" ht="14.25" customHeight="1">
      <c r="W495" s="3"/>
    </row>
    <row r="496" spans="23:23" ht="14.25" customHeight="1">
      <c r="W496" s="3"/>
    </row>
    <row r="497" spans="23:23" ht="14.25" customHeight="1">
      <c r="W497" s="3"/>
    </row>
    <row r="498" spans="23:23" ht="14.25" customHeight="1">
      <c r="W498" s="3"/>
    </row>
    <row r="499" spans="23:23" ht="14.25" customHeight="1">
      <c r="W499" s="3"/>
    </row>
    <row r="500" spans="23:23" ht="14.25" customHeight="1">
      <c r="W500" s="3"/>
    </row>
    <row r="501" spans="23:23" ht="14.25" customHeight="1">
      <c r="W501" s="3"/>
    </row>
    <row r="502" spans="23:23" ht="14.25" customHeight="1">
      <c r="W502" s="3"/>
    </row>
    <row r="503" spans="23:23" ht="14.25" customHeight="1">
      <c r="W503" s="3"/>
    </row>
    <row r="504" spans="23:23" ht="14.25" customHeight="1">
      <c r="W504" s="3"/>
    </row>
    <row r="505" spans="23:23" ht="14.25" customHeight="1">
      <c r="W505" s="3"/>
    </row>
    <row r="506" spans="23:23" ht="14.25" customHeight="1">
      <c r="W506" s="3"/>
    </row>
    <row r="507" spans="23:23" ht="14.25" customHeight="1">
      <c r="W507" s="3"/>
    </row>
    <row r="508" spans="23:23" ht="14.25" customHeight="1">
      <c r="W508" s="3"/>
    </row>
    <row r="509" spans="23:23" ht="14.25" customHeight="1">
      <c r="W509" s="3"/>
    </row>
    <row r="510" spans="23:23" ht="14.25" customHeight="1">
      <c r="W510" s="3"/>
    </row>
    <row r="511" spans="23:23" ht="14.25" customHeight="1">
      <c r="W511" s="3"/>
    </row>
    <row r="512" spans="23:23" ht="14.25" customHeight="1">
      <c r="W512" s="3"/>
    </row>
    <row r="513" spans="23:23" ht="14.25" customHeight="1">
      <c r="W513" s="3"/>
    </row>
    <row r="514" spans="23:23" ht="14.25" customHeight="1">
      <c r="W514" s="3"/>
    </row>
    <row r="515" spans="23:23" ht="14.25" customHeight="1">
      <c r="W515" s="3"/>
    </row>
    <row r="516" spans="23:23" ht="14.25" customHeight="1">
      <c r="W516" s="3"/>
    </row>
    <row r="517" spans="23:23" ht="14.25" customHeight="1">
      <c r="W517" s="3"/>
    </row>
    <row r="518" spans="23:23" ht="14.25" customHeight="1">
      <c r="W518" s="3"/>
    </row>
    <row r="519" spans="23:23" ht="14.25" customHeight="1">
      <c r="W519" s="3"/>
    </row>
    <row r="520" spans="23:23" ht="14.25" customHeight="1">
      <c r="W520" s="3"/>
    </row>
    <row r="521" spans="23:23" ht="14.25" customHeight="1">
      <c r="W521" s="3"/>
    </row>
    <row r="522" spans="23:23" ht="14.25" customHeight="1">
      <c r="W522" s="3"/>
    </row>
    <row r="523" spans="23:23" ht="14.25" customHeight="1">
      <c r="W523" s="3"/>
    </row>
    <row r="524" spans="23:23" ht="14.25" customHeight="1">
      <c r="W524" s="3"/>
    </row>
    <row r="525" spans="23:23" ht="14.25" customHeight="1">
      <c r="W525" s="3"/>
    </row>
    <row r="526" spans="23:23" ht="14.25" customHeight="1">
      <c r="W526" s="3"/>
    </row>
    <row r="527" spans="23:23" ht="14.25" customHeight="1">
      <c r="W527" s="3"/>
    </row>
    <row r="528" spans="23:23" ht="14.25" customHeight="1">
      <c r="W528" s="3"/>
    </row>
    <row r="529" spans="23:23" ht="14.25" customHeight="1">
      <c r="W529" s="3"/>
    </row>
    <row r="530" spans="23:23" ht="14.25" customHeight="1">
      <c r="W530" s="3"/>
    </row>
    <row r="531" spans="23:23" ht="14.25" customHeight="1">
      <c r="W531" s="3"/>
    </row>
    <row r="532" spans="23:23" ht="14.25" customHeight="1">
      <c r="W532" s="3"/>
    </row>
    <row r="533" spans="23:23" ht="14.25" customHeight="1">
      <c r="W533" s="3"/>
    </row>
    <row r="534" spans="23:23" ht="14.25" customHeight="1">
      <c r="W534" s="3"/>
    </row>
    <row r="535" spans="23:23" ht="14.25" customHeight="1">
      <c r="W535" s="3"/>
    </row>
    <row r="536" spans="23:23" ht="14.25" customHeight="1">
      <c r="W536" s="3"/>
    </row>
    <row r="537" spans="23:23" ht="14.25" customHeight="1">
      <c r="W537" s="3"/>
    </row>
    <row r="538" spans="23:23" ht="14.25" customHeight="1">
      <c r="W538" s="3"/>
    </row>
    <row r="539" spans="23:23" ht="14.25" customHeight="1">
      <c r="W539" s="3"/>
    </row>
    <row r="540" spans="23:23" ht="14.25" customHeight="1">
      <c r="W540" s="3"/>
    </row>
    <row r="541" spans="23:23" ht="14.25" customHeight="1">
      <c r="W541" s="3"/>
    </row>
    <row r="542" spans="23:23" ht="14.25" customHeight="1">
      <c r="W542" s="3"/>
    </row>
    <row r="543" spans="23:23" ht="14.25" customHeight="1">
      <c r="W543" s="3"/>
    </row>
    <row r="544" spans="23:23" ht="14.25" customHeight="1">
      <c r="W544" s="3"/>
    </row>
    <row r="545" spans="23:23" ht="14.25" customHeight="1">
      <c r="W545" s="3"/>
    </row>
    <row r="546" spans="23:23" ht="14.25" customHeight="1">
      <c r="W546" s="3"/>
    </row>
    <row r="547" spans="23:23" ht="14.25" customHeight="1">
      <c r="W547" s="3"/>
    </row>
    <row r="548" spans="23:23" ht="14.25" customHeight="1">
      <c r="W548" s="3"/>
    </row>
    <row r="549" spans="23:23" ht="14.25" customHeight="1">
      <c r="W549" s="3"/>
    </row>
    <row r="550" spans="23:23" ht="14.25" customHeight="1">
      <c r="W550" s="3"/>
    </row>
    <row r="551" spans="23:23" ht="14.25" customHeight="1">
      <c r="W551" s="3"/>
    </row>
    <row r="552" spans="23:23" ht="14.25" customHeight="1">
      <c r="W552" s="3"/>
    </row>
    <row r="553" spans="23:23" ht="14.25" customHeight="1">
      <c r="W553" s="3"/>
    </row>
    <row r="554" spans="23:23" ht="14.25" customHeight="1">
      <c r="W554" s="3"/>
    </row>
    <row r="555" spans="23:23" ht="14.25" customHeight="1">
      <c r="W555" s="3"/>
    </row>
    <row r="556" spans="23:23" ht="14.25" customHeight="1">
      <c r="W556" s="3"/>
    </row>
    <row r="557" spans="23:23" ht="14.25" customHeight="1">
      <c r="W557" s="3"/>
    </row>
    <row r="558" spans="23:23" ht="14.25" customHeight="1">
      <c r="W558" s="3"/>
    </row>
    <row r="559" spans="23:23" ht="14.25" customHeight="1">
      <c r="W559" s="3"/>
    </row>
    <row r="560" spans="23:23" ht="14.25" customHeight="1">
      <c r="W560" s="3"/>
    </row>
    <row r="561" spans="23:23" ht="14.25" customHeight="1">
      <c r="W561" s="3"/>
    </row>
    <row r="562" spans="23:23" ht="14.25" customHeight="1">
      <c r="W562" s="3"/>
    </row>
    <row r="563" spans="23:23" ht="14.25" customHeight="1">
      <c r="W563" s="3"/>
    </row>
    <row r="564" spans="23:23" ht="14.25" customHeight="1">
      <c r="W564" s="3"/>
    </row>
    <row r="565" spans="23:23" ht="14.25" customHeight="1">
      <c r="W565" s="3"/>
    </row>
    <row r="566" spans="23:23" ht="14.25" customHeight="1">
      <c r="W566" s="3"/>
    </row>
    <row r="567" spans="23:23" ht="14.25" customHeight="1">
      <c r="W567" s="3"/>
    </row>
    <row r="568" spans="23:23" ht="14.25" customHeight="1">
      <c r="W568" s="3"/>
    </row>
    <row r="569" spans="23:23" ht="14.25" customHeight="1">
      <c r="W569" s="3"/>
    </row>
    <row r="570" spans="23:23" ht="14.25" customHeight="1">
      <c r="W570" s="3"/>
    </row>
    <row r="571" spans="23:23" ht="14.25" customHeight="1">
      <c r="W571" s="3"/>
    </row>
    <row r="572" spans="23:23" ht="14.25" customHeight="1">
      <c r="W572" s="3"/>
    </row>
    <row r="573" spans="23:23" ht="14.25" customHeight="1">
      <c r="W573" s="3"/>
    </row>
    <row r="574" spans="23:23" ht="14.25" customHeight="1">
      <c r="W574" s="3"/>
    </row>
    <row r="575" spans="23:23" ht="14.25" customHeight="1">
      <c r="W575" s="3"/>
    </row>
    <row r="576" spans="23:23" ht="14.25" customHeight="1">
      <c r="W576" s="3"/>
    </row>
    <row r="577" spans="23:23" ht="14.25" customHeight="1">
      <c r="W577" s="3"/>
    </row>
    <row r="578" spans="23:23" ht="14.25" customHeight="1">
      <c r="W578" s="3"/>
    </row>
    <row r="579" spans="23:23" ht="14.25" customHeight="1">
      <c r="W579" s="3"/>
    </row>
    <row r="580" spans="23:23" ht="14.25" customHeight="1">
      <c r="W580" s="3"/>
    </row>
    <row r="581" spans="23:23" ht="14.25" customHeight="1">
      <c r="W581" s="3"/>
    </row>
    <row r="582" spans="23:23" ht="14.25" customHeight="1">
      <c r="W582" s="3"/>
    </row>
    <row r="583" spans="23:23" ht="14.25" customHeight="1">
      <c r="W583" s="3"/>
    </row>
    <row r="584" spans="23:23" ht="14.25" customHeight="1">
      <c r="W584" s="3"/>
    </row>
    <row r="585" spans="23:23" ht="14.25" customHeight="1">
      <c r="W585" s="3"/>
    </row>
    <row r="586" spans="23:23" ht="14.25" customHeight="1">
      <c r="W586" s="3"/>
    </row>
    <row r="587" spans="23:23" ht="14.25" customHeight="1">
      <c r="W587" s="3"/>
    </row>
    <row r="588" spans="23:23" ht="14.25" customHeight="1">
      <c r="W588" s="3"/>
    </row>
    <row r="589" spans="23:23" ht="14.25" customHeight="1">
      <c r="W589" s="3"/>
    </row>
    <row r="590" spans="23:23" ht="14.25" customHeight="1">
      <c r="W590" s="3"/>
    </row>
    <row r="591" spans="23:23" ht="14.25" customHeight="1">
      <c r="W591" s="3"/>
    </row>
    <row r="592" spans="23:23" ht="14.25" customHeight="1">
      <c r="W592" s="3"/>
    </row>
    <row r="593" spans="23:23" ht="14.25" customHeight="1">
      <c r="W593" s="3"/>
    </row>
    <row r="594" spans="23:23" ht="14.25" customHeight="1">
      <c r="W594" s="3"/>
    </row>
    <row r="595" spans="23:23" ht="14.25" customHeight="1">
      <c r="W595" s="3"/>
    </row>
    <row r="596" spans="23:23" ht="14.25" customHeight="1">
      <c r="W596" s="3"/>
    </row>
    <row r="597" spans="23:23" ht="14.25" customHeight="1">
      <c r="W597" s="3"/>
    </row>
    <row r="598" spans="23:23" ht="14.25" customHeight="1">
      <c r="W598" s="3"/>
    </row>
    <row r="599" spans="23:23" ht="14.25" customHeight="1">
      <c r="W599" s="3"/>
    </row>
    <row r="600" spans="23:23" ht="14.25" customHeight="1">
      <c r="W600" s="3"/>
    </row>
    <row r="601" spans="23:23" ht="14.25" customHeight="1">
      <c r="W601" s="3"/>
    </row>
    <row r="602" spans="23:23" ht="14.25" customHeight="1">
      <c r="W602" s="3"/>
    </row>
    <row r="603" spans="23:23" ht="14.25" customHeight="1">
      <c r="W603" s="3"/>
    </row>
    <row r="604" spans="23:23" ht="14.25" customHeight="1">
      <c r="W604" s="3"/>
    </row>
    <row r="605" spans="23:23" ht="14.25" customHeight="1">
      <c r="W605" s="3"/>
    </row>
    <row r="606" spans="23:23" ht="14.25" customHeight="1">
      <c r="W606" s="3"/>
    </row>
    <row r="607" spans="23:23" ht="14.25" customHeight="1">
      <c r="W607" s="3"/>
    </row>
    <row r="608" spans="23:23" ht="14.25" customHeight="1">
      <c r="W608" s="3"/>
    </row>
    <row r="609" spans="23:23" ht="14.25" customHeight="1">
      <c r="W609" s="3"/>
    </row>
    <row r="610" spans="23:23" ht="14.25" customHeight="1">
      <c r="W610" s="3"/>
    </row>
    <row r="611" spans="23:23" ht="14.25" customHeight="1">
      <c r="W611" s="3"/>
    </row>
    <row r="612" spans="23:23" ht="14.25" customHeight="1">
      <c r="W612" s="3"/>
    </row>
    <row r="613" spans="23:23" ht="14.25" customHeight="1">
      <c r="W613" s="3"/>
    </row>
    <row r="614" spans="23:23" ht="14.25" customHeight="1">
      <c r="W614" s="3"/>
    </row>
    <row r="615" spans="23:23" ht="14.25" customHeight="1">
      <c r="W615" s="3"/>
    </row>
    <row r="616" spans="23:23" ht="14.25" customHeight="1">
      <c r="W616" s="3"/>
    </row>
    <row r="617" spans="23:23" ht="14.25" customHeight="1">
      <c r="W617" s="3"/>
    </row>
    <row r="618" spans="23:23" ht="14.25" customHeight="1">
      <c r="W618" s="3"/>
    </row>
    <row r="619" spans="23:23" ht="14.25" customHeight="1">
      <c r="W619" s="3"/>
    </row>
    <row r="620" spans="23:23" ht="14.25" customHeight="1">
      <c r="W620" s="3"/>
    </row>
    <row r="621" spans="23:23" ht="14.25" customHeight="1">
      <c r="W621" s="3"/>
    </row>
    <row r="622" spans="23:23" ht="14.25" customHeight="1">
      <c r="W622" s="3"/>
    </row>
    <row r="623" spans="23:23" ht="14.25" customHeight="1">
      <c r="W623" s="3"/>
    </row>
    <row r="624" spans="23:23" ht="14.25" customHeight="1">
      <c r="W624" s="3"/>
    </row>
    <row r="625" spans="23:23" ht="14.25" customHeight="1">
      <c r="W625" s="3"/>
    </row>
    <row r="626" spans="23:23" ht="14.25" customHeight="1">
      <c r="W626" s="3"/>
    </row>
    <row r="627" spans="23:23" ht="14.25" customHeight="1">
      <c r="W627" s="3"/>
    </row>
    <row r="628" spans="23:23" ht="14.25" customHeight="1">
      <c r="W628" s="3"/>
    </row>
    <row r="629" spans="23:23" ht="14.25" customHeight="1">
      <c r="W629" s="3"/>
    </row>
    <row r="630" spans="23:23" ht="14.25" customHeight="1">
      <c r="W630" s="3"/>
    </row>
    <row r="631" spans="23:23" ht="14.25" customHeight="1">
      <c r="W631" s="3"/>
    </row>
    <row r="632" spans="23:23" ht="14.25" customHeight="1">
      <c r="W632" s="3"/>
    </row>
    <row r="633" spans="23:23" ht="14.25" customHeight="1">
      <c r="W633" s="3"/>
    </row>
    <row r="634" spans="23:23" ht="14.25" customHeight="1">
      <c r="W634" s="3"/>
    </row>
    <row r="635" spans="23:23" ht="14.25" customHeight="1">
      <c r="W635" s="3"/>
    </row>
    <row r="636" spans="23:23" ht="14.25" customHeight="1">
      <c r="W636" s="3"/>
    </row>
    <row r="637" spans="23:23" ht="14.25" customHeight="1">
      <c r="W637" s="3"/>
    </row>
    <row r="638" spans="23:23" ht="14.25" customHeight="1">
      <c r="W638" s="3"/>
    </row>
    <row r="639" spans="23:23" ht="14.25" customHeight="1">
      <c r="W639" s="3"/>
    </row>
    <row r="640" spans="23:23" ht="14.25" customHeight="1">
      <c r="W640" s="3"/>
    </row>
    <row r="641" spans="23:23" ht="14.25" customHeight="1">
      <c r="W641" s="3"/>
    </row>
    <row r="642" spans="23:23" ht="14.25" customHeight="1">
      <c r="W642" s="3"/>
    </row>
    <row r="643" spans="23:23" ht="14.25" customHeight="1">
      <c r="W643" s="3"/>
    </row>
    <row r="644" spans="23:23" ht="14.25" customHeight="1">
      <c r="W644" s="3"/>
    </row>
    <row r="645" spans="23:23" ht="14.25" customHeight="1">
      <c r="W645" s="3"/>
    </row>
    <row r="646" spans="23:23" ht="14.25" customHeight="1">
      <c r="W646" s="3"/>
    </row>
    <row r="647" spans="23:23" ht="14.25" customHeight="1">
      <c r="W647" s="3"/>
    </row>
    <row r="648" spans="23:23" ht="14.25" customHeight="1">
      <c r="W648" s="3"/>
    </row>
    <row r="649" spans="23:23" ht="14.25" customHeight="1">
      <c r="W649" s="3"/>
    </row>
    <row r="650" spans="23:23" ht="14.25" customHeight="1">
      <c r="W650" s="3"/>
    </row>
    <row r="651" spans="23:23" ht="14.25" customHeight="1">
      <c r="W651" s="3"/>
    </row>
    <row r="652" spans="23:23" ht="14.25" customHeight="1">
      <c r="W652" s="3"/>
    </row>
    <row r="653" spans="23:23" ht="14.25" customHeight="1">
      <c r="W653" s="3"/>
    </row>
    <row r="654" spans="23:23" ht="14.25" customHeight="1">
      <c r="W654" s="3"/>
    </row>
    <row r="655" spans="23:23" ht="14.25" customHeight="1">
      <c r="W655" s="3"/>
    </row>
    <row r="656" spans="23:23" ht="14.25" customHeight="1">
      <c r="W656" s="3"/>
    </row>
    <row r="657" spans="23:23" ht="14.25" customHeight="1">
      <c r="W657" s="3"/>
    </row>
    <row r="658" spans="23:23" ht="14.25" customHeight="1">
      <c r="W658" s="3"/>
    </row>
    <row r="659" spans="23:23" ht="14.25" customHeight="1">
      <c r="W659" s="3"/>
    </row>
    <row r="660" spans="23:23" ht="14.25" customHeight="1">
      <c r="W660" s="3"/>
    </row>
    <row r="661" spans="23:23" ht="14.25" customHeight="1">
      <c r="W661" s="3"/>
    </row>
    <row r="662" spans="23:23" ht="14.25" customHeight="1">
      <c r="W662" s="3"/>
    </row>
    <row r="663" spans="23:23" ht="14.25" customHeight="1">
      <c r="W663" s="3"/>
    </row>
    <row r="664" spans="23:23" ht="14.25" customHeight="1">
      <c r="W664" s="3"/>
    </row>
    <row r="665" spans="23:23" ht="14.25" customHeight="1">
      <c r="W665" s="3"/>
    </row>
    <row r="666" spans="23:23" ht="14.25" customHeight="1">
      <c r="W666" s="3"/>
    </row>
    <row r="667" spans="23:23" ht="14.25" customHeight="1">
      <c r="W667" s="3"/>
    </row>
    <row r="668" spans="23:23" ht="14.25" customHeight="1">
      <c r="W668" s="3"/>
    </row>
    <row r="669" spans="23:23" ht="14.25" customHeight="1">
      <c r="W669" s="3"/>
    </row>
    <row r="670" spans="23:23" ht="14.25" customHeight="1">
      <c r="W670" s="3"/>
    </row>
    <row r="671" spans="23:23" ht="14.25" customHeight="1">
      <c r="W671" s="3"/>
    </row>
    <row r="672" spans="23:23" ht="14.25" customHeight="1">
      <c r="W672" s="3"/>
    </row>
    <row r="673" spans="23:23" ht="14.25" customHeight="1">
      <c r="W673" s="3"/>
    </row>
    <row r="674" spans="23:23" ht="14.25" customHeight="1">
      <c r="W674" s="3"/>
    </row>
    <row r="675" spans="23:23" ht="14.25" customHeight="1">
      <c r="W675" s="3"/>
    </row>
    <row r="676" spans="23:23" ht="14.25" customHeight="1">
      <c r="W676" s="3"/>
    </row>
    <row r="677" spans="23:23" ht="14.25" customHeight="1">
      <c r="W677" s="3"/>
    </row>
    <row r="678" spans="23:23" ht="14.25" customHeight="1">
      <c r="W678" s="3"/>
    </row>
    <row r="679" spans="23:23" ht="14.25" customHeight="1">
      <c r="W679" s="3"/>
    </row>
    <row r="680" spans="23:23" ht="14.25" customHeight="1">
      <c r="W680" s="3"/>
    </row>
    <row r="681" spans="23:23" ht="14.25" customHeight="1">
      <c r="W681" s="3"/>
    </row>
    <row r="682" spans="23:23" ht="14.25" customHeight="1">
      <c r="W682" s="3"/>
    </row>
    <row r="683" spans="23:23" ht="14.25" customHeight="1">
      <c r="W683" s="3"/>
    </row>
    <row r="684" spans="23:23" ht="14.25" customHeight="1">
      <c r="W684" s="3"/>
    </row>
    <row r="685" spans="23:23" ht="14.25" customHeight="1">
      <c r="W685" s="3"/>
    </row>
    <row r="686" spans="23:23" ht="14.25" customHeight="1">
      <c r="W686" s="3"/>
    </row>
    <row r="687" spans="23:23" ht="14.25" customHeight="1">
      <c r="W687" s="3"/>
    </row>
    <row r="688" spans="23:23" ht="14.25" customHeight="1">
      <c r="W688" s="3"/>
    </row>
    <row r="689" spans="23:23" ht="14.25" customHeight="1">
      <c r="W689" s="3"/>
    </row>
    <row r="690" spans="23:23" ht="14.25" customHeight="1">
      <c r="W690" s="3"/>
    </row>
    <row r="691" spans="23:23" ht="14.25" customHeight="1">
      <c r="W691" s="3"/>
    </row>
    <row r="692" spans="23:23" ht="14.25" customHeight="1">
      <c r="W692" s="3"/>
    </row>
    <row r="693" spans="23:23" ht="14.25" customHeight="1">
      <c r="W693" s="3"/>
    </row>
    <row r="694" spans="23:23" ht="14.25" customHeight="1">
      <c r="W694" s="3"/>
    </row>
    <row r="695" spans="23:23" ht="14.25" customHeight="1">
      <c r="W695" s="3"/>
    </row>
    <row r="696" spans="23:23" ht="14.25" customHeight="1">
      <c r="W696" s="3"/>
    </row>
    <row r="697" spans="23:23" ht="14.25" customHeight="1">
      <c r="W697" s="3"/>
    </row>
    <row r="698" spans="23:23" ht="14.25" customHeight="1">
      <c r="W698" s="3"/>
    </row>
    <row r="699" spans="23:23" ht="14.25" customHeight="1">
      <c r="W699" s="3"/>
    </row>
    <row r="700" spans="23:23" ht="14.25" customHeight="1">
      <c r="W700" s="3"/>
    </row>
    <row r="701" spans="23:23" ht="14.25" customHeight="1">
      <c r="W701" s="3"/>
    </row>
    <row r="702" spans="23:23" ht="14.25" customHeight="1">
      <c r="W702" s="3"/>
    </row>
    <row r="703" spans="23:23" ht="14.25" customHeight="1">
      <c r="W703" s="3"/>
    </row>
    <row r="704" spans="23:23" ht="14.25" customHeight="1">
      <c r="W704" s="3"/>
    </row>
    <row r="705" spans="23:23" ht="14.25" customHeight="1">
      <c r="W705" s="3"/>
    </row>
    <row r="706" spans="23:23" ht="14.25" customHeight="1">
      <c r="W706" s="3"/>
    </row>
    <row r="707" spans="23:23" ht="14.25" customHeight="1">
      <c r="W707" s="3"/>
    </row>
    <row r="708" spans="23:23" ht="14.25" customHeight="1">
      <c r="W708" s="3"/>
    </row>
    <row r="709" spans="23:23" ht="14.25" customHeight="1">
      <c r="W709" s="3"/>
    </row>
    <row r="710" spans="23:23" ht="14.25" customHeight="1">
      <c r="W710" s="3"/>
    </row>
    <row r="711" spans="23:23" ht="14.25" customHeight="1">
      <c r="W711" s="3"/>
    </row>
    <row r="712" spans="23:23" ht="14.25" customHeight="1">
      <c r="W712" s="3"/>
    </row>
    <row r="713" spans="23:23" ht="14.25" customHeight="1">
      <c r="W713" s="3"/>
    </row>
    <row r="714" spans="23:23" ht="14.25" customHeight="1">
      <c r="W714" s="3"/>
    </row>
    <row r="715" spans="23:23" ht="14.25" customHeight="1">
      <c r="W715" s="3"/>
    </row>
    <row r="716" spans="23:23" ht="14.25" customHeight="1">
      <c r="W716" s="3"/>
    </row>
    <row r="717" spans="23:23" ht="14.25" customHeight="1">
      <c r="W717" s="3"/>
    </row>
    <row r="718" spans="23:23" ht="14.25" customHeight="1">
      <c r="W718" s="3"/>
    </row>
    <row r="719" spans="23:23" ht="14.25" customHeight="1">
      <c r="W719" s="3"/>
    </row>
    <row r="720" spans="23:23" ht="14.25" customHeight="1">
      <c r="W720" s="3"/>
    </row>
    <row r="721" spans="23:23" ht="14.25" customHeight="1">
      <c r="W721" s="3"/>
    </row>
    <row r="722" spans="23:23" ht="14.25" customHeight="1">
      <c r="W722" s="3"/>
    </row>
    <row r="723" spans="23:23" ht="14.25" customHeight="1">
      <c r="W723" s="3"/>
    </row>
    <row r="724" spans="23:23" ht="14.25" customHeight="1">
      <c r="W724" s="3"/>
    </row>
    <row r="725" spans="23:23" ht="14.25" customHeight="1">
      <c r="W725" s="3"/>
    </row>
    <row r="726" spans="23:23" ht="14.25" customHeight="1">
      <c r="W726" s="3"/>
    </row>
    <row r="727" spans="23:23" ht="14.25" customHeight="1">
      <c r="W727" s="3"/>
    </row>
    <row r="728" spans="23:23" ht="14.25" customHeight="1">
      <c r="W728" s="3"/>
    </row>
    <row r="729" spans="23:23" ht="14.25" customHeight="1">
      <c r="W729" s="3"/>
    </row>
    <row r="730" spans="23:23" ht="14.25" customHeight="1">
      <c r="W730" s="3"/>
    </row>
    <row r="731" spans="23:23" ht="14.25" customHeight="1">
      <c r="W731" s="3"/>
    </row>
    <row r="732" spans="23:23" ht="14.25" customHeight="1">
      <c r="W732" s="3"/>
    </row>
    <row r="733" spans="23:23" ht="14.25" customHeight="1">
      <c r="W733" s="3"/>
    </row>
    <row r="734" spans="23:23" ht="14.25" customHeight="1">
      <c r="W734" s="3"/>
    </row>
    <row r="735" spans="23:23" ht="14.25" customHeight="1">
      <c r="W735" s="3"/>
    </row>
    <row r="736" spans="23:23" ht="14.25" customHeight="1">
      <c r="W736" s="3"/>
    </row>
    <row r="737" spans="23:23" ht="14.25" customHeight="1">
      <c r="W737" s="3"/>
    </row>
    <row r="738" spans="23:23" ht="14.25" customHeight="1">
      <c r="W738" s="3"/>
    </row>
    <row r="739" spans="23:23" ht="14.25" customHeight="1">
      <c r="W739" s="3"/>
    </row>
    <row r="740" spans="23:23" ht="14.25" customHeight="1">
      <c r="W740" s="3"/>
    </row>
    <row r="741" spans="23:23" ht="14.25" customHeight="1">
      <c r="W741" s="3"/>
    </row>
    <row r="742" spans="23:23" ht="14.25" customHeight="1">
      <c r="W742" s="3"/>
    </row>
    <row r="743" spans="23:23" ht="14.25" customHeight="1">
      <c r="W743" s="3"/>
    </row>
    <row r="744" spans="23:23" ht="14.25" customHeight="1">
      <c r="W744" s="3"/>
    </row>
    <row r="745" spans="23:23" ht="14.25" customHeight="1">
      <c r="W745" s="3"/>
    </row>
    <row r="746" spans="23:23" ht="14.25" customHeight="1">
      <c r="W746" s="3"/>
    </row>
    <row r="747" spans="23:23" ht="14.25" customHeight="1">
      <c r="W747" s="3"/>
    </row>
    <row r="748" spans="23:23" ht="14.25" customHeight="1">
      <c r="W748" s="3"/>
    </row>
    <row r="749" spans="23:23" ht="14.25" customHeight="1">
      <c r="W749" s="3"/>
    </row>
    <row r="750" spans="23:23" ht="14.25" customHeight="1">
      <c r="W750" s="3"/>
    </row>
    <row r="751" spans="23:23" ht="14.25" customHeight="1">
      <c r="W751" s="3"/>
    </row>
    <row r="752" spans="23:23" ht="14.25" customHeight="1">
      <c r="W752" s="3"/>
    </row>
    <row r="753" spans="23:23" ht="14.25" customHeight="1">
      <c r="W753" s="3"/>
    </row>
    <row r="754" spans="23:23" ht="14.25" customHeight="1">
      <c r="W754" s="3"/>
    </row>
    <row r="755" spans="23:23" ht="14.25" customHeight="1">
      <c r="W755" s="3"/>
    </row>
    <row r="756" spans="23:23" ht="14.25" customHeight="1">
      <c r="W756" s="3"/>
    </row>
    <row r="757" spans="23:23" ht="14.25" customHeight="1">
      <c r="W757" s="3"/>
    </row>
    <row r="758" spans="23:23" ht="14.25" customHeight="1">
      <c r="W758" s="3"/>
    </row>
    <row r="759" spans="23:23" ht="14.25" customHeight="1">
      <c r="W759" s="3"/>
    </row>
    <row r="760" spans="23:23" ht="14.25" customHeight="1">
      <c r="W760" s="3"/>
    </row>
    <row r="761" spans="23:23" ht="14.25" customHeight="1">
      <c r="W761" s="3"/>
    </row>
    <row r="762" spans="23:23" ht="14.25" customHeight="1">
      <c r="W762" s="3"/>
    </row>
    <row r="763" spans="23:23" ht="14.25" customHeight="1">
      <c r="W763" s="3"/>
    </row>
    <row r="764" spans="23:23" ht="14.25" customHeight="1">
      <c r="W764" s="3"/>
    </row>
    <row r="765" spans="23:23" ht="14.25" customHeight="1">
      <c r="W765" s="3"/>
    </row>
    <row r="766" spans="23:23" ht="14.25" customHeight="1">
      <c r="W766" s="3"/>
    </row>
    <row r="767" spans="23:23" ht="14.25" customHeight="1">
      <c r="W767" s="3"/>
    </row>
    <row r="768" spans="23:23" ht="14.25" customHeight="1">
      <c r="W768" s="3"/>
    </row>
    <row r="769" spans="23:23" ht="14.25" customHeight="1">
      <c r="W769" s="3"/>
    </row>
    <row r="770" spans="23:23" ht="14.25" customHeight="1">
      <c r="W770" s="3"/>
    </row>
    <row r="771" spans="23:23" ht="14.25" customHeight="1">
      <c r="W771" s="3"/>
    </row>
    <row r="772" spans="23:23" ht="14.25" customHeight="1">
      <c r="W772" s="3"/>
    </row>
    <row r="773" spans="23:23" ht="14.25" customHeight="1">
      <c r="W773" s="3"/>
    </row>
    <row r="774" spans="23:23" ht="14.25" customHeight="1">
      <c r="W774" s="3"/>
    </row>
    <row r="775" spans="23:23" ht="14.25" customHeight="1">
      <c r="W775" s="3"/>
    </row>
    <row r="776" spans="23:23" ht="14.25" customHeight="1">
      <c r="W776" s="3"/>
    </row>
    <row r="777" spans="23:23" ht="14.25" customHeight="1">
      <c r="W777" s="3"/>
    </row>
    <row r="778" spans="23:23" ht="14.25" customHeight="1">
      <c r="W778" s="3"/>
    </row>
    <row r="779" spans="23:23" ht="14.25" customHeight="1">
      <c r="W779" s="3"/>
    </row>
    <row r="780" spans="23:23" ht="14.25" customHeight="1">
      <c r="W780" s="3"/>
    </row>
    <row r="781" spans="23:23" ht="14.25" customHeight="1">
      <c r="W781" s="3"/>
    </row>
    <row r="782" spans="23:23" ht="14.25" customHeight="1">
      <c r="W782" s="3"/>
    </row>
    <row r="783" spans="23:23" ht="14.25" customHeight="1">
      <c r="W783" s="3"/>
    </row>
    <row r="784" spans="23:23" ht="14.25" customHeight="1">
      <c r="W784" s="3"/>
    </row>
    <row r="785" spans="23:23" ht="14.25" customHeight="1">
      <c r="W785" s="3"/>
    </row>
    <row r="786" spans="23:23" ht="14.25" customHeight="1">
      <c r="W786" s="3"/>
    </row>
    <row r="787" spans="23:23" ht="14.25" customHeight="1">
      <c r="W787" s="3"/>
    </row>
    <row r="788" spans="23:23" ht="14.25" customHeight="1">
      <c r="W788" s="3"/>
    </row>
    <row r="789" spans="23:23" ht="14.25" customHeight="1">
      <c r="W789" s="3"/>
    </row>
    <row r="790" spans="23:23" ht="14.25" customHeight="1">
      <c r="W790" s="3"/>
    </row>
    <row r="791" spans="23:23" ht="14.25" customHeight="1">
      <c r="W791" s="3"/>
    </row>
    <row r="792" spans="23:23" ht="14.25" customHeight="1">
      <c r="W792" s="3"/>
    </row>
    <row r="793" spans="23:23" ht="14.25" customHeight="1">
      <c r="W793" s="3"/>
    </row>
    <row r="794" spans="23:23" ht="14.25" customHeight="1">
      <c r="W794" s="3"/>
    </row>
    <row r="795" spans="23:23" ht="14.25" customHeight="1">
      <c r="W795" s="3"/>
    </row>
    <row r="796" spans="23:23" ht="14.25" customHeight="1">
      <c r="W796" s="3"/>
    </row>
    <row r="797" spans="23:23" ht="14.25" customHeight="1">
      <c r="W797" s="3"/>
    </row>
    <row r="798" spans="23:23" ht="14.25" customHeight="1">
      <c r="W798" s="3"/>
    </row>
    <row r="799" spans="23:23" ht="14.25" customHeight="1">
      <c r="W799" s="3"/>
    </row>
    <row r="800" spans="23:23" ht="14.25" customHeight="1">
      <c r="W800" s="3"/>
    </row>
    <row r="801" spans="23:23" ht="14.25" customHeight="1">
      <c r="W801" s="3"/>
    </row>
    <row r="802" spans="23:23" ht="14.25" customHeight="1">
      <c r="W802" s="3"/>
    </row>
    <row r="803" spans="23:23" ht="14.25" customHeight="1">
      <c r="W803" s="3"/>
    </row>
    <row r="804" spans="23:23" ht="14.25" customHeight="1">
      <c r="W804" s="3"/>
    </row>
    <row r="805" spans="23:23" ht="14.25" customHeight="1">
      <c r="W805" s="3"/>
    </row>
    <row r="806" spans="23:23" ht="14.25" customHeight="1">
      <c r="W806" s="3"/>
    </row>
    <row r="807" spans="23:23" ht="14.25" customHeight="1">
      <c r="W807" s="3"/>
    </row>
    <row r="808" spans="23:23" ht="14.25" customHeight="1">
      <c r="W808" s="3"/>
    </row>
    <row r="809" spans="23:23" ht="14.25" customHeight="1">
      <c r="W809" s="3"/>
    </row>
    <row r="810" spans="23:23" ht="14.25" customHeight="1">
      <c r="W810" s="3"/>
    </row>
    <row r="811" spans="23:23" ht="14.25" customHeight="1">
      <c r="W811" s="3"/>
    </row>
    <row r="812" spans="23:23" ht="14.25" customHeight="1">
      <c r="W812" s="3"/>
    </row>
    <row r="813" spans="23:23" ht="14.25" customHeight="1">
      <c r="W813" s="3"/>
    </row>
    <row r="814" spans="23:23" ht="14.25" customHeight="1">
      <c r="W814" s="3"/>
    </row>
    <row r="815" spans="23:23" ht="14.25" customHeight="1">
      <c r="W815" s="3"/>
    </row>
    <row r="816" spans="23:23" ht="14.25" customHeight="1">
      <c r="W816" s="3"/>
    </row>
    <row r="817" spans="23:23" ht="14.25" customHeight="1">
      <c r="W817" s="3"/>
    </row>
    <row r="818" spans="23:23" ht="14.25" customHeight="1">
      <c r="W818" s="3"/>
    </row>
    <row r="819" spans="23:23" ht="14.25" customHeight="1">
      <c r="W819" s="3"/>
    </row>
    <row r="820" spans="23:23" ht="14.25" customHeight="1">
      <c r="W820" s="3"/>
    </row>
    <row r="821" spans="23:23" ht="14.25" customHeight="1">
      <c r="W821" s="3"/>
    </row>
    <row r="822" spans="23:23" ht="14.25" customHeight="1">
      <c r="W822" s="3"/>
    </row>
    <row r="823" spans="23:23" ht="14.25" customHeight="1">
      <c r="W823" s="3"/>
    </row>
    <row r="824" spans="23:23" ht="14.25" customHeight="1">
      <c r="W824" s="3"/>
    </row>
    <row r="825" spans="23:23" ht="14.25" customHeight="1">
      <c r="W825" s="3"/>
    </row>
    <row r="826" spans="23:23" ht="14.25" customHeight="1">
      <c r="W826" s="3"/>
    </row>
    <row r="827" spans="23:23" ht="14.25" customHeight="1">
      <c r="W827" s="3"/>
    </row>
    <row r="828" spans="23:23" ht="14.25" customHeight="1">
      <c r="W828" s="3"/>
    </row>
    <row r="829" spans="23:23" ht="14.25" customHeight="1">
      <c r="W829" s="3"/>
    </row>
    <row r="830" spans="23:23" ht="14.25" customHeight="1">
      <c r="W830" s="3"/>
    </row>
    <row r="831" spans="23:23" ht="14.25" customHeight="1">
      <c r="W831" s="3"/>
    </row>
    <row r="832" spans="23:23" ht="14.25" customHeight="1">
      <c r="W832" s="3"/>
    </row>
    <row r="833" spans="23:23" ht="14.25" customHeight="1">
      <c r="W833" s="3"/>
    </row>
    <row r="834" spans="23:23" ht="14.25" customHeight="1">
      <c r="W834" s="3"/>
    </row>
    <row r="835" spans="23:23" ht="14.25" customHeight="1">
      <c r="W835" s="3"/>
    </row>
    <row r="836" spans="23:23" ht="14.25" customHeight="1">
      <c r="W836" s="3"/>
    </row>
    <row r="837" spans="23:23" ht="14.25" customHeight="1">
      <c r="W837" s="3"/>
    </row>
    <row r="838" spans="23:23" ht="14.25" customHeight="1">
      <c r="W838" s="3"/>
    </row>
    <row r="839" spans="23:23" ht="14.25" customHeight="1">
      <c r="W839" s="3"/>
    </row>
    <row r="840" spans="23:23" ht="14.25" customHeight="1">
      <c r="W840" s="3"/>
    </row>
    <row r="841" spans="23:23" ht="14.25" customHeight="1">
      <c r="W841" s="3"/>
    </row>
    <row r="842" spans="23:23" ht="14.25" customHeight="1">
      <c r="W842" s="3"/>
    </row>
    <row r="843" spans="23:23" ht="14.25" customHeight="1">
      <c r="W843" s="3"/>
    </row>
    <row r="844" spans="23:23" ht="14.25" customHeight="1">
      <c r="W844" s="3"/>
    </row>
    <row r="845" spans="23:23" ht="14.25" customHeight="1">
      <c r="W845" s="3"/>
    </row>
    <row r="846" spans="23:23" ht="14.25" customHeight="1">
      <c r="W846" s="3"/>
    </row>
    <row r="847" spans="23:23" ht="14.25" customHeight="1">
      <c r="W847" s="3"/>
    </row>
    <row r="848" spans="23:23" ht="14.25" customHeight="1">
      <c r="W848" s="3"/>
    </row>
    <row r="849" spans="23:23" ht="14.25" customHeight="1">
      <c r="W849" s="3"/>
    </row>
    <row r="850" spans="23:23" ht="14.25" customHeight="1">
      <c r="W850" s="3"/>
    </row>
    <row r="851" spans="23:23" ht="14.25" customHeight="1">
      <c r="W851" s="3"/>
    </row>
    <row r="852" spans="23:23" ht="14.25" customHeight="1">
      <c r="W852" s="3"/>
    </row>
    <row r="853" spans="23:23" ht="14.25" customHeight="1">
      <c r="W853" s="3"/>
    </row>
    <row r="854" spans="23:23" ht="14.25" customHeight="1">
      <c r="W854" s="3"/>
    </row>
    <row r="855" spans="23:23" ht="14.25" customHeight="1">
      <c r="W855" s="3"/>
    </row>
    <row r="856" spans="23:23" ht="14.25" customHeight="1">
      <c r="W856" s="3"/>
    </row>
    <row r="857" spans="23:23" ht="14.25" customHeight="1">
      <c r="W857" s="3"/>
    </row>
    <row r="858" spans="23:23" ht="14.25" customHeight="1">
      <c r="W858" s="3"/>
    </row>
    <row r="859" spans="23:23" ht="14.25" customHeight="1">
      <c r="W859" s="3"/>
    </row>
    <row r="860" spans="23:23" ht="14.25" customHeight="1">
      <c r="W860" s="3"/>
    </row>
    <row r="861" spans="23:23" ht="14.25" customHeight="1">
      <c r="W861" s="3"/>
    </row>
    <row r="862" spans="23:23" ht="14.25" customHeight="1">
      <c r="W862" s="3"/>
    </row>
    <row r="863" spans="23:23" ht="14.25" customHeight="1">
      <c r="W863" s="3"/>
    </row>
    <row r="864" spans="23:23" ht="14.25" customHeight="1">
      <c r="W864" s="3"/>
    </row>
    <row r="865" spans="23:23" ht="14.25" customHeight="1">
      <c r="W865" s="3"/>
    </row>
    <row r="866" spans="23:23" ht="14.25" customHeight="1">
      <c r="W866" s="3"/>
    </row>
    <row r="867" spans="23:23" ht="14.25" customHeight="1">
      <c r="W867" s="3"/>
    </row>
    <row r="868" spans="23:23" ht="14.25" customHeight="1">
      <c r="W868" s="3"/>
    </row>
    <row r="869" spans="23:23" ht="14.25" customHeight="1">
      <c r="W869" s="3"/>
    </row>
    <row r="870" spans="23:23" ht="14.25" customHeight="1">
      <c r="W870" s="3"/>
    </row>
    <row r="871" spans="23:23" ht="14.25" customHeight="1">
      <c r="W871" s="3"/>
    </row>
    <row r="872" spans="23:23" ht="14.25" customHeight="1">
      <c r="W872" s="3"/>
    </row>
    <row r="873" spans="23:23" ht="14.25" customHeight="1">
      <c r="W873" s="3"/>
    </row>
    <row r="874" spans="23:23" ht="14.25" customHeight="1">
      <c r="W874" s="3"/>
    </row>
    <row r="875" spans="23:23" ht="14.25" customHeight="1">
      <c r="W875" s="3"/>
    </row>
    <row r="876" spans="23:23" ht="14.25" customHeight="1">
      <c r="W876" s="3"/>
    </row>
    <row r="877" spans="23:23" ht="14.25" customHeight="1">
      <c r="W877" s="3"/>
    </row>
    <row r="878" spans="23:23" ht="14.25" customHeight="1">
      <c r="W878" s="3"/>
    </row>
    <row r="879" spans="23:23" ht="14.25" customHeight="1">
      <c r="W879" s="3"/>
    </row>
    <row r="880" spans="23:23" ht="14.25" customHeight="1">
      <c r="W880" s="3"/>
    </row>
    <row r="881" spans="23:23" ht="14.25" customHeight="1">
      <c r="W881" s="3"/>
    </row>
    <row r="882" spans="23:23" ht="14.25" customHeight="1">
      <c r="W882" s="3"/>
    </row>
    <row r="883" spans="23:23" ht="14.25" customHeight="1">
      <c r="W883" s="3"/>
    </row>
    <row r="884" spans="23:23" ht="14.25" customHeight="1">
      <c r="W884" s="3"/>
    </row>
    <row r="885" spans="23:23" ht="14.25" customHeight="1">
      <c r="W885" s="3"/>
    </row>
    <row r="886" spans="23:23" ht="14.25" customHeight="1">
      <c r="W886" s="3"/>
    </row>
    <row r="887" spans="23:23" ht="14.25" customHeight="1">
      <c r="W887" s="3"/>
    </row>
    <row r="888" spans="23:23" ht="14.25" customHeight="1">
      <c r="W888" s="3"/>
    </row>
    <row r="889" spans="23:23" ht="14.25" customHeight="1">
      <c r="W889" s="3"/>
    </row>
    <row r="890" spans="23:23" ht="14.25" customHeight="1">
      <c r="W890" s="3"/>
    </row>
    <row r="891" spans="23:23" ht="14.25" customHeight="1">
      <c r="W891" s="3"/>
    </row>
    <row r="892" spans="23:23" ht="14.25" customHeight="1">
      <c r="W892" s="3"/>
    </row>
    <row r="893" spans="23:23" ht="14.25" customHeight="1">
      <c r="W893" s="3"/>
    </row>
    <row r="894" spans="23:23" ht="14.25" customHeight="1">
      <c r="W894" s="3"/>
    </row>
    <row r="895" spans="23:23" ht="14.25" customHeight="1">
      <c r="W895" s="3"/>
    </row>
    <row r="896" spans="23:23" ht="14.25" customHeight="1">
      <c r="W896" s="3"/>
    </row>
    <row r="897" spans="23:23" ht="14.25" customHeight="1">
      <c r="W897" s="3"/>
    </row>
    <row r="898" spans="23:23" ht="14.25" customHeight="1">
      <c r="W898" s="3"/>
    </row>
    <row r="899" spans="23:23" ht="14.25" customHeight="1">
      <c r="W899" s="3"/>
    </row>
    <row r="900" spans="23:23" ht="14.25" customHeight="1">
      <c r="W900" s="3"/>
    </row>
    <row r="901" spans="23:23" ht="14.25" customHeight="1">
      <c r="W901" s="3"/>
    </row>
    <row r="902" spans="23:23" ht="14.25" customHeight="1">
      <c r="W902" s="3"/>
    </row>
    <row r="903" spans="23:23" ht="14.25" customHeight="1">
      <c r="W903" s="3"/>
    </row>
    <row r="904" spans="23:23" ht="14.25" customHeight="1">
      <c r="W904" s="3"/>
    </row>
    <row r="905" spans="23:23" ht="14.25" customHeight="1">
      <c r="W905" s="3"/>
    </row>
    <row r="906" spans="23:23" ht="14.25" customHeight="1">
      <c r="W906" s="3"/>
    </row>
    <row r="907" spans="23:23" ht="14.25" customHeight="1">
      <c r="W907" s="3"/>
    </row>
    <row r="908" spans="23:23" ht="14.25" customHeight="1">
      <c r="W908" s="3"/>
    </row>
    <row r="909" spans="23:23" ht="14.25" customHeight="1">
      <c r="W909" s="3"/>
    </row>
    <row r="910" spans="23:23" ht="14.25" customHeight="1">
      <c r="W910" s="3"/>
    </row>
    <row r="911" spans="23:23" ht="14.25" customHeight="1">
      <c r="W911" s="3"/>
    </row>
    <row r="912" spans="23:23" ht="14.25" customHeight="1">
      <c r="W912" s="3"/>
    </row>
    <row r="913" spans="23:23" ht="14.25" customHeight="1">
      <c r="W913" s="3"/>
    </row>
    <row r="914" spans="23:23" ht="14.25" customHeight="1">
      <c r="W914" s="3"/>
    </row>
    <row r="915" spans="23:23" ht="14.25" customHeight="1">
      <c r="W915" s="3"/>
    </row>
    <row r="916" spans="23:23" ht="14.25" customHeight="1">
      <c r="W916" s="3"/>
    </row>
    <row r="917" spans="23:23" ht="14.25" customHeight="1">
      <c r="W917" s="3"/>
    </row>
    <row r="918" spans="23:23" ht="14.25" customHeight="1">
      <c r="W918" s="3"/>
    </row>
    <row r="919" spans="23:23" ht="14.25" customHeight="1">
      <c r="W919" s="3"/>
    </row>
    <row r="920" spans="23:23" ht="14.25" customHeight="1">
      <c r="W920" s="3"/>
    </row>
    <row r="921" spans="23:23" ht="14.25" customHeight="1">
      <c r="W921" s="3"/>
    </row>
    <row r="922" spans="23:23" ht="14.25" customHeight="1">
      <c r="W922" s="3"/>
    </row>
    <row r="923" spans="23:23" ht="14.25" customHeight="1">
      <c r="W923" s="3"/>
    </row>
    <row r="924" spans="23:23" ht="14.25" customHeight="1">
      <c r="W924" s="3"/>
    </row>
    <row r="925" spans="23:23" ht="14.25" customHeight="1">
      <c r="W925" s="3"/>
    </row>
    <row r="926" spans="23:23" ht="14.25" customHeight="1">
      <c r="W926" s="3"/>
    </row>
    <row r="927" spans="23:23" ht="14.25" customHeight="1">
      <c r="W927" s="3"/>
    </row>
    <row r="928" spans="23:23" ht="14.25" customHeight="1">
      <c r="W928" s="3"/>
    </row>
    <row r="929" spans="23:23" ht="14.25" customHeight="1">
      <c r="W929" s="3"/>
    </row>
    <row r="930" spans="23:23" ht="14.25" customHeight="1">
      <c r="W930" s="3"/>
    </row>
    <row r="931" spans="23:23" ht="14.25" customHeight="1">
      <c r="W931" s="3"/>
    </row>
    <row r="932" spans="23:23" ht="14.25" customHeight="1">
      <c r="W932" s="3"/>
    </row>
    <row r="933" spans="23:23" ht="14.25" customHeight="1">
      <c r="W933" s="3"/>
    </row>
    <row r="934" spans="23:23" ht="14.25" customHeight="1">
      <c r="W934" s="3"/>
    </row>
    <row r="935" spans="23:23" ht="14.25" customHeight="1">
      <c r="W935" s="3"/>
    </row>
    <row r="936" spans="23:23" ht="14.25" customHeight="1">
      <c r="W936" s="3"/>
    </row>
    <row r="937" spans="23:23" ht="14.25" customHeight="1">
      <c r="W937" s="3"/>
    </row>
    <row r="938" spans="23:23" ht="14.25" customHeight="1">
      <c r="W938" s="3"/>
    </row>
    <row r="939" spans="23:23" ht="14.25" customHeight="1">
      <c r="W939" s="3"/>
    </row>
    <row r="940" spans="23:23" ht="14.25" customHeight="1">
      <c r="W940" s="3"/>
    </row>
    <row r="941" spans="23:23" ht="14.25" customHeight="1">
      <c r="W941" s="3"/>
    </row>
    <row r="942" spans="23:23" ht="14.25" customHeight="1">
      <c r="W942" s="3"/>
    </row>
    <row r="943" spans="23:23" ht="14.25" customHeight="1">
      <c r="W943" s="3"/>
    </row>
    <row r="944" spans="23:23" ht="14.25" customHeight="1">
      <c r="W944" s="3"/>
    </row>
    <row r="945" spans="23:23" ht="14.25" customHeight="1">
      <c r="W945" s="3"/>
    </row>
    <row r="946" spans="23:23" ht="14.25" customHeight="1">
      <c r="W946" s="3"/>
    </row>
    <row r="947" spans="23:23" ht="14.25" customHeight="1">
      <c r="W947" s="3"/>
    </row>
    <row r="948" spans="23:23" ht="14.25" customHeight="1">
      <c r="W948" s="3"/>
    </row>
    <row r="949" spans="23:23" ht="14.25" customHeight="1">
      <c r="W949" s="3"/>
    </row>
    <row r="950" spans="23:23" ht="14.25" customHeight="1">
      <c r="W950" s="3"/>
    </row>
    <row r="951" spans="23:23" ht="14.25" customHeight="1">
      <c r="W951" s="3"/>
    </row>
    <row r="952" spans="23:23" ht="14.25" customHeight="1">
      <c r="W952" s="3"/>
    </row>
    <row r="953" spans="23:23" ht="14.25" customHeight="1">
      <c r="W953" s="3"/>
    </row>
    <row r="954" spans="23:23" ht="14.25" customHeight="1">
      <c r="W954" s="3"/>
    </row>
    <row r="955" spans="23:23" ht="14.25" customHeight="1">
      <c r="W955" s="3"/>
    </row>
    <row r="956" spans="23:23" ht="14.25" customHeight="1">
      <c r="W956" s="3"/>
    </row>
    <row r="957" spans="23:23" ht="14.25" customHeight="1">
      <c r="W957" s="3"/>
    </row>
    <row r="958" spans="23:23" ht="14.25" customHeight="1">
      <c r="W958" s="3"/>
    </row>
    <row r="959" spans="23:23" ht="14.25" customHeight="1">
      <c r="W959" s="3"/>
    </row>
    <row r="960" spans="23:23" ht="14.25" customHeight="1">
      <c r="W960" s="3"/>
    </row>
    <row r="961" spans="23:23" ht="14.25" customHeight="1">
      <c r="W961" s="3"/>
    </row>
    <row r="962" spans="23:23" ht="14.25" customHeight="1">
      <c r="W962" s="3"/>
    </row>
    <row r="963" spans="23:23" ht="14.25" customHeight="1">
      <c r="W963" s="3"/>
    </row>
    <row r="964" spans="23:23" ht="14.25" customHeight="1">
      <c r="W964" s="3"/>
    </row>
    <row r="965" spans="23:23" ht="14.25" customHeight="1">
      <c r="W965" s="3"/>
    </row>
    <row r="966" spans="23:23" ht="14.25" customHeight="1">
      <c r="W966" s="3"/>
    </row>
    <row r="967" spans="23:23" ht="14.25" customHeight="1">
      <c r="W967" s="3"/>
    </row>
    <row r="968" spans="23:23" ht="14.25" customHeight="1">
      <c r="W968" s="3"/>
    </row>
    <row r="969" spans="23:23" ht="14.25" customHeight="1">
      <c r="W969" s="3"/>
    </row>
    <row r="970" spans="23:23" ht="14.25" customHeight="1">
      <c r="W970" s="3"/>
    </row>
    <row r="971" spans="23:23" ht="14.25" customHeight="1">
      <c r="W971" s="3"/>
    </row>
    <row r="972" spans="23:23" ht="14.25" customHeight="1">
      <c r="W972" s="3"/>
    </row>
    <row r="973" spans="23:23" ht="14.25" customHeight="1">
      <c r="W973" s="3"/>
    </row>
    <row r="974" spans="23:23" ht="14.25" customHeight="1">
      <c r="W974" s="3"/>
    </row>
    <row r="975" spans="23:23" ht="14.25" customHeight="1">
      <c r="W975" s="3"/>
    </row>
    <row r="976" spans="23:23" ht="14.25" customHeight="1">
      <c r="W976" s="3"/>
    </row>
    <row r="977" spans="23:23" ht="14.25" customHeight="1">
      <c r="W977" s="3"/>
    </row>
    <row r="978" spans="23:23" ht="14.25" customHeight="1">
      <c r="W978" s="3"/>
    </row>
    <row r="979" spans="23:23" ht="14.25" customHeight="1">
      <c r="W979" s="3"/>
    </row>
    <row r="980" spans="23:23" ht="14.25" customHeight="1">
      <c r="W980" s="3"/>
    </row>
    <row r="981" spans="23:23" ht="14.25" customHeight="1">
      <c r="W981" s="3"/>
    </row>
    <row r="982" spans="23:23" ht="14.25" customHeight="1">
      <c r="W982" s="3"/>
    </row>
    <row r="983" spans="23:23" ht="14.25" customHeight="1">
      <c r="W983" s="3"/>
    </row>
    <row r="984" spans="23:23" ht="14.25" customHeight="1">
      <c r="W984" s="3"/>
    </row>
    <row r="985" spans="23:23" ht="14.25" customHeight="1">
      <c r="W985" s="3"/>
    </row>
    <row r="986" spans="23:23" ht="14.25" customHeight="1">
      <c r="W986" s="3"/>
    </row>
    <row r="987" spans="23:23" ht="14.25" customHeight="1">
      <c r="W987" s="3"/>
    </row>
    <row r="988" spans="23:23" ht="14.25" customHeight="1">
      <c r="W988" s="3"/>
    </row>
    <row r="989" spans="23:23" ht="14.25" customHeight="1">
      <c r="W989" s="3"/>
    </row>
    <row r="990" spans="23:23" ht="14.25" customHeight="1">
      <c r="W990" s="3"/>
    </row>
    <row r="991" spans="23:23" ht="14.25" customHeight="1">
      <c r="W991" s="3"/>
    </row>
    <row r="992" spans="23:23" ht="14.25" customHeight="1">
      <c r="W992" s="3"/>
    </row>
    <row r="993" spans="23:23" ht="14.25" customHeight="1">
      <c r="W993" s="3"/>
    </row>
    <row r="994" spans="23:23" ht="14.25" customHeight="1">
      <c r="W994" s="3"/>
    </row>
    <row r="995" spans="23:23" ht="14.25" customHeight="1">
      <c r="W995" s="3"/>
    </row>
    <row r="996" spans="23:23" ht="14.25" customHeight="1">
      <c r="W996" s="3"/>
    </row>
    <row r="997" spans="23:23" ht="14.25" customHeight="1">
      <c r="W997" s="3"/>
    </row>
    <row r="998" spans="23:23" ht="14.25" customHeight="1">
      <c r="W998" s="3"/>
    </row>
    <row r="999" spans="23:23" ht="14.25" customHeight="1">
      <c r="W999" s="3"/>
    </row>
    <row r="1000" spans="23:23" ht="14.25" customHeight="1">
      <c r="W1000" s="3"/>
    </row>
  </sheetData>
  <mergeCells count="8">
    <mergeCell ref="AD89:AE89"/>
    <mergeCell ref="AF89:AH89"/>
    <mergeCell ref="AI89:AK89"/>
    <mergeCell ref="B1:H1"/>
    <mergeCell ref="I1:O1"/>
    <mergeCell ref="P1:V1"/>
    <mergeCell ref="AH80:AJ80"/>
    <mergeCell ref="AC87:AF87"/>
  </mergeCells>
  <conditionalFormatting sqref="AB91:AB94">
    <cfRule type="cellIs" dxfId="13" priority="1" operator="equal">
      <formula>"da"</formula>
    </cfRule>
    <cfRule type="cellIs" dxfId="12" priority="2" operator="equal">
      <formula>"ne"</formula>
    </cfRule>
  </conditionalFormatting>
  <pageMargins left="0.7" right="0.7" top="0.75" bottom="0.75" header="0" footer="0"/>
  <pageSetup orientation="landscape"/>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BX1000"/>
  <sheetViews>
    <sheetView workbookViewId="0">
      <pane xSplit="1" ySplit="2" topLeftCell="K62" activePane="bottomRight" state="frozen"/>
      <selection pane="topRight" activeCell="B1" sqref="B1"/>
      <selection pane="bottomLeft" activeCell="A3" sqref="A3"/>
      <selection pane="bottomRight" activeCell="P81" sqref="P81"/>
    </sheetView>
  </sheetViews>
  <sheetFormatPr defaultColWidth="12.59765625" defaultRowHeight="15" customHeight="1"/>
  <cols>
    <col min="1" max="1" width="8.8984375" customWidth="1"/>
    <col min="2" max="2" width="8" customWidth="1"/>
    <col min="3" max="3" width="11.09765625" customWidth="1"/>
    <col min="4" max="4" width="10.19921875" customWidth="1"/>
    <col min="5" max="5" width="8.8984375" customWidth="1"/>
    <col min="6" max="6" width="8.59765625" customWidth="1"/>
    <col min="7" max="8" width="10.19921875" customWidth="1"/>
    <col min="9" max="9" width="9.09765625" customWidth="1"/>
    <col min="10" max="10" width="10.19921875" customWidth="1"/>
    <col min="11" max="11" width="10.8984375" customWidth="1"/>
    <col min="12" max="12" width="9.3984375" customWidth="1"/>
    <col min="13" max="15" width="10.19921875" customWidth="1"/>
    <col min="16" max="16" width="10" customWidth="1"/>
    <col min="17" max="18" width="10.19921875" customWidth="1"/>
    <col min="19" max="19" width="9.3984375" customWidth="1"/>
    <col min="20" max="20" width="7.59765625" customWidth="1"/>
    <col min="21" max="22" width="8.59765625" customWidth="1"/>
    <col min="23" max="24" width="11.3984375" customWidth="1"/>
    <col min="25" max="26" width="9.09765625" customWidth="1"/>
    <col min="27" max="27" width="13" customWidth="1"/>
    <col min="28" max="54" width="7.59765625" customWidth="1"/>
    <col min="55" max="55" width="13" customWidth="1"/>
    <col min="56" max="56" width="7.59765625" customWidth="1"/>
    <col min="57" max="57" width="11" customWidth="1"/>
    <col min="58" max="59" width="7.59765625" customWidth="1"/>
    <col min="60" max="60" width="11" customWidth="1"/>
    <col min="61" max="62" width="7.59765625" customWidth="1"/>
    <col min="63" max="63" width="13" customWidth="1"/>
    <col min="64" max="69" width="7.59765625" customWidth="1"/>
    <col min="71" max="71" width="9" customWidth="1"/>
    <col min="72" max="73" width="7.59765625" customWidth="1"/>
    <col min="74" max="74" width="8" customWidth="1"/>
    <col min="75" max="75" width="9" customWidth="1"/>
    <col min="76" max="76" width="8.19921875" customWidth="1"/>
    <col min="77" max="79" width="7.59765625" customWidth="1"/>
  </cols>
  <sheetData>
    <row r="1" spans="1:73" ht="14.25" customHeight="1">
      <c r="A1" s="182" t="s">
        <v>5</v>
      </c>
      <c r="U1" s="354"/>
      <c r="V1" s="354"/>
      <c r="W1" s="354"/>
      <c r="AD1" s="122" t="s">
        <v>579</v>
      </c>
      <c r="AQ1" s="122" t="s">
        <v>580</v>
      </c>
      <c r="BE1" s="183" t="s">
        <v>581</v>
      </c>
      <c r="BF1" s="516" t="s">
        <v>579</v>
      </c>
      <c r="BG1" s="513"/>
      <c r="BH1" s="511"/>
      <c r="BI1" s="516" t="s">
        <v>580</v>
      </c>
      <c r="BJ1" s="513"/>
      <c r="BK1" s="511"/>
      <c r="BM1" s="183" t="s">
        <v>581</v>
      </c>
      <c r="BN1" s="183" t="s">
        <v>579</v>
      </c>
      <c r="BO1" s="183" t="s">
        <v>579</v>
      </c>
      <c r="BP1" s="183" t="s">
        <v>580</v>
      </c>
      <c r="BQ1" s="183" t="s">
        <v>580</v>
      </c>
      <c r="BS1" s="3" t="s">
        <v>9</v>
      </c>
      <c r="BT1" s="184" t="s">
        <v>584</v>
      </c>
      <c r="BU1" s="184" t="s">
        <v>585</v>
      </c>
    </row>
    <row r="2" spans="1:73" ht="30" customHeight="1">
      <c r="A2" s="122" t="s">
        <v>9</v>
      </c>
      <c r="B2" s="185" t="s">
        <v>586</v>
      </c>
      <c r="C2" s="185" t="s">
        <v>252</v>
      </c>
      <c r="D2" s="185" t="s">
        <v>588</v>
      </c>
      <c r="E2" s="185" t="s">
        <v>589</v>
      </c>
      <c r="F2" s="185" t="s">
        <v>590</v>
      </c>
      <c r="G2" s="185" t="s">
        <v>591</v>
      </c>
      <c r="H2" s="185" t="s">
        <v>592</v>
      </c>
      <c r="I2" s="185" t="s">
        <v>593</v>
      </c>
      <c r="J2" s="185" t="s">
        <v>594</v>
      </c>
      <c r="K2" s="185" t="s">
        <v>595</v>
      </c>
      <c r="L2" s="185" t="s">
        <v>596</v>
      </c>
      <c r="M2" s="185" t="s">
        <v>586</v>
      </c>
      <c r="N2" s="185" t="s">
        <v>252</v>
      </c>
      <c r="O2" s="185" t="s">
        <v>588</v>
      </c>
      <c r="P2" s="185" t="s">
        <v>589</v>
      </c>
      <c r="Q2" s="185" t="s">
        <v>591</v>
      </c>
      <c r="R2" s="185" t="s">
        <v>592</v>
      </c>
      <c r="S2" s="186" t="s">
        <v>597</v>
      </c>
      <c r="T2" s="186" t="s">
        <v>598</v>
      </c>
      <c r="U2" s="186" t="s">
        <v>1158</v>
      </c>
      <c r="V2" s="186" t="s">
        <v>1151</v>
      </c>
      <c r="X2" s="122" t="s">
        <v>9</v>
      </c>
      <c r="Y2" s="186" t="s">
        <v>32</v>
      </c>
      <c r="Z2" s="374"/>
      <c r="AC2" s="183" t="s">
        <v>9</v>
      </c>
      <c r="AD2" s="187" t="s">
        <v>600</v>
      </c>
      <c r="AE2" s="183" t="s">
        <v>601</v>
      </c>
      <c r="AF2" s="183" t="s">
        <v>602</v>
      </c>
      <c r="AG2" s="183" t="s">
        <v>603</v>
      </c>
      <c r="AH2" s="183" t="s">
        <v>604</v>
      </c>
      <c r="AI2" s="183" t="s">
        <v>605</v>
      </c>
      <c r="AJ2" s="183" t="s">
        <v>606</v>
      </c>
      <c r="AK2" s="183" t="s">
        <v>607</v>
      </c>
      <c r="AL2" s="183" t="s">
        <v>608</v>
      </c>
      <c r="AM2" s="183" t="s">
        <v>609</v>
      </c>
      <c r="AN2" s="183" t="s">
        <v>610</v>
      </c>
      <c r="AO2" s="183" t="s">
        <v>611</v>
      </c>
      <c r="AP2" s="183" t="s">
        <v>612</v>
      </c>
      <c r="AQ2" s="187" t="s">
        <v>600</v>
      </c>
      <c r="AR2" s="183" t="s">
        <v>613</v>
      </c>
      <c r="AS2" s="183" t="s">
        <v>614</v>
      </c>
      <c r="AT2" s="183" t="s">
        <v>615</v>
      </c>
      <c r="AU2" s="183" t="s">
        <v>618</v>
      </c>
      <c r="AV2" s="183" t="s">
        <v>619</v>
      </c>
      <c r="AW2" s="183" t="s">
        <v>620</v>
      </c>
      <c r="AX2" s="183" t="s">
        <v>621</v>
      </c>
      <c r="AY2" s="183" t="s">
        <v>622</v>
      </c>
      <c r="AZ2" s="183" t="s">
        <v>623</v>
      </c>
      <c r="BA2" s="183" t="s">
        <v>624</v>
      </c>
      <c r="BB2" s="183" t="s">
        <v>625</v>
      </c>
      <c r="BC2" s="183" t="s">
        <v>626</v>
      </c>
      <c r="BE2" s="183" t="s">
        <v>627</v>
      </c>
      <c r="BF2" s="188" t="s">
        <v>628</v>
      </c>
      <c r="BG2" s="188" t="s">
        <v>629</v>
      </c>
      <c r="BH2" s="188" t="s">
        <v>631</v>
      </c>
      <c r="BI2" s="188" t="s">
        <v>628</v>
      </c>
      <c r="BJ2" s="188" t="s">
        <v>629</v>
      </c>
      <c r="BK2" s="188" t="s">
        <v>631</v>
      </c>
      <c r="BM2" s="183" t="s">
        <v>627</v>
      </c>
      <c r="BN2" s="183" t="s">
        <v>632</v>
      </c>
      <c r="BO2" s="183" t="s">
        <v>633</v>
      </c>
      <c r="BP2" s="183" t="s">
        <v>632</v>
      </c>
      <c r="BQ2" s="183" t="s">
        <v>633</v>
      </c>
      <c r="BS2" s="189">
        <v>34059</v>
      </c>
      <c r="BT2" s="190">
        <v>228.27339610563786</v>
      </c>
      <c r="BU2" s="190"/>
    </row>
    <row r="3" spans="1:73" ht="14.25" customHeight="1">
      <c r="A3" s="18">
        <v>36616</v>
      </c>
      <c r="B3" s="191">
        <v>826.13212043951035</v>
      </c>
      <c r="C3" s="191">
        <v>602.62278413580418</v>
      </c>
      <c r="D3" s="191">
        <v>60.275800840548257</v>
      </c>
      <c r="E3" s="191">
        <v>301.35407504843175</v>
      </c>
      <c r="F3" s="191">
        <v>-3.804454067</v>
      </c>
      <c r="G3" s="191">
        <v>-6.6049428864999999</v>
      </c>
      <c r="H3" s="191">
        <v>3.8980724586731883</v>
      </c>
      <c r="I3" s="191">
        <v>0</v>
      </c>
      <c r="J3" s="191">
        <v>417.52048861675377</v>
      </c>
      <c r="K3" s="192">
        <v>-14.463144744870696</v>
      </c>
      <c r="L3" s="191">
        <v>-121.50755610317992</v>
      </c>
      <c r="M3" s="191">
        <v>1438.7816317760994</v>
      </c>
      <c r="N3" s="191">
        <v>503.01082062937024</v>
      </c>
      <c r="O3" s="191">
        <v>109.40607660654682</v>
      </c>
      <c r="P3" s="191">
        <v>53.877385333941909</v>
      </c>
      <c r="Q3" s="191">
        <v>424.00261224529999</v>
      </c>
      <c r="R3" s="191">
        <v>416.3510052506</v>
      </c>
      <c r="S3" s="193">
        <f t="shared" ref="S3:S86" si="0">SUM(B3:E3)-SUM(M3:P3)</f>
        <v>-314.6911338816642</v>
      </c>
      <c r="T3" s="193">
        <f t="shared" ref="T3:T86" si="1">SUM(B3:L3)-SUM(M3:R3)</f>
        <v>-880.00628810368789</v>
      </c>
      <c r="U3" s="370">
        <v>7.7272800000000004</v>
      </c>
      <c r="V3" s="193"/>
      <c r="X3" s="18">
        <v>36616</v>
      </c>
      <c r="Y3" s="193"/>
      <c r="Z3" s="375"/>
      <c r="AC3" s="194">
        <v>36616</v>
      </c>
      <c r="AD3" s="195">
        <v>597.4</v>
      </c>
      <c r="AE3" s="196">
        <v>69.900000000000006</v>
      </c>
      <c r="AF3" s="196">
        <v>14.7</v>
      </c>
      <c r="AG3" s="196">
        <v>111.1</v>
      </c>
      <c r="AH3" s="196">
        <v>236.4</v>
      </c>
      <c r="AI3" s="196">
        <v>49.1</v>
      </c>
      <c r="AJ3" s="196">
        <v>12.3</v>
      </c>
      <c r="AK3" s="196">
        <v>2.5</v>
      </c>
      <c r="AL3" s="196">
        <v>5</v>
      </c>
      <c r="AM3" s="196">
        <v>28.4</v>
      </c>
      <c r="AN3" s="196">
        <v>61.2</v>
      </c>
      <c r="AO3" s="196">
        <v>6.5</v>
      </c>
      <c r="AP3" s="196">
        <v>0.1</v>
      </c>
      <c r="AQ3" s="195">
        <v>501.8</v>
      </c>
      <c r="AR3" s="196">
        <v>24.3</v>
      </c>
      <c r="AS3" s="196">
        <v>2.7</v>
      </c>
      <c r="AT3" s="196">
        <v>76.400000000000006</v>
      </c>
      <c r="AU3" s="196">
        <v>155.4</v>
      </c>
      <c r="AV3" s="196">
        <v>15.4</v>
      </c>
      <c r="AW3" s="196">
        <v>8.4</v>
      </c>
      <c r="AX3" s="196">
        <v>23.8</v>
      </c>
      <c r="AY3" s="196">
        <v>14.9</v>
      </c>
      <c r="AZ3" s="196">
        <v>18</v>
      </c>
      <c r="BA3" s="196">
        <v>146.9</v>
      </c>
      <c r="BB3" s="196">
        <v>7.2</v>
      </c>
      <c r="BC3" s="196">
        <v>8.6999999999999993</v>
      </c>
      <c r="BE3" s="194">
        <v>36616</v>
      </c>
      <c r="BF3" s="195">
        <v>60.2</v>
      </c>
      <c r="BG3" s="196">
        <v>18</v>
      </c>
      <c r="BH3" s="196">
        <v>42.2</v>
      </c>
      <c r="BI3" s="195">
        <v>109.8</v>
      </c>
      <c r="BJ3" s="196">
        <v>2.6</v>
      </c>
      <c r="BK3" s="196">
        <v>107.2</v>
      </c>
      <c r="BM3" s="194">
        <v>36616</v>
      </c>
      <c r="BN3" s="195">
        <v>300.60000000000002</v>
      </c>
      <c r="BO3" s="196">
        <v>217.6</v>
      </c>
      <c r="BP3" s="195">
        <v>53.7</v>
      </c>
      <c r="BQ3" s="196">
        <v>15.4</v>
      </c>
      <c r="BS3" s="189">
        <v>34150</v>
      </c>
      <c r="BT3" s="190">
        <v>345.63410429597184</v>
      </c>
      <c r="BU3" s="190">
        <v>117.36070819033398</v>
      </c>
    </row>
    <row r="4" spans="1:73" ht="14.25" customHeight="1">
      <c r="A4" s="18">
        <v>36707</v>
      </c>
      <c r="B4" s="191">
        <v>780.95291438996207</v>
      </c>
      <c r="C4" s="191">
        <v>1054.2398913846398</v>
      </c>
      <c r="D4" s="191">
        <v>97.775360941340111</v>
      </c>
      <c r="E4" s="191">
        <v>334.33831456770702</v>
      </c>
      <c r="F4" s="191">
        <v>0.96478217450329939</v>
      </c>
      <c r="G4" s="191">
        <v>0.20104716980000092</v>
      </c>
      <c r="H4" s="191">
        <v>-4.5868525473979123</v>
      </c>
      <c r="I4" s="191">
        <v>0</v>
      </c>
      <c r="J4" s="191">
        <v>-286.83889054094561</v>
      </c>
      <c r="K4" s="192">
        <v>363.80881688603733</v>
      </c>
      <c r="L4" s="191">
        <v>4.3447180284889555</v>
      </c>
      <c r="M4" s="191">
        <v>1793.2250393121449</v>
      </c>
      <c r="N4" s="191">
        <v>477.19922157431324</v>
      </c>
      <c r="O4" s="191">
        <v>282.50544552247794</v>
      </c>
      <c r="P4" s="191">
        <v>62.81995187111135</v>
      </c>
      <c r="Q4" s="191">
        <v>358.13597467919999</v>
      </c>
      <c r="R4" s="191">
        <v>57.581823081700001</v>
      </c>
      <c r="S4" s="193">
        <f t="shared" si="0"/>
        <v>-348.44317699639851</v>
      </c>
      <c r="T4" s="193">
        <f t="shared" si="1"/>
        <v>-686.26735358681253</v>
      </c>
      <c r="U4" s="370">
        <v>7.6391080000000002</v>
      </c>
      <c r="V4" s="193"/>
      <c r="X4" s="18">
        <v>36707</v>
      </c>
      <c r="Y4" s="193"/>
      <c r="Z4" s="375"/>
      <c r="AC4" s="194">
        <v>36707</v>
      </c>
      <c r="AD4" s="195">
        <v>1049.3</v>
      </c>
      <c r="AE4" s="196">
        <v>113.1</v>
      </c>
      <c r="AF4" s="196">
        <v>15.2</v>
      </c>
      <c r="AG4" s="196">
        <v>138.19999999999999</v>
      </c>
      <c r="AH4" s="196">
        <v>585.29999999999995</v>
      </c>
      <c r="AI4" s="196">
        <v>57.3</v>
      </c>
      <c r="AJ4" s="196">
        <v>8.8000000000000007</v>
      </c>
      <c r="AK4" s="196">
        <v>3.1</v>
      </c>
      <c r="AL4" s="196">
        <v>30.9</v>
      </c>
      <c r="AM4" s="196">
        <v>29.3</v>
      </c>
      <c r="AN4" s="196">
        <v>62.4</v>
      </c>
      <c r="AO4" s="196">
        <v>5.6</v>
      </c>
      <c r="AP4" s="196">
        <v>0</v>
      </c>
      <c r="AQ4" s="195">
        <v>477.2</v>
      </c>
      <c r="AR4" s="196">
        <v>25</v>
      </c>
      <c r="AS4" s="196">
        <v>3.3</v>
      </c>
      <c r="AT4" s="196">
        <v>94.3</v>
      </c>
      <c r="AU4" s="196">
        <v>137</v>
      </c>
      <c r="AV4" s="196">
        <v>11.8</v>
      </c>
      <c r="AW4" s="196">
        <v>9.6</v>
      </c>
      <c r="AX4" s="196">
        <v>22.6</v>
      </c>
      <c r="AY4" s="196">
        <v>12.1</v>
      </c>
      <c r="AZ4" s="196">
        <v>22.6</v>
      </c>
      <c r="BA4" s="196">
        <v>119.7</v>
      </c>
      <c r="BB4" s="196">
        <v>8.3000000000000007</v>
      </c>
      <c r="BC4" s="196">
        <v>10.9</v>
      </c>
      <c r="BE4" s="194">
        <v>36707</v>
      </c>
      <c r="BF4" s="195">
        <v>97.8</v>
      </c>
      <c r="BG4" s="196">
        <v>19.8</v>
      </c>
      <c r="BH4" s="196">
        <v>78</v>
      </c>
      <c r="BI4" s="195">
        <v>282.8</v>
      </c>
      <c r="BJ4" s="196">
        <v>3.8</v>
      </c>
      <c r="BK4" s="196">
        <v>279.10000000000002</v>
      </c>
      <c r="BM4" s="194">
        <v>36707</v>
      </c>
      <c r="BN4" s="195">
        <v>334.4</v>
      </c>
      <c r="BO4" s="196">
        <v>242.3</v>
      </c>
      <c r="BP4" s="195">
        <v>62.8</v>
      </c>
      <c r="BQ4" s="196">
        <v>20.3</v>
      </c>
      <c r="BS4" s="189">
        <v>34242</v>
      </c>
      <c r="BT4" s="190">
        <v>433.98608036060483</v>
      </c>
      <c r="BU4" s="190">
        <v>88.351976064632993</v>
      </c>
    </row>
    <row r="5" spans="1:73" ht="14.25" customHeight="1">
      <c r="A5" s="18">
        <v>36799</v>
      </c>
      <c r="B5" s="191">
        <v>880.607617364774</v>
      </c>
      <c r="C5" s="191">
        <v>2313.1520937692135</v>
      </c>
      <c r="D5" s="191">
        <v>60.897783967601896</v>
      </c>
      <c r="E5" s="191">
        <v>384.83075832958673</v>
      </c>
      <c r="F5" s="191">
        <v>2.9164467000000007</v>
      </c>
      <c r="G5" s="191">
        <v>30.4661451148</v>
      </c>
      <c r="H5" s="191">
        <v>-19.14557937381694</v>
      </c>
      <c r="I5" s="191">
        <v>0</v>
      </c>
      <c r="J5" s="191">
        <v>312.95726360961316</v>
      </c>
      <c r="K5" s="192">
        <v>291.65183348756676</v>
      </c>
      <c r="L5" s="191">
        <v>-829.92776522255326</v>
      </c>
      <c r="M5" s="191">
        <v>1827.1151238151597</v>
      </c>
      <c r="N5" s="191">
        <v>599.13332366076531</v>
      </c>
      <c r="O5" s="191">
        <v>185.40712453359077</v>
      </c>
      <c r="P5" s="191">
        <v>65.335267797044111</v>
      </c>
      <c r="Q5" s="191">
        <v>157.32695008180011</v>
      </c>
      <c r="R5" s="191">
        <v>323.11661765429989</v>
      </c>
      <c r="S5" s="193">
        <f t="shared" si="0"/>
        <v>962.497413624616</v>
      </c>
      <c r="T5" s="193">
        <f t="shared" si="1"/>
        <v>270.97219020412604</v>
      </c>
      <c r="U5" s="370">
        <v>7.5113110000000001</v>
      </c>
      <c r="V5" s="193"/>
      <c r="X5" s="18">
        <v>36799</v>
      </c>
      <c r="Y5" s="193"/>
      <c r="Z5" s="376"/>
      <c r="AC5" s="194">
        <v>36799</v>
      </c>
      <c r="AD5" s="195">
        <v>2308.8000000000002</v>
      </c>
      <c r="AE5" s="196">
        <v>100.2</v>
      </c>
      <c r="AF5" s="196">
        <v>29.2</v>
      </c>
      <c r="AG5" s="196">
        <v>176.8</v>
      </c>
      <c r="AH5" s="196">
        <v>1817</v>
      </c>
      <c r="AI5" s="196">
        <v>52.1</v>
      </c>
      <c r="AJ5" s="196">
        <v>7</v>
      </c>
      <c r="AK5" s="196">
        <v>3.4</v>
      </c>
      <c r="AL5" s="196">
        <v>12</v>
      </c>
      <c r="AM5" s="196">
        <v>38.200000000000003</v>
      </c>
      <c r="AN5" s="196">
        <v>63.5</v>
      </c>
      <c r="AO5" s="196">
        <v>9.4</v>
      </c>
      <c r="AP5" s="196">
        <v>0</v>
      </c>
      <c r="AQ5" s="195">
        <v>599.1</v>
      </c>
      <c r="AR5" s="196">
        <v>55.7</v>
      </c>
      <c r="AS5" s="196">
        <v>5</v>
      </c>
      <c r="AT5" s="196">
        <v>102.8</v>
      </c>
      <c r="AU5" s="196">
        <v>181.9</v>
      </c>
      <c r="AV5" s="196">
        <v>17.7</v>
      </c>
      <c r="AW5" s="196">
        <v>10</v>
      </c>
      <c r="AX5" s="196">
        <v>31.4</v>
      </c>
      <c r="AY5" s="196">
        <v>13.9</v>
      </c>
      <c r="AZ5" s="196">
        <v>20.5</v>
      </c>
      <c r="BA5" s="196">
        <v>138.69999999999999</v>
      </c>
      <c r="BB5" s="196">
        <v>8.4</v>
      </c>
      <c r="BC5" s="196">
        <v>12.8</v>
      </c>
      <c r="BE5" s="194">
        <v>36799</v>
      </c>
      <c r="BF5" s="195">
        <v>60.9</v>
      </c>
      <c r="BG5" s="196">
        <v>23.5</v>
      </c>
      <c r="BH5" s="196">
        <v>37.4</v>
      </c>
      <c r="BI5" s="195">
        <v>186.4</v>
      </c>
      <c r="BJ5" s="196">
        <v>3.7</v>
      </c>
      <c r="BK5" s="196">
        <v>182.7</v>
      </c>
      <c r="BM5" s="194">
        <v>36799</v>
      </c>
      <c r="BN5" s="195">
        <v>384.7</v>
      </c>
      <c r="BO5" s="196">
        <v>266.39999999999998</v>
      </c>
      <c r="BP5" s="195">
        <v>65.3</v>
      </c>
      <c r="BQ5" s="196">
        <v>19.399999999999999</v>
      </c>
      <c r="BS5" s="189">
        <v>34334</v>
      </c>
      <c r="BT5" s="190">
        <v>556.78955426730192</v>
      </c>
      <c r="BU5" s="190">
        <v>122.80347390669709</v>
      </c>
    </row>
    <row r="6" spans="1:73" ht="14.25" customHeight="1">
      <c r="A6" s="18">
        <v>36891</v>
      </c>
      <c r="B6" s="191">
        <v>945.02546106073783</v>
      </c>
      <c r="C6" s="191">
        <v>911.80053040674306</v>
      </c>
      <c r="D6" s="191">
        <v>158.43093105304234</v>
      </c>
      <c r="E6" s="191">
        <v>381.42240687047689</v>
      </c>
      <c r="F6" s="191">
        <v>7.1643018326892953</v>
      </c>
      <c r="G6" s="191">
        <v>30.946841358299999</v>
      </c>
      <c r="H6" s="191">
        <v>44.810751334491272</v>
      </c>
      <c r="I6" s="191">
        <v>0</v>
      </c>
      <c r="J6" s="191">
        <v>-622.90891032114087</v>
      </c>
      <c r="K6" s="192">
        <v>36.276109757642217</v>
      </c>
      <c r="L6" s="191">
        <v>-36.42058293681589</v>
      </c>
      <c r="M6" s="191">
        <v>2165.7289774210367</v>
      </c>
      <c r="N6" s="191">
        <v>549.95089381727041</v>
      </c>
      <c r="O6" s="191">
        <v>234.91475470787367</v>
      </c>
      <c r="P6" s="191">
        <v>83.191076995999993</v>
      </c>
      <c r="Q6" s="191">
        <v>137.89937930909997</v>
      </c>
      <c r="R6" s="191">
        <v>17.588067475499965</v>
      </c>
      <c r="S6" s="193">
        <f t="shared" si="0"/>
        <v>-637.1063735511807</v>
      </c>
      <c r="T6" s="193">
        <f t="shared" si="1"/>
        <v>-1332.7253093106144</v>
      </c>
      <c r="U6" s="370">
        <v>7.5983340000000004</v>
      </c>
      <c r="V6" s="372">
        <f>SUMPRODUCT(S3:S6,U3:U6)/SUM(bdp!AR29:AR32)</f>
        <v>-1.5079564561451026E-2</v>
      </c>
      <c r="X6" s="18">
        <v>36891</v>
      </c>
      <c r="Y6" s="372">
        <v>-1.5079564561451026E-2</v>
      </c>
      <c r="Z6" s="375"/>
      <c r="AC6" s="194">
        <v>36891</v>
      </c>
      <c r="AD6" s="195">
        <v>906</v>
      </c>
      <c r="AE6" s="196">
        <v>97.8</v>
      </c>
      <c r="AF6" s="196">
        <v>16.100000000000001</v>
      </c>
      <c r="AG6" s="196">
        <v>179.7</v>
      </c>
      <c r="AH6" s="196">
        <v>371.1</v>
      </c>
      <c r="AI6" s="196">
        <v>56.3</v>
      </c>
      <c r="AJ6" s="196">
        <v>8.1999999999999993</v>
      </c>
      <c r="AK6" s="196">
        <v>5.6</v>
      </c>
      <c r="AL6" s="196">
        <v>24.6</v>
      </c>
      <c r="AM6" s="196">
        <v>53.6</v>
      </c>
      <c r="AN6" s="196">
        <v>81.400000000000006</v>
      </c>
      <c r="AO6" s="196">
        <v>11.2</v>
      </c>
      <c r="AP6" s="196">
        <v>0</v>
      </c>
      <c r="AQ6" s="195">
        <v>549.4</v>
      </c>
      <c r="AR6" s="196">
        <v>22.2</v>
      </c>
      <c r="AS6" s="196">
        <v>5.8</v>
      </c>
      <c r="AT6" s="196">
        <v>100.2</v>
      </c>
      <c r="AU6" s="196">
        <v>137.5</v>
      </c>
      <c r="AV6" s="196">
        <v>23.8</v>
      </c>
      <c r="AW6" s="196">
        <v>11.6</v>
      </c>
      <c r="AX6" s="196">
        <v>26.2</v>
      </c>
      <c r="AY6" s="196">
        <v>25.3</v>
      </c>
      <c r="AZ6" s="196">
        <v>28.2</v>
      </c>
      <c r="BA6" s="196">
        <v>150.1</v>
      </c>
      <c r="BB6" s="196">
        <v>8.5</v>
      </c>
      <c r="BC6" s="196">
        <v>10.199999999999999</v>
      </c>
      <c r="BE6" s="194">
        <v>36891</v>
      </c>
      <c r="BF6" s="195">
        <v>158.30000000000001</v>
      </c>
      <c r="BG6" s="196">
        <v>29</v>
      </c>
      <c r="BH6" s="196">
        <v>129.30000000000001</v>
      </c>
      <c r="BI6" s="195">
        <v>236.1</v>
      </c>
      <c r="BJ6" s="196">
        <v>4.2</v>
      </c>
      <c r="BK6" s="196">
        <v>231.9</v>
      </c>
      <c r="BM6" s="194">
        <v>36891</v>
      </c>
      <c r="BN6" s="195">
        <v>380.9</v>
      </c>
      <c r="BO6" s="196">
        <v>278.60000000000002</v>
      </c>
      <c r="BP6" s="195">
        <v>83</v>
      </c>
      <c r="BQ6" s="196">
        <v>31.3</v>
      </c>
      <c r="BS6" s="189">
        <v>34424</v>
      </c>
      <c r="BT6" s="190">
        <v>623.49466550369448</v>
      </c>
      <c r="BU6" s="190">
        <v>66.705111236392554</v>
      </c>
    </row>
    <row r="7" spans="1:73" ht="14.25" customHeight="1">
      <c r="A7" s="18">
        <v>36981</v>
      </c>
      <c r="B7" s="191">
        <v>845.96856882332895</v>
      </c>
      <c r="C7" s="191">
        <v>739.13329043724764</v>
      </c>
      <c r="D7" s="191">
        <v>107.99165304069881</v>
      </c>
      <c r="E7" s="191">
        <v>346.21702354319325</v>
      </c>
      <c r="F7" s="191">
        <v>1.2678912006025929</v>
      </c>
      <c r="G7" s="191">
        <v>10.975533369478585</v>
      </c>
      <c r="H7" s="191">
        <v>53.836154136727536</v>
      </c>
      <c r="I7" s="191">
        <v>0</v>
      </c>
      <c r="J7" s="191">
        <v>-112.12524796861597</v>
      </c>
      <c r="K7" s="192">
        <v>152.76247661437964</v>
      </c>
      <c r="L7" s="191">
        <v>-6.4153044092123537</v>
      </c>
      <c r="M7" s="191">
        <v>1842.5388298408204</v>
      </c>
      <c r="N7" s="191">
        <v>519.49261634146285</v>
      </c>
      <c r="O7" s="191">
        <v>178.56375224487164</v>
      </c>
      <c r="P7" s="191">
        <v>58.255729573050516</v>
      </c>
      <c r="Q7" s="191">
        <v>122.97181675701644</v>
      </c>
      <c r="R7" s="191">
        <v>547.16490475929982</v>
      </c>
      <c r="S7" s="193">
        <f t="shared" si="0"/>
        <v>-559.5403921557363</v>
      </c>
      <c r="T7" s="193">
        <f t="shared" si="1"/>
        <v>-1129.3756107286922</v>
      </c>
      <c r="U7" s="370">
        <v>7.680701</v>
      </c>
      <c r="V7" s="372">
        <f>SUMPRODUCT(S4:S7,U4:U7)/SUM(bdp!AR30:AR33)</f>
        <v>-2.4982371275304192E-2</v>
      </c>
      <c r="X7" s="18">
        <v>36981</v>
      </c>
      <c r="Y7" s="372">
        <v>-2.4982371275304192E-2</v>
      </c>
      <c r="Z7" s="375"/>
      <c r="AC7" s="194">
        <v>36981</v>
      </c>
      <c r="AD7" s="195">
        <v>737.3</v>
      </c>
      <c r="AE7" s="196">
        <v>102.7</v>
      </c>
      <c r="AF7" s="196">
        <v>13</v>
      </c>
      <c r="AG7" s="196">
        <v>146.30000000000001</v>
      </c>
      <c r="AH7" s="196">
        <v>255.4</v>
      </c>
      <c r="AI7" s="196">
        <v>40.5</v>
      </c>
      <c r="AJ7" s="196">
        <v>10.4</v>
      </c>
      <c r="AK7" s="196">
        <v>4.4000000000000004</v>
      </c>
      <c r="AL7" s="196">
        <v>40.200000000000003</v>
      </c>
      <c r="AM7" s="196">
        <v>37</v>
      </c>
      <c r="AN7" s="196">
        <v>79.2</v>
      </c>
      <c r="AO7" s="196">
        <v>8.1999999999999993</v>
      </c>
      <c r="AP7" s="196">
        <v>0</v>
      </c>
      <c r="AQ7" s="195">
        <v>518.1</v>
      </c>
      <c r="AR7" s="196">
        <v>11.5</v>
      </c>
      <c r="AS7" s="196">
        <v>3.4</v>
      </c>
      <c r="AT7" s="196">
        <v>88.7</v>
      </c>
      <c r="AU7" s="196">
        <v>168.8</v>
      </c>
      <c r="AV7" s="196">
        <v>18.3</v>
      </c>
      <c r="AW7" s="196">
        <v>11.8</v>
      </c>
      <c r="AX7" s="196">
        <v>19.8</v>
      </c>
      <c r="AY7" s="196">
        <v>13.7</v>
      </c>
      <c r="AZ7" s="196">
        <v>34.4</v>
      </c>
      <c r="BA7" s="196">
        <v>131.19999999999999</v>
      </c>
      <c r="BB7" s="196">
        <v>7.5</v>
      </c>
      <c r="BC7" s="196">
        <v>9.1999999999999993</v>
      </c>
      <c r="BE7" s="194">
        <v>36981</v>
      </c>
      <c r="BF7" s="195">
        <v>107.7</v>
      </c>
      <c r="BG7" s="196">
        <v>34.9</v>
      </c>
      <c r="BH7" s="196">
        <v>72.900000000000006</v>
      </c>
      <c r="BI7" s="195">
        <v>179.7</v>
      </c>
      <c r="BJ7" s="196">
        <v>3.1</v>
      </c>
      <c r="BK7" s="196">
        <v>176.6</v>
      </c>
      <c r="BM7" s="194">
        <v>36981</v>
      </c>
      <c r="BN7" s="195">
        <v>345.3</v>
      </c>
      <c r="BO7" s="196">
        <v>244.4</v>
      </c>
      <c r="BP7" s="195">
        <v>58.2</v>
      </c>
      <c r="BQ7" s="196">
        <v>23.3</v>
      </c>
      <c r="BS7" s="189">
        <v>34515</v>
      </c>
      <c r="BT7" s="190">
        <v>713.88407043084783</v>
      </c>
      <c r="BU7" s="190">
        <v>90.38940492715335</v>
      </c>
    </row>
    <row r="8" spans="1:73" ht="14.25" customHeight="1">
      <c r="A8" s="18">
        <v>37072</v>
      </c>
      <c r="B8" s="191">
        <v>831.49977379313225</v>
      </c>
      <c r="C8" s="191">
        <v>1206.0247010013613</v>
      </c>
      <c r="D8" s="191">
        <v>116.87587642122085</v>
      </c>
      <c r="E8" s="191">
        <v>404.98166198271309</v>
      </c>
      <c r="F8" s="191">
        <v>139.42786596887058</v>
      </c>
      <c r="G8" s="191">
        <v>23.681501199978634</v>
      </c>
      <c r="H8" s="191">
        <v>44.535224549778064</v>
      </c>
      <c r="I8" s="191">
        <v>0</v>
      </c>
      <c r="J8" s="191">
        <v>-663.89103618172157</v>
      </c>
      <c r="K8" s="192">
        <v>456.39910861869379</v>
      </c>
      <c r="L8" s="191">
        <v>287.18260120521427</v>
      </c>
      <c r="M8" s="191">
        <v>2363.9415731551076</v>
      </c>
      <c r="N8" s="191">
        <v>584.80397596282603</v>
      </c>
      <c r="O8" s="191">
        <v>435.65024546094475</v>
      </c>
      <c r="P8" s="191">
        <v>57.901021150421116</v>
      </c>
      <c r="Q8" s="191">
        <v>232.01215643541624</v>
      </c>
      <c r="R8" s="191">
        <v>85.016977108099951</v>
      </c>
      <c r="S8" s="193">
        <f t="shared" si="0"/>
        <v>-882.91480253087229</v>
      </c>
      <c r="T8" s="193">
        <f t="shared" si="1"/>
        <v>-912.60867071357461</v>
      </c>
      <c r="U8" s="370">
        <v>7.3206800000000003</v>
      </c>
      <c r="V8" s="372">
        <f>SUMPRODUCT(S5:S8,U5:U8)/SUM(bdp!AR31:AR34)</f>
        <v>-4.4705553250499692E-2</v>
      </c>
      <c r="X8" s="18">
        <v>37072</v>
      </c>
      <c r="Y8" s="372">
        <v>-4.4705553250499692E-2</v>
      </c>
      <c r="Z8" s="375"/>
      <c r="AC8" s="194">
        <v>37072</v>
      </c>
      <c r="AD8" s="195">
        <v>1205.5</v>
      </c>
      <c r="AE8" s="196">
        <v>130.6</v>
      </c>
      <c r="AF8" s="196">
        <v>19.600000000000001</v>
      </c>
      <c r="AG8" s="196">
        <v>178.5</v>
      </c>
      <c r="AH8" s="196">
        <v>611.79999999999995</v>
      </c>
      <c r="AI8" s="196">
        <v>66.599999999999994</v>
      </c>
      <c r="AJ8" s="196">
        <v>15.4</v>
      </c>
      <c r="AK8" s="196">
        <v>3.9</v>
      </c>
      <c r="AL8" s="196">
        <v>34.299999999999997</v>
      </c>
      <c r="AM8" s="196">
        <v>55.2</v>
      </c>
      <c r="AN8" s="196">
        <v>83.5</v>
      </c>
      <c r="AO8" s="196">
        <v>5.8</v>
      </c>
      <c r="AP8" s="196">
        <v>0.4</v>
      </c>
      <c r="AQ8" s="195">
        <v>585.6</v>
      </c>
      <c r="AR8" s="196">
        <v>36.700000000000003</v>
      </c>
      <c r="AS8" s="196">
        <v>4.3</v>
      </c>
      <c r="AT8" s="196">
        <v>121.3</v>
      </c>
      <c r="AU8" s="196">
        <v>162</v>
      </c>
      <c r="AV8" s="196">
        <v>16.100000000000001</v>
      </c>
      <c r="AW8" s="196">
        <v>12.5</v>
      </c>
      <c r="AX8" s="196">
        <v>26.7</v>
      </c>
      <c r="AY8" s="196">
        <v>15.5</v>
      </c>
      <c r="AZ8" s="196">
        <v>32.9</v>
      </c>
      <c r="BA8" s="196">
        <v>141.80000000000001</v>
      </c>
      <c r="BB8" s="196">
        <v>7.4</v>
      </c>
      <c r="BC8" s="196">
        <v>8.5</v>
      </c>
      <c r="BE8" s="194">
        <v>37072</v>
      </c>
      <c r="BF8" s="195">
        <v>117</v>
      </c>
      <c r="BG8" s="196">
        <v>39.1</v>
      </c>
      <c r="BH8" s="196">
        <v>77.8</v>
      </c>
      <c r="BI8" s="195">
        <v>435.6</v>
      </c>
      <c r="BJ8" s="196">
        <v>3.6</v>
      </c>
      <c r="BK8" s="196">
        <v>431.9</v>
      </c>
      <c r="BM8" s="194">
        <v>37072</v>
      </c>
      <c r="BN8" s="195">
        <v>405.6</v>
      </c>
      <c r="BO8" s="196">
        <v>285.39999999999998</v>
      </c>
      <c r="BP8" s="195">
        <v>57.9</v>
      </c>
      <c r="BQ8" s="196">
        <v>21.2</v>
      </c>
      <c r="BS8" s="189">
        <v>34607</v>
      </c>
      <c r="BT8" s="190">
        <v>939.81106262289052</v>
      </c>
      <c r="BU8" s="190">
        <v>225.92699219204269</v>
      </c>
    </row>
    <row r="9" spans="1:73" ht="14.25" customHeight="1">
      <c r="A9" s="18">
        <v>37164</v>
      </c>
      <c r="B9" s="191">
        <v>998.10915160001343</v>
      </c>
      <c r="C9" s="191">
        <v>3010.3875415027178</v>
      </c>
      <c r="D9" s="191">
        <v>155.22137805826947</v>
      </c>
      <c r="E9" s="191">
        <v>387.93350000767134</v>
      </c>
      <c r="F9" s="191">
        <v>5.1045457919999997</v>
      </c>
      <c r="G9" s="191">
        <v>99.010493922978725</v>
      </c>
      <c r="H9" s="191">
        <v>-47.046853953563286</v>
      </c>
      <c r="I9" s="191">
        <v>0</v>
      </c>
      <c r="J9" s="191">
        <v>450.88922609393501</v>
      </c>
      <c r="K9" s="192">
        <v>479.37185957651332</v>
      </c>
      <c r="L9" s="191">
        <v>-645.77167182483402</v>
      </c>
      <c r="M9" s="191">
        <v>2223.6764638212244</v>
      </c>
      <c r="N9" s="191">
        <v>608.54943941354122</v>
      </c>
      <c r="O9" s="191">
        <v>240.19543460487338</v>
      </c>
      <c r="P9" s="191">
        <v>65.376034485751205</v>
      </c>
      <c r="Q9" s="191">
        <v>37.454986231516187</v>
      </c>
      <c r="R9" s="191">
        <v>171.58266659789996</v>
      </c>
      <c r="S9" s="193">
        <f t="shared" si="0"/>
        <v>1413.8541988432826</v>
      </c>
      <c r="T9" s="193">
        <f t="shared" si="1"/>
        <v>1546.3741456208959</v>
      </c>
      <c r="U9" s="370">
        <v>7.5420319999999998</v>
      </c>
      <c r="V9" s="372">
        <f>SUMPRODUCT(S6:S9,U6:U9)/SUM(bdp!AR32:AR35)</f>
        <v>-2.5943089157730557E-2</v>
      </c>
      <c r="X9" s="18">
        <v>37164</v>
      </c>
      <c r="Y9" s="372">
        <v>-2.5943089157730557E-2</v>
      </c>
      <c r="Z9" s="375"/>
      <c r="AC9" s="194">
        <v>37164</v>
      </c>
      <c r="AD9" s="195">
        <v>2987.5</v>
      </c>
      <c r="AE9" s="196">
        <v>101.7</v>
      </c>
      <c r="AF9" s="196">
        <v>18</v>
      </c>
      <c r="AG9" s="196">
        <v>181</v>
      </c>
      <c r="AH9" s="196">
        <v>2401.1999999999998</v>
      </c>
      <c r="AI9" s="196">
        <v>69.7</v>
      </c>
      <c r="AJ9" s="196">
        <v>7.7</v>
      </c>
      <c r="AK9" s="196">
        <v>6.3</v>
      </c>
      <c r="AL9" s="196">
        <v>21.6</v>
      </c>
      <c r="AM9" s="196">
        <v>85.6</v>
      </c>
      <c r="AN9" s="196">
        <v>84</v>
      </c>
      <c r="AO9" s="196">
        <v>10</v>
      </c>
      <c r="AP9" s="196">
        <v>0.9</v>
      </c>
      <c r="AQ9" s="195">
        <v>604.79999999999995</v>
      </c>
      <c r="AR9" s="196">
        <v>18.399999999999999</v>
      </c>
      <c r="AS9" s="196">
        <v>4.7</v>
      </c>
      <c r="AT9" s="196">
        <v>112.5</v>
      </c>
      <c r="AU9" s="196">
        <v>190.1</v>
      </c>
      <c r="AV9" s="196">
        <v>19.399999999999999</v>
      </c>
      <c r="AW9" s="196">
        <v>11.5</v>
      </c>
      <c r="AX9" s="196">
        <v>24.2</v>
      </c>
      <c r="AY9" s="196">
        <v>18.8</v>
      </c>
      <c r="AZ9" s="196">
        <v>51.4</v>
      </c>
      <c r="BA9" s="196">
        <v>135.9</v>
      </c>
      <c r="BB9" s="196">
        <v>9.9</v>
      </c>
      <c r="BC9" s="196">
        <v>8.1999999999999993</v>
      </c>
      <c r="BE9" s="194">
        <v>37164</v>
      </c>
      <c r="BF9" s="195">
        <v>154.4</v>
      </c>
      <c r="BG9" s="196">
        <v>39.799999999999997</v>
      </c>
      <c r="BH9" s="196">
        <v>114.6</v>
      </c>
      <c r="BI9" s="195">
        <v>240</v>
      </c>
      <c r="BJ9" s="196">
        <v>3.2</v>
      </c>
      <c r="BK9" s="196">
        <v>236.8</v>
      </c>
      <c r="BM9" s="194">
        <v>37164</v>
      </c>
      <c r="BN9" s="195">
        <v>385.7</v>
      </c>
      <c r="BO9" s="196">
        <v>275.7</v>
      </c>
      <c r="BP9" s="195">
        <v>64.900000000000006</v>
      </c>
      <c r="BQ9" s="196">
        <v>23.5</v>
      </c>
      <c r="BS9" s="189">
        <v>34699</v>
      </c>
      <c r="BT9" s="190">
        <v>1145.7247570410293</v>
      </c>
      <c r="BU9" s="190">
        <v>205.91369441813879</v>
      </c>
    </row>
    <row r="10" spans="1:73" ht="14.25" customHeight="1">
      <c r="A10" s="18">
        <v>37256</v>
      </c>
      <c r="B10" s="191">
        <v>1061.3695932551402</v>
      </c>
      <c r="C10" s="191">
        <v>993.28588321491736</v>
      </c>
      <c r="D10" s="191">
        <v>102.05835045255652</v>
      </c>
      <c r="E10" s="191">
        <v>421.67485921312448</v>
      </c>
      <c r="F10" s="191">
        <v>8.9332659430000003</v>
      </c>
      <c r="G10" s="191">
        <v>29.813658258678529</v>
      </c>
      <c r="H10" s="191">
        <v>91.905946871657989</v>
      </c>
      <c r="I10" s="191">
        <v>0</v>
      </c>
      <c r="J10" s="191">
        <v>-534.21869088635708</v>
      </c>
      <c r="K10" s="192">
        <v>460.44937644067926</v>
      </c>
      <c r="L10" s="191">
        <v>-232.32391206884688</v>
      </c>
      <c r="M10" s="191">
        <v>2265.2481256450455</v>
      </c>
      <c r="N10" s="191">
        <v>594.1754813285263</v>
      </c>
      <c r="O10" s="191">
        <v>167.48654064017779</v>
      </c>
      <c r="P10" s="191">
        <v>83.806230355199489</v>
      </c>
      <c r="Q10" s="191">
        <v>766.47108628721617</v>
      </c>
      <c r="R10" s="191">
        <v>37.197542356500023</v>
      </c>
      <c r="S10" s="193">
        <f t="shared" si="0"/>
        <v>-532.32769183321034</v>
      </c>
      <c r="T10" s="193">
        <f t="shared" si="1"/>
        <v>-1511.4366759181144</v>
      </c>
      <c r="U10" s="370">
        <v>7.3700299999999999</v>
      </c>
      <c r="V10" s="372">
        <f>SUMPRODUCT(S7:S10,U7:U10)/SUM(bdp!AR33:AR36)</f>
        <v>-2.0796730436349036E-2</v>
      </c>
      <c r="X10" s="18">
        <v>37256</v>
      </c>
      <c r="Y10" s="372">
        <v>-2.0796730436349036E-2</v>
      </c>
      <c r="Z10" s="376"/>
      <c r="AC10" s="194">
        <v>37256</v>
      </c>
      <c r="AD10" s="195">
        <v>994.6</v>
      </c>
      <c r="AE10" s="196">
        <v>87.3</v>
      </c>
      <c r="AF10" s="196">
        <v>20.5</v>
      </c>
      <c r="AG10" s="196">
        <v>155</v>
      </c>
      <c r="AH10" s="196">
        <v>461.2</v>
      </c>
      <c r="AI10" s="196">
        <v>82.6</v>
      </c>
      <c r="AJ10" s="196">
        <v>10.5</v>
      </c>
      <c r="AK10" s="196">
        <v>11.5</v>
      </c>
      <c r="AL10" s="196">
        <v>22.5</v>
      </c>
      <c r="AM10" s="196">
        <v>40</v>
      </c>
      <c r="AN10" s="196">
        <v>97.4</v>
      </c>
      <c r="AO10" s="196">
        <v>5.9</v>
      </c>
      <c r="AP10" s="196">
        <v>0.3</v>
      </c>
      <c r="AQ10" s="195">
        <v>594.6</v>
      </c>
      <c r="AR10" s="196">
        <v>27.8</v>
      </c>
      <c r="AS10" s="196">
        <v>4.2</v>
      </c>
      <c r="AT10" s="196">
        <v>104.6</v>
      </c>
      <c r="AU10" s="196">
        <v>154.4</v>
      </c>
      <c r="AV10" s="196">
        <v>25.5</v>
      </c>
      <c r="AW10" s="196">
        <v>14.4</v>
      </c>
      <c r="AX10" s="196">
        <v>33.200000000000003</v>
      </c>
      <c r="AY10" s="196">
        <v>21.8</v>
      </c>
      <c r="AZ10" s="196">
        <v>45.7</v>
      </c>
      <c r="BA10" s="196">
        <v>144.19999999999999</v>
      </c>
      <c r="BB10" s="196">
        <v>10.5</v>
      </c>
      <c r="BC10" s="196">
        <v>8.4</v>
      </c>
      <c r="BE10" s="194">
        <v>37256</v>
      </c>
      <c r="BF10" s="195">
        <v>102</v>
      </c>
      <c r="BG10" s="196">
        <v>43.4</v>
      </c>
      <c r="BH10" s="196">
        <v>58.6</v>
      </c>
      <c r="BI10" s="195">
        <v>169.8</v>
      </c>
      <c r="BJ10" s="196">
        <v>4.4000000000000004</v>
      </c>
      <c r="BK10" s="196">
        <v>165.4</v>
      </c>
      <c r="BM10" s="194">
        <v>37256</v>
      </c>
      <c r="BN10" s="195">
        <v>421.8</v>
      </c>
      <c r="BO10" s="196">
        <v>301.60000000000002</v>
      </c>
      <c r="BP10" s="195">
        <v>83.8</v>
      </c>
      <c r="BQ10" s="196">
        <v>29.5</v>
      </c>
      <c r="BS10" s="189">
        <v>34789</v>
      </c>
      <c r="BT10" s="190">
        <v>1161.8434519157961</v>
      </c>
      <c r="BU10" s="190">
        <v>16.118694874766788</v>
      </c>
    </row>
    <row r="11" spans="1:73" ht="14.25" customHeight="1">
      <c r="A11" s="18">
        <v>37346</v>
      </c>
      <c r="B11" s="191">
        <v>939.30534242471754</v>
      </c>
      <c r="C11" s="191">
        <v>774.21581681606324</v>
      </c>
      <c r="D11" s="191">
        <v>117.46222828274773</v>
      </c>
      <c r="E11" s="191">
        <v>409.77303362956116</v>
      </c>
      <c r="F11" s="191">
        <v>9.7299950499999994</v>
      </c>
      <c r="G11" s="191">
        <v>18.140284347658685</v>
      </c>
      <c r="H11" s="191">
        <v>182.11396479969358</v>
      </c>
      <c r="I11" s="191">
        <v>0</v>
      </c>
      <c r="J11" s="191">
        <v>-1175.7132194712353</v>
      </c>
      <c r="K11" s="192">
        <v>252.23408668900157</v>
      </c>
      <c r="L11" s="191">
        <v>-83.96046213407476</v>
      </c>
      <c r="M11" s="191">
        <v>2222.8713042246281</v>
      </c>
      <c r="N11" s="191">
        <v>592.77757323992512</v>
      </c>
      <c r="O11" s="191">
        <v>223.04168216967577</v>
      </c>
      <c r="P11" s="191">
        <v>84.798174434773074</v>
      </c>
      <c r="Q11" s="191">
        <v>257.39732960639577</v>
      </c>
      <c r="R11" s="191">
        <v>-23.65943324129023</v>
      </c>
      <c r="S11" s="193">
        <f t="shared" si="0"/>
        <v>-882.73231291591219</v>
      </c>
      <c r="T11" s="193">
        <f t="shared" si="1"/>
        <v>-1913.9255599999742</v>
      </c>
      <c r="U11" s="370">
        <v>7.4025350000000003</v>
      </c>
      <c r="V11" s="372">
        <f>SUMPRODUCT(S8:S11,U8:U11)/SUM(bdp!AR34:AR37)</f>
        <v>-3.1614269375914904E-2</v>
      </c>
      <c r="X11" s="18">
        <v>37346</v>
      </c>
      <c r="Y11" s="372">
        <v>-3.1614269375914904E-2</v>
      </c>
      <c r="Z11" s="375"/>
      <c r="AC11" s="194">
        <v>37346</v>
      </c>
      <c r="AD11" s="195">
        <v>772.7</v>
      </c>
      <c r="AE11" s="196">
        <v>69.2</v>
      </c>
      <c r="AF11" s="196">
        <v>9.8000000000000007</v>
      </c>
      <c r="AG11" s="196">
        <v>134.80000000000001</v>
      </c>
      <c r="AH11" s="196">
        <v>269.5</v>
      </c>
      <c r="AI11" s="196">
        <v>62.8</v>
      </c>
      <c r="AJ11" s="196">
        <v>2.9</v>
      </c>
      <c r="AK11" s="196">
        <v>40.200000000000003</v>
      </c>
      <c r="AL11" s="196">
        <v>48.1</v>
      </c>
      <c r="AM11" s="196">
        <v>33.700000000000003</v>
      </c>
      <c r="AN11" s="196">
        <v>94.1</v>
      </c>
      <c r="AO11" s="196">
        <v>6.8</v>
      </c>
      <c r="AP11" s="196">
        <v>0.8</v>
      </c>
      <c r="AQ11" s="195">
        <v>591.6</v>
      </c>
      <c r="AR11" s="196">
        <v>19.100000000000001</v>
      </c>
      <c r="AS11" s="196">
        <v>4.4000000000000004</v>
      </c>
      <c r="AT11" s="196">
        <v>84.9</v>
      </c>
      <c r="AU11" s="196">
        <v>161.19999999999999</v>
      </c>
      <c r="AV11" s="196">
        <v>13.8</v>
      </c>
      <c r="AW11" s="196">
        <v>11.8</v>
      </c>
      <c r="AX11" s="196">
        <v>63.5</v>
      </c>
      <c r="AY11" s="196">
        <v>18.899999999999999</v>
      </c>
      <c r="AZ11" s="196">
        <v>43.9</v>
      </c>
      <c r="BA11" s="196">
        <v>154.4</v>
      </c>
      <c r="BB11" s="196">
        <v>8</v>
      </c>
      <c r="BC11" s="196">
        <v>7.9</v>
      </c>
      <c r="BE11" s="194">
        <v>37346</v>
      </c>
      <c r="BF11" s="195">
        <v>117.3</v>
      </c>
      <c r="BG11" s="196">
        <v>44.4</v>
      </c>
      <c r="BH11" s="196">
        <v>72.8</v>
      </c>
      <c r="BI11" s="195">
        <v>224.9</v>
      </c>
      <c r="BJ11" s="196">
        <v>4.3</v>
      </c>
      <c r="BK11" s="196">
        <v>220.5</v>
      </c>
      <c r="BM11" s="194">
        <v>37346</v>
      </c>
      <c r="BN11" s="195">
        <v>409.2</v>
      </c>
      <c r="BO11" s="196">
        <v>299.89999999999998</v>
      </c>
      <c r="BP11" s="195">
        <v>84.7</v>
      </c>
      <c r="BQ11" s="196">
        <v>30.4</v>
      </c>
      <c r="BS11" s="189">
        <v>34880</v>
      </c>
      <c r="BT11" s="190">
        <v>1384.7634279311796</v>
      </c>
      <c r="BU11" s="190">
        <v>222.91997601538355</v>
      </c>
    </row>
    <row r="12" spans="1:73" ht="14.25" customHeight="1">
      <c r="A12" s="18">
        <v>37437</v>
      </c>
      <c r="B12" s="191">
        <v>1011.7536153870574</v>
      </c>
      <c r="C12" s="191">
        <v>1360.4472904388886</v>
      </c>
      <c r="D12" s="191">
        <v>119.5144484653722</v>
      </c>
      <c r="E12" s="191">
        <v>435.23698811144845</v>
      </c>
      <c r="F12" s="191">
        <v>485.50661206371217</v>
      </c>
      <c r="G12" s="191">
        <v>513.73456544435874</v>
      </c>
      <c r="H12" s="191">
        <v>16.078635540256784</v>
      </c>
      <c r="I12" s="191">
        <v>0</v>
      </c>
      <c r="J12" s="191">
        <v>-160.08303169863211</v>
      </c>
      <c r="K12" s="192">
        <v>301.92558547386761</v>
      </c>
      <c r="L12" s="191">
        <v>341.81956859746958</v>
      </c>
      <c r="M12" s="191">
        <v>2659.7372524141938</v>
      </c>
      <c r="N12" s="191">
        <v>701.65179329688635</v>
      </c>
      <c r="O12" s="191">
        <v>377.57422932685654</v>
      </c>
      <c r="P12" s="191">
        <v>90.382441992657562</v>
      </c>
      <c r="Q12" s="191">
        <v>391.49898187099609</v>
      </c>
      <c r="R12" s="191">
        <v>355.22396685550075</v>
      </c>
      <c r="S12" s="193">
        <f t="shared" si="0"/>
        <v>-902.39337462782805</v>
      </c>
      <c r="T12" s="193">
        <f t="shared" si="1"/>
        <v>-150.13438793329169</v>
      </c>
      <c r="U12" s="370">
        <v>7.320722</v>
      </c>
      <c r="V12" s="372">
        <f>SUMPRODUCT(S9:S12,U9:U12)/SUM(bdp!AR35:AR38)</f>
        <v>-3.1740559552093164E-2</v>
      </c>
      <c r="X12" s="18">
        <v>37437</v>
      </c>
      <c r="Y12" s="372">
        <v>-3.1740559552093164E-2</v>
      </c>
      <c r="Z12" s="375"/>
      <c r="AC12" s="194">
        <v>37437</v>
      </c>
      <c r="AD12" s="195">
        <v>1359.5</v>
      </c>
      <c r="AE12" s="196">
        <v>87.3</v>
      </c>
      <c r="AF12" s="196">
        <v>12.1</v>
      </c>
      <c r="AG12" s="196">
        <v>156</v>
      </c>
      <c r="AH12" s="196">
        <v>817</v>
      </c>
      <c r="AI12" s="196">
        <v>76.099999999999994</v>
      </c>
      <c r="AJ12" s="196">
        <v>5.2</v>
      </c>
      <c r="AK12" s="196">
        <v>14.9</v>
      </c>
      <c r="AL12" s="196">
        <v>32.5</v>
      </c>
      <c r="AM12" s="196">
        <v>44.5</v>
      </c>
      <c r="AN12" s="196">
        <v>106.2</v>
      </c>
      <c r="AO12" s="196">
        <v>7.1</v>
      </c>
      <c r="AP12" s="196">
        <v>0.7</v>
      </c>
      <c r="AQ12" s="195">
        <v>701.4</v>
      </c>
      <c r="AR12" s="196">
        <v>36.9</v>
      </c>
      <c r="AS12" s="196">
        <v>5.2</v>
      </c>
      <c r="AT12" s="196">
        <v>109.9</v>
      </c>
      <c r="AU12" s="196">
        <v>222</v>
      </c>
      <c r="AV12" s="196">
        <v>16.3</v>
      </c>
      <c r="AW12" s="196">
        <v>7.1</v>
      </c>
      <c r="AX12" s="196">
        <v>30.7</v>
      </c>
      <c r="AY12" s="196">
        <v>19.899999999999999</v>
      </c>
      <c r="AZ12" s="196">
        <v>47.9</v>
      </c>
      <c r="BA12" s="196">
        <v>188.5</v>
      </c>
      <c r="BB12" s="196">
        <v>9.4</v>
      </c>
      <c r="BC12" s="196">
        <v>7.6</v>
      </c>
      <c r="BE12" s="194">
        <v>37437</v>
      </c>
      <c r="BF12" s="195">
        <v>119.5</v>
      </c>
      <c r="BG12" s="196">
        <v>46</v>
      </c>
      <c r="BH12" s="196">
        <v>73.5</v>
      </c>
      <c r="BI12" s="195">
        <v>380.6</v>
      </c>
      <c r="BJ12" s="196">
        <v>4.2</v>
      </c>
      <c r="BK12" s="196">
        <v>376.4</v>
      </c>
      <c r="BM12" s="194">
        <v>37437</v>
      </c>
      <c r="BN12" s="195">
        <v>434.9</v>
      </c>
      <c r="BO12" s="196">
        <v>313.3</v>
      </c>
      <c r="BP12" s="195">
        <v>90.3</v>
      </c>
      <c r="BQ12" s="196">
        <v>29.2</v>
      </c>
      <c r="BS12" s="189">
        <v>34972</v>
      </c>
      <c r="BT12" s="190">
        <v>1489.8001074923791</v>
      </c>
      <c r="BU12" s="190">
        <v>105.03667956119943</v>
      </c>
    </row>
    <row r="13" spans="1:73" ht="14.25" customHeight="1">
      <c r="A13" s="18">
        <v>37529</v>
      </c>
      <c r="B13" s="191">
        <v>1123.4317194774856</v>
      </c>
      <c r="C13" s="191">
        <v>3006.8013662350841</v>
      </c>
      <c r="D13" s="191">
        <v>117.17331187461048</v>
      </c>
      <c r="E13" s="191">
        <v>427.24121002164725</v>
      </c>
      <c r="F13" s="191">
        <v>8.3928307500000017</v>
      </c>
      <c r="G13" s="191">
        <v>69.452674363458499</v>
      </c>
      <c r="H13" s="191">
        <v>84.133844457564692</v>
      </c>
      <c r="I13" s="191">
        <v>0</v>
      </c>
      <c r="J13" s="191">
        <v>-404.51623711215819</v>
      </c>
      <c r="K13" s="192">
        <v>171.64396060069762</v>
      </c>
      <c r="L13" s="191">
        <v>-1049.952547609412</v>
      </c>
      <c r="M13" s="191">
        <v>2724.6908228240482</v>
      </c>
      <c r="N13" s="191">
        <v>703.74630150042412</v>
      </c>
      <c r="O13" s="191">
        <v>193.2219296178047</v>
      </c>
      <c r="P13" s="191">
        <v>68.757262325119228</v>
      </c>
      <c r="Q13" s="191">
        <v>113.75900121289638</v>
      </c>
      <c r="R13" s="191">
        <v>-135.71633338535293</v>
      </c>
      <c r="S13" s="193">
        <f t="shared" si="0"/>
        <v>984.23129134143119</v>
      </c>
      <c r="T13" s="193">
        <f t="shared" si="1"/>
        <v>-114.6568510359607</v>
      </c>
      <c r="U13" s="370">
        <v>7.3413430000000002</v>
      </c>
      <c r="V13" s="372">
        <f>SUMPRODUCT(S10:S13,U10:U13)/SUM(bdp!AR36:AR39)</f>
        <v>-4.7399958372828149E-2</v>
      </c>
      <c r="X13" s="18">
        <v>37529</v>
      </c>
      <c r="Y13" s="372">
        <v>-4.7399958372828149E-2</v>
      </c>
      <c r="Z13" s="375"/>
      <c r="AC13" s="194">
        <v>37529</v>
      </c>
      <c r="AD13" s="195">
        <v>2993.1</v>
      </c>
      <c r="AE13" s="196">
        <v>65.8</v>
      </c>
      <c r="AF13" s="196">
        <v>15.1</v>
      </c>
      <c r="AG13" s="196">
        <v>180.7</v>
      </c>
      <c r="AH13" s="196">
        <v>2389.3000000000002</v>
      </c>
      <c r="AI13" s="196">
        <v>103.3</v>
      </c>
      <c r="AJ13" s="196">
        <v>4.2</v>
      </c>
      <c r="AK13" s="196">
        <v>28.8</v>
      </c>
      <c r="AL13" s="196">
        <v>6.8</v>
      </c>
      <c r="AM13" s="196">
        <v>86.1</v>
      </c>
      <c r="AN13" s="196">
        <v>101.4</v>
      </c>
      <c r="AO13" s="196">
        <v>11.5</v>
      </c>
      <c r="AP13" s="196">
        <v>0</v>
      </c>
      <c r="AQ13" s="195">
        <v>703</v>
      </c>
      <c r="AR13" s="196">
        <v>2.9</v>
      </c>
      <c r="AS13" s="196">
        <v>4.9000000000000004</v>
      </c>
      <c r="AT13" s="196">
        <v>110.1</v>
      </c>
      <c r="AU13" s="196">
        <v>257.39999999999998</v>
      </c>
      <c r="AV13" s="196">
        <v>25.5</v>
      </c>
      <c r="AW13" s="196">
        <v>11</v>
      </c>
      <c r="AX13" s="196">
        <v>32.200000000000003</v>
      </c>
      <c r="AY13" s="196">
        <v>19.100000000000001</v>
      </c>
      <c r="AZ13" s="196">
        <v>46.4</v>
      </c>
      <c r="BA13" s="196">
        <v>176.4</v>
      </c>
      <c r="BB13" s="196">
        <v>8.4</v>
      </c>
      <c r="BC13" s="196">
        <v>8.8000000000000007</v>
      </c>
      <c r="BE13" s="194">
        <v>37529</v>
      </c>
      <c r="BF13" s="195">
        <v>117</v>
      </c>
      <c r="BG13" s="196">
        <v>46.3</v>
      </c>
      <c r="BH13" s="196">
        <v>70.7</v>
      </c>
      <c r="BI13" s="195">
        <v>196.5</v>
      </c>
      <c r="BJ13" s="196">
        <v>5</v>
      </c>
      <c r="BK13" s="196">
        <v>191.4</v>
      </c>
      <c r="BM13" s="194">
        <v>37529</v>
      </c>
      <c r="BN13" s="195">
        <v>426.7</v>
      </c>
      <c r="BO13" s="196">
        <v>301.8</v>
      </c>
      <c r="BP13" s="195">
        <v>68.7</v>
      </c>
      <c r="BQ13" s="196">
        <v>23.9</v>
      </c>
      <c r="BS13" s="189">
        <v>35064</v>
      </c>
      <c r="BT13" s="190">
        <v>1478.9749302721589</v>
      </c>
      <c r="BU13" s="190">
        <v>-10.825177220220212</v>
      </c>
    </row>
    <row r="14" spans="1:73" ht="14.25" customHeight="1">
      <c r="A14" s="18">
        <v>37621</v>
      </c>
      <c r="B14" s="191">
        <v>1124.4453565239721</v>
      </c>
      <c r="C14" s="191">
        <v>1007.6544505272228</v>
      </c>
      <c r="D14" s="191">
        <v>124.54539660112559</v>
      </c>
      <c r="E14" s="191">
        <v>432.26854920284376</v>
      </c>
      <c r="F14" s="191">
        <v>16.615712858946502</v>
      </c>
      <c r="G14" s="191">
        <v>26.298414993158492</v>
      </c>
      <c r="H14" s="191">
        <v>368.22174125463181</v>
      </c>
      <c r="I14" s="191">
        <v>0</v>
      </c>
      <c r="J14" s="191">
        <v>-937.40502244654738</v>
      </c>
      <c r="K14" s="192">
        <v>16.062555319322897</v>
      </c>
      <c r="L14" s="191">
        <v>138.42833926009155</v>
      </c>
      <c r="M14" s="191">
        <v>2787.3866430793964</v>
      </c>
      <c r="N14" s="191">
        <v>640.98027148505741</v>
      </c>
      <c r="O14" s="191">
        <v>167.329993944324</v>
      </c>
      <c r="P14" s="191">
        <v>100.07868062234218</v>
      </c>
      <c r="Q14" s="191">
        <v>285.39254683737113</v>
      </c>
      <c r="R14" s="191">
        <v>39.60292644011232</v>
      </c>
      <c r="S14" s="193">
        <f t="shared" si="0"/>
        <v>-1006.8618362759562</v>
      </c>
      <c r="T14" s="193">
        <f t="shared" si="1"/>
        <v>-1703.6355683138354</v>
      </c>
      <c r="U14" s="370">
        <v>7.4422920000000001</v>
      </c>
      <c r="V14" s="372">
        <f>SUMPRODUCT(S11:S14,U11:U14)/SUM(bdp!AR37:AR40)</f>
        <v>-6.3521218772021451E-2</v>
      </c>
      <c r="X14" s="18">
        <v>37621</v>
      </c>
      <c r="Y14" s="372">
        <v>-6.3521218772021451E-2</v>
      </c>
      <c r="Z14" s="375"/>
      <c r="AC14" s="194">
        <v>37621</v>
      </c>
      <c r="AD14" s="195">
        <v>1006.6</v>
      </c>
      <c r="AE14" s="196">
        <v>75.599999999999994</v>
      </c>
      <c r="AF14" s="196">
        <v>19.600000000000001</v>
      </c>
      <c r="AG14" s="196">
        <v>153.9</v>
      </c>
      <c r="AH14" s="196">
        <v>470</v>
      </c>
      <c r="AI14" s="196">
        <v>100.5</v>
      </c>
      <c r="AJ14" s="196">
        <v>5.2</v>
      </c>
      <c r="AK14" s="196">
        <v>13.7</v>
      </c>
      <c r="AL14" s="196">
        <v>6.6</v>
      </c>
      <c r="AM14" s="196">
        <v>43.9</v>
      </c>
      <c r="AN14" s="196">
        <v>112.7</v>
      </c>
      <c r="AO14" s="196">
        <v>4.4000000000000004</v>
      </c>
      <c r="AP14" s="196">
        <v>0.5</v>
      </c>
      <c r="AQ14" s="195">
        <v>640.1</v>
      </c>
      <c r="AR14" s="196">
        <v>2.4</v>
      </c>
      <c r="AS14" s="196">
        <v>4.8</v>
      </c>
      <c r="AT14" s="196">
        <v>94</v>
      </c>
      <c r="AU14" s="196">
        <v>180.5</v>
      </c>
      <c r="AV14" s="196">
        <v>22.6</v>
      </c>
      <c r="AW14" s="196">
        <v>10.199999999999999</v>
      </c>
      <c r="AX14" s="196">
        <v>38.1</v>
      </c>
      <c r="AY14" s="196">
        <v>23.5</v>
      </c>
      <c r="AZ14" s="196">
        <v>39.5</v>
      </c>
      <c r="BA14" s="196">
        <v>202.9</v>
      </c>
      <c r="BB14" s="196">
        <v>7.8</v>
      </c>
      <c r="BC14" s="196">
        <v>14</v>
      </c>
      <c r="BE14" s="194">
        <v>37621</v>
      </c>
      <c r="BF14" s="195">
        <v>124.4</v>
      </c>
      <c r="BG14" s="196">
        <v>50.2</v>
      </c>
      <c r="BH14" s="196">
        <v>74.099999999999994</v>
      </c>
      <c r="BI14" s="195">
        <v>170.8</v>
      </c>
      <c r="BJ14" s="196">
        <v>5.9</v>
      </c>
      <c r="BK14" s="196">
        <v>164.9</v>
      </c>
      <c r="BM14" s="194">
        <v>37621</v>
      </c>
      <c r="BN14" s="195">
        <v>431.9</v>
      </c>
      <c r="BO14" s="196">
        <v>307</v>
      </c>
      <c r="BP14" s="195">
        <v>99.9</v>
      </c>
      <c r="BQ14" s="196">
        <v>33</v>
      </c>
      <c r="BS14" s="189">
        <v>35155</v>
      </c>
      <c r="BT14" s="190">
        <v>1506.3507463937717</v>
      </c>
      <c r="BU14" s="190">
        <v>27.375816121612843</v>
      </c>
    </row>
    <row r="15" spans="1:73" ht="14.25" customHeight="1">
      <c r="A15" s="18">
        <v>37711</v>
      </c>
      <c r="B15" s="191">
        <v>1149.6341946997859</v>
      </c>
      <c r="C15" s="191">
        <v>700.16719271546151</v>
      </c>
      <c r="D15" s="191">
        <v>125.79616918736967</v>
      </c>
      <c r="E15" s="191">
        <v>421.4641704144334</v>
      </c>
      <c r="F15" s="191">
        <v>6.9146969410000008</v>
      </c>
      <c r="G15" s="191">
        <v>37.675841165522982</v>
      </c>
      <c r="H15" s="191">
        <v>-75.812955075102238</v>
      </c>
      <c r="I15" s="191">
        <v>0</v>
      </c>
      <c r="J15" s="191">
        <v>-494.58754211905614</v>
      </c>
      <c r="K15" s="192">
        <v>180.9220558573673</v>
      </c>
      <c r="L15" s="191">
        <v>-165.3182158528349</v>
      </c>
      <c r="M15" s="191">
        <v>2535.1111360018394</v>
      </c>
      <c r="N15" s="191">
        <v>558.54477390671764</v>
      </c>
      <c r="O15" s="191">
        <v>179.18305167369445</v>
      </c>
      <c r="P15" s="191">
        <v>71.698239225958815</v>
      </c>
      <c r="Q15" s="191">
        <v>236.79077716445937</v>
      </c>
      <c r="R15" s="191">
        <v>517.28561536726693</v>
      </c>
      <c r="S15" s="193">
        <f t="shared" si="0"/>
        <v>-947.47547379115986</v>
      </c>
      <c r="T15" s="193">
        <f t="shared" si="1"/>
        <v>-2211.7579854059891</v>
      </c>
      <c r="U15" s="370">
        <v>7.6923180000000002</v>
      </c>
      <c r="V15" s="372">
        <f>SUMPRODUCT(S12:S15,U12:U15)/SUM(bdp!AR38:AR41)</f>
        <v>-6.5614281943082831E-2</v>
      </c>
      <c r="X15" s="18">
        <v>37711</v>
      </c>
      <c r="Y15" s="372">
        <v>-6.5614281943082831E-2</v>
      </c>
      <c r="Z15" s="376"/>
      <c r="AC15" s="194">
        <v>37711</v>
      </c>
      <c r="AD15" s="195">
        <v>698.8</v>
      </c>
      <c r="AE15" s="196">
        <v>60.8</v>
      </c>
      <c r="AF15" s="196">
        <v>12</v>
      </c>
      <c r="AG15" s="196">
        <v>143.30000000000001</v>
      </c>
      <c r="AH15" s="196">
        <v>221.7</v>
      </c>
      <c r="AI15" s="196">
        <v>79.5</v>
      </c>
      <c r="AJ15" s="196">
        <v>3.3</v>
      </c>
      <c r="AK15" s="196">
        <v>6.6</v>
      </c>
      <c r="AL15" s="196">
        <v>7.9</v>
      </c>
      <c r="AM15" s="196">
        <v>48.6</v>
      </c>
      <c r="AN15" s="196">
        <v>111.1</v>
      </c>
      <c r="AO15" s="196">
        <v>4.0999999999999996</v>
      </c>
      <c r="AP15" s="196">
        <v>0.1</v>
      </c>
      <c r="AQ15" s="195">
        <v>557.5</v>
      </c>
      <c r="AR15" s="196">
        <v>18.3</v>
      </c>
      <c r="AS15" s="196">
        <v>6.7</v>
      </c>
      <c r="AT15" s="196">
        <v>82.4</v>
      </c>
      <c r="AU15" s="196">
        <v>118.3</v>
      </c>
      <c r="AV15" s="196">
        <v>16.600000000000001</v>
      </c>
      <c r="AW15" s="196">
        <v>9.1999999999999993</v>
      </c>
      <c r="AX15" s="196">
        <v>34.299999999999997</v>
      </c>
      <c r="AY15" s="196">
        <v>22.5</v>
      </c>
      <c r="AZ15" s="196">
        <v>45.7</v>
      </c>
      <c r="BA15" s="196">
        <v>185.9</v>
      </c>
      <c r="BB15" s="196">
        <v>8.9</v>
      </c>
      <c r="BC15" s="196">
        <v>8.6999999999999993</v>
      </c>
      <c r="BE15" s="194">
        <v>37711</v>
      </c>
      <c r="BF15" s="195">
        <v>125.8</v>
      </c>
      <c r="BG15" s="196">
        <v>48.8</v>
      </c>
      <c r="BH15" s="196">
        <v>77</v>
      </c>
      <c r="BI15" s="195">
        <v>183</v>
      </c>
      <c r="BJ15" s="196">
        <v>4.5999999999999996</v>
      </c>
      <c r="BK15" s="196">
        <v>178.4</v>
      </c>
      <c r="BM15" s="194">
        <v>37711</v>
      </c>
      <c r="BN15" s="195">
        <v>420.5</v>
      </c>
      <c r="BO15" s="196">
        <v>280.8</v>
      </c>
      <c r="BP15" s="195">
        <v>71.599999999999994</v>
      </c>
      <c r="BQ15" s="196">
        <v>25.7</v>
      </c>
      <c r="BS15" s="189">
        <v>35246</v>
      </c>
      <c r="BT15" s="190">
        <v>1622.0765013287846</v>
      </c>
      <c r="BU15" s="190">
        <v>115.7257549350129</v>
      </c>
    </row>
    <row r="16" spans="1:73" ht="14.25" customHeight="1">
      <c r="A16" s="18">
        <v>37802</v>
      </c>
      <c r="B16" s="191">
        <v>1013.9545701416926</v>
      </c>
      <c r="C16" s="191">
        <v>1605.3783732879308</v>
      </c>
      <c r="D16" s="191">
        <v>109.7316319021341</v>
      </c>
      <c r="E16" s="191">
        <v>456.67642488459336</v>
      </c>
      <c r="F16" s="191">
        <v>53.614046855371676</v>
      </c>
      <c r="G16" s="191">
        <v>33.700822789722977</v>
      </c>
      <c r="H16" s="191">
        <v>-62.02498799415644</v>
      </c>
      <c r="I16" s="191">
        <v>0</v>
      </c>
      <c r="J16" s="191">
        <v>-674.6149465880269</v>
      </c>
      <c r="K16" s="192">
        <v>253.85490877435984</v>
      </c>
      <c r="L16" s="191">
        <v>15.56504080689956</v>
      </c>
      <c r="M16" s="191">
        <v>2935.4394389214276</v>
      </c>
      <c r="N16" s="191">
        <v>681.31207902927815</v>
      </c>
      <c r="O16" s="191">
        <v>857.52314343736464</v>
      </c>
      <c r="P16" s="191">
        <v>79.920107583308408</v>
      </c>
      <c r="Q16" s="191">
        <v>580.79214744935916</v>
      </c>
      <c r="R16" s="191">
        <v>269.39833062529704</v>
      </c>
      <c r="S16" s="193">
        <f t="shared" si="0"/>
        <v>-1368.4537687550278</v>
      </c>
      <c r="T16" s="193">
        <f t="shared" si="1"/>
        <v>-2598.5493621855126</v>
      </c>
      <c r="U16" s="370">
        <v>7.5088439999999999</v>
      </c>
      <c r="V16" s="372">
        <f>SUMPRODUCT(S13:S16,U13:U16)/SUM(bdp!AR39:AR42)</f>
        <v>-8.0435799790756948E-2</v>
      </c>
      <c r="X16" s="18">
        <v>37802</v>
      </c>
      <c r="Y16" s="372">
        <v>-8.0435799790756948E-2</v>
      </c>
      <c r="AC16" s="194">
        <v>37802</v>
      </c>
      <c r="AD16" s="195">
        <v>1606.4</v>
      </c>
      <c r="AE16" s="196">
        <v>84</v>
      </c>
      <c r="AF16" s="196">
        <v>13.5</v>
      </c>
      <c r="AG16" s="196">
        <v>183.7</v>
      </c>
      <c r="AH16" s="196">
        <v>1012.3</v>
      </c>
      <c r="AI16" s="196">
        <v>84.9</v>
      </c>
      <c r="AJ16" s="196">
        <v>5.3</v>
      </c>
      <c r="AK16" s="196">
        <v>19.100000000000001</v>
      </c>
      <c r="AL16" s="196">
        <v>9</v>
      </c>
      <c r="AM16" s="196">
        <v>74.599999999999994</v>
      </c>
      <c r="AN16" s="196">
        <v>114</v>
      </c>
      <c r="AO16" s="196">
        <v>6.1</v>
      </c>
      <c r="AP16" s="196">
        <v>0.1</v>
      </c>
      <c r="AQ16" s="195">
        <v>681.9</v>
      </c>
      <c r="AR16" s="196">
        <v>36.700000000000003</v>
      </c>
      <c r="AS16" s="196">
        <v>6.1</v>
      </c>
      <c r="AT16" s="196">
        <v>102.9</v>
      </c>
      <c r="AU16" s="196">
        <v>132.4</v>
      </c>
      <c r="AV16" s="196">
        <v>35</v>
      </c>
      <c r="AW16" s="196">
        <v>12.7</v>
      </c>
      <c r="AX16" s="196">
        <v>85.3</v>
      </c>
      <c r="AY16" s="196">
        <v>23.6</v>
      </c>
      <c r="AZ16" s="196">
        <v>30.6</v>
      </c>
      <c r="BA16" s="196">
        <v>198.2</v>
      </c>
      <c r="BB16" s="196">
        <v>10.199999999999999</v>
      </c>
      <c r="BC16" s="196">
        <v>8.1</v>
      </c>
      <c r="BE16" s="194">
        <v>37802</v>
      </c>
      <c r="BF16" s="195">
        <v>109.8</v>
      </c>
      <c r="BG16" s="196">
        <v>49.5</v>
      </c>
      <c r="BH16" s="196">
        <v>60.4</v>
      </c>
      <c r="BI16" s="195">
        <v>862</v>
      </c>
      <c r="BJ16" s="196">
        <v>11.7</v>
      </c>
      <c r="BK16" s="196">
        <v>850.3</v>
      </c>
      <c r="BM16" s="194">
        <v>37802</v>
      </c>
      <c r="BN16" s="195">
        <v>456.9</v>
      </c>
      <c r="BO16" s="196">
        <v>298.10000000000002</v>
      </c>
      <c r="BP16" s="195">
        <v>80</v>
      </c>
      <c r="BQ16" s="196">
        <v>26</v>
      </c>
      <c r="BS16" s="189">
        <v>35338</v>
      </c>
      <c r="BT16" s="190">
        <v>1832.8790900506356</v>
      </c>
      <c r="BU16" s="190">
        <v>210.80258872185095</v>
      </c>
    </row>
    <row r="17" spans="1:73" ht="14.25" customHeight="1">
      <c r="A17" s="18">
        <v>37894</v>
      </c>
      <c r="B17" s="191">
        <v>1055.7400109798782</v>
      </c>
      <c r="C17" s="191">
        <v>3357.0828159517428</v>
      </c>
      <c r="D17" s="191">
        <v>119.47526960574345</v>
      </c>
      <c r="E17" s="191">
        <v>436.47239310956041</v>
      </c>
      <c r="F17" s="191">
        <v>5.1919147330000008</v>
      </c>
      <c r="G17" s="191">
        <v>20.645615224822883</v>
      </c>
      <c r="H17" s="191">
        <v>137.98161860039176</v>
      </c>
      <c r="I17" s="191">
        <v>0</v>
      </c>
      <c r="J17" s="191">
        <v>-304.48364922593805</v>
      </c>
      <c r="K17" s="192">
        <v>250.0520499279103</v>
      </c>
      <c r="L17" s="191">
        <v>-862.7760842020416</v>
      </c>
      <c r="M17" s="191">
        <v>2950.7785301440758</v>
      </c>
      <c r="N17" s="191">
        <v>787.96376349223408</v>
      </c>
      <c r="O17" s="191">
        <v>233.18070577198009</v>
      </c>
      <c r="P17" s="191">
        <v>86.588280886553378</v>
      </c>
      <c r="Q17" s="191">
        <v>126.62814573696073</v>
      </c>
      <c r="R17" s="191">
        <v>-75.107551092813623</v>
      </c>
      <c r="S17" s="193">
        <f t="shared" si="0"/>
        <v>910.25920935208023</v>
      </c>
      <c r="T17" s="193">
        <f t="shared" si="1"/>
        <v>105.35007976607812</v>
      </c>
      <c r="U17" s="370">
        <v>7.5713699999999999</v>
      </c>
      <c r="V17" s="372">
        <f>SUMPRODUCT(S14:S17,U14:U17)/SUM(bdp!AR40:AR43)</f>
        <v>-7.9809521523704741E-2</v>
      </c>
      <c r="X17" s="18">
        <v>37894</v>
      </c>
      <c r="Y17" s="372">
        <v>-7.9809521523704741E-2</v>
      </c>
      <c r="AC17" s="194">
        <v>37894</v>
      </c>
      <c r="AD17" s="195">
        <v>3355.7</v>
      </c>
      <c r="AE17" s="196">
        <v>58.7</v>
      </c>
      <c r="AF17" s="196">
        <v>15.4</v>
      </c>
      <c r="AG17" s="196">
        <v>203.6</v>
      </c>
      <c r="AH17" s="196">
        <v>2731.6</v>
      </c>
      <c r="AI17" s="196">
        <v>121.3</v>
      </c>
      <c r="AJ17" s="196">
        <v>3.3</v>
      </c>
      <c r="AK17" s="196">
        <v>9.1</v>
      </c>
      <c r="AL17" s="196">
        <v>6.7</v>
      </c>
      <c r="AM17" s="196">
        <v>69.3</v>
      </c>
      <c r="AN17" s="196">
        <v>123.3</v>
      </c>
      <c r="AO17" s="196">
        <v>13.3</v>
      </c>
      <c r="AP17" s="196">
        <v>0</v>
      </c>
      <c r="AQ17" s="195">
        <v>787.4</v>
      </c>
      <c r="AR17" s="196">
        <v>41.2</v>
      </c>
      <c r="AS17" s="196">
        <v>8</v>
      </c>
      <c r="AT17" s="196">
        <v>102.4</v>
      </c>
      <c r="AU17" s="196">
        <v>197.3</v>
      </c>
      <c r="AV17" s="196">
        <v>108.8</v>
      </c>
      <c r="AW17" s="196">
        <v>9.6</v>
      </c>
      <c r="AX17" s="196">
        <v>34.9</v>
      </c>
      <c r="AY17" s="196">
        <v>25</v>
      </c>
      <c r="AZ17" s="196">
        <v>42.8</v>
      </c>
      <c r="BA17" s="196">
        <v>202.7</v>
      </c>
      <c r="BB17" s="196">
        <v>9.3000000000000007</v>
      </c>
      <c r="BC17" s="196">
        <v>5.6</v>
      </c>
      <c r="BE17" s="194">
        <v>37894</v>
      </c>
      <c r="BF17" s="195">
        <v>119.3</v>
      </c>
      <c r="BG17" s="196">
        <v>57.3</v>
      </c>
      <c r="BH17" s="196">
        <v>62.2</v>
      </c>
      <c r="BI17" s="195">
        <v>237.5</v>
      </c>
      <c r="BJ17" s="196">
        <v>6.7</v>
      </c>
      <c r="BK17" s="196">
        <v>230.8</v>
      </c>
      <c r="BM17" s="194">
        <v>37894</v>
      </c>
      <c r="BN17" s="195">
        <v>436.1</v>
      </c>
      <c r="BO17" s="196">
        <v>297.10000000000002</v>
      </c>
      <c r="BP17" s="195">
        <v>86.6</v>
      </c>
      <c r="BQ17" s="196">
        <v>30</v>
      </c>
      <c r="BS17" s="189">
        <v>35430</v>
      </c>
      <c r="BT17" s="190">
        <v>1867.6569438632623</v>
      </c>
      <c r="BU17" s="190">
        <v>34.777853812626745</v>
      </c>
    </row>
    <row r="18" spans="1:73" ht="14.25" customHeight="1">
      <c r="A18" s="18">
        <v>37986</v>
      </c>
      <c r="B18" s="191">
        <v>1115.6502694858398</v>
      </c>
      <c r="C18" s="191">
        <v>1055.0740714152587</v>
      </c>
      <c r="D18" s="191">
        <v>111.81626370308037</v>
      </c>
      <c r="E18" s="191">
        <v>438.22732786069434</v>
      </c>
      <c r="F18" s="191">
        <v>35.956416559080218</v>
      </c>
      <c r="G18" s="191">
        <v>40.172706866322855</v>
      </c>
      <c r="H18" s="191">
        <v>-121.32258692777683</v>
      </c>
      <c r="I18" s="191">
        <v>0</v>
      </c>
      <c r="J18" s="191">
        <v>-420.14622566530841</v>
      </c>
      <c r="K18" s="192">
        <v>550.64200951128601</v>
      </c>
      <c r="L18" s="191">
        <v>691.59975536651996</v>
      </c>
      <c r="M18" s="191">
        <v>3018.468343848479</v>
      </c>
      <c r="N18" s="191">
        <v>778.65099752474077</v>
      </c>
      <c r="O18" s="191">
        <v>207.11207432796482</v>
      </c>
      <c r="P18" s="191">
        <v>96.652796241087913</v>
      </c>
      <c r="Q18" s="191">
        <v>667.31952553285714</v>
      </c>
      <c r="R18" s="191">
        <v>34.586485803465813</v>
      </c>
      <c r="S18" s="193">
        <f t="shared" si="0"/>
        <v>-1380.1162794773991</v>
      </c>
      <c r="T18" s="193">
        <f t="shared" si="1"/>
        <v>-1305.1202151035986</v>
      </c>
      <c r="U18" s="370">
        <v>7.646909</v>
      </c>
      <c r="V18" s="372">
        <f>SUMPRODUCT(S15:S18,U15:U18)/SUM(bdp!AR41:AR44)</f>
        <v>-9.1263781568373684E-2</v>
      </c>
      <c r="X18" s="18">
        <v>37986</v>
      </c>
      <c r="Y18" s="372">
        <v>-9.1263781568373684E-2</v>
      </c>
      <c r="AC18" s="194">
        <v>37986</v>
      </c>
      <c r="AD18" s="195">
        <v>1053.7</v>
      </c>
      <c r="AE18" s="196">
        <v>89.6</v>
      </c>
      <c r="AF18" s="196">
        <v>17.600000000000001</v>
      </c>
      <c r="AG18" s="196">
        <v>167.6</v>
      </c>
      <c r="AH18" s="196">
        <v>457.5</v>
      </c>
      <c r="AI18" s="196">
        <v>105.6</v>
      </c>
      <c r="AJ18" s="196">
        <v>5.4</v>
      </c>
      <c r="AK18" s="196">
        <v>6.4</v>
      </c>
      <c r="AL18" s="196">
        <v>7.2</v>
      </c>
      <c r="AM18" s="196">
        <v>49</v>
      </c>
      <c r="AN18" s="196">
        <v>141.69999999999999</v>
      </c>
      <c r="AO18" s="196">
        <v>5.8</v>
      </c>
      <c r="AP18" s="196">
        <v>0</v>
      </c>
      <c r="AQ18" s="195">
        <v>778.1</v>
      </c>
      <c r="AR18" s="196">
        <v>43.6</v>
      </c>
      <c r="AS18" s="196">
        <v>9.3000000000000007</v>
      </c>
      <c r="AT18" s="196">
        <v>102</v>
      </c>
      <c r="AU18" s="196">
        <v>147.69999999999999</v>
      </c>
      <c r="AV18" s="196">
        <v>83.5</v>
      </c>
      <c r="AW18" s="196">
        <v>8.3000000000000007</v>
      </c>
      <c r="AX18" s="196">
        <v>32</v>
      </c>
      <c r="AY18" s="196">
        <v>43.4</v>
      </c>
      <c r="AZ18" s="196">
        <v>41.4</v>
      </c>
      <c r="BA18" s="196">
        <v>252.5</v>
      </c>
      <c r="BB18" s="196">
        <v>8.3000000000000007</v>
      </c>
      <c r="BC18" s="196">
        <v>6</v>
      </c>
      <c r="BE18" s="194">
        <v>37986</v>
      </c>
      <c r="BF18" s="195">
        <v>111.8</v>
      </c>
      <c r="BG18" s="196">
        <v>61.7</v>
      </c>
      <c r="BH18" s="196">
        <v>50.1</v>
      </c>
      <c r="BI18" s="195">
        <v>211.4</v>
      </c>
      <c r="BJ18" s="196">
        <v>10.5</v>
      </c>
      <c r="BK18" s="196">
        <v>200.9</v>
      </c>
      <c r="BM18" s="194">
        <v>37986</v>
      </c>
      <c r="BN18" s="195">
        <v>438</v>
      </c>
      <c r="BO18" s="196">
        <v>290.89999999999998</v>
      </c>
      <c r="BP18" s="195">
        <v>96.6</v>
      </c>
      <c r="BQ18" s="196">
        <v>24.2</v>
      </c>
      <c r="BS18" s="189">
        <v>35520</v>
      </c>
      <c r="BT18" s="190">
        <v>1942.4679341796032</v>
      </c>
      <c r="BU18" s="190">
        <v>74.810990316340849</v>
      </c>
    </row>
    <row r="19" spans="1:73" ht="14.25" customHeight="1">
      <c r="A19" s="18">
        <v>38077</v>
      </c>
      <c r="B19" s="191">
        <v>1218.0490736626571</v>
      </c>
      <c r="C19" s="191">
        <v>748.39793786607515</v>
      </c>
      <c r="D19" s="191">
        <v>144.99806817615331</v>
      </c>
      <c r="E19" s="191">
        <v>425.27584975386924</v>
      </c>
      <c r="F19" s="191">
        <v>7.5123568919999997</v>
      </c>
      <c r="G19" s="191">
        <v>58.194009829571925</v>
      </c>
      <c r="H19" s="191">
        <v>396.44399420644851</v>
      </c>
      <c r="I19" s="191">
        <v>0</v>
      </c>
      <c r="J19" s="191">
        <v>-582.49312650592685</v>
      </c>
      <c r="K19" s="192">
        <v>-421.65638582364983</v>
      </c>
      <c r="L19" s="191">
        <v>85.600457990987024</v>
      </c>
      <c r="M19" s="191">
        <v>2698.140388697198</v>
      </c>
      <c r="N19" s="191">
        <v>664.82243723406191</v>
      </c>
      <c r="O19" s="191">
        <v>251.06334401605278</v>
      </c>
      <c r="P19" s="191">
        <v>106.70532397480842</v>
      </c>
      <c r="Q19" s="191">
        <v>291.49043719189353</v>
      </c>
      <c r="R19" s="191">
        <v>249.89580409492939</v>
      </c>
      <c r="S19" s="193">
        <f t="shared" si="0"/>
        <v>-1184.0105644633659</v>
      </c>
      <c r="T19" s="193">
        <f t="shared" si="1"/>
        <v>-2181.7954991607576</v>
      </c>
      <c r="U19" s="370">
        <v>7.3954399999999998</v>
      </c>
      <c r="V19" s="372">
        <f>SUMPRODUCT(S16:S19,U16:U19)/SUM(bdp!AR42:AR45)</f>
        <v>-9.5783399687884754E-2</v>
      </c>
      <c r="X19" s="18">
        <v>38077</v>
      </c>
      <c r="Y19" s="372">
        <v>-9.5783399687884754E-2</v>
      </c>
      <c r="AC19" s="194">
        <v>38077</v>
      </c>
      <c r="AD19" s="195">
        <v>748.8</v>
      </c>
      <c r="AE19" s="196">
        <v>72.099999999999994</v>
      </c>
      <c r="AF19" s="196">
        <v>12.8</v>
      </c>
      <c r="AG19" s="196">
        <v>160.5</v>
      </c>
      <c r="AH19" s="196">
        <v>241.1</v>
      </c>
      <c r="AI19" s="196">
        <v>83.8</v>
      </c>
      <c r="AJ19" s="196">
        <v>3</v>
      </c>
      <c r="AK19" s="196">
        <v>-1.2</v>
      </c>
      <c r="AL19" s="196">
        <v>8.9</v>
      </c>
      <c r="AM19" s="196">
        <v>28.4</v>
      </c>
      <c r="AN19" s="196">
        <v>134</v>
      </c>
      <c r="AO19" s="196">
        <v>5.3</v>
      </c>
      <c r="AP19" s="196">
        <v>0.1</v>
      </c>
      <c r="AQ19" s="195">
        <v>665.5</v>
      </c>
      <c r="AR19" s="196">
        <v>18.3</v>
      </c>
      <c r="AS19" s="196">
        <v>7.4</v>
      </c>
      <c r="AT19" s="196">
        <v>87.3</v>
      </c>
      <c r="AU19" s="196">
        <v>162.6</v>
      </c>
      <c r="AV19" s="196">
        <v>71.3</v>
      </c>
      <c r="AW19" s="196">
        <v>6.6</v>
      </c>
      <c r="AX19" s="196">
        <v>30.4</v>
      </c>
      <c r="AY19" s="196">
        <v>30.5</v>
      </c>
      <c r="AZ19" s="196">
        <v>43.1</v>
      </c>
      <c r="BA19" s="196">
        <v>189.7</v>
      </c>
      <c r="BB19" s="196">
        <v>8.6999999999999993</v>
      </c>
      <c r="BC19" s="196">
        <v>9.5</v>
      </c>
      <c r="BE19" s="194">
        <v>38077</v>
      </c>
      <c r="BF19" s="195">
        <v>145</v>
      </c>
      <c r="BG19" s="196">
        <v>62.7</v>
      </c>
      <c r="BH19" s="196">
        <v>82.4</v>
      </c>
      <c r="BI19" s="195">
        <v>255.2</v>
      </c>
      <c r="BJ19" s="196">
        <v>7.8</v>
      </c>
      <c r="BK19" s="196">
        <v>247.5</v>
      </c>
      <c r="BM19" s="194">
        <v>38077</v>
      </c>
      <c r="BN19" s="195">
        <v>425.6</v>
      </c>
      <c r="BO19" s="196">
        <v>284.5</v>
      </c>
      <c r="BP19" s="195">
        <v>106.8</v>
      </c>
      <c r="BQ19" s="196">
        <v>23</v>
      </c>
      <c r="BS19" s="189">
        <v>35611</v>
      </c>
      <c r="BT19" s="190">
        <v>2050.3831969892708</v>
      </c>
      <c r="BU19" s="190">
        <v>107.91526280966764</v>
      </c>
    </row>
    <row r="20" spans="1:73" ht="14.25" customHeight="1">
      <c r="A20" s="18">
        <v>38168</v>
      </c>
      <c r="B20" s="191">
        <v>1296.8394603935831</v>
      </c>
      <c r="C20" s="191">
        <v>1650.799652358711</v>
      </c>
      <c r="D20" s="191">
        <v>159.18565637790186</v>
      </c>
      <c r="E20" s="191">
        <v>465.14241768848166</v>
      </c>
      <c r="F20" s="191">
        <v>7.6995576130000014</v>
      </c>
      <c r="G20" s="191">
        <v>39.398171596671951</v>
      </c>
      <c r="H20" s="191">
        <v>192.79099651810847</v>
      </c>
      <c r="I20" s="191">
        <v>0</v>
      </c>
      <c r="J20" s="191">
        <v>-476.63890161381551</v>
      </c>
      <c r="K20" s="192">
        <v>202.70718659998701</v>
      </c>
      <c r="L20" s="191">
        <v>2.3232720984530033</v>
      </c>
      <c r="M20" s="191">
        <v>3286.0500088293256</v>
      </c>
      <c r="N20" s="191">
        <v>691.49777034212912</v>
      </c>
      <c r="O20" s="191">
        <v>434.99165031998189</v>
      </c>
      <c r="P20" s="191">
        <v>106.2026540490583</v>
      </c>
      <c r="Q20" s="191">
        <v>251.66992935470211</v>
      </c>
      <c r="R20" s="191">
        <v>643.33959075661426</v>
      </c>
      <c r="S20" s="193">
        <f t="shared" si="0"/>
        <v>-946.77489672181719</v>
      </c>
      <c r="T20" s="193">
        <f t="shared" si="1"/>
        <v>-1873.504134020729</v>
      </c>
      <c r="U20" s="370">
        <v>7.365831</v>
      </c>
      <c r="V20" s="372">
        <f>SUMPRODUCT(S17:S20,U17:U20)/SUM(bdp!AR43:AR46)</f>
        <v>-8.0318146803326676E-2</v>
      </c>
      <c r="X20" s="18">
        <v>38168</v>
      </c>
      <c r="Y20" s="372">
        <v>-8.0318146803326676E-2</v>
      </c>
      <c r="AC20" s="194">
        <v>38168</v>
      </c>
      <c r="AD20" s="195">
        <v>1648.1</v>
      </c>
      <c r="AE20" s="196">
        <v>82.9</v>
      </c>
      <c r="AF20" s="196">
        <v>14.7</v>
      </c>
      <c r="AG20" s="196">
        <v>202.6</v>
      </c>
      <c r="AH20" s="196">
        <v>1035.8</v>
      </c>
      <c r="AI20" s="196">
        <v>106.3</v>
      </c>
      <c r="AJ20" s="196">
        <v>3.6</v>
      </c>
      <c r="AK20" s="196">
        <v>2.4</v>
      </c>
      <c r="AL20" s="196">
        <v>8.1</v>
      </c>
      <c r="AM20" s="196">
        <v>44.5</v>
      </c>
      <c r="AN20" s="196">
        <v>143.4</v>
      </c>
      <c r="AO20" s="196">
        <v>4</v>
      </c>
      <c r="AP20" s="196">
        <v>0.1</v>
      </c>
      <c r="AQ20" s="195">
        <v>691.7</v>
      </c>
      <c r="AR20" s="196">
        <v>31.1</v>
      </c>
      <c r="AS20" s="196">
        <v>10.5</v>
      </c>
      <c r="AT20" s="196">
        <v>116.4</v>
      </c>
      <c r="AU20" s="196">
        <v>164.6</v>
      </c>
      <c r="AV20" s="196">
        <v>48.4</v>
      </c>
      <c r="AW20" s="196">
        <v>9.3000000000000007</v>
      </c>
      <c r="AX20" s="196">
        <v>31.1</v>
      </c>
      <c r="AY20" s="196">
        <v>22.6</v>
      </c>
      <c r="AZ20" s="196">
        <v>40.9</v>
      </c>
      <c r="BA20" s="196">
        <v>200</v>
      </c>
      <c r="BB20" s="196">
        <v>8.9</v>
      </c>
      <c r="BC20" s="196">
        <v>7.8</v>
      </c>
      <c r="BE20" s="194">
        <v>38168</v>
      </c>
      <c r="BF20" s="195">
        <v>159.4</v>
      </c>
      <c r="BG20" s="196">
        <v>70.599999999999994</v>
      </c>
      <c r="BH20" s="196">
        <v>88.8</v>
      </c>
      <c r="BI20" s="195">
        <v>440.5</v>
      </c>
      <c r="BJ20" s="196">
        <v>8.3000000000000007</v>
      </c>
      <c r="BK20" s="196">
        <v>432.2</v>
      </c>
      <c r="BM20" s="194">
        <v>38168</v>
      </c>
      <c r="BN20" s="195">
        <v>465.3</v>
      </c>
      <c r="BO20" s="196">
        <v>309.39999999999998</v>
      </c>
      <c r="BP20" s="195">
        <v>106.3</v>
      </c>
      <c r="BQ20" s="196">
        <v>25.3</v>
      </c>
      <c r="BS20" s="189">
        <v>35703</v>
      </c>
      <c r="BT20" s="190">
        <v>2234.899249568869</v>
      </c>
      <c r="BU20" s="190">
        <v>184.51605257959818</v>
      </c>
    </row>
    <row r="21" spans="1:73" ht="14.25" customHeight="1">
      <c r="A21" s="18">
        <v>38260</v>
      </c>
      <c r="B21" s="191">
        <v>1394.355814352414</v>
      </c>
      <c r="C21" s="191">
        <v>3586.8160635574313</v>
      </c>
      <c r="D21" s="191">
        <v>284.64127087472013</v>
      </c>
      <c r="E21" s="191">
        <v>450.18956047827544</v>
      </c>
      <c r="F21" s="191">
        <v>7.243317735999999</v>
      </c>
      <c r="G21" s="191">
        <v>181.42268383497171</v>
      </c>
      <c r="H21" s="191">
        <v>-33.1296196612535</v>
      </c>
      <c r="I21" s="191">
        <v>0</v>
      </c>
      <c r="J21" s="191">
        <v>443.94084323115987</v>
      </c>
      <c r="K21" s="192">
        <v>88.615892122134042</v>
      </c>
      <c r="L21" s="191">
        <v>-1160.8442122392619</v>
      </c>
      <c r="M21" s="191">
        <v>3065.1162330420666</v>
      </c>
      <c r="N21" s="191">
        <v>900.37629426010142</v>
      </c>
      <c r="O21" s="191">
        <v>398.31417539706723</v>
      </c>
      <c r="P21" s="191">
        <v>101.03779234570632</v>
      </c>
      <c r="Q21" s="191">
        <v>328.31005039299009</v>
      </c>
      <c r="R21" s="191">
        <v>254.98242941938497</v>
      </c>
      <c r="S21" s="193">
        <f t="shared" si="0"/>
        <v>1251.1582142178995</v>
      </c>
      <c r="T21" s="193">
        <f t="shared" si="1"/>
        <v>195.11463942927458</v>
      </c>
      <c r="U21" s="370">
        <v>7.5478399999999999</v>
      </c>
      <c r="V21" s="372">
        <f>SUMPRODUCT(S18:S21,U18:U21)/SUM(bdp!AR44:AR47)</f>
        <v>-6.8467704011862029E-2</v>
      </c>
      <c r="X21" s="18">
        <v>38260</v>
      </c>
      <c r="Y21" s="372">
        <v>-6.8467704011862029E-2</v>
      </c>
      <c r="AC21" s="194">
        <v>38260</v>
      </c>
      <c r="AD21" s="195">
        <v>3579</v>
      </c>
      <c r="AE21" s="196">
        <v>82.2</v>
      </c>
      <c r="AF21" s="196">
        <v>19.899999999999999</v>
      </c>
      <c r="AG21" s="196">
        <v>227</v>
      </c>
      <c r="AH21" s="196">
        <v>2867.9</v>
      </c>
      <c r="AI21" s="196">
        <v>119</v>
      </c>
      <c r="AJ21" s="196">
        <v>3.9</v>
      </c>
      <c r="AK21" s="196">
        <v>5.0999999999999996</v>
      </c>
      <c r="AL21" s="196">
        <v>8.1</v>
      </c>
      <c r="AM21" s="196">
        <v>95.5</v>
      </c>
      <c r="AN21" s="196">
        <v>142.69999999999999</v>
      </c>
      <c r="AO21" s="196">
        <v>7.6</v>
      </c>
      <c r="AP21" s="196">
        <v>0.1</v>
      </c>
      <c r="AQ21" s="195">
        <v>899.1</v>
      </c>
      <c r="AR21" s="196">
        <v>33.700000000000003</v>
      </c>
      <c r="AS21" s="196">
        <v>6.9</v>
      </c>
      <c r="AT21" s="196">
        <v>123.1</v>
      </c>
      <c r="AU21" s="196">
        <v>205</v>
      </c>
      <c r="AV21" s="196">
        <v>108.3</v>
      </c>
      <c r="AW21" s="196">
        <v>7.7</v>
      </c>
      <c r="AX21" s="196">
        <v>35.200000000000003</v>
      </c>
      <c r="AY21" s="196">
        <v>26.2</v>
      </c>
      <c r="AZ21" s="196">
        <v>51.5</v>
      </c>
      <c r="BA21" s="196">
        <v>283</v>
      </c>
      <c r="BB21" s="196">
        <v>9.6999999999999993</v>
      </c>
      <c r="BC21" s="196">
        <v>8.6999999999999993</v>
      </c>
      <c r="BE21" s="194">
        <v>38260</v>
      </c>
      <c r="BF21" s="195">
        <v>284.10000000000002</v>
      </c>
      <c r="BG21" s="196">
        <v>67.3</v>
      </c>
      <c r="BH21" s="196">
        <v>216.6</v>
      </c>
      <c r="BI21" s="195">
        <v>401.6</v>
      </c>
      <c r="BJ21" s="196">
        <v>11.5</v>
      </c>
      <c r="BK21" s="196">
        <v>390.1</v>
      </c>
      <c r="BM21" s="194">
        <v>38260</v>
      </c>
      <c r="BN21" s="195">
        <v>449.6</v>
      </c>
      <c r="BO21" s="196">
        <v>304.5</v>
      </c>
      <c r="BP21" s="195">
        <v>100.9</v>
      </c>
      <c r="BQ21" s="196">
        <v>23.9</v>
      </c>
      <c r="BS21" s="189">
        <v>35795</v>
      </c>
      <c r="BT21" s="190">
        <v>2303.6930190865301</v>
      </c>
      <c r="BU21" s="190">
        <v>68.793769517661076</v>
      </c>
    </row>
    <row r="22" spans="1:73" ht="14.25" customHeight="1">
      <c r="A22" s="18">
        <v>38352</v>
      </c>
      <c r="B22" s="191">
        <v>1421.1670907779253</v>
      </c>
      <c r="C22" s="191">
        <v>1092.9727371955369</v>
      </c>
      <c r="D22" s="191">
        <v>147.45414959550232</v>
      </c>
      <c r="E22" s="191">
        <v>487.63348588265086</v>
      </c>
      <c r="F22" s="191">
        <v>8.9449685489999986</v>
      </c>
      <c r="G22" s="191">
        <v>66.091038915571829</v>
      </c>
      <c r="H22" s="191">
        <v>200.55801024213645</v>
      </c>
      <c r="I22" s="191">
        <v>0</v>
      </c>
      <c r="J22" s="191">
        <v>-988.08573780806682</v>
      </c>
      <c r="K22" s="192">
        <v>173.36713417672451</v>
      </c>
      <c r="L22" s="191">
        <v>431.2016061670812</v>
      </c>
      <c r="M22" s="191">
        <v>3186.5061937639234</v>
      </c>
      <c r="N22" s="191">
        <v>758.48941655238878</v>
      </c>
      <c r="O22" s="191">
        <v>223.90964320312793</v>
      </c>
      <c r="P22" s="191">
        <v>105.93420353034531</v>
      </c>
      <c r="Q22" s="191">
        <v>189.3392784071348</v>
      </c>
      <c r="R22" s="191">
        <v>-51.943413998679901</v>
      </c>
      <c r="S22" s="193">
        <f t="shared" si="0"/>
        <v>-1125.6119935981706</v>
      </c>
      <c r="T22" s="193">
        <f t="shared" si="1"/>
        <v>-1370.9308377641787</v>
      </c>
      <c r="U22" s="370">
        <v>7.6712340000000001</v>
      </c>
      <c r="V22" s="372">
        <f>SUMPRODUCT(S19:S22,U19:U22)/SUM(bdp!AR45:AR48)</f>
        <v>-5.9449212204652289E-2</v>
      </c>
      <c r="X22" s="18">
        <v>38352</v>
      </c>
      <c r="Y22" s="372">
        <v>-5.9449212204652289E-2</v>
      </c>
      <c r="AC22" s="194">
        <v>38352</v>
      </c>
      <c r="AD22" s="195">
        <v>1092</v>
      </c>
      <c r="AE22" s="196">
        <v>90.6</v>
      </c>
      <c r="AF22" s="196">
        <v>16.8</v>
      </c>
      <c r="AG22" s="196">
        <v>203.2</v>
      </c>
      <c r="AH22" s="196">
        <v>484.5</v>
      </c>
      <c r="AI22" s="196">
        <v>67.900000000000006</v>
      </c>
      <c r="AJ22" s="196">
        <v>4.8</v>
      </c>
      <c r="AK22" s="196">
        <v>7.8</v>
      </c>
      <c r="AL22" s="196">
        <v>7.9</v>
      </c>
      <c r="AM22" s="196">
        <v>35.700000000000003</v>
      </c>
      <c r="AN22" s="196">
        <v>165.6</v>
      </c>
      <c r="AO22" s="196">
        <v>6.8</v>
      </c>
      <c r="AP22" s="196">
        <v>0.3</v>
      </c>
      <c r="AQ22" s="195">
        <v>757.9</v>
      </c>
      <c r="AR22" s="196">
        <v>29.1</v>
      </c>
      <c r="AS22" s="196">
        <v>6.8</v>
      </c>
      <c r="AT22" s="196">
        <v>103.5</v>
      </c>
      <c r="AU22" s="196">
        <v>150.9</v>
      </c>
      <c r="AV22" s="196">
        <v>43.8</v>
      </c>
      <c r="AW22" s="196">
        <v>10.3</v>
      </c>
      <c r="AX22" s="196">
        <v>37.200000000000003</v>
      </c>
      <c r="AY22" s="196">
        <v>37.1</v>
      </c>
      <c r="AZ22" s="196">
        <v>47.4</v>
      </c>
      <c r="BA22" s="196">
        <v>268.2</v>
      </c>
      <c r="BB22" s="196">
        <v>14.7</v>
      </c>
      <c r="BC22" s="196">
        <v>8.5</v>
      </c>
      <c r="BE22" s="194">
        <v>38352</v>
      </c>
      <c r="BF22" s="195">
        <v>147.4</v>
      </c>
      <c r="BG22" s="196">
        <v>67.5</v>
      </c>
      <c r="BH22" s="196">
        <v>79.8</v>
      </c>
      <c r="BI22" s="195">
        <v>228.1</v>
      </c>
      <c r="BJ22" s="196">
        <v>6.8</v>
      </c>
      <c r="BK22" s="196">
        <v>221.4</v>
      </c>
      <c r="BM22" s="194">
        <v>38352</v>
      </c>
      <c r="BN22" s="195">
        <v>487.1</v>
      </c>
      <c r="BO22" s="196">
        <v>339.6</v>
      </c>
      <c r="BP22" s="195">
        <v>105.9</v>
      </c>
      <c r="BQ22" s="196">
        <v>26.5</v>
      </c>
      <c r="BS22" s="189">
        <v>35885</v>
      </c>
      <c r="BT22" s="190">
        <v>2267.5123919624798</v>
      </c>
      <c r="BU22" s="190">
        <v>-36.180627124050261</v>
      </c>
    </row>
    <row r="23" spans="1:73" ht="14.25" customHeight="1">
      <c r="A23" s="18">
        <v>38442</v>
      </c>
      <c r="B23" s="191">
        <v>1252.174468647816</v>
      </c>
      <c r="C23" s="191">
        <v>764.37857856003541</v>
      </c>
      <c r="D23" s="191">
        <v>151.61192309193586</v>
      </c>
      <c r="E23" s="191">
        <v>457.77816573420716</v>
      </c>
      <c r="F23" s="191">
        <v>2.5468719547037608</v>
      </c>
      <c r="G23" s="191">
        <v>66.615471576553034</v>
      </c>
      <c r="H23" s="191">
        <v>14.694893993449632</v>
      </c>
      <c r="I23" s="191">
        <v>88.352000000000004</v>
      </c>
      <c r="J23" s="191">
        <v>-1878.7459953787079</v>
      </c>
      <c r="K23" s="192">
        <v>188.07689987574938</v>
      </c>
      <c r="L23" s="191">
        <v>125.89051673312542</v>
      </c>
      <c r="M23" s="191">
        <v>2874.1986757802742</v>
      </c>
      <c r="N23" s="191">
        <v>676.85782267141587</v>
      </c>
      <c r="O23" s="191">
        <v>299.64376316675651</v>
      </c>
      <c r="P23" s="191">
        <v>111.33733330177679</v>
      </c>
      <c r="Q23" s="191">
        <v>265.1145244451921</v>
      </c>
      <c r="R23" s="191">
        <v>-578.46418417974826</v>
      </c>
      <c r="S23" s="193">
        <f t="shared" si="0"/>
        <v>-1336.0944588862289</v>
      </c>
      <c r="T23" s="193">
        <f t="shared" si="1"/>
        <v>-2415.3141403967998</v>
      </c>
      <c r="U23" s="370">
        <v>7.4417559999999998</v>
      </c>
      <c r="V23" s="372">
        <f>SUMPRODUCT(S20:S23,U20:U23)/SUM(bdp!AR46:AR49)</f>
        <v>-6.3479632618696213E-2</v>
      </c>
      <c r="X23" s="18">
        <v>38442</v>
      </c>
      <c r="Y23" s="372">
        <v>-6.3479632618696213E-2</v>
      </c>
      <c r="AC23" s="194">
        <v>38442</v>
      </c>
      <c r="AD23" s="195">
        <v>764.6</v>
      </c>
      <c r="AE23" s="196">
        <v>71.5</v>
      </c>
      <c r="AF23" s="196">
        <v>14.1</v>
      </c>
      <c r="AG23" s="196">
        <v>172.9</v>
      </c>
      <c r="AH23" s="196">
        <v>260.89999999999998</v>
      </c>
      <c r="AI23" s="196">
        <v>6</v>
      </c>
      <c r="AJ23" s="196">
        <v>3.2</v>
      </c>
      <c r="AK23" s="196">
        <v>5.3</v>
      </c>
      <c r="AL23" s="196">
        <v>35.200000000000003</v>
      </c>
      <c r="AM23" s="196">
        <v>38.1</v>
      </c>
      <c r="AN23" s="196">
        <v>153</v>
      </c>
      <c r="AO23" s="196">
        <v>4.3</v>
      </c>
      <c r="AP23" s="196">
        <v>0</v>
      </c>
      <c r="AQ23" s="195">
        <v>677.3</v>
      </c>
      <c r="AR23" s="196">
        <v>17.3</v>
      </c>
      <c r="AS23" s="196">
        <v>9.1</v>
      </c>
      <c r="AT23" s="196">
        <v>87.9</v>
      </c>
      <c r="AU23" s="196">
        <v>161.30000000000001</v>
      </c>
      <c r="AV23" s="196">
        <v>0.3</v>
      </c>
      <c r="AW23" s="196">
        <v>8</v>
      </c>
      <c r="AX23" s="196">
        <v>39.200000000000003</v>
      </c>
      <c r="AY23" s="196">
        <v>43.2</v>
      </c>
      <c r="AZ23" s="196">
        <v>56.5</v>
      </c>
      <c r="BA23" s="196">
        <v>234.3</v>
      </c>
      <c r="BB23" s="196">
        <v>9.6999999999999993</v>
      </c>
      <c r="BC23" s="196">
        <v>10.4</v>
      </c>
      <c r="BE23" s="194">
        <v>38442</v>
      </c>
      <c r="BF23" s="195">
        <v>151.69999999999999</v>
      </c>
      <c r="BG23" s="196">
        <v>66.099999999999994</v>
      </c>
      <c r="BH23" s="196">
        <v>85.5</v>
      </c>
      <c r="BI23" s="195">
        <v>304.2</v>
      </c>
      <c r="BJ23" s="196">
        <v>5.0999999999999996</v>
      </c>
      <c r="BK23" s="196">
        <v>299.10000000000002</v>
      </c>
      <c r="BM23" s="194">
        <v>38442</v>
      </c>
      <c r="BN23" s="195">
        <v>457.8</v>
      </c>
      <c r="BO23" s="196">
        <v>268.5</v>
      </c>
      <c r="BP23" s="195">
        <v>111.3</v>
      </c>
      <c r="BQ23" s="196">
        <v>25.8</v>
      </c>
      <c r="BS23" s="189">
        <v>35976</v>
      </c>
      <c r="BT23" s="190">
        <v>2336.1301030299519</v>
      </c>
      <c r="BU23" s="190">
        <v>68.617711067472101</v>
      </c>
    </row>
    <row r="24" spans="1:73" ht="14.25" customHeight="1">
      <c r="A24" s="18">
        <v>38533</v>
      </c>
      <c r="B24" s="191">
        <v>1522.1151152624323</v>
      </c>
      <c r="C24" s="191">
        <v>1694.1516647828457</v>
      </c>
      <c r="D24" s="191">
        <v>218.54092897916703</v>
      </c>
      <c r="E24" s="191">
        <v>495.36432617654475</v>
      </c>
      <c r="F24" s="191">
        <v>2.2690305790000003</v>
      </c>
      <c r="G24" s="191">
        <v>90.588010555252993</v>
      </c>
      <c r="H24" s="191">
        <v>195.44340859169995</v>
      </c>
      <c r="I24" s="191">
        <v>0</v>
      </c>
      <c r="J24" s="191">
        <v>-974.73241442173185</v>
      </c>
      <c r="K24" s="192">
        <v>282.39218314092022</v>
      </c>
      <c r="L24" s="191">
        <v>160.67218278359292</v>
      </c>
      <c r="M24" s="191">
        <v>3640.8639835235858</v>
      </c>
      <c r="N24" s="191">
        <v>724.68777805326795</v>
      </c>
      <c r="O24" s="191">
        <v>714.44434724779103</v>
      </c>
      <c r="P24" s="191">
        <v>116.3731505212877</v>
      </c>
      <c r="Q24" s="191">
        <v>678.30381278218579</v>
      </c>
      <c r="R24" s="191">
        <v>18.643385866305614</v>
      </c>
      <c r="S24" s="193">
        <f t="shared" si="0"/>
        <v>-1266.197224144943</v>
      </c>
      <c r="T24" s="193">
        <f t="shared" si="1"/>
        <v>-2206.5120215647003</v>
      </c>
      <c r="U24" s="370">
        <v>7.3105029999999998</v>
      </c>
      <c r="V24" s="372">
        <f>SUMPRODUCT(S21:S24,U21:U24)/SUM(bdp!AR47:AR50)</f>
        <v>-7.1069262319965507E-2</v>
      </c>
      <c r="X24" s="18">
        <v>38533</v>
      </c>
      <c r="Y24" s="372">
        <v>-7.1069262319965507E-2</v>
      </c>
      <c r="AC24" s="194">
        <v>38533</v>
      </c>
      <c r="AD24" s="195">
        <v>1692.1</v>
      </c>
      <c r="AE24" s="196">
        <v>78.400000000000006</v>
      </c>
      <c r="AF24" s="196">
        <v>21</v>
      </c>
      <c r="AG24" s="196">
        <v>239.2</v>
      </c>
      <c r="AH24" s="196">
        <v>1096.9000000000001</v>
      </c>
      <c r="AI24" s="196">
        <v>8.4</v>
      </c>
      <c r="AJ24" s="196">
        <v>3.8</v>
      </c>
      <c r="AK24" s="196">
        <v>4.8</v>
      </c>
      <c r="AL24" s="196">
        <v>10.3</v>
      </c>
      <c r="AM24" s="196">
        <v>57.9</v>
      </c>
      <c r="AN24" s="196">
        <v>165.3</v>
      </c>
      <c r="AO24" s="196">
        <v>5.3</v>
      </c>
      <c r="AP24" s="196">
        <v>0.4</v>
      </c>
      <c r="AQ24" s="195">
        <v>724.6</v>
      </c>
      <c r="AR24" s="196">
        <v>49.3</v>
      </c>
      <c r="AS24" s="196">
        <v>9.8000000000000007</v>
      </c>
      <c r="AT24" s="196">
        <v>114.5</v>
      </c>
      <c r="AU24" s="196">
        <v>146</v>
      </c>
      <c r="AV24" s="196">
        <v>0.7</v>
      </c>
      <c r="AW24" s="196">
        <v>9.8000000000000007</v>
      </c>
      <c r="AX24" s="196">
        <v>33.9</v>
      </c>
      <c r="AY24" s="196">
        <v>34</v>
      </c>
      <c r="AZ24" s="196">
        <v>48.5</v>
      </c>
      <c r="BA24" s="196">
        <v>255.7</v>
      </c>
      <c r="BB24" s="196">
        <v>12.3</v>
      </c>
      <c r="BC24" s="196">
        <v>10.199999999999999</v>
      </c>
      <c r="BE24" s="194">
        <v>38533</v>
      </c>
      <c r="BF24" s="195">
        <v>218.4</v>
      </c>
      <c r="BG24" s="196">
        <v>73.900000000000006</v>
      </c>
      <c r="BH24" s="196">
        <v>144.30000000000001</v>
      </c>
      <c r="BI24" s="195">
        <v>720.6</v>
      </c>
      <c r="BJ24" s="196">
        <v>5.4</v>
      </c>
      <c r="BK24" s="196">
        <v>715.1</v>
      </c>
      <c r="BM24" s="194">
        <v>38533</v>
      </c>
      <c r="BN24" s="195">
        <v>495.4</v>
      </c>
      <c r="BO24" s="196">
        <v>331.7</v>
      </c>
      <c r="BP24" s="195">
        <v>116.4</v>
      </c>
      <c r="BQ24" s="196">
        <v>30.4</v>
      </c>
      <c r="BS24" s="189">
        <v>36068</v>
      </c>
      <c r="BT24" s="190">
        <v>2348.0372122288686</v>
      </c>
      <c r="BU24" s="190">
        <v>11.907109198916714</v>
      </c>
    </row>
    <row r="25" spans="1:73" ht="14.25" customHeight="1">
      <c r="A25" s="18">
        <v>38625</v>
      </c>
      <c r="B25" s="191">
        <v>1586.109078286009</v>
      </c>
      <c r="C25" s="191">
        <v>3814.0208527775553</v>
      </c>
      <c r="D25" s="191">
        <v>176.16735507009622</v>
      </c>
      <c r="E25" s="191">
        <v>448.2383268004769</v>
      </c>
      <c r="F25" s="191">
        <v>3.8687470072674413</v>
      </c>
      <c r="G25" s="191">
        <v>-6.8651202759469143</v>
      </c>
      <c r="H25" s="191">
        <v>285.37526669037089</v>
      </c>
      <c r="I25" s="191">
        <v>0</v>
      </c>
      <c r="J25" s="191">
        <v>250.54882275753769</v>
      </c>
      <c r="K25" s="192">
        <v>-67.574851451983491</v>
      </c>
      <c r="L25" s="191">
        <v>-1099.4848142227072</v>
      </c>
      <c r="M25" s="191">
        <v>3476.8679628427781</v>
      </c>
      <c r="N25" s="191">
        <v>750.11704821203</v>
      </c>
      <c r="O25" s="191">
        <v>320.91482941383936</v>
      </c>
      <c r="P25" s="191">
        <v>129.27431677537598</v>
      </c>
      <c r="Q25" s="191">
        <v>293.94655843218942</v>
      </c>
      <c r="R25" s="191">
        <v>-84.207829186885434</v>
      </c>
      <c r="S25" s="193">
        <f t="shared" si="0"/>
        <v>1347.3614556901139</v>
      </c>
      <c r="T25" s="193">
        <f t="shared" si="1"/>
        <v>503.4907769493484</v>
      </c>
      <c r="U25" s="370">
        <v>7.4386960000000002</v>
      </c>
      <c r="V25" s="372">
        <f>SUMPRODUCT(S22:S25,U22:U25)/SUM(bdp!AR48:AR51)</f>
        <v>-6.7298240016881339E-2</v>
      </c>
      <c r="X25" s="18">
        <v>38625</v>
      </c>
      <c r="Y25" s="372">
        <v>-6.7298240016881339E-2</v>
      </c>
      <c r="AC25" s="194">
        <v>38625</v>
      </c>
      <c r="AD25" s="195">
        <v>3801.9</v>
      </c>
      <c r="AE25" s="196">
        <v>63.2</v>
      </c>
      <c r="AF25" s="196">
        <v>17.2</v>
      </c>
      <c r="AG25" s="196">
        <v>265.2</v>
      </c>
      <c r="AH25" s="196">
        <v>3149.7</v>
      </c>
      <c r="AI25" s="196">
        <v>11.3</v>
      </c>
      <c r="AJ25" s="196">
        <v>4.2</v>
      </c>
      <c r="AK25" s="196">
        <v>4.9000000000000004</v>
      </c>
      <c r="AL25" s="196">
        <v>4.7</v>
      </c>
      <c r="AM25" s="196">
        <v>107.2</v>
      </c>
      <c r="AN25" s="196">
        <v>166.6</v>
      </c>
      <c r="AO25" s="196">
        <v>7.9</v>
      </c>
      <c r="AP25" s="196">
        <v>0.1</v>
      </c>
      <c r="AQ25" s="195">
        <v>749.2</v>
      </c>
      <c r="AR25" s="196">
        <v>30.2</v>
      </c>
      <c r="AS25" s="196">
        <v>11</v>
      </c>
      <c r="AT25" s="196">
        <v>121.5</v>
      </c>
      <c r="AU25" s="196">
        <v>185.5</v>
      </c>
      <c r="AV25" s="196">
        <v>1.6</v>
      </c>
      <c r="AW25" s="196">
        <v>10.6</v>
      </c>
      <c r="AX25" s="196">
        <v>38.1</v>
      </c>
      <c r="AY25" s="196">
        <v>30.5</v>
      </c>
      <c r="AZ25" s="196">
        <v>54.5</v>
      </c>
      <c r="BA25" s="196">
        <v>246.6</v>
      </c>
      <c r="BB25" s="196">
        <v>9.6</v>
      </c>
      <c r="BC25" s="196">
        <v>9.5</v>
      </c>
      <c r="BE25" s="194">
        <v>38625</v>
      </c>
      <c r="BF25" s="195">
        <v>175.8</v>
      </c>
      <c r="BG25" s="196">
        <v>71.599999999999994</v>
      </c>
      <c r="BH25" s="196">
        <v>104.2</v>
      </c>
      <c r="BI25" s="195">
        <v>327</v>
      </c>
      <c r="BJ25" s="196">
        <v>11.9</v>
      </c>
      <c r="BK25" s="196">
        <v>314.89999999999998</v>
      </c>
      <c r="BM25" s="194">
        <v>38625</v>
      </c>
      <c r="BN25" s="195">
        <v>447.6</v>
      </c>
      <c r="BO25" s="196">
        <v>296.10000000000002</v>
      </c>
      <c r="BP25" s="195">
        <v>129.1</v>
      </c>
      <c r="BQ25" s="196">
        <v>33.5</v>
      </c>
      <c r="BS25" s="189">
        <v>36160</v>
      </c>
      <c r="BT25" s="190">
        <v>2400.1793151536754</v>
      </c>
      <c r="BU25" s="190">
        <v>52.14210292480675</v>
      </c>
    </row>
    <row r="26" spans="1:73" ht="14.25" customHeight="1">
      <c r="A26" s="18">
        <v>38717</v>
      </c>
      <c r="B26" s="191">
        <v>1705.8884797002793</v>
      </c>
      <c r="C26" s="191">
        <v>1098.7542871029177</v>
      </c>
      <c r="D26" s="191">
        <v>193.52798010453103</v>
      </c>
      <c r="E26" s="191">
        <v>474.28227464040867</v>
      </c>
      <c r="F26" s="191">
        <v>44.361903312989526</v>
      </c>
      <c r="G26" s="191">
        <v>60.338123424452853</v>
      </c>
      <c r="H26" s="191">
        <v>85.785612158672478</v>
      </c>
      <c r="I26" s="191">
        <v>0</v>
      </c>
      <c r="J26" s="191">
        <v>-1454.3773671935514</v>
      </c>
      <c r="K26" s="192">
        <v>418.91583618290446</v>
      </c>
      <c r="L26" s="191">
        <v>202.2004327922084</v>
      </c>
      <c r="M26" s="191">
        <v>3722.0343473430053</v>
      </c>
      <c r="N26" s="191">
        <v>754.81509160956534</v>
      </c>
      <c r="O26" s="191">
        <v>251.57467524694928</v>
      </c>
      <c r="P26" s="191">
        <v>131.37608761681662</v>
      </c>
      <c r="Q26" s="191">
        <v>214.07447791117619</v>
      </c>
      <c r="R26" s="191">
        <v>37.372570824304034</v>
      </c>
      <c r="S26" s="193">
        <f t="shared" si="0"/>
        <v>-1387.3471802681993</v>
      </c>
      <c r="T26" s="193">
        <f t="shared" si="1"/>
        <v>-2281.5696883260034</v>
      </c>
      <c r="U26" s="370">
        <v>7.3756259999999996</v>
      </c>
      <c r="V26" s="372">
        <f>SUMPRODUCT(S23:S26,U23:U26)/SUM(bdp!AR49:AR52)</f>
        <v>-7.1882618453955605E-2</v>
      </c>
      <c r="X26" s="18">
        <v>38717</v>
      </c>
      <c r="Y26" s="372">
        <v>-7.1882618453955605E-2</v>
      </c>
      <c r="AC26" s="194">
        <v>38717</v>
      </c>
      <c r="AD26" s="195">
        <v>1098.9000000000001</v>
      </c>
      <c r="AE26" s="196">
        <v>74.900000000000006</v>
      </c>
      <c r="AF26" s="196">
        <v>17.3</v>
      </c>
      <c r="AG26" s="196">
        <v>205.3</v>
      </c>
      <c r="AH26" s="196">
        <v>525.1</v>
      </c>
      <c r="AI26" s="196">
        <v>8.9</v>
      </c>
      <c r="AJ26" s="196">
        <v>6.5</v>
      </c>
      <c r="AK26" s="196">
        <v>6.1</v>
      </c>
      <c r="AL26" s="196">
        <v>6.8</v>
      </c>
      <c r="AM26" s="196">
        <v>55.4</v>
      </c>
      <c r="AN26" s="196">
        <v>186.6</v>
      </c>
      <c r="AO26" s="196">
        <v>5.7</v>
      </c>
      <c r="AP26" s="196">
        <v>0</v>
      </c>
      <c r="AQ26" s="195">
        <v>754.8</v>
      </c>
      <c r="AR26" s="196">
        <v>18.100000000000001</v>
      </c>
      <c r="AS26" s="196">
        <v>8.3000000000000007</v>
      </c>
      <c r="AT26" s="196">
        <v>116.6</v>
      </c>
      <c r="AU26" s="196">
        <v>111.5</v>
      </c>
      <c r="AV26" s="196">
        <v>1.5</v>
      </c>
      <c r="AW26" s="196">
        <v>10</v>
      </c>
      <c r="AX26" s="196">
        <v>41.7</v>
      </c>
      <c r="AY26" s="196">
        <v>46.9</v>
      </c>
      <c r="AZ26" s="196">
        <v>58.9</v>
      </c>
      <c r="BA26" s="196">
        <v>317.3</v>
      </c>
      <c r="BB26" s="196">
        <v>13.5</v>
      </c>
      <c r="BC26" s="196">
        <v>10.8</v>
      </c>
      <c r="BE26" s="194">
        <v>38717</v>
      </c>
      <c r="BF26" s="195">
        <v>193.6</v>
      </c>
      <c r="BG26" s="196">
        <v>77.3</v>
      </c>
      <c r="BH26" s="196">
        <v>116.2</v>
      </c>
      <c r="BI26" s="195">
        <v>257.5</v>
      </c>
      <c r="BJ26" s="196">
        <v>7</v>
      </c>
      <c r="BK26" s="196">
        <v>250.3</v>
      </c>
      <c r="BM26" s="194">
        <v>38717</v>
      </c>
      <c r="BN26" s="195">
        <v>474.2</v>
      </c>
      <c r="BO26" s="196">
        <v>322.39999999999998</v>
      </c>
      <c r="BP26" s="195">
        <v>131.4</v>
      </c>
      <c r="BQ26" s="196">
        <v>40</v>
      </c>
      <c r="BS26" s="189">
        <v>36250</v>
      </c>
      <c r="BT26" s="190">
        <v>2287.2117254504178</v>
      </c>
      <c r="BU26" s="190">
        <v>-112.96758970325754</v>
      </c>
    </row>
    <row r="27" spans="1:73" ht="14.25" customHeight="1">
      <c r="A27" s="18">
        <v>38807</v>
      </c>
      <c r="B27" s="191">
        <v>1672.3885393380078</v>
      </c>
      <c r="C27" s="191">
        <v>797.08535799081574</v>
      </c>
      <c r="D27" s="191">
        <v>173.77758786615385</v>
      </c>
      <c r="E27" s="191">
        <v>462.22920118275005</v>
      </c>
      <c r="F27" s="191">
        <v>-5.3342260346889585</v>
      </c>
      <c r="G27" s="191">
        <v>56.100714747188526</v>
      </c>
      <c r="H27" s="191">
        <v>71.610025581812138</v>
      </c>
      <c r="I27" s="191">
        <v>0</v>
      </c>
      <c r="J27" s="191">
        <v>-2564.3181985886085</v>
      </c>
      <c r="K27" s="192">
        <v>672.55407077532141</v>
      </c>
      <c r="L27" s="191">
        <v>170.24128471896006</v>
      </c>
      <c r="M27" s="191">
        <v>3525.0780418724557</v>
      </c>
      <c r="N27" s="191">
        <v>784.6799937436549</v>
      </c>
      <c r="O27" s="191">
        <v>493.16083370476974</v>
      </c>
      <c r="P27" s="191">
        <v>116.24100425839939</v>
      </c>
      <c r="Q27" s="191">
        <v>328.31684700579257</v>
      </c>
      <c r="R27" s="191">
        <v>-443.59810597279778</v>
      </c>
      <c r="S27" s="193">
        <f t="shared" si="0"/>
        <v>-1813.6791872015533</v>
      </c>
      <c r="T27" s="193">
        <f t="shared" si="1"/>
        <v>-3297.5442570345635</v>
      </c>
      <c r="U27" s="370">
        <v>7.3235539999999997</v>
      </c>
      <c r="V27" s="372">
        <f>SUMPRODUCT(S24:S27,U24:U27)/SUM(bdp!AR50:AR53)</f>
        <v>-8.2282277881223123E-2</v>
      </c>
      <c r="X27" s="18">
        <v>38807</v>
      </c>
      <c r="Y27" s="372">
        <v>-8.2282277881223123E-2</v>
      </c>
      <c r="AC27" s="194">
        <v>38807</v>
      </c>
      <c r="AD27" s="195">
        <v>797.3</v>
      </c>
      <c r="AE27" s="196">
        <v>66.7</v>
      </c>
      <c r="AF27" s="196">
        <v>16.2</v>
      </c>
      <c r="AG27" s="196">
        <v>196.9</v>
      </c>
      <c r="AH27" s="196">
        <v>261.39999999999998</v>
      </c>
      <c r="AI27" s="196">
        <v>9.5</v>
      </c>
      <c r="AJ27" s="196">
        <v>5.3</v>
      </c>
      <c r="AK27" s="196">
        <v>3.9</v>
      </c>
      <c r="AL27" s="196">
        <v>9.9</v>
      </c>
      <c r="AM27" s="196">
        <v>36.799999999999997</v>
      </c>
      <c r="AN27" s="196">
        <v>181</v>
      </c>
      <c r="AO27" s="196">
        <v>9.3000000000000007</v>
      </c>
      <c r="AP27" s="196">
        <v>0.1</v>
      </c>
      <c r="AQ27" s="195">
        <v>784.9</v>
      </c>
      <c r="AR27" s="196">
        <v>59</v>
      </c>
      <c r="AS27" s="196">
        <v>9.8000000000000007</v>
      </c>
      <c r="AT27" s="196">
        <v>102.6</v>
      </c>
      <c r="AU27" s="196">
        <v>113</v>
      </c>
      <c r="AV27" s="196">
        <v>1.2</v>
      </c>
      <c r="AW27" s="196">
        <v>12.3</v>
      </c>
      <c r="AX27" s="196">
        <v>39.200000000000003</v>
      </c>
      <c r="AY27" s="196">
        <v>41.4</v>
      </c>
      <c r="AZ27" s="196">
        <v>60.6</v>
      </c>
      <c r="BA27" s="196">
        <v>320.5</v>
      </c>
      <c r="BB27" s="196">
        <v>15</v>
      </c>
      <c r="BC27" s="196">
        <v>10.5</v>
      </c>
      <c r="BE27" s="194">
        <v>38807</v>
      </c>
      <c r="BF27" s="195">
        <v>173.8</v>
      </c>
      <c r="BG27" s="196">
        <v>76.400000000000006</v>
      </c>
      <c r="BH27" s="196">
        <v>97.2</v>
      </c>
      <c r="BI27" s="195">
        <v>498.5</v>
      </c>
      <c r="BJ27" s="196">
        <v>9.1</v>
      </c>
      <c r="BK27" s="196">
        <v>489.2</v>
      </c>
      <c r="BM27" s="194">
        <v>38807</v>
      </c>
      <c r="BN27" s="195">
        <v>462.2</v>
      </c>
      <c r="BO27" s="196">
        <v>297.60000000000002</v>
      </c>
      <c r="BP27" s="195">
        <v>116.2</v>
      </c>
      <c r="BQ27" s="196">
        <v>33.5</v>
      </c>
      <c r="BS27" s="189">
        <v>36341</v>
      </c>
      <c r="BT27" s="190">
        <v>2521.7702222760204</v>
      </c>
      <c r="BU27" s="190">
        <v>234.55849682560256</v>
      </c>
    </row>
    <row r="28" spans="1:73" ht="14.25" customHeight="1">
      <c r="A28" s="18">
        <v>38898</v>
      </c>
      <c r="B28" s="191">
        <v>1648.5438600869782</v>
      </c>
      <c r="C28" s="191">
        <v>1898.9243956192804</v>
      </c>
      <c r="D28" s="191">
        <v>213.59575533452701</v>
      </c>
      <c r="E28" s="191">
        <v>514.20964098923832</v>
      </c>
      <c r="F28" s="191">
        <v>3.2273327482560155</v>
      </c>
      <c r="G28" s="191">
        <v>43.054818148288504</v>
      </c>
      <c r="H28" s="191">
        <v>32.076614662749414</v>
      </c>
      <c r="I28" s="191">
        <v>0</v>
      </c>
      <c r="J28" s="191">
        <v>-1229.9770353381361</v>
      </c>
      <c r="K28" s="192">
        <v>697.18984428304009</v>
      </c>
      <c r="L28" s="191">
        <v>-57.853153988028907</v>
      </c>
      <c r="M28" s="191">
        <v>4030.182911223159</v>
      </c>
      <c r="N28" s="191">
        <v>774.78624855341388</v>
      </c>
      <c r="O28" s="191">
        <v>728.39325230761676</v>
      </c>
      <c r="P28" s="191">
        <v>157.00531933754618</v>
      </c>
      <c r="Q28" s="191">
        <v>733.07837127399296</v>
      </c>
      <c r="R28" s="191">
        <v>278.9857711134336</v>
      </c>
      <c r="S28" s="193">
        <f t="shared" si="0"/>
        <v>-1415.0940793917116</v>
      </c>
      <c r="T28" s="193">
        <f t="shared" si="1"/>
        <v>-2939.4398012629699</v>
      </c>
      <c r="U28" s="370">
        <v>7.2569790000000003</v>
      </c>
      <c r="V28" s="372">
        <f>SUMPRODUCT(S25:S28,U25:U28)/SUM(bdp!AR51:AR54)</f>
        <v>-8.4140086008834811E-2</v>
      </c>
      <c r="X28" s="18">
        <v>38898</v>
      </c>
      <c r="Y28" s="372">
        <v>-8.4140086008834811E-2</v>
      </c>
      <c r="AC28" s="194">
        <v>38898</v>
      </c>
      <c r="AD28" s="195">
        <v>1897.5</v>
      </c>
      <c r="AE28" s="196">
        <v>80.400000000000006</v>
      </c>
      <c r="AF28" s="196">
        <v>16.8</v>
      </c>
      <c r="AG28" s="196">
        <v>281.39999999999998</v>
      </c>
      <c r="AH28" s="196">
        <v>1234.2</v>
      </c>
      <c r="AI28" s="196">
        <v>15.3</v>
      </c>
      <c r="AJ28" s="196">
        <v>4.8</v>
      </c>
      <c r="AK28" s="196">
        <v>7.1</v>
      </c>
      <c r="AL28" s="196">
        <v>8.9</v>
      </c>
      <c r="AM28" s="196">
        <v>62.6</v>
      </c>
      <c r="AN28" s="196">
        <v>176.5</v>
      </c>
      <c r="AO28" s="196">
        <v>9.5</v>
      </c>
      <c r="AP28" s="196">
        <v>0.1</v>
      </c>
      <c r="AQ28" s="195">
        <v>774.9</v>
      </c>
      <c r="AR28" s="196">
        <v>33.4</v>
      </c>
      <c r="AS28" s="196">
        <v>10.7</v>
      </c>
      <c r="AT28" s="196">
        <v>128.19999999999999</v>
      </c>
      <c r="AU28" s="196">
        <v>148.80000000000001</v>
      </c>
      <c r="AV28" s="196">
        <v>0.5</v>
      </c>
      <c r="AW28" s="196">
        <v>11.1</v>
      </c>
      <c r="AX28" s="196">
        <v>64.3</v>
      </c>
      <c r="AY28" s="196">
        <v>39.700000000000003</v>
      </c>
      <c r="AZ28" s="196">
        <v>52.6</v>
      </c>
      <c r="BA28" s="196">
        <v>261.7</v>
      </c>
      <c r="BB28" s="196">
        <v>12.4</v>
      </c>
      <c r="BC28" s="196">
        <v>11.4</v>
      </c>
      <c r="BE28" s="194">
        <v>38898</v>
      </c>
      <c r="BF28" s="195">
        <v>213.5</v>
      </c>
      <c r="BG28" s="196">
        <v>86.3</v>
      </c>
      <c r="BH28" s="196">
        <v>127.2</v>
      </c>
      <c r="BI28" s="195">
        <v>739.8</v>
      </c>
      <c r="BJ28" s="196">
        <v>7.8</v>
      </c>
      <c r="BK28" s="196">
        <v>732</v>
      </c>
      <c r="BM28" s="194">
        <v>38898</v>
      </c>
      <c r="BN28" s="195">
        <v>514.20000000000005</v>
      </c>
      <c r="BO28" s="196">
        <v>340</v>
      </c>
      <c r="BP28" s="195">
        <v>157</v>
      </c>
      <c r="BQ28" s="196">
        <v>41.9</v>
      </c>
      <c r="BS28" s="189">
        <v>36433</v>
      </c>
      <c r="BT28" s="190">
        <v>2674.4938194898568</v>
      </c>
      <c r="BU28" s="190">
        <v>152.72359721383646</v>
      </c>
    </row>
    <row r="29" spans="1:73" ht="14.25" customHeight="1">
      <c r="A29" s="18">
        <v>38990</v>
      </c>
      <c r="B29" s="191">
        <v>1819.8008720648538</v>
      </c>
      <c r="C29" s="191">
        <v>4226.8107461549507</v>
      </c>
      <c r="D29" s="191">
        <v>260.18797879472311</v>
      </c>
      <c r="E29" s="191">
        <v>455.20523339960698</v>
      </c>
      <c r="F29" s="191">
        <v>6.8535534799999986</v>
      </c>
      <c r="G29" s="191">
        <v>85.624927444188614</v>
      </c>
      <c r="H29" s="191">
        <v>-26.003588135588288</v>
      </c>
      <c r="I29" s="191">
        <v>0</v>
      </c>
      <c r="J29" s="191">
        <v>1113.7744565430264</v>
      </c>
      <c r="K29" s="192">
        <v>-596.41351613621168</v>
      </c>
      <c r="L29" s="191">
        <v>-1429.8042592909212</v>
      </c>
      <c r="M29" s="191">
        <v>4022.9556457010362</v>
      </c>
      <c r="N29" s="191">
        <v>718.88481343093042</v>
      </c>
      <c r="O29" s="191">
        <v>404.23235048726309</v>
      </c>
      <c r="P29" s="191">
        <v>146.73210946092786</v>
      </c>
      <c r="Q29" s="191">
        <v>372.37768865609348</v>
      </c>
      <c r="R29" s="191">
        <v>158.35538553626617</v>
      </c>
      <c r="S29" s="193">
        <f t="shared" si="0"/>
        <v>1469.1999113339771</v>
      </c>
      <c r="T29" s="193">
        <f t="shared" si="1"/>
        <v>92.498411046111869</v>
      </c>
      <c r="U29" s="370">
        <v>7.3817769999999996</v>
      </c>
      <c r="V29" s="372">
        <f>SUMPRODUCT(S26:S29,U26:U29)/SUM(bdp!AR52:AR55)</f>
        <v>-7.9550375268435544E-2</v>
      </c>
      <c r="X29" s="18">
        <v>38990</v>
      </c>
      <c r="Y29" s="372">
        <v>-7.9550375268435544E-2</v>
      </c>
      <c r="AC29" s="194">
        <v>38990</v>
      </c>
      <c r="AD29" s="195">
        <v>4213.3</v>
      </c>
      <c r="AE29" s="196">
        <v>68</v>
      </c>
      <c r="AF29" s="196">
        <v>23.3</v>
      </c>
      <c r="AG29" s="196">
        <v>323.5</v>
      </c>
      <c r="AH29" s="196">
        <v>3476.9</v>
      </c>
      <c r="AI29" s="196">
        <v>17.8</v>
      </c>
      <c r="AJ29" s="196">
        <v>4.9000000000000004</v>
      </c>
      <c r="AK29" s="196">
        <v>12.4</v>
      </c>
      <c r="AL29" s="196">
        <v>7.7</v>
      </c>
      <c r="AM29" s="196">
        <v>117.1</v>
      </c>
      <c r="AN29" s="196">
        <v>150</v>
      </c>
      <c r="AO29" s="196">
        <v>11.5</v>
      </c>
      <c r="AP29" s="196">
        <v>0.3</v>
      </c>
      <c r="AQ29" s="195">
        <v>717.8</v>
      </c>
      <c r="AR29" s="196">
        <v>18.100000000000001</v>
      </c>
      <c r="AS29" s="196">
        <v>10</v>
      </c>
      <c r="AT29" s="196">
        <v>133.5</v>
      </c>
      <c r="AU29" s="196">
        <v>163.6</v>
      </c>
      <c r="AV29" s="196">
        <v>1</v>
      </c>
      <c r="AW29" s="196">
        <v>11.9</v>
      </c>
      <c r="AX29" s="196">
        <v>53.2</v>
      </c>
      <c r="AY29" s="196">
        <v>29.1</v>
      </c>
      <c r="AZ29" s="196">
        <v>62.1</v>
      </c>
      <c r="BA29" s="196">
        <v>208.9</v>
      </c>
      <c r="BB29" s="196">
        <v>15.7</v>
      </c>
      <c r="BC29" s="196">
        <v>10.8</v>
      </c>
      <c r="BE29" s="194">
        <v>38990</v>
      </c>
      <c r="BF29" s="195">
        <v>260.3</v>
      </c>
      <c r="BG29" s="196">
        <v>116</v>
      </c>
      <c r="BH29" s="196">
        <v>144.30000000000001</v>
      </c>
      <c r="BI29" s="195">
        <v>412.9</v>
      </c>
      <c r="BJ29" s="196">
        <v>6.4</v>
      </c>
      <c r="BK29" s="196">
        <v>406.7</v>
      </c>
      <c r="BM29" s="194">
        <v>38990</v>
      </c>
      <c r="BN29" s="195">
        <v>454.9</v>
      </c>
      <c r="BO29" s="196">
        <v>243.7</v>
      </c>
      <c r="BP29" s="195">
        <v>146.6</v>
      </c>
      <c r="BQ29" s="196">
        <v>51.7</v>
      </c>
      <c r="BS29" s="189">
        <v>36525</v>
      </c>
      <c r="BT29" s="190">
        <v>3012.6672146661112</v>
      </c>
      <c r="BU29" s="190">
        <v>338.17339517625442</v>
      </c>
    </row>
    <row r="30" spans="1:73" ht="14.25" customHeight="1">
      <c r="A30" s="18">
        <v>39082</v>
      </c>
      <c r="B30" s="191">
        <v>1998.4743845761184</v>
      </c>
      <c r="C30" s="191">
        <v>1205.6007853588196</v>
      </c>
      <c r="D30" s="191">
        <v>278.40933406493639</v>
      </c>
      <c r="E30" s="191">
        <v>440.94740873403509</v>
      </c>
      <c r="F30" s="191">
        <v>18.682397079311777</v>
      </c>
      <c r="G30" s="191">
        <v>68.076963546688603</v>
      </c>
      <c r="H30" s="191">
        <v>398.89030163200374</v>
      </c>
      <c r="I30" s="191">
        <v>0</v>
      </c>
      <c r="J30" s="191">
        <v>-724.76645933475197</v>
      </c>
      <c r="K30" s="192">
        <v>638.89993150982514</v>
      </c>
      <c r="L30" s="191">
        <v>467.55254892521168</v>
      </c>
      <c r="M30" s="191">
        <v>4043.1639134266379</v>
      </c>
      <c r="N30" s="191">
        <v>780.7919497271256</v>
      </c>
      <c r="O30" s="191">
        <v>315.30494347944665</v>
      </c>
      <c r="P30" s="191">
        <v>156.24660825434734</v>
      </c>
      <c r="Q30" s="191">
        <v>1057.9114435213978</v>
      </c>
      <c r="R30" s="191">
        <v>209.02984998149219</v>
      </c>
      <c r="S30" s="193">
        <f t="shared" si="0"/>
        <v>-1372.0755021536479</v>
      </c>
      <c r="T30" s="193">
        <f t="shared" si="1"/>
        <v>-1771.681112298249</v>
      </c>
      <c r="U30" s="370">
        <v>7.3450810000000004</v>
      </c>
      <c r="V30" s="372">
        <f>SUMPRODUCT(S27:S30,U27:U30)/SUM(bdp!AR53:AR56)</f>
        <v>-7.738150258272615E-2</v>
      </c>
      <c r="X30" s="18">
        <v>39082</v>
      </c>
      <c r="Y30" s="372">
        <v>-7.738150258272615E-2</v>
      </c>
      <c r="AC30" s="194">
        <v>39082</v>
      </c>
      <c r="AD30" s="195">
        <v>1206</v>
      </c>
      <c r="AE30" s="196">
        <v>78.599999999999994</v>
      </c>
      <c r="AF30" s="196">
        <v>22.5</v>
      </c>
      <c r="AG30" s="196">
        <v>237.5</v>
      </c>
      <c r="AH30" s="196">
        <v>599.9</v>
      </c>
      <c r="AI30" s="196">
        <v>19.600000000000001</v>
      </c>
      <c r="AJ30" s="196">
        <v>5.4</v>
      </c>
      <c r="AK30" s="196">
        <v>12.8</v>
      </c>
      <c r="AL30" s="196">
        <v>11.3</v>
      </c>
      <c r="AM30" s="196">
        <v>50</v>
      </c>
      <c r="AN30" s="196">
        <v>159.69999999999999</v>
      </c>
      <c r="AO30" s="196">
        <v>8.6</v>
      </c>
      <c r="AP30" s="196">
        <v>0.1</v>
      </c>
      <c r="AQ30" s="195">
        <v>780.6</v>
      </c>
      <c r="AR30" s="196">
        <v>51.2</v>
      </c>
      <c r="AS30" s="196">
        <v>9.8000000000000007</v>
      </c>
      <c r="AT30" s="196">
        <v>126.3</v>
      </c>
      <c r="AU30" s="196">
        <v>159</v>
      </c>
      <c r="AV30" s="196">
        <v>0.5</v>
      </c>
      <c r="AW30" s="196">
        <v>12.1</v>
      </c>
      <c r="AX30" s="196">
        <v>49.7</v>
      </c>
      <c r="AY30" s="196">
        <v>29.3</v>
      </c>
      <c r="AZ30" s="196">
        <v>60.4</v>
      </c>
      <c r="BA30" s="196">
        <v>256.5</v>
      </c>
      <c r="BB30" s="196">
        <v>13.7</v>
      </c>
      <c r="BC30" s="196">
        <v>12.4</v>
      </c>
      <c r="BE30" s="194">
        <v>39082</v>
      </c>
      <c r="BF30" s="195">
        <v>278.3</v>
      </c>
      <c r="BG30" s="196">
        <v>125.3</v>
      </c>
      <c r="BH30" s="196">
        <v>153</v>
      </c>
      <c r="BI30" s="195">
        <v>324.89999999999998</v>
      </c>
      <c r="BJ30" s="196">
        <v>7.7</v>
      </c>
      <c r="BK30" s="196">
        <v>317.10000000000002</v>
      </c>
      <c r="BM30" s="194">
        <v>39082</v>
      </c>
      <c r="BN30" s="195">
        <v>441</v>
      </c>
      <c r="BO30" s="196">
        <v>249</v>
      </c>
      <c r="BP30" s="195">
        <v>156.30000000000001</v>
      </c>
      <c r="BQ30" s="196">
        <v>50</v>
      </c>
      <c r="BS30" s="189">
        <v>36616</v>
      </c>
      <c r="BT30" s="190">
        <v>3059.0741102473862</v>
      </c>
      <c r="BU30" s="190">
        <v>46.406895581274966</v>
      </c>
    </row>
    <row r="31" spans="1:73" ht="14.25" customHeight="1">
      <c r="A31" s="18">
        <v>39172</v>
      </c>
      <c r="B31" s="191">
        <v>1673.8283877534764</v>
      </c>
      <c r="C31" s="191">
        <v>904.52686692944394</v>
      </c>
      <c r="D31" s="191">
        <v>320.85172322523965</v>
      </c>
      <c r="E31" s="191">
        <v>415.7031808718246</v>
      </c>
      <c r="F31" s="191">
        <v>7.7595509299999996</v>
      </c>
      <c r="G31" s="191">
        <v>126.73416272732324</v>
      </c>
      <c r="H31" s="191">
        <v>293.19957095097982</v>
      </c>
      <c r="I31" s="191">
        <v>0</v>
      </c>
      <c r="J31" s="191">
        <v>-1208.5466121576708</v>
      </c>
      <c r="K31" s="192">
        <v>808.13699561606006</v>
      </c>
      <c r="L31" s="191">
        <v>7.4754910583687888</v>
      </c>
      <c r="M31" s="191">
        <v>3873.9476908477827</v>
      </c>
      <c r="N31" s="191">
        <v>729.21443242302382</v>
      </c>
      <c r="O31" s="191">
        <v>495.57922892201401</v>
      </c>
      <c r="P31" s="191">
        <v>122.46232734262851</v>
      </c>
      <c r="Q31" s="191">
        <v>1423.3470779855152</v>
      </c>
      <c r="R31" s="191">
        <v>487.23551791827316</v>
      </c>
      <c r="S31" s="193">
        <f t="shared" si="0"/>
        <v>-1906.2935207554647</v>
      </c>
      <c r="T31" s="193">
        <f t="shared" si="1"/>
        <v>-3782.1169575341924</v>
      </c>
      <c r="U31" s="370">
        <v>7.382466</v>
      </c>
      <c r="V31" s="372">
        <f>SUMPRODUCT(S28:S31,U28:U31)/SUM(bdp!AR54:AR57)</f>
        <v>-7.8305136156116006E-2</v>
      </c>
      <c r="X31" s="18">
        <v>39172</v>
      </c>
      <c r="Y31" s="372">
        <v>-7.8305136156116006E-2</v>
      </c>
      <c r="AC31" s="194">
        <v>39172</v>
      </c>
      <c r="AD31" s="195">
        <v>904.2</v>
      </c>
      <c r="AE31" s="196">
        <v>82.1</v>
      </c>
      <c r="AF31" s="196">
        <v>17.399999999999999</v>
      </c>
      <c r="AG31" s="196">
        <v>234.5</v>
      </c>
      <c r="AH31" s="196">
        <v>314.8</v>
      </c>
      <c r="AI31" s="196">
        <v>12.5</v>
      </c>
      <c r="AJ31" s="196">
        <v>6</v>
      </c>
      <c r="AK31" s="196">
        <v>12.8</v>
      </c>
      <c r="AL31" s="196">
        <v>6.8</v>
      </c>
      <c r="AM31" s="196">
        <v>44.3</v>
      </c>
      <c r="AN31" s="196">
        <v>166</v>
      </c>
      <c r="AO31" s="196">
        <v>6.8</v>
      </c>
      <c r="AP31" s="196">
        <v>0.1</v>
      </c>
      <c r="AQ31" s="195">
        <v>728.9</v>
      </c>
      <c r="AR31" s="196">
        <v>45.3</v>
      </c>
      <c r="AS31" s="196">
        <v>10.3</v>
      </c>
      <c r="AT31" s="196">
        <v>113.6</v>
      </c>
      <c r="AU31" s="196">
        <v>161.30000000000001</v>
      </c>
      <c r="AV31" s="196">
        <v>1.6</v>
      </c>
      <c r="AW31" s="196">
        <v>11.7</v>
      </c>
      <c r="AX31" s="196">
        <v>41.7</v>
      </c>
      <c r="AY31" s="196">
        <v>42.5</v>
      </c>
      <c r="AZ31" s="196">
        <v>63.3</v>
      </c>
      <c r="BA31" s="196">
        <v>210</v>
      </c>
      <c r="BB31" s="196">
        <v>15.9</v>
      </c>
      <c r="BC31" s="196">
        <v>11.8</v>
      </c>
      <c r="BE31" s="194">
        <v>39172</v>
      </c>
      <c r="BF31" s="195">
        <v>320.7</v>
      </c>
      <c r="BG31" s="196">
        <v>125.3</v>
      </c>
      <c r="BH31" s="196">
        <v>195.4</v>
      </c>
      <c r="BI31" s="195">
        <v>503.4</v>
      </c>
      <c r="BJ31" s="196">
        <v>7.3</v>
      </c>
      <c r="BK31" s="196">
        <v>496.1</v>
      </c>
      <c r="BM31" s="194">
        <v>39172</v>
      </c>
      <c r="BN31" s="195">
        <v>415.6</v>
      </c>
      <c r="BO31" s="196">
        <v>249.8</v>
      </c>
      <c r="BP31" s="195">
        <v>122.5</v>
      </c>
      <c r="BQ31" s="196">
        <v>43.4</v>
      </c>
      <c r="BS31" s="189">
        <v>36707</v>
      </c>
      <c r="BT31" s="190">
        <v>3409.2855122059523</v>
      </c>
      <c r="BU31" s="190">
        <v>350.21140195856606</v>
      </c>
    </row>
    <row r="32" spans="1:73" ht="14.25" customHeight="1">
      <c r="A32" s="18">
        <v>39263</v>
      </c>
      <c r="B32" s="191">
        <v>1872.8386590519699</v>
      </c>
      <c r="C32" s="191">
        <v>2115.9890832623228</v>
      </c>
      <c r="D32" s="191">
        <v>345.81813412539589</v>
      </c>
      <c r="E32" s="191">
        <v>469.65091196684023</v>
      </c>
      <c r="F32" s="191">
        <v>9.3441455994999778</v>
      </c>
      <c r="G32" s="191">
        <v>67.320326494823433</v>
      </c>
      <c r="H32" s="191">
        <v>357.00765312345851</v>
      </c>
      <c r="I32" s="191">
        <v>0</v>
      </c>
      <c r="J32" s="191">
        <v>-93.593519094247824</v>
      </c>
      <c r="K32" s="192">
        <v>-335.85773201262026</v>
      </c>
      <c r="L32" s="191">
        <v>60.006476551730202</v>
      </c>
      <c r="M32" s="191">
        <v>4427.1834549553469</v>
      </c>
      <c r="N32" s="191">
        <v>769.94633808199944</v>
      </c>
      <c r="O32" s="191">
        <v>925.42538698965586</v>
      </c>
      <c r="P32" s="191">
        <v>147.5245036965851</v>
      </c>
      <c r="Q32" s="191">
        <v>883.03298889761447</v>
      </c>
      <c r="R32" s="191">
        <v>508.27601277962742</v>
      </c>
      <c r="S32" s="193">
        <f t="shared" si="0"/>
        <v>-1465.7828953170592</v>
      </c>
      <c r="T32" s="193">
        <f t="shared" si="1"/>
        <v>-2792.8645463316589</v>
      </c>
      <c r="U32" s="370">
        <v>7.3032180000000002</v>
      </c>
      <c r="V32" s="372">
        <f>SUMPRODUCT(S29:S32,U29:U32)/SUM(bdp!AR55:AR58)</f>
        <v>-7.7856341842318308E-2</v>
      </c>
      <c r="X32" s="18">
        <v>39263</v>
      </c>
      <c r="Y32" s="372">
        <v>-7.7856341842318308E-2</v>
      </c>
      <c r="AC32" s="194">
        <v>39263</v>
      </c>
      <c r="AD32" s="195">
        <v>2114.3000000000002</v>
      </c>
      <c r="AE32" s="196">
        <v>88.2</v>
      </c>
      <c r="AF32" s="196">
        <v>19.3</v>
      </c>
      <c r="AG32" s="196">
        <v>320.2</v>
      </c>
      <c r="AH32" s="196">
        <v>1421.2</v>
      </c>
      <c r="AI32" s="196">
        <v>13.5</v>
      </c>
      <c r="AJ32" s="196">
        <v>5.9</v>
      </c>
      <c r="AK32" s="196">
        <v>7.9</v>
      </c>
      <c r="AL32" s="196">
        <v>4.5</v>
      </c>
      <c r="AM32" s="196">
        <v>69.900000000000006</v>
      </c>
      <c r="AN32" s="196">
        <v>155.30000000000001</v>
      </c>
      <c r="AO32" s="196">
        <v>8.6</v>
      </c>
      <c r="AP32" s="196">
        <v>0.1</v>
      </c>
      <c r="AQ32" s="195">
        <v>768.5</v>
      </c>
      <c r="AR32" s="196">
        <v>64.599999999999994</v>
      </c>
      <c r="AS32" s="196">
        <v>14.4</v>
      </c>
      <c r="AT32" s="196">
        <v>136.9</v>
      </c>
      <c r="AU32" s="196">
        <v>171.7</v>
      </c>
      <c r="AV32" s="196">
        <v>2.2000000000000002</v>
      </c>
      <c r="AW32" s="196">
        <v>14.4</v>
      </c>
      <c r="AX32" s="196">
        <v>44.2</v>
      </c>
      <c r="AY32" s="196">
        <v>35.200000000000003</v>
      </c>
      <c r="AZ32" s="196">
        <v>64.400000000000006</v>
      </c>
      <c r="BA32" s="196">
        <v>191.7</v>
      </c>
      <c r="BB32" s="196">
        <v>16.600000000000001</v>
      </c>
      <c r="BC32" s="196">
        <v>12.2</v>
      </c>
      <c r="BE32" s="194">
        <v>39263</v>
      </c>
      <c r="BF32" s="195">
        <v>345.6</v>
      </c>
      <c r="BG32" s="196">
        <v>130.5</v>
      </c>
      <c r="BH32" s="196">
        <v>215.1</v>
      </c>
      <c r="BI32" s="195">
        <v>939.8</v>
      </c>
      <c r="BJ32" s="196">
        <v>7.8</v>
      </c>
      <c r="BK32" s="196">
        <v>932</v>
      </c>
      <c r="BM32" s="194">
        <v>39263</v>
      </c>
      <c r="BN32" s="195">
        <v>469.8</v>
      </c>
      <c r="BO32" s="196">
        <v>280.39999999999998</v>
      </c>
      <c r="BP32" s="195">
        <v>147.5</v>
      </c>
      <c r="BQ32" s="196">
        <v>47.8</v>
      </c>
      <c r="BS32" s="189">
        <v>36799</v>
      </c>
      <c r="BT32" s="190">
        <v>3836.4031221433861</v>
      </c>
      <c r="BU32" s="190">
        <v>427.11760993743383</v>
      </c>
    </row>
    <row r="33" spans="1:73" ht="14.25" customHeight="1">
      <c r="A33" s="18">
        <v>39355</v>
      </c>
      <c r="B33" s="191">
        <v>2037.849131005413</v>
      </c>
      <c r="C33" s="191">
        <v>4669.3627069359118</v>
      </c>
      <c r="D33" s="191">
        <v>329.09298745030458</v>
      </c>
      <c r="E33" s="191">
        <v>455.92988828997693</v>
      </c>
      <c r="F33" s="191">
        <v>13.010149499306884</v>
      </c>
      <c r="G33" s="191">
        <v>35.91734594212317</v>
      </c>
      <c r="H33" s="191">
        <v>-85.647045706498858</v>
      </c>
      <c r="I33" s="191">
        <v>0</v>
      </c>
      <c r="J33" s="191">
        <v>967.12834258364785</v>
      </c>
      <c r="K33" s="192">
        <v>-310.46030751967061</v>
      </c>
      <c r="L33" s="191">
        <v>-1537.6740362158293</v>
      </c>
      <c r="M33" s="191">
        <v>4405.6709193565075</v>
      </c>
      <c r="N33" s="191">
        <v>748.88208519689545</v>
      </c>
      <c r="O33" s="191">
        <v>493.63933175553746</v>
      </c>
      <c r="P33" s="191">
        <v>141.35738091663126</v>
      </c>
      <c r="Q33" s="191">
        <v>564.6446172721204</v>
      </c>
      <c r="R33" s="191">
        <v>-135.72739171203142</v>
      </c>
      <c r="S33" s="193">
        <f t="shared" si="0"/>
        <v>1702.6849964560342</v>
      </c>
      <c r="T33" s="193">
        <f t="shared" si="1"/>
        <v>356.04221947902352</v>
      </c>
      <c r="U33" s="370">
        <v>7.2816340000000004</v>
      </c>
      <c r="V33" s="372">
        <f>SUMPRODUCT(S30:S33,U30:U33)/SUM(bdp!AR56:AR59)</f>
        <v>-7.1109456364346652E-2</v>
      </c>
      <c r="X33" s="18">
        <v>39355</v>
      </c>
      <c r="Y33" s="372">
        <v>-7.1109456364346652E-2</v>
      </c>
      <c r="AC33" s="194">
        <v>39355</v>
      </c>
      <c r="AD33" s="195">
        <v>4667.3999999999996</v>
      </c>
      <c r="AE33" s="196">
        <v>71.400000000000006</v>
      </c>
      <c r="AF33" s="196">
        <v>22.6</v>
      </c>
      <c r="AG33" s="196">
        <v>354.5</v>
      </c>
      <c r="AH33" s="196">
        <v>3866.2</v>
      </c>
      <c r="AI33" s="196">
        <v>16.3</v>
      </c>
      <c r="AJ33" s="196">
        <v>4.5</v>
      </c>
      <c r="AK33" s="196">
        <v>10.9</v>
      </c>
      <c r="AL33" s="196">
        <v>7.7</v>
      </c>
      <c r="AM33" s="196">
        <v>119.9</v>
      </c>
      <c r="AN33" s="196">
        <v>169.5</v>
      </c>
      <c r="AO33" s="196">
        <v>23.4</v>
      </c>
      <c r="AP33" s="196">
        <v>0.3</v>
      </c>
      <c r="AQ33" s="195">
        <v>747.3</v>
      </c>
      <c r="AR33" s="196">
        <v>31.2</v>
      </c>
      <c r="AS33" s="196">
        <v>12.3</v>
      </c>
      <c r="AT33" s="196">
        <v>139.80000000000001</v>
      </c>
      <c r="AU33" s="196">
        <v>183.1</v>
      </c>
      <c r="AV33" s="196">
        <v>1.8</v>
      </c>
      <c r="AW33" s="196">
        <v>11.6</v>
      </c>
      <c r="AX33" s="196">
        <v>29.3</v>
      </c>
      <c r="AY33" s="196">
        <v>40.6</v>
      </c>
      <c r="AZ33" s="196">
        <v>68.099999999999994</v>
      </c>
      <c r="BA33" s="196">
        <v>198.7</v>
      </c>
      <c r="BB33" s="196">
        <v>18.7</v>
      </c>
      <c r="BC33" s="196">
        <v>11.9</v>
      </c>
      <c r="BE33" s="194">
        <v>39355</v>
      </c>
      <c r="BF33" s="195">
        <v>329</v>
      </c>
      <c r="BG33" s="196">
        <v>133.30000000000001</v>
      </c>
      <c r="BH33" s="196">
        <v>195.5</v>
      </c>
      <c r="BI33" s="195">
        <v>504.9</v>
      </c>
      <c r="BJ33" s="196">
        <v>7.9</v>
      </c>
      <c r="BK33" s="196">
        <v>497</v>
      </c>
      <c r="BM33" s="194">
        <v>39355</v>
      </c>
      <c r="BN33" s="195">
        <v>455.8</v>
      </c>
      <c r="BO33" s="196">
        <v>285.89999999999998</v>
      </c>
      <c r="BP33" s="195">
        <v>141.4</v>
      </c>
      <c r="BQ33" s="196">
        <v>56.1</v>
      </c>
      <c r="BS33" s="189">
        <v>36891</v>
      </c>
      <c r="BT33" s="190">
        <v>3783.2140983222566</v>
      </c>
      <c r="BU33" s="190">
        <v>-53.189023821129467</v>
      </c>
    </row>
    <row r="34" spans="1:73" ht="14.25" customHeight="1">
      <c r="A34" s="18">
        <v>39447</v>
      </c>
      <c r="B34" s="191">
        <v>2071.5126098728529</v>
      </c>
      <c r="C34" s="191">
        <v>1316.2087263197222</v>
      </c>
      <c r="D34" s="191">
        <v>338.20228689702429</v>
      </c>
      <c r="E34" s="191">
        <v>494.68174604467742</v>
      </c>
      <c r="F34" s="191">
        <v>-0.620916679999997</v>
      </c>
      <c r="G34" s="191">
        <v>72.12313368562323</v>
      </c>
      <c r="H34" s="191">
        <v>-146.09074156227877</v>
      </c>
      <c r="I34" s="191">
        <v>0</v>
      </c>
      <c r="J34" s="191">
        <v>-1281.3481738864848</v>
      </c>
      <c r="K34" s="192">
        <v>559.79691599979151</v>
      </c>
      <c r="L34" s="191">
        <v>484.38107514967578</v>
      </c>
      <c r="M34" s="191">
        <v>4542.8325650880361</v>
      </c>
      <c r="N34" s="191">
        <v>852.58149047867312</v>
      </c>
      <c r="O34" s="191">
        <v>404.75910086669489</v>
      </c>
      <c r="P34" s="191">
        <v>186.93651673462637</v>
      </c>
      <c r="Q34" s="191">
        <v>562.54411721057534</v>
      </c>
      <c r="R34" s="191">
        <v>-75.318837409846452</v>
      </c>
      <c r="S34" s="193">
        <f t="shared" si="0"/>
        <v>-1766.5043040337532</v>
      </c>
      <c r="T34" s="193">
        <f t="shared" si="1"/>
        <v>-2565.4882911281552</v>
      </c>
      <c r="U34" s="370">
        <v>7.3251309999999998</v>
      </c>
      <c r="V34" s="372">
        <f>SUMPRODUCT(S31:S34,U31:U34)/SUM(bdp!AR57:AR60)</f>
        <v>-7.8439632659705674E-2</v>
      </c>
      <c r="X34" s="18">
        <v>39447</v>
      </c>
      <c r="Y34" s="372">
        <v>-7.8439632659705674E-2</v>
      </c>
      <c r="AC34" s="194">
        <v>39447</v>
      </c>
      <c r="AD34" s="195">
        <v>1315.6</v>
      </c>
      <c r="AE34" s="196">
        <v>80.5</v>
      </c>
      <c r="AF34" s="196">
        <v>24.4</v>
      </c>
      <c r="AG34" s="196">
        <v>259.8</v>
      </c>
      <c r="AH34" s="196">
        <v>653.9</v>
      </c>
      <c r="AI34" s="196">
        <v>19.399999999999999</v>
      </c>
      <c r="AJ34" s="196">
        <v>6.3</v>
      </c>
      <c r="AK34" s="196">
        <v>14.5</v>
      </c>
      <c r="AL34" s="196">
        <v>9.8000000000000007</v>
      </c>
      <c r="AM34" s="196">
        <v>60.2</v>
      </c>
      <c r="AN34" s="196">
        <v>177.7</v>
      </c>
      <c r="AO34" s="196">
        <v>9.1</v>
      </c>
      <c r="AP34" s="196">
        <v>0</v>
      </c>
      <c r="AQ34" s="195">
        <v>850.8</v>
      </c>
      <c r="AR34" s="196">
        <v>57</v>
      </c>
      <c r="AS34" s="196">
        <v>15.1</v>
      </c>
      <c r="AT34" s="196">
        <v>132.19999999999999</v>
      </c>
      <c r="AU34" s="196">
        <v>201.1</v>
      </c>
      <c r="AV34" s="196">
        <v>3</v>
      </c>
      <c r="AW34" s="196">
        <v>13.6</v>
      </c>
      <c r="AX34" s="196">
        <v>47.4</v>
      </c>
      <c r="AY34" s="196">
        <v>37.5</v>
      </c>
      <c r="AZ34" s="196">
        <v>74.599999999999994</v>
      </c>
      <c r="BA34" s="196">
        <v>239.6</v>
      </c>
      <c r="BB34" s="196">
        <v>17.100000000000001</v>
      </c>
      <c r="BC34" s="196">
        <v>12.4</v>
      </c>
      <c r="BE34" s="194">
        <v>39447</v>
      </c>
      <c r="BF34" s="195">
        <v>338</v>
      </c>
      <c r="BG34" s="196">
        <v>138.5</v>
      </c>
      <c r="BH34" s="196">
        <v>199.6</v>
      </c>
      <c r="BI34" s="195">
        <v>414.8</v>
      </c>
      <c r="BJ34" s="196">
        <v>10.5</v>
      </c>
      <c r="BK34" s="196">
        <v>404.3</v>
      </c>
      <c r="BM34" s="194">
        <v>39447</v>
      </c>
      <c r="BN34" s="195">
        <v>494.5</v>
      </c>
      <c r="BO34" s="196">
        <v>281.39999999999998</v>
      </c>
      <c r="BP34" s="195">
        <v>186.8</v>
      </c>
      <c r="BQ34" s="196">
        <v>69.599999999999994</v>
      </c>
      <c r="BS34" s="189">
        <v>36981</v>
      </c>
      <c r="BT34" s="190">
        <v>3990.613900374889</v>
      </c>
      <c r="BU34" s="190">
        <v>207.39980205263237</v>
      </c>
    </row>
    <row r="35" spans="1:73" ht="14.25" customHeight="1">
      <c r="A35" s="18">
        <v>39538</v>
      </c>
      <c r="B35" s="191">
        <v>1732.0410531136972</v>
      </c>
      <c r="C35" s="191">
        <v>1038.6710170138108</v>
      </c>
      <c r="D35" s="191">
        <v>336.54901237248907</v>
      </c>
      <c r="E35" s="191">
        <v>412.38929978553898</v>
      </c>
      <c r="F35" s="191">
        <v>7.4086770099999999</v>
      </c>
      <c r="G35" s="191">
        <v>-104.97805859906214</v>
      </c>
      <c r="H35" s="191">
        <v>-293.49479036808265</v>
      </c>
      <c r="I35" s="191">
        <v>0</v>
      </c>
      <c r="J35" s="191">
        <v>-2065.6888388202251</v>
      </c>
      <c r="K35" s="192">
        <v>695.93103951711885</v>
      </c>
      <c r="L35" s="191">
        <v>-159.97843916334159</v>
      </c>
      <c r="M35" s="191">
        <v>4290.666750792102</v>
      </c>
      <c r="N35" s="191">
        <v>870.05612824882394</v>
      </c>
      <c r="O35" s="191">
        <v>621.06872153835718</v>
      </c>
      <c r="P35" s="191">
        <v>141.66619495242122</v>
      </c>
      <c r="Q35" s="191">
        <v>749.68584836731122</v>
      </c>
      <c r="R35" s="191">
        <v>38.46067876194752</v>
      </c>
      <c r="S35" s="193">
        <f t="shared" si="0"/>
        <v>-2403.8074132461684</v>
      </c>
      <c r="T35" s="193">
        <f t="shared" si="1"/>
        <v>-5112.7543507990204</v>
      </c>
      <c r="U35" s="370">
        <v>7.2566519999999999</v>
      </c>
      <c r="V35" s="372">
        <f>SUMPRODUCT(S32:S35,U32:U35)/SUM(bdp!AR58:AR61)</f>
        <v>-8.7296867858311852E-2</v>
      </c>
      <c r="X35" s="18">
        <v>39538</v>
      </c>
      <c r="Y35" s="372">
        <v>-8.7296867858311852E-2</v>
      </c>
      <c r="AC35" s="194">
        <v>39538</v>
      </c>
      <c r="AD35" s="195">
        <v>1039.2</v>
      </c>
      <c r="AE35" s="196">
        <v>104.7</v>
      </c>
      <c r="AF35" s="196">
        <v>25.9</v>
      </c>
      <c r="AG35" s="196">
        <v>247.1</v>
      </c>
      <c r="AH35" s="196">
        <v>374</v>
      </c>
      <c r="AI35" s="196">
        <v>18.3</v>
      </c>
      <c r="AJ35" s="196">
        <v>5.9</v>
      </c>
      <c r="AK35" s="196">
        <v>10.6</v>
      </c>
      <c r="AL35" s="196">
        <v>6.2</v>
      </c>
      <c r="AM35" s="196">
        <v>55.7</v>
      </c>
      <c r="AN35" s="196">
        <v>174.3</v>
      </c>
      <c r="AO35" s="196">
        <v>16.3</v>
      </c>
      <c r="AP35" s="196">
        <v>0.1</v>
      </c>
      <c r="AQ35" s="195">
        <v>870.3</v>
      </c>
      <c r="AR35" s="196">
        <v>61.4</v>
      </c>
      <c r="AS35" s="196">
        <v>14.7</v>
      </c>
      <c r="AT35" s="196">
        <v>178</v>
      </c>
      <c r="AU35" s="196">
        <v>189</v>
      </c>
      <c r="AV35" s="196">
        <v>2.7</v>
      </c>
      <c r="AW35" s="196">
        <v>12.4</v>
      </c>
      <c r="AX35" s="196">
        <v>31.7</v>
      </c>
      <c r="AY35" s="196">
        <v>52.2</v>
      </c>
      <c r="AZ35" s="196">
        <v>71.400000000000006</v>
      </c>
      <c r="BA35" s="196">
        <v>222.9</v>
      </c>
      <c r="BB35" s="196">
        <v>22</v>
      </c>
      <c r="BC35" s="196">
        <v>11.9</v>
      </c>
      <c r="BE35" s="194">
        <v>39538</v>
      </c>
      <c r="BF35" s="195">
        <v>336.4</v>
      </c>
      <c r="BG35" s="196">
        <v>137.4</v>
      </c>
      <c r="BH35" s="196">
        <v>199</v>
      </c>
      <c r="BI35" s="195">
        <v>640.6</v>
      </c>
      <c r="BJ35" s="196">
        <v>7</v>
      </c>
      <c r="BK35" s="196">
        <v>633.6</v>
      </c>
      <c r="BM35" s="194">
        <v>39538</v>
      </c>
      <c r="BN35" s="195">
        <v>412.5</v>
      </c>
      <c r="BO35" s="196">
        <v>246.9</v>
      </c>
      <c r="BP35" s="195">
        <v>141.69999999999999</v>
      </c>
      <c r="BQ35" s="196">
        <v>46.8</v>
      </c>
      <c r="BS35" s="189">
        <v>37072</v>
      </c>
      <c r="BT35" s="190">
        <v>4486.2817419244875</v>
      </c>
      <c r="BU35" s="190">
        <v>495.66784154959851</v>
      </c>
    </row>
    <row r="36" spans="1:73" ht="14.25" customHeight="1">
      <c r="A36" s="18">
        <v>39629</v>
      </c>
      <c r="B36" s="191">
        <v>2018.9557233631997</v>
      </c>
      <c r="C36" s="191">
        <v>2254.7455297812053</v>
      </c>
      <c r="D36" s="191">
        <v>371.58541107716746</v>
      </c>
      <c r="E36" s="191">
        <v>495.52504031189886</v>
      </c>
      <c r="F36" s="191">
        <v>8.3372318556109395</v>
      </c>
      <c r="G36" s="191">
        <v>171.17754354873787</v>
      </c>
      <c r="H36" s="191">
        <v>-63.090277639658808</v>
      </c>
      <c r="I36" s="191">
        <v>0</v>
      </c>
      <c r="J36" s="191">
        <v>-889.92547761544552</v>
      </c>
      <c r="K36" s="192">
        <v>95.761473847593408</v>
      </c>
      <c r="L36" s="191">
        <v>594.45562253019125</v>
      </c>
      <c r="M36" s="191">
        <v>5145.4562663838014</v>
      </c>
      <c r="N36" s="191">
        <v>864.39281648075712</v>
      </c>
      <c r="O36" s="191">
        <v>1132.1955132259734</v>
      </c>
      <c r="P36" s="191">
        <v>154.53846226817575</v>
      </c>
      <c r="Q36" s="191">
        <v>868.04641927938246</v>
      </c>
      <c r="R36" s="191">
        <v>-1.1446576987212467</v>
      </c>
      <c r="S36" s="193">
        <f t="shared" si="0"/>
        <v>-2155.7713538252374</v>
      </c>
      <c r="T36" s="193">
        <f t="shared" si="1"/>
        <v>-3105.9569988788699</v>
      </c>
      <c r="U36" s="370">
        <v>7.246264</v>
      </c>
      <c r="V36" s="372">
        <f>SUMPRODUCT(S33:S36,U33:U36)/SUM(bdp!AR59:AR62)</f>
        <v>-0.1000835233282084</v>
      </c>
      <c r="X36" s="18">
        <v>39629</v>
      </c>
      <c r="Y36" s="372">
        <v>-0.1000835233282084</v>
      </c>
      <c r="AC36" s="194">
        <v>39629</v>
      </c>
      <c r="AD36" s="195">
        <v>2254.1</v>
      </c>
      <c r="AE36" s="196">
        <v>112.3</v>
      </c>
      <c r="AF36" s="196">
        <v>25.6</v>
      </c>
      <c r="AG36" s="196">
        <v>323.3</v>
      </c>
      <c r="AH36" s="196">
        <v>1466.9</v>
      </c>
      <c r="AI36" s="196">
        <v>23.7</v>
      </c>
      <c r="AJ36" s="196">
        <v>5.0999999999999996</v>
      </c>
      <c r="AK36" s="196">
        <v>12.1</v>
      </c>
      <c r="AL36" s="196">
        <v>8.3000000000000007</v>
      </c>
      <c r="AM36" s="196">
        <v>74.7</v>
      </c>
      <c r="AN36" s="196">
        <v>180.4</v>
      </c>
      <c r="AO36" s="196">
        <v>21.4</v>
      </c>
      <c r="AP36" s="196">
        <v>0.1</v>
      </c>
      <c r="AQ36" s="195">
        <v>864.3</v>
      </c>
      <c r="AR36" s="196">
        <v>42.4</v>
      </c>
      <c r="AS36" s="196">
        <v>13.6</v>
      </c>
      <c r="AT36" s="196">
        <v>216.9</v>
      </c>
      <c r="AU36" s="196">
        <v>163.5</v>
      </c>
      <c r="AV36" s="196">
        <v>1.9</v>
      </c>
      <c r="AW36" s="196">
        <v>12.8</v>
      </c>
      <c r="AX36" s="196">
        <v>51.3</v>
      </c>
      <c r="AY36" s="196">
        <v>38</v>
      </c>
      <c r="AZ36" s="196">
        <v>65.900000000000006</v>
      </c>
      <c r="BA36" s="196">
        <v>222.7</v>
      </c>
      <c r="BB36" s="196">
        <v>23.7</v>
      </c>
      <c r="BC36" s="196">
        <v>11.4</v>
      </c>
      <c r="BE36" s="194">
        <v>39629</v>
      </c>
      <c r="BF36" s="195">
        <v>371.4</v>
      </c>
      <c r="BG36" s="196">
        <v>147.5</v>
      </c>
      <c r="BH36" s="196">
        <v>224.1</v>
      </c>
      <c r="BI36" s="195">
        <v>1154.3</v>
      </c>
      <c r="BJ36" s="196">
        <v>9</v>
      </c>
      <c r="BK36" s="196">
        <v>1145.3</v>
      </c>
      <c r="BM36" s="194">
        <v>39629</v>
      </c>
      <c r="BN36" s="195">
        <v>495.5</v>
      </c>
      <c r="BO36" s="196">
        <v>318.10000000000002</v>
      </c>
      <c r="BP36" s="195">
        <v>154.5</v>
      </c>
      <c r="BQ36" s="196">
        <v>53.3</v>
      </c>
      <c r="BS36" s="189">
        <v>37164</v>
      </c>
      <c r="BT36" s="190">
        <v>4819.7213559406928</v>
      </c>
      <c r="BU36" s="190">
        <v>333.43961401620527</v>
      </c>
    </row>
    <row r="37" spans="1:73" ht="14.25" customHeight="1">
      <c r="A37" s="18">
        <v>39721</v>
      </c>
      <c r="B37" s="191">
        <v>2232.425707031799</v>
      </c>
      <c r="C37" s="191">
        <v>4842.4096751538436</v>
      </c>
      <c r="D37" s="191">
        <v>364.47511533147673</v>
      </c>
      <c r="E37" s="191">
        <v>476.88147563898275</v>
      </c>
      <c r="F37" s="191">
        <v>5.8884038071391309</v>
      </c>
      <c r="G37" s="191">
        <v>67.499167754737812</v>
      </c>
      <c r="H37" s="191">
        <v>34.278917278089381</v>
      </c>
      <c r="I37" s="191">
        <v>0</v>
      </c>
      <c r="J37" s="191">
        <v>354.42157037343145</v>
      </c>
      <c r="K37" s="192">
        <v>-383.00667445874035</v>
      </c>
      <c r="L37" s="191">
        <v>-1337.4449025617153</v>
      </c>
      <c r="M37" s="191">
        <v>4890.4794682805077</v>
      </c>
      <c r="N37" s="191">
        <v>971.64239888551378</v>
      </c>
      <c r="O37" s="191">
        <v>591.8584188802638</v>
      </c>
      <c r="P37" s="191">
        <v>160.00046729219815</v>
      </c>
      <c r="Q37" s="191">
        <v>285.01800221791666</v>
      </c>
      <c r="R37" s="191">
        <v>-182.47974233344041</v>
      </c>
      <c r="S37" s="193">
        <f t="shared" si="0"/>
        <v>1302.2112198176183</v>
      </c>
      <c r="T37" s="193">
        <f t="shared" si="1"/>
        <v>-58.690557873916077</v>
      </c>
      <c r="U37" s="370">
        <v>7.1077409999999999</v>
      </c>
      <c r="V37" s="372">
        <f>SUMPRODUCT(S34:S37,U34:U37)/SUM(bdp!AR60:AR63)</f>
        <v>-0.1071118580410917</v>
      </c>
      <c r="X37" s="18">
        <v>39721</v>
      </c>
      <c r="Y37" s="372">
        <v>-0.1071118580410917</v>
      </c>
      <c r="AC37" s="194">
        <v>39721</v>
      </c>
      <c r="AD37" s="195">
        <v>4849.8</v>
      </c>
      <c r="AE37" s="196">
        <v>85.9</v>
      </c>
      <c r="AF37" s="196">
        <v>26.2</v>
      </c>
      <c r="AG37" s="196">
        <v>372.3</v>
      </c>
      <c r="AH37" s="196">
        <v>3941</v>
      </c>
      <c r="AI37" s="196">
        <v>34.799999999999997</v>
      </c>
      <c r="AJ37" s="196">
        <v>6.1</v>
      </c>
      <c r="AK37" s="196">
        <v>13.9</v>
      </c>
      <c r="AL37" s="196">
        <v>7.8</v>
      </c>
      <c r="AM37" s="196">
        <v>120</v>
      </c>
      <c r="AN37" s="196">
        <v>205.8</v>
      </c>
      <c r="AO37" s="196">
        <v>35.200000000000003</v>
      </c>
      <c r="AP37" s="196">
        <v>0.7</v>
      </c>
      <c r="AQ37" s="195">
        <v>971.9</v>
      </c>
      <c r="AR37" s="196">
        <v>78.5</v>
      </c>
      <c r="AS37" s="196">
        <v>14.6</v>
      </c>
      <c r="AT37" s="196">
        <v>218</v>
      </c>
      <c r="AU37" s="196">
        <v>216.4</v>
      </c>
      <c r="AV37" s="196">
        <v>2.1</v>
      </c>
      <c r="AW37" s="196">
        <v>9.3000000000000007</v>
      </c>
      <c r="AX37" s="196">
        <v>47.1</v>
      </c>
      <c r="AY37" s="196">
        <v>48.7</v>
      </c>
      <c r="AZ37" s="196">
        <v>79.099999999999994</v>
      </c>
      <c r="BA37" s="196">
        <v>222.2</v>
      </c>
      <c r="BB37" s="196">
        <v>23.4</v>
      </c>
      <c r="BC37" s="196">
        <v>12.8</v>
      </c>
      <c r="BE37" s="194">
        <v>39721</v>
      </c>
      <c r="BF37" s="195">
        <v>364.2</v>
      </c>
      <c r="BG37" s="196">
        <v>149.1</v>
      </c>
      <c r="BH37" s="196">
        <v>215.1</v>
      </c>
      <c r="BI37" s="195">
        <v>616.20000000000005</v>
      </c>
      <c r="BJ37" s="196">
        <v>9</v>
      </c>
      <c r="BK37" s="196">
        <v>607.20000000000005</v>
      </c>
      <c r="BM37" s="194">
        <v>39721</v>
      </c>
      <c r="BN37" s="195">
        <v>476.7</v>
      </c>
      <c r="BO37" s="196">
        <v>267</v>
      </c>
      <c r="BP37" s="195">
        <v>160</v>
      </c>
      <c r="BQ37" s="196">
        <v>61.1</v>
      </c>
      <c r="BS37" s="189">
        <v>37256</v>
      </c>
      <c r="BT37" s="190">
        <v>5333.6162294251099</v>
      </c>
      <c r="BU37" s="190">
        <v>513.89487348441708</v>
      </c>
    </row>
    <row r="38" spans="1:73" ht="14.25" customHeight="1">
      <c r="A38" s="18">
        <v>39813</v>
      </c>
      <c r="B38" s="191">
        <v>1985.7633719391997</v>
      </c>
      <c r="C38" s="191">
        <v>1386.4368354499143</v>
      </c>
      <c r="D38" s="191">
        <v>306.7385537132709</v>
      </c>
      <c r="E38" s="191">
        <v>575.26477135253253</v>
      </c>
      <c r="F38" s="191">
        <v>-3.9043298877558659</v>
      </c>
      <c r="G38" s="191">
        <v>918.26960599303823</v>
      </c>
      <c r="H38" s="191">
        <v>671.17935317703439</v>
      </c>
      <c r="I38" s="191">
        <v>0</v>
      </c>
      <c r="J38" s="191">
        <v>-1339.2340140136389</v>
      </c>
      <c r="K38" s="192">
        <v>-739.08800235258047</v>
      </c>
      <c r="L38" s="191">
        <v>-175.75508122124484</v>
      </c>
      <c r="M38" s="191">
        <v>4417.5815637554033</v>
      </c>
      <c r="N38" s="191">
        <v>940.41261428817847</v>
      </c>
      <c r="O38" s="191">
        <v>465.82170784319754</v>
      </c>
      <c r="P38" s="191">
        <v>220.54062601420549</v>
      </c>
      <c r="Q38" s="191">
        <v>1782.8398065200513</v>
      </c>
      <c r="R38" s="191">
        <v>-301.90047316113049</v>
      </c>
      <c r="S38" s="193">
        <f t="shared" si="0"/>
        <v>-1790.1529794460666</v>
      </c>
      <c r="T38" s="193">
        <f t="shared" si="1"/>
        <v>-3939.6247811101357</v>
      </c>
      <c r="U38" s="370">
        <v>7.3244249999999997</v>
      </c>
      <c r="V38" s="372">
        <f>SUMPRODUCT(S35:S38,U35:U38)/SUM(bdp!AR61:AR64)</f>
        <v>-0.10648170012396378</v>
      </c>
      <c r="X38" s="18">
        <v>39813</v>
      </c>
      <c r="Y38" s="372">
        <v>-0.10648170012396378</v>
      </c>
      <c r="AC38" s="194">
        <v>39813</v>
      </c>
      <c r="AD38" s="195">
        <v>1384.5</v>
      </c>
      <c r="AE38" s="196">
        <v>76.5</v>
      </c>
      <c r="AF38" s="196">
        <v>22.4</v>
      </c>
      <c r="AG38" s="196">
        <v>270.5</v>
      </c>
      <c r="AH38" s="196">
        <v>649.29999999999995</v>
      </c>
      <c r="AI38" s="196">
        <v>29.3</v>
      </c>
      <c r="AJ38" s="196">
        <v>5.6</v>
      </c>
      <c r="AK38" s="196">
        <v>11.3</v>
      </c>
      <c r="AL38" s="196">
        <v>7.5</v>
      </c>
      <c r="AM38" s="196">
        <v>62.3</v>
      </c>
      <c r="AN38" s="196">
        <v>234.8</v>
      </c>
      <c r="AO38" s="196">
        <v>14.4</v>
      </c>
      <c r="AP38" s="196">
        <v>0.4</v>
      </c>
      <c r="AQ38" s="195">
        <v>939.5</v>
      </c>
      <c r="AR38" s="196">
        <v>49.1</v>
      </c>
      <c r="AS38" s="196">
        <v>14.8</v>
      </c>
      <c r="AT38" s="196">
        <v>195.1</v>
      </c>
      <c r="AU38" s="196">
        <v>196.6</v>
      </c>
      <c r="AV38" s="196">
        <v>2.8</v>
      </c>
      <c r="AW38" s="196">
        <v>10.3</v>
      </c>
      <c r="AX38" s="196">
        <v>57.7</v>
      </c>
      <c r="AY38" s="196">
        <v>36.4</v>
      </c>
      <c r="AZ38" s="196">
        <v>87.5</v>
      </c>
      <c r="BA38" s="196">
        <v>253.8</v>
      </c>
      <c r="BB38" s="196">
        <v>21</v>
      </c>
      <c r="BC38" s="196">
        <v>14.6</v>
      </c>
      <c r="BE38" s="194">
        <v>39813</v>
      </c>
      <c r="BF38" s="195">
        <v>306.5</v>
      </c>
      <c r="BG38" s="196">
        <v>165.6</v>
      </c>
      <c r="BH38" s="196">
        <v>140.80000000000001</v>
      </c>
      <c r="BI38" s="195">
        <v>487.8</v>
      </c>
      <c r="BJ38" s="196">
        <v>10.6</v>
      </c>
      <c r="BK38" s="196">
        <v>477.2</v>
      </c>
      <c r="BM38" s="194">
        <v>39813</v>
      </c>
      <c r="BN38" s="195">
        <v>574.6</v>
      </c>
      <c r="BO38" s="196">
        <v>272.89999999999998</v>
      </c>
      <c r="BP38" s="195">
        <v>220.3</v>
      </c>
      <c r="BQ38" s="196">
        <v>72.599999999999994</v>
      </c>
      <c r="BS38" s="189">
        <v>37346</v>
      </c>
      <c r="BT38" s="190">
        <v>5606.4414849625764</v>
      </c>
      <c r="BU38" s="190">
        <v>272.82525553746655</v>
      </c>
    </row>
    <row r="39" spans="1:73" ht="14.25" customHeight="1">
      <c r="A39" s="18">
        <v>39903</v>
      </c>
      <c r="B39" s="191">
        <v>1708.4591271692998</v>
      </c>
      <c r="C39" s="191">
        <v>888.63173412973345</v>
      </c>
      <c r="D39" s="191">
        <v>214.10603433565575</v>
      </c>
      <c r="E39" s="191">
        <v>425.70930121925801</v>
      </c>
      <c r="F39" s="191">
        <v>0.60115741688422375</v>
      </c>
      <c r="G39" s="191">
        <v>45.978451095999219</v>
      </c>
      <c r="H39" s="191">
        <v>-236.3975331299487</v>
      </c>
      <c r="I39" s="191">
        <v>0</v>
      </c>
      <c r="J39" s="191">
        <v>-1736.6334650176616</v>
      </c>
      <c r="K39" s="192">
        <v>-410.67743750344664</v>
      </c>
      <c r="L39" s="191">
        <v>-94.416813259207402</v>
      </c>
      <c r="M39" s="191">
        <v>3448.8575178768015</v>
      </c>
      <c r="N39" s="191">
        <v>743.43775237018201</v>
      </c>
      <c r="O39" s="191">
        <v>647.0587628744089</v>
      </c>
      <c r="P39" s="191">
        <v>158.93460418667351</v>
      </c>
      <c r="Q39" s="191">
        <v>217.10507291258529</v>
      </c>
      <c r="R39" s="191">
        <v>-699.63696117120082</v>
      </c>
      <c r="S39" s="193">
        <f t="shared" si="0"/>
        <v>-1761.3824404541192</v>
      </c>
      <c r="T39" s="193">
        <f t="shared" si="1"/>
        <v>-3710.3961925928847</v>
      </c>
      <c r="U39" s="370">
        <v>7.457249</v>
      </c>
      <c r="V39" s="372">
        <f>SUMPRODUCT(S36:S39,U36:U39)/SUM(bdp!AR62:AR65)</f>
        <v>-9.495990372713356E-2</v>
      </c>
      <c r="X39" s="18">
        <v>39903</v>
      </c>
      <c r="Y39" s="372">
        <v>-9.495990372713356E-2</v>
      </c>
      <c r="AC39" s="194">
        <v>39903</v>
      </c>
      <c r="AD39" s="195">
        <v>888.1</v>
      </c>
      <c r="AE39" s="196">
        <v>60</v>
      </c>
      <c r="AF39" s="196">
        <v>20.8</v>
      </c>
      <c r="AG39" s="196">
        <v>210.3</v>
      </c>
      <c r="AH39" s="196">
        <v>305.10000000000002</v>
      </c>
      <c r="AI39" s="196">
        <v>26.3</v>
      </c>
      <c r="AJ39" s="196">
        <v>6.2</v>
      </c>
      <c r="AK39" s="196">
        <v>7.7</v>
      </c>
      <c r="AL39" s="196">
        <v>6.5</v>
      </c>
      <c r="AM39" s="196">
        <v>58.4</v>
      </c>
      <c r="AN39" s="196">
        <v>173</v>
      </c>
      <c r="AO39" s="196">
        <v>13.6</v>
      </c>
      <c r="AP39" s="196">
        <v>0</v>
      </c>
      <c r="AQ39" s="195">
        <v>743</v>
      </c>
      <c r="AR39" s="196">
        <v>5.4</v>
      </c>
      <c r="AS39" s="196">
        <v>12.4</v>
      </c>
      <c r="AT39" s="196">
        <v>159.1</v>
      </c>
      <c r="AU39" s="196">
        <v>128.69999999999999</v>
      </c>
      <c r="AV39" s="196">
        <v>2</v>
      </c>
      <c r="AW39" s="196">
        <v>16.100000000000001</v>
      </c>
      <c r="AX39" s="196">
        <v>62.3</v>
      </c>
      <c r="AY39" s="196">
        <v>39.299999999999997</v>
      </c>
      <c r="AZ39" s="196">
        <v>68.5</v>
      </c>
      <c r="BA39" s="196">
        <v>214.5</v>
      </c>
      <c r="BB39" s="196">
        <v>24.7</v>
      </c>
      <c r="BC39" s="196">
        <v>9.8000000000000007</v>
      </c>
      <c r="BE39" s="194">
        <v>39903</v>
      </c>
      <c r="BF39" s="195">
        <v>214.7</v>
      </c>
      <c r="BG39" s="196">
        <v>155</v>
      </c>
      <c r="BH39" s="196">
        <v>59.6</v>
      </c>
      <c r="BI39" s="195">
        <v>663.4</v>
      </c>
      <c r="BJ39" s="196">
        <v>8.9</v>
      </c>
      <c r="BK39" s="196">
        <v>654.5</v>
      </c>
      <c r="BM39" s="194">
        <v>39903</v>
      </c>
      <c r="BN39" s="195">
        <v>425.8</v>
      </c>
      <c r="BO39" s="196">
        <v>215.2</v>
      </c>
      <c r="BP39" s="195">
        <v>158.80000000000001</v>
      </c>
      <c r="BQ39" s="196">
        <v>49</v>
      </c>
      <c r="BS39" s="189">
        <v>37437</v>
      </c>
      <c r="BT39" s="190">
        <v>5631.6566012861604</v>
      </c>
      <c r="BU39" s="190">
        <v>25.21511632358397</v>
      </c>
    </row>
    <row r="40" spans="1:73" ht="14.25" customHeight="1">
      <c r="A40" s="18">
        <v>39994</v>
      </c>
      <c r="B40" s="191">
        <v>1670.4677215592005</v>
      </c>
      <c r="C40" s="191">
        <v>1904.010892323508</v>
      </c>
      <c r="D40" s="191">
        <v>207.67898493542594</v>
      </c>
      <c r="E40" s="191">
        <v>467.74880938206036</v>
      </c>
      <c r="F40" s="191">
        <v>6.702722990780364</v>
      </c>
      <c r="G40" s="191">
        <v>22.783290410499355</v>
      </c>
      <c r="H40" s="191">
        <v>-21.619607329237411</v>
      </c>
      <c r="I40" s="191">
        <v>0</v>
      </c>
      <c r="J40" s="191">
        <v>121.48245022207539</v>
      </c>
      <c r="K40" s="192">
        <v>331.31684989591037</v>
      </c>
      <c r="L40" s="191">
        <v>522.17390218749188</v>
      </c>
      <c r="M40" s="191">
        <v>3696.8439577420968</v>
      </c>
      <c r="N40" s="191">
        <v>816.05643905254385</v>
      </c>
      <c r="O40" s="191">
        <v>748.48643220012138</v>
      </c>
      <c r="P40" s="191">
        <v>153.3448119833472</v>
      </c>
      <c r="Q40" s="191">
        <v>633.51129584683633</v>
      </c>
      <c r="R40" s="191">
        <v>456.40029495205323</v>
      </c>
      <c r="S40" s="193">
        <f t="shared" si="0"/>
        <v>-1164.8252327779146</v>
      </c>
      <c r="T40" s="193">
        <f t="shared" si="1"/>
        <v>-1271.8972151992848</v>
      </c>
      <c r="U40" s="370">
        <v>7.2920350000000003</v>
      </c>
      <c r="V40" s="372">
        <f>SUMPRODUCT(S37:S40,U37:U40)/SUM(bdp!AR63:AR66)</f>
        <v>-7.511217233375847E-2</v>
      </c>
      <c r="X40" s="18">
        <v>39994</v>
      </c>
      <c r="Y40" s="372">
        <v>-7.511217233375847E-2</v>
      </c>
      <c r="AC40" s="194">
        <v>39994</v>
      </c>
      <c r="AD40" s="195">
        <v>1902.1</v>
      </c>
      <c r="AE40" s="196">
        <v>65.400000000000006</v>
      </c>
      <c r="AF40" s="196">
        <v>20.5</v>
      </c>
      <c r="AG40" s="196">
        <v>247.5</v>
      </c>
      <c r="AH40" s="196">
        <v>1244.4000000000001</v>
      </c>
      <c r="AI40" s="196">
        <v>29.1</v>
      </c>
      <c r="AJ40" s="196">
        <v>5.2</v>
      </c>
      <c r="AK40" s="196">
        <v>13.1</v>
      </c>
      <c r="AL40" s="196">
        <v>6.4</v>
      </c>
      <c r="AM40" s="196">
        <v>72.900000000000006</v>
      </c>
      <c r="AN40" s="196">
        <v>187.3</v>
      </c>
      <c r="AO40" s="196">
        <v>10.3</v>
      </c>
      <c r="AP40" s="196">
        <v>0</v>
      </c>
      <c r="AQ40" s="195">
        <v>816.8</v>
      </c>
      <c r="AR40" s="196">
        <v>3.4</v>
      </c>
      <c r="AS40" s="196">
        <v>11.4</v>
      </c>
      <c r="AT40" s="196">
        <v>166.7</v>
      </c>
      <c r="AU40" s="196">
        <v>190.4</v>
      </c>
      <c r="AV40" s="196">
        <v>1.9</v>
      </c>
      <c r="AW40" s="196">
        <v>14</v>
      </c>
      <c r="AX40" s="196">
        <v>54.1</v>
      </c>
      <c r="AY40" s="196">
        <v>33.299999999999997</v>
      </c>
      <c r="AZ40" s="196">
        <v>66.5</v>
      </c>
      <c r="BA40" s="196">
        <v>244.4</v>
      </c>
      <c r="BB40" s="196">
        <v>19</v>
      </c>
      <c r="BC40" s="196">
        <v>11.6</v>
      </c>
      <c r="BE40" s="194">
        <v>39994</v>
      </c>
      <c r="BF40" s="195">
        <v>208.2</v>
      </c>
      <c r="BG40" s="196">
        <v>159.1</v>
      </c>
      <c r="BH40" s="196">
        <v>49.1</v>
      </c>
      <c r="BI40" s="195">
        <v>763.7</v>
      </c>
      <c r="BJ40" s="196">
        <v>9.8000000000000007</v>
      </c>
      <c r="BK40" s="196">
        <v>753.9</v>
      </c>
      <c r="BM40" s="194">
        <v>39994</v>
      </c>
      <c r="BN40" s="195">
        <v>468</v>
      </c>
      <c r="BO40" s="196">
        <v>258.5</v>
      </c>
      <c r="BP40" s="195">
        <v>153.4</v>
      </c>
      <c r="BQ40" s="196">
        <v>55.8</v>
      </c>
      <c r="BS40" s="189">
        <v>37529</v>
      </c>
      <c r="BT40" s="190">
        <v>5832.3741508610965</v>
      </c>
      <c r="BU40" s="190">
        <v>200.71754957493613</v>
      </c>
    </row>
    <row r="41" spans="1:73" ht="14.25" customHeight="1">
      <c r="A41" s="18">
        <v>40086</v>
      </c>
      <c r="B41" s="191">
        <v>1675.5100911564004</v>
      </c>
      <c r="C41" s="191">
        <v>4144.8374388593638</v>
      </c>
      <c r="D41" s="191">
        <v>211.15480407611216</v>
      </c>
      <c r="E41" s="191">
        <v>447.1135770143693</v>
      </c>
      <c r="F41" s="191">
        <v>8.775278181088197</v>
      </c>
      <c r="G41" s="191">
        <v>739.58767535549896</v>
      </c>
      <c r="H41" s="191">
        <v>241.77422303672262</v>
      </c>
      <c r="I41" s="191">
        <v>0</v>
      </c>
      <c r="J41" s="191">
        <v>-58.095132259001161</v>
      </c>
      <c r="K41" s="192">
        <v>304.60927324788605</v>
      </c>
      <c r="L41" s="191">
        <v>-996.82847552477006</v>
      </c>
      <c r="M41" s="191">
        <v>3519.3381796688991</v>
      </c>
      <c r="N41" s="191">
        <v>852.13786382725766</v>
      </c>
      <c r="O41" s="191">
        <v>511.64485745910235</v>
      </c>
      <c r="P41" s="191">
        <v>162.26664427582807</v>
      </c>
      <c r="Q41" s="191">
        <v>908.4469135846864</v>
      </c>
      <c r="R41" s="191">
        <v>-125.74604273505651</v>
      </c>
      <c r="S41" s="193">
        <f t="shared" si="0"/>
        <v>1433.2283658751576</v>
      </c>
      <c r="T41" s="193">
        <f t="shared" si="1"/>
        <v>890.35033706295144</v>
      </c>
      <c r="U41" s="370">
        <v>7.288341</v>
      </c>
      <c r="V41" s="372">
        <f>SUMPRODUCT(S38:S41,U38:U41)/SUM(bdp!AR64:AR67)</f>
        <v>-7.2939546543155473E-2</v>
      </c>
      <c r="X41" s="18">
        <v>40086</v>
      </c>
      <c r="Y41" s="372">
        <v>-7.2939546543155473E-2</v>
      </c>
      <c r="AC41" s="194">
        <v>40086</v>
      </c>
      <c r="AD41" s="195">
        <v>4142.8999999999996</v>
      </c>
      <c r="AE41" s="196">
        <v>56.4</v>
      </c>
      <c r="AF41" s="196">
        <v>16.5</v>
      </c>
      <c r="AG41" s="196">
        <v>278.8</v>
      </c>
      <c r="AH41" s="196">
        <v>3428.6</v>
      </c>
      <c r="AI41" s="196">
        <v>24.2</v>
      </c>
      <c r="AJ41" s="196">
        <v>5.6</v>
      </c>
      <c r="AK41" s="196">
        <v>9.3000000000000007</v>
      </c>
      <c r="AL41" s="196">
        <v>6.1</v>
      </c>
      <c r="AM41" s="196">
        <v>114.4</v>
      </c>
      <c r="AN41" s="196">
        <v>175.2</v>
      </c>
      <c r="AO41" s="196">
        <v>27.6</v>
      </c>
      <c r="AP41" s="196">
        <v>0</v>
      </c>
      <c r="AQ41" s="195">
        <v>851.5</v>
      </c>
      <c r="AR41" s="196">
        <v>4.9000000000000004</v>
      </c>
      <c r="AS41" s="196">
        <v>16</v>
      </c>
      <c r="AT41" s="196">
        <v>170.8</v>
      </c>
      <c r="AU41" s="196">
        <v>236</v>
      </c>
      <c r="AV41" s="196">
        <v>0.5</v>
      </c>
      <c r="AW41" s="196">
        <v>10.8</v>
      </c>
      <c r="AX41" s="196">
        <v>60.6</v>
      </c>
      <c r="AY41" s="196">
        <v>36.6</v>
      </c>
      <c r="AZ41" s="196">
        <v>73.599999999999994</v>
      </c>
      <c r="BA41" s="196">
        <v>206.6</v>
      </c>
      <c r="BB41" s="196">
        <v>23.9</v>
      </c>
      <c r="BC41" s="196">
        <v>11.2</v>
      </c>
      <c r="BE41" s="194">
        <v>40086</v>
      </c>
      <c r="BF41" s="195">
        <v>211.1</v>
      </c>
      <c r="BG41" s="196">
        <v>150.9</v>
      </c>
      <c r="BH41" s="196">
        <v>60.2</v>
      </c>
      <c r="BI41" s="195">
        <v>525.9</v>
      </c>
      <c r="BJ41" s="196">
        <v>9.3000000000000007</v>
      </c>
      <c r="BK41" s="196">
        <v>516.6</v>
      </c>
      <c r="BM41" s="194">
        <v>40086</v>
      </c>
      <c r="BN41" s="195">
        <v>446.7</v>
      </c>
      <c r="BO41" s="196">
        <v>248.5</v>
      </c>
      <c r="BP41" s="195">
        <v>162.19999999999999</v>
      </c>
      <c r="BQ41" s="196">
        <v>54.8</v>
      </c>
      <c r="BS41" s="189">
        <v>37621</v>
      </c>
      <c r="BT41" s="190">
        <v>5651.3165040286494</v>
      </c>
      <c r="BU41" s="190">
        <v>-181.05764683244706</v>
      </c>
    </row>
    <row r="42" spans="1:73" ht="14.25" customHeight="1">
      <c r="A42" s="18">
        <v>40178</v>
      </c>
      <c r="B42" s="191">
        <v>1539.5356613511992</v>
      </c>
      <c r="C42" s="191">
        <v>1198.6310626748905</v>
      </c>
      <c r="D42" s="191">
        <v>166.1693784343866</v>
      </c>
      <c r="E42" s="191">
        <v>490.3980198869105</v>
      </c>
      <c r="F42" s="191">
        <v>43.552695750163274</v>
      </c>
      <c r="G42" s="191">
        <v>98.567030496099051</v>
      </c>
      <c r="H42" s="191">
        <v>544.76283713916223</v>
      </c>
      <c r="I42" s="191">
        <v>0</v>
      </c>
      <c r="J42" s="191">
        <v>-835.88156506255905</v>
      </c>
      <c r="K42" s="192">
        <v>1002.9724449033681</v>
      </c>
      <c r="L42" s="191">
        <v>459.8261476457418</v>
      </c>
      <c r="M42" s="191">
        <v>3379.8639556504963</v>
      </c>
      <c r="N42" s="191">
        <v>787.16711283331858</v>
      </c>
      <c r="O42" s="191">
        <v>529.60935582757861</v>
      </c>
      <c r="P42" s="191">
        <v>163.93744675428405</v>
      </c>
      <c r="Q42" s="191">
        <v>423.49553195544519</v>
      </c>
      <c r="R42" s="191">
        <v>1349.3901208430109</v>
      </c>
      <c r="S42" s="193">
        <f t="shared" si="0"/>
        <v>-1465.8437487182914</v>
      </c>
      <c r="T42" s="193">
        <f t="shared" si="1"/>
        <v>-1924.9298106447723</v>
      </c>
      <c r="U42" s="370">
        <v>7.3061990000000003</v>
      </c>
      <c r="V42" s="372">
        <f>SUMPRODUCT(S39:S42,U39:U42)/SUM(bdp!AR65:AR68)</f>
        <v>-6.6187597067516701E-2</v>
      </c>
      <c r="X42" s="18">
        <v>40178</v>
      </c>
      <c r="Y42" s="372">
        <v>-6.6187597067516701E-2</v>
      </c>
      <c r="AC42" s="194">
        <v>40178</v>
      </c>
      <c r="AD42" s="195">
        <v>1197.7</v>
      </c>
      <c r="AE42" s="196">
        <v>108.9</v>
      </c>
      <c r="AF42" s="196">
        <v>24.6</v>
      </c>
      <c r="AG42" s="196">
        <v>206</v>
      </c>
      <c r="AH42" s="196">
        <v>549</v>
      </c>
      <c r="AI42" s="196">
        <v>30.5</v>
      </c>
      <c r="AJ42" s="196">
        <v>4</v>
      </c>
      <c r="AK42" s="196">
        <v>8.6999999999999993</v>
      </c>
      <c r="AL42" s="196">
        <v>4.3</v>
      </c>
      <c r="AM42" s="196">
        <v>53.5</v>
      </c>
      <c r="AN42" s="196">
        <v>190.5</v>
      </c>
      <c r="AO42" s="196">
        <v>17.5</v>
      </c>
      <c r="AP42" s="196">
        <v>0.4</v>
      </c>
      <c r="AQ42" s="195">
        <v>786.9</v>
      </c>
      <c r="AR42" s="196">
        <v>34.799999999999997</v>
      </c>
      <c r="AS42" s="196">
        <v>10.199999999999999</v>
      </c>
      <c r="AT42" s="196">
        <v>157.1</v>
      </c>
      <c r="AU42" s="196">
        <v>168.6</v>
      </c>
      <c r="AV42" s="196">
        <v>0.5</v>
      </c>
      <c r="AW42" s="196">
        <v>7.1</v>
      </c>
      <c r="AX42" s="196">
        <v>52.9</v>
      </c>
      <c r="AY42" s="196">
        <v>43.2</v>
      </c>
      <c r="AZ42" s="196">
        <v>65.8</v>
      </c>
      <c r="BA42" s="196">
        <v>211</v>
      </c>
      <c r="BB42" s="196">
        <v>23.2</v>
      </c>
      <c r="BC42" s="196">
        <v>12.2</v>
      </c>
      <c r="BE42" s="194">
        <v>40178</v>
      </c>
      <c r="BF42" s="195">
        <v>166.3</v>
      </c>
      <c r="BG42" s="196">
        <v>159.19999999999999</v>
      </c>
      <c r="BH42" s="196">
        <v>7.1</v>
      </c>
      <c r="BI42" s="195">
        <v>539.1</v>
      </c>
      <c r="BJ42" s="196">
        <v>9.6</v>
      </c>
      <c r="BK42" s="196">
        <v>529.4</v>
      </c>
      <c r="BM42" s="194">
        <v>40178</v>
      </c>
      <c r="BN42" s="195">
        <v>490.3</v>
      </c>
      <c r="BO42" s="196">
        <v>278.60000000000002</v>
      </c>
      <c r="BP42" s="195">
        <v>164</v>
      </c>
      <c r="BQ42" s="196">
        <v>54</v>
      </c>
      <c r="BS42" s="189">
        <v>37711</v>
      </c>
      <c r="BT42" s="190">
        <v>5782.2533652654975</v>
      </c>
      <c r="BU42" s="190">
        <v>130.93686123684802</v>
      </c>
    </row>
    <row r="43" spans="1:73" ht="14.25" customHeight="1">
      <c r="A43" s="18">
        <v>40268</v>
      </c>
      <c r="B43" s="191">
        <v>1820.0281450094005</v>
      </c>
      <c r="C43" s="191">
        <v>844.6088520856606</v>
      </c>
      <c r="D43" s="191">
        <v>200.59324305014943</v>
      </c>
      <c r="E43" s="191">
        <v>458.82134609692093</v>
      </c>
      <c r="F43" s="191">
        <v>27.095930365203802</v>
      </c>
      <c r="G43" s="191">
        <v>204.1401588567453</v>
      </c>
      <c r="H43" s="191">
        <v>9.9208564734554727</v>
      </c>
      <c r="I43" s="191">
        <v>61.3550753122</v>
      </c>
      <c r="J43" s="191">
        <v>-381.40339951870811</v>
      </c>
      <c r="K43" s="192">
        <v>-528.1395051165382</v>
      </c>
      <c r="L43" s="191">
        <v>591.68341225472204</v>
      </c>
      <c r="M43" s="191">
        <v>3101.1990974787982</v>
      </c>
      <c r="N43" s="191">
        <v>742.23826318967281</v>
      </c>
      <c r="O43" s="191">
        <v>653.5195069232002</v>
      </c>
      <c r="P43" s="191">
        <v>151.10799896180498</v>
      </c>
      <c r="Q43" s="191">
        <v>839.47224510769797</v>
      </c>
      <c r="R43" s="191">
        <v>-768.36512140912487</v>
      </c>
      <c r="S43" s="193">
        <f t="shared" si="0"/>
        <v>-1324.0132803113452</v>
      </c>
      <c r="T43" s="193">
        <f t="shared" si="1"/>
        <v>-1410.467875382838</v>
      </c>
      <c r="U43" s="370">
        <v>7.259334</v>
      </c>
      <c r="V43" s="372">
        <f>SUMPRODUCT(S40:S43,U40:U43)/SUM(bdp!AR66:AR69)</f>
        <v>-5.5711581121351106E-2</v>
      </c>
      <c r="X43" s="18">
        <v>40268</v>
      </c>
      <c r="Y43" s="372">
        <v>-5.5711581121351106E-2</v>
      </c>
      <c r="AC43" s="194">
        <v>40268</v>
      </c>
      <c r="AD43" s="195">
        <v>844.5</v>
      </c>
      <c r="AE43" s="196">
        <v>58.1</v>
      </c>
      <c r="AF43" s="196">
        <v>17.600000000000001</v>
      </c>
      <c r="AG43" s="196">
        <v>182.8</v>
      </c>
      <c r="AH43" s="196">
        <v>280.7</v>
      </c>
      <c r="AI43" s="196">
        <v>18.399999999999999</v>
      </c>
      <c r="AJ43" s="196">
        <v>5.0999999999999996</v>
      </c>
      <c r="AK43" s="196">
        <v>6.3</v>
      </c>
      <c r="AL43" s="196">
        <v>4.4000000000000004</v>
      </c>
      <c r="AM43" s="196">
        <v>54.9</v>
      </c>
      <c r="AN43" s="196">
        <v>203</v>
      </c>
      <c r="AO43" s="196">
        <v>12.9</v>
      </c>
      <c r="AP43" s="196">
        <v>0.4</v>
      </c>
      <c r="AQ43" s="195">
        <v>742.2</v>
      </c>
      <c r="AR43" s="196">
        <v>7.3</v>
      </c>
      <c r="AS43" s="196">
        <v>11.3</v>
      </c>
      <c r="AT43" s="196">
        <v>146.9</v>
      </c>
      <c r="AU43" s="196">
        <v>136.69999999999999</v>
      </c>
      <c r="AV43" s="196">
        <v>0.1</v>
      </c>
      <c r="AW43" s="196">
        <v>16.600000000000001</v>
      </c>
      <c r="AX43" s="196">
        <v>42.7</v>
      </c>
      <c r="AY43" s="196">
        <v>44.2</v>
      </c>
      <c r="AZ43" s="196">
        <v>70.400000000000006</v>
      </c>
      <c r="BA43" s="196">
        <v>236.9</v>
      </c>
      <c r="BB43" s="196">
        <v>18.7</v>
      </c>
      <c r="BC43" s="196">
        <v>10.6</v>
      </c>
      <c r="BE43" s="194">
        <v>40268</v>
      </c>
      <c r="BF43" s="195">
        <v>200.6</v>
      </c>
      <c r="BG43" s="196">
        <v>151</v>
      </c>
      <c r="BH43" s="196">
        <v>49.7</v>
      </c>
      <c r="BI43" s="195">
        <v>660.5</v>
      </c>
      <c r="BJ43" s="196">
        <v>8.1999999999999993</v>
      </c>
      <c r="BK43" s="196">
        <v>652.20000000000005</v>
      </c>
      <c r="BM43" s="194">
        <v>40268</v>
      </c>
      <c r="BN43" s="195">
        <v>458.8</v>
      </c>
      <c r="BO43" s="196">
        <v>259.2</v>
      </c>
      <c r="BP43" s="195">
        <v>151.1</v>
      </c>
      <c r="BQ43" s="196">
        <v>47.4</v>
      </c>
      <c r="BS43" s="189">
        <v>37802</v>
      </c>
      <c r="BT43" s="190">
        <v>5929.0765750052888</v>
      </c>
      <c r="BU43" s="190">
        <v>146.82320973979131</v>
      </c>
    </row>
    <row r="44" spans="1:73" ht="14.25" customHeight="1">
      <c r="A44" s="18">
        <v>40359</v>
      </c>
      <c r="B44" s="191">
        <v>2028.6441106384009</v>
      </c>
      <c r="C44" s="191">
        <v>1883.8802976558604</v>
      </c>
      <c r="D44" s="191">
        <v>271.16962710577616</v>
      </c>
      <c r="E44" s="191">
        <v>505.42905210299443</v>
      </c>
      <c r="F44" s="191">
        <v>22.619281858561727</v>
      </c>
      <c r="G44" s="191">
        <v>200.13881386004547</v>
      </c>
      <c r="H44" s="191">
        <v>-10.414446352622548</v>
      </c>
      <c r="I44" s="191">
        <v>72.555467934000006</v>
      </c>
      <c r="J44" s="191">
        <v>292.19839244202359</v>
      </c>
      <c r="K44" s="192">
        <v>73.09430872030552</v>
      </c>
      <c r="L44" s="191">
        <v>546.66762023862498</v>
      </c>
      <c r="M44" s="191">
        <v>3522.6579714792019</v>
      </c>
      <c r="N44" s="191">
        <v>748.78028183879735</v>
      </c>
      <c r="O44" s="191">
        <v>564.55982700730806</v>
      </c>
      <c r="P44" s="191">
        <v>169.29984175604574</v>
      </c>
      <c r="Q44" s="191">
        <v>153.8215423645986</v>
      </c>
      <c r="R44" s="191">
        <v>220.63892672028777</v>
      </c>
      <c r="S44" s="193">
        <f t="shared" si="0"/>
        <v>-316.17483457832168</v>
      </c>
      <c r="T44" s="193">
        <f t="shared" si="1"/>
        <v>506.22413503773078</v>
      </c>
      <c r="U44" s="370">
        <v>7.1934550000000002</v>
      </c>
      <c r="V44" s="372">
        <f>SUMPRODUCT(S41:S44,U41:U44)/SUM(bdp!AR67:AR70)</f>
        <v>-3.706485655625192E-2</v>
      </c>
      <c r="X44" s="18">
        <v>40359</v>
      </c>
      <c r="Y44" s="372">
        <v>-3.706485655625192E-2</v>
      </c>
      <c r="AC44" s="194">
        <v>40359</v>
      </c>
      <c r="AD44" s="195">
        <v>1882.9</v>
      </c>
      <c r="AE44" s="196">
        <v>68.2</v>
      </c>
      <c r="AF44" s="196">
        <v>23.2</v>
      </c>
      <c r="AG44" s="196">
        <v>267</v>
      </c>
      <c r="AH44" s="196">
        <v>1175.4000000000001</v>
      </c>
      <c r="AI44" s="196">
        <v>35.9</v>
      </c>
      <c r="AJ44" s="196">
        <v>5.7</v>
      </c>
      <c r="AK44" s="196">
        <v>7.3</v>
      </c>
      <c r="AL44" s="196">
        <v>7.9</v>
      </c>
      <c r="AM44" s="196">
        <v>74.099999999999994</v>
      </c>
      <c r="AN44" s="196">
        <v>206.3</v>
      </c>
      <c r="AO44" s="196">
        <v>12.1</v>
      </c>
      <c r="AP44" s="196">
        <v>0</v>
      </c>
      <c r="AQ44" s="195">
        <v>748.8</v>
      </c>
      <c r="AR44" s="196">
        <v>26.5</v>
      </c>
      <c r="AS44" s="196">
        <v>7</v>
      </c>
      <c r="AT44" s="196">
        <v>176.5</v>
      </c>
      <c r="AU44" s="196">
        <v>158.9</v>
      </c>
      <c r="AV44" s="196">
        <v>0.4</v>
      </c>
      <c r="AW44" s="196">
        <v>14.6</v>
      </c>
      <c r="AX44" s="196">
        <v>50.8</v>
      </c>
      <c r="AY44" s="196">
        <v>33.799999999999997</v>
      </c>
      <c r="AZ44" s="196">
        <v>65.400000000000006</v>
      </c>
      <c r="BA44" s="196">
        <v>182.4</v>
      </c>
      <c r="BB44" s="196">
        <v>19.600000000000001</v>
      </c>
      <c r="BC44" s="196">
        <v>12.7</v>
      </c>
      <c r="BE44" s="194">
        <v>40359</v>
      </c>
      <c r="BF44" s="195">
        <v>271.10000000000002</v>
      </c>
      <c r="BG44" s="196">
        <v>164.3</v>
      </c>
      <c r="BH44" s="196">
        <v>106.8</v>
      </c>
      <c r="BI44" s="195">
        <v>567.9</v>
      </c>
      <c r="BJ44" s="196">
        <v>9.1999999999999993</v>
      </c>
      <c r="BK44" s="196">
        <v>558.70000000000005</v>
      </c>
      <c r="BM44" s="194">
        <v>40359</v>
      </c>
      <c r="BN44" s="195">
        <v>505.3</v>
      </c>
      <c r="BO44" s="196">
        <v>275.7</v>
      </c>
      <c r="BP44" s="195">
        <v>169.3</v>
      </c>
      <c r="BQ44" s="196">
        <v>53.4</v>
      </c>
      <c r="BS44" s="189">
        <v>37894</v>
      </c>
      <c r="BT44" s="190">
        <v>6181.3869569868803</v>
      </c>
      <c r="BU44" s="190">
        <v>252.31038198159149</v>
      </c>
    </row>
    <row r="45" spans="1:73" ht="14.25" customHeight="1">
      <c r="A45" s="18">
        <v>40451</v>
      </c>
      <c r="B45" s="191">
        <v>1979.6176507081998</v>
      </c>
      <c r="C45" s="191">
        <v>4385.1159599884613</v>
      </c>
      <c r="D45" s="191">
        <v>227.25892023512301</v>
      </c>
      <c r="E45" s="191">
        <v>461.76984912527388</v>
      </c>
      <c r="F45" s="191">
        <v>18.806814356129184</v>
      </c>
      <c r="G45" s="191">
        <v>76.38775960004547</v>
      </c>
      <c r="H45" s="191">
        <v>80.996611233089652</v>
      </c>
      <c r="I45" s="191">
        <v>73.981913976800001</v>
      </c>
      <c r="J45" s="191">
        <v>1109.6881466083878</v>
      </c>
      <c r="K45" s="192">
        <v>1136.4131879717636</v>
      </c>
      <c r="L45" s="191">
        <v>-873.7232653032155</v>
      </c>
      <c r="M45" s="191">
        <v>3691.4330761264978</v>
      </c>
      <c r="N45" s="191">
        <v>808.69496852420878</v>
      </c>
      <c r="O45" s="191">
        <v>733.53051721091856</v>
      </c>
      <c r="P45" s="191">
        <v>146.69647679501978</v>
      </c>
      <c r="Q45" s="191">
        <v>424.05680180439845</v>
      </c>
      <c r="R45" s="191">
        <v>1234.9199271323614</v>
      </c>
      <c r="S45" s="193">
        <f t="shared" si="0"/>
        <v>1673.4073414004142</v>
      </c>
      <c r="T45" s="193">
        <f t="shared" si="1"/>
        <v>1636.9817809066562</v>
      </c>
      <c r="U45" s="370">
        <v>7.2927429999999998</v>
      </c>
      <c r="V45" s="372">
        <f>SUMPRODUCT(S42:S45,U42:U45)/SUM(bdp!AR68:AR71)</f>
        <v>-3.1551289558136283E-2</v>
      </c>
      <c r="X45" s="18">
        <v>40451</v>
      </c>
      <c r="Y45" s="372">
        <v>-3.1551289558136283E-2</v>
      </c>
      <c r="AC45" s="194">
        <v>40451</v>
      </c>
      <c r="AD45" s="195">
        <v>4377.8999999999996</v>
      </c>
      <c r="AE45" s="196">
        <v>56.8</v>
      </c>
      <c r="AF45" s="196">
        <v>19.600000000000001</v>
      </c>
      <c r="AG45" s="196">
        <v>317.5</v>
      </c>
      <c r="AH45" s="196">
        <v>3578.1</v>
      </c>
      <c r="AI45" s="196">
        <v>30.9</v>
      </c>
      <c r="AJ45" s="196">
        <v>6.3</v>
      </c>
      <c r="AK45" s="196">
        <v>7.6</v>
      </c>
      <c r="AL45" s="196">
        <v>7.7</v>
      </c>
      <c r="AM45" s="196">
        <v>111.5</v>
      </c>
      <c r="AN45" s="196">
        <v>212.9</v>
      </c>
      <c r="AO45" s="196">
        <v>29</v>
      </c>
      <c r="AP45" s="196">
        <v>0</v>
      </c>
      <c r="AQ45" s="195">
        <v>807.9</v>
      </c>
      <c r="AR45" s="196">
        <v>23.4</v>
      </c>
      <c r="AS45" s="196">
        <v>8</v>
      </c>
      <c r="AT45" s="196">
        <v>182.5</v>
      </c>
      <c r="AU45" s="196">
        <v>177</v>
      </c>
      <c r="AV45" s="196">
        <v>1.8</v>
      </c>
      <c r="AW45" s="196">
        <v>10.1</v>
      </c>
      <c r="AX45" s="196">
        <v>46.9</v>
      </c>
      <c r="AY45" s="196">
        <v>42.9</v>
      </c>
      <c r="AZ45" s="196">
        <v>68.5</v>
      </c>
      <c r="BA45" s="196">
        <v>209.8</v>
      </c>
      <c r="BB45" s="196">
        <v>26.2</v>
      </c>
      <c r="BC45" s="196">
        <v>10.6</v>
      </c>
      <c r="BE45" s="194">
        <v>40451</v>
      </c>
      <c r="BF45" s="195">
        <v>227.5</v>
      </c>
      <c r="BG45" s="196">
        <v>167.8</v>
      </c>
      <c r="BH45" s="196">
        <v>59.7</v>
      </c>
      <c r="BI45" s="195">
        <v>739.7</v>
      </c>
      <c r="BJ45" s="196">
        <v>9.4</v>
      </c>
      <c r="BK45" s="196">
        <v>730.4</v>
      </c>
      <c r="BM45" s="194">
        <v>40451</v>
      </c>
      <c r="BN45" s="195">
        <v>461.6</v>
      </c>
      <c r="BO45" s="196">
        <v>258.60000000000002</v>
      </c>
      <c r="BP45" s="195">
        <v>146.6</v>
      </c>
      <c r="BQ45" s="196">
        <v>55.1</v>
      </c>
      <c r="BS45" s="189">
        <v>37986</v>
      </c>
      <c r="BT45" s="190">
        <v>6554.0969541588647</v>
      </c>
      <c r="BU45" s="190">
        <v>372.70999717198447</v>
      </c>
    </row>
    <row r="46" spans="1:73" ht="14.25" customHeight="1">
      <c r="A46" s="18">
        <v>40543</v>
      </c>
      <c r="B46" s="191">
        <v>2229.5997414475014</v>
      </c>
      <c r="C46" s="191">
        <v>1180.2308559070532</v>
      </c>
      <c r="D46" s="191">
        <v>209.77681117908594</v>
      </c>
      <c r="E46" s="191">
        <v>492.16149007375793</v>
      </c>
      <c r="F46" s="191">
        <v>175.28793569498487</v>
      </c>
      <c r="G46" s="191">
        <v>-137.04668707975549</v>
      </c>
      <c r="H46" s="191">
        <v>-80.80310925694414</v>
      </c>
      <c r="I46" s="191">
        <v>44.647784587799997</v>
      </c>
      <c r="J46" s="191">
        <v>-730.80315741951574</v>
      </c>
      <c r="K46" s="192">
        <v>-574.57801081495995</v>
      </c>
      <c r="L46" s="191">
        <v>-359.54322279677081</v>
      </c>
      <c r="M46" s="191">
        <v>3666.1832798684013</v>
      </c>
      <c r="N46" s="191">
        <v>805.721360224774</v>
      </c>
      <c r="O46" s="191">
        <v>473.26889565676106</v>
      </c>
      <c r="P46" s="191">
        <v>173.32993993693736</v>
      </c>
      <c r="Q46" s="191">
        <v>-263.66131537390152</v>
      </c>
      <c r="R46" s="191">
        <v>-23.932000428212532</v>
      </c>
      <c r="S46" s="193">
        <f t="shared" si="0"/>
        <v>-1006.7345770794745</v>
      </c>
      <c r="T46" s="193">
        <f t="shared" si="1"/>
        <v>-2381.9797283625207</v>
      </c>
      <c r="U46" s="370">
        <v>7.385173</v>
      </c>
      <c r="V46" s="372">
        <f>SUMPRODUCT(S43:S46,U43:U46)/SUM(bdp!AR69:AR72)</f>
        <v>-2.1643847648199491E-2</v>
      </c>
      <c r="X46" s="18">
        <v>40543</v>
      </c>
      <c r="Y46" s="372">
        <v>-2.1643847648199491E-2</v>
      </c>
      <c r="AC46" s="194">
        <v>40543</v>
      </c>
      <c r="AD46" s="195">
        <v>1178.5999999999999</v>
      </c>
      <c r="AE46" s="196">
        <v>60.3</v>
      </c>
      <c r="AF46" s="196">
        <v>19.5</v>
      </c>
      <c r="AG46" s="196">
        <v>231.3</v>
      </c>
      <c r="AH46" s="196">
        <v>533.20000000000005</v>
      </c>
      <c r="AI46" s="196">
        <v>34.1</v>
      </c>
      <c r="AJ46" s="196">
        <v>6.7</v>
      </c>
      <c r="AK46" s="196">
        <v>9.5</v>
      </c>
      <c r="AL46" s="196">
        <v>4.0999999999999996</v>
      </c>
      <c r="AM46" s="196">
        <v>56.9</v>
      </c>
      <c r="AN46" s="196">
        <v>209.3</v>
      </c>
      <c r="AO46" s="196">
        <v>13.8</v>
      </c>
      <c r="AP46" s="196">
        <v>0</v>
      </c>
      <c r="AQ46" s="195">
        <v>805.2</v>
      </c>
      <c r="AR46" s="196">
        <v>27.4</v>
      </c>
      <c r="AS46" s="196">
        <v>9.1999999999999993</v>
      </c>
      <c r="AT46" s="196">
        <v>176.4</v>
      </c>
      <c r="AU46" s="196">
        <v>156.1</v>
      </c>
      <c r="AV46" s="196">
        <v>1.9</v>
      </c>
      <c r="AW46" s="196">
        <v>11.1</v>
      </c>
      <c r="AX46" s="196">
        <v>68.3</v>
      </c>
      <c r="AY46" s="196">
        <v>47.9</v>
      </c>
      <c r="AZ46" s="196">
        <v>69.400000000000006</v>
      </c>
      <c r="BA46" s="196">
        <v>204.4</v>
      </c>
      <c r="BB46" s="196">
        <v>19</v>
      </c>
      <c r="BC46" s="196">
        <v>14.1</v>
      </c>
      <c r="BE46" s="194">
        <v>40543</v>
      </c>
      <c r="BF46" s="195">
        <v>209.8</v>
      </c>
      <c r="BG46" s="196">
        <v>173.9</v>
      </c>
      <c r="BH46" s="196">
        <v>36</v>
      </c>
      <c r="BI46" s="195">
        <v>476.1</v>
      </c>
      <c r="BJ46" s="196">
        <v>9.4</v>
      </c>
      <c r="BK46" s="196">
        <v>466.9</v>
      </c>
      <c r="BM46" s="194">
        <v>40543</v>
      </c>
      <c r="BN46" s="195">
        <v>491.8</v>
      </c>
      <c r="BO46" s="196">
        <v>273.60000000000002</v>
      </c>
      <c r="BP46" s="195">
        <v>173.3</v>
      </c>
      <c r="BQ46" s="196">
        <v>58.9</v>
      </c>
      <c r="BS46" s="189">
        <v>38077</v>
      </c>
      <c r="BT46" s="190">
        <v>6178.5145138096386</v>
      </c>
      <c r="BU46" s="190">
        <v>-375.58244034922609</v>
      </c>
    </row>
    <row r="47" spans="1:73" ht="14.25" customHeight="1">
      <c r="A47" s="18">
        <v>40633</v>
      </c>
      <c r="B47" s="191">
        <v>1996.4034772348994</v>
      </c>
      <c r="C47" s="191">
        <v>846.58784991099992</v>
      </c>
      <c r="D47" s="191">
        <v>211.1112227299601</v>
      </c>
      <c r="E47" s="191">
        <v>484.43049450229984</v>
      </c>
      <c r="F47" s="191">
        <v>8.1644432517999981</v>
      </c>
      <c r="G47" s="191">
        <v>83.492429240283258</v>
      </c>
      <c r="H47" s="191">
        <v>-82.239145230271077</v>
      </c>
      <c r="I47" s="191">
        <v>8.5079362190000083</v>
      </c>
      <c r="J47" s="191">
        <v>-1760.824870955807</v>
      </c>
      <c r="K47" s="192">
        <v>913.97549201153981</v>
      </c>
      <c r="L47" s="191">
        <v>153.56369197765798</v>
      </c>
      <c r="M47" s="191">
        <v>3550.8394170396041</v>
      </c>
      <c r="N47" s="191">
        <v>712.79012781029996</v>
      </c>
      <c r="O47" s="191">
        <v>653.86802970035978</v>
      </c>
      <c r="P47" s="191">
        <v>156.88878930499999</v>
      </c>
      <c r="Q47" s="191">
        <v>220.19945736118524</v>
      </c>
      <c r="R47" s="191">
        <v>316.83756817120582</v>
      </c>
      <c r="S47" s="193">
        <f t="shared" si="0"/>
        <v>-1535.8533194771039</v>
      </c>
      <c r="T47" s="193">
        <f t="shared" si="1"/>
        <v>-2748.2503684952922</v>
      </c>
      <c r="U47" s="370">
        <v>7.3828069999999997</v>
      </c>
      <c r="V47" s="372">
        <f>SUMPRODUCT(S44:S47,U44:U47)/SUM(bdp!AR70:AR73)</f>
        <v>-2.6915968666545685E-2</v>
      </c>
      <c r="X47" s="18">
        <v>40633</v>
      </c>
      <c r="Y47" s="372">
        <v>-2.6915968666545685E-2</v>
      </c>
      <c r="AC47" s="194">
        <v>40633</v>
      </c>
      <c r="AD47" s="195">
        <v>846.3</v>
      </c>
      <c r="AE47" s="196">
        <v>63.6</v>
      </c>
      <c r="AF47" s="196">
        <v>32.4</v>
      </c>
      <c r="AG47" s="196">
        <v>191.7</v>
      </c>
      <c r="AH47" s="196">
        <v>268.3</v>
      </c>
      <c r="AI47" s="196">
        <v>14.5</v>
      </c>
      <c r="AJ47" s="196">
        <v>5.3</v>
      </c>
      <c r="AK47" s="196">
        <v>4.5</v>
      </c>
      <c r="AL47" s="196">
        <v>4.0999999999999996</v>
      </c>
      <c r="AM47" s="196">
        <v>69.7</v>
      </c>
      <c r="AN47" s="196">
        <v>175</v>
      </c>
      <c r="AO47" s="196">
        <v>17.600000000000001</v>
      </c>
      <c r="AP47" s="196">
        <v>0</v>
      </c>
      <c r="AQ47" s="195">
        <v>712.7</v>
      </c>
      <c r="AR47" s="196">
        <v>7</v>
      </c>
      <c r="AS47" s="196">
        <v>11.9</v>
      </c>
      <c r="AT47" s="196">
        <v>159.69999999999999</v>
      </c>
      <c r="AU47" s="196">
        <v>131.19999999999999</v>
      </c>
      <c r="AV47" s="196">
        <v>15.3</v>
      </c>
      <c r="AW47" s="196">
        <v>19.7</v>
      </c>
      <c r="AX47" s="196">
        <v>66.3</v>
      </c>
      <c r="AY47" s="196">
        <v>44.4</v>
      </c>
      <c r="AZ47" s="196">
        <v>77.3</v>
      </c>
      <c r="BA47" s="196">
        <v>151.69999999999999</v>
      </c>
      <c r="BB47" s="196">
        <v>19.5</v>
      </c>
      <c r="BC47" s="196">
        <v>8.6</v>
      </c>
      <c r="BE47" s="194">
        <v>40633</v>
      </c>
      <c r="BF47" s="195">
        <v>211.2</v>
      </c>
      <c r="BG47" s="196">
        <v>157.5</v>
      </c>
      <c r="BH47" s="196">
        <v>53.6</v>
      </c>
      <c r="BI47" s="195">
        <v>662</v>
      </c>
      <c r="BJ47" s="196">
        <v>9.1999999999999993</v>
      </c>
      <c r="BK47" s="196">
        <v>652.79999999999995</v>
      </c>
      <c r="BM47" s="194">
        <v>40633</v>
      </c>
      <c r="BN47" s="195">
        <v>484.3</v>
      </c>
      <c r="BO47" s="196">
        <v>281</v>
      </c>
      <c r="BP47" s="195">
        <v>156.9</v>
      </c>
      <c r="BQ47" s="196">
        <v>60</v>
      </c>
      <c r="BS47" s="189">
        <v>38168</v>
      </c>
      <c r="BT47" s="190">
        <v>6389.4517639200976</v>
      </c>
      <c r="BU47" s="190">
        <v>210.93725011045899</v>
      </c>
    </row>
    <row r="48" spans="1:73" ht="14.25" customHeight="1">
      <c r="A48" s="18">
        <v>40724</v>
      </c>
      <c r="B48" s="191">
        <v>2250.9879693417988</v>
      </c>
      <c r="C48" s="191">
        <v>1956.9662022111993</v>
      </c>
      <c r="D48" s="191">
        <v>262.47741195094807</v>
      </c>
      <c r="E48" s="191">
        <v>520.36944863029998</v>
      </c>
      <c r="F48" s="191">
        <v>16.443796193599997</v>
      </c>
      <c r="G48" s="191">
        <v>-9.5647162840166153</v>
      </c>
      <c r="H48" s="191">
        <v>159.0929160247949</v>
      </c>
      <c r="I48" s="191">
        <v>47.667911528699989</v>
      </c>
      <c r="J48" s="191">
        <v>-597.70350925488253</v>
      </c>
      <c r="K48" s="192">
        <v>48.328615217684025</v>
      </c>
      <c r="L48" s="191">
        <v>490.80598208042699</v>
      </c>
      <c r="M48" s="191">
        <v>3902.9371388121963</v>
      </c>
      <c r="N48" s="191">
        <v>784.94601025379984</v>
      </c>
      <c r="O48" s="191">
        <v>714.4119778392826</v>
      </c>
      <c r="P48" s="191">
        <v>145.18742796240002</v>
      </c>
      <c r="Q48" s="191">
        <v>137.34839678298596</v>
      </c>
      <c r="R48" s="191">
        <v>-440.09543509130066</v>
      </c>
      <c r="S48" s="193">
        <f t="shared" si="0"/>
        <v>-556.68152273343185</v>
      </c>
      <c r="T48" s="193">
        <f t="shared" si="1"/>
        <v>-98.863488918809708</v>
      </c>
      <c r="U48" s="370">
        <v>7.3739460000000001</v>
      </c>
      <c r="V48" s="372">
        <f>SUMPRODUCT(S45:S48,U45:U48)/SUM(bdp!AR71:AR74)</f>
        <v>-3.2275541260441583E-2</v>
      </c>
      <c r="X48" s="18">
        <v>40724</v>
      </c>
      <c r="Y48" s="372">
        <v>-3.2275541260441583E-2</v>
      </c>
      <c r="AC48" s="194">
        <v>40724</v>
      </c>
      <c r="AD48" s="195">
        <v>1957.3</v>
      </c>
      <c r="AE48" s="196">
        <v>69.3</v>
      </c>
      <c r="AF48" s="196">
        <v>28.5</v>
      </c>
      <c r="AG48" s="196">
        <v>261.5</v>
      </c>
      <c r="AH48" s="196">
        <v>1267.7</v>
      </c>
      <c r="AI48" s="196">
        <v>19.7</v>
      </c>
      <c r="AJ48" s="196">
        <v>6.4</v>
      </c>
      <c r="AK48" s="196">
        <v>8.8000000000000007</v>
      </c>
      <c r="AL48" s="196">
        <v>4.0999999999999996</v>
      </c>
      <c r="AM48" s="196">
        <v>79.8</v>
      </c>
      <c r="AN48" s="196">
        <v>202.8</v>
      </c>
      <c r="AO48" s="196">
        <v>8.8000000000000007</v>
      </c>
      <c r="AP48" s="196">
        <v>0</v>
      </c>
      <c r="AQ48" s="195">
        <v>784.5</v>
      </c>
      <c r="AR48" s="196">
        <v>38.1</v>
      </c>
      <c r="AS48" s="196">
        <v>14.9</v>
      </c>
      <c r="AT48" s="196">
        <v>188.1</v>
      </c>
      <c r="AU48" s="196">
        <v>153.80000000000001</v>
      </c>
      <c r="AV48" s="196">
        <v>16.100000000000001</v>
      </c>
      <c r="AW48" s="196">
        <v>11.4</v>
      </c>
      <c r="AX48" s="196">
        <v>70.5</v>
      </c>
      <c r="AY48" s="196">
        <v>42.7</v>
      </c>
      <c r="AZ48" s="196">
        <v>66.8</v>
      </c>
      <c r="BA48" s="196">
        <v>158.5</v>
      </c>
      <c r="BB48" s="196">
        <v>14.7</v>
      </c>
      <c r="BC48" s="196">
        <v>8.5</v>
      </c>
      <c r="BE48" s="194">
        <v>40724</v>
      </c>
      <c r="BF48" s="195">
        <v>262.5</v>
      </c>
      <c r="BG48" s="196">
        <v>172.9</v>
      </c>
      <c r="BH48" s="196">
        <v>89.7</v>
      </c>
      <c r="BI48" s="195">
        <v>718</v>
      </c>
      <c r="BJ48" s="196">
        <v>9.1999999999999993</v>
      </c>
      <c r="BK48" s="196">
        <v>708.8</v>
      </c>
      <c r="BM48" s="194">
        <v>40724</v>
      </c>
      <c r="BN48" s="195">
        <v>520.1</v>
      </c>
      <c r="BO48" s="196">
        <v>317.2</v>
      </c>
      <c r="BP48" s="195">
        <v>145.1</v>
      </c>
      <c r="BQ48" s="196">
        <v>53</v>
      </c>
      <c r="BS48" s="189">
        <v>38260</v>
      </c>
      <c r="BT48" s="190">
        <v>6451.8324562151483</v>
      </c>
      <c r="BU48" s="190">
        <v>62.380692295050721</v>
      </c>
    </row>
    <row r="49" spans="1:73" ht="14.25" customHeight="1">
      <c r="A49" s="18">
        <v>40816</v>
      </c>
      <c r="B49" s="191">
        <v>2304.1394318570001</v>
      </c>
      <c r="C49" s="191">
        <v>4591.1734335350002</v>
      </c>
      <c r="D49" s="191">
        <v>259.04491822420971</v>
      </c>
      <c r="E49" s="191">
        <v>513.02443564169994</v>
      </c>
      <c r="F49" s="191">
        <v>9.1683245828999986</v>
      </c>
      <c r="G49" s="191">
        <v>-145.93409144181663</v>
      </c>
      <c r="H49" s="191">
        <v>-415.14708546627037</v>
      </c>
      <c r="I49" s="191">
        <v>92.07763539820003</v>
      </c>
      <c r="J49" s="191">
        <v>2555.2605210617321</v>
      </c>
      <c r="K49" s="192">
        <v>-234.14963965682833</v>
      </c>
      <c r="L49" s="191">
        <v>-966.40296912259191</v>
      </c>
      <c r="M49" s="191">
        <v>3958.0263373768967</v>
      </c>
      <c r="N49" s="191">
        <v>755.2231972077002</v>
      </c>
      <c r="O49" s="191">
        <v>642.10654669843916</v>
      </c>
      <c r="P49" s="191">
        <v>150.0574991798</v>
      </c>
      <c r="Q49" s="191">
        <v>382.14576070838541</v>
      </c>
      <c r="R49" s="191">
        <v>265.22758493124962</v>
      </c>
      <c r="S49" s="193">
        <f t="shared" si="0"/>
        <v>2161.9686387950742</v>
      </c>
      <c r="T49" s="193">
        <f t="shared" si="1"/>
        <v>2409.4679885107635</v>
      </c>
      <c r="U49" s="370">
        <v>7.4920229999999997</v>
      </c>
      <c r="V49" s="372">
        <f>SUMPRODUCT(S46:S49,U46:U49)/SUM(bdp!AR72:AR75)</f>
        <v>-2.0118303427764783E-2</v>
      </c>
      <c r="X49" s="18">
        <v>40816</v>
      </c>
      <c r="Y49" s="372">
        <v>-2.0118303427764783E-2</v>
      </c>
      <c r="AC49" s="194">
        <v>40816</v>
      </c>
      <c r="AD49" s="195">
        <v>4582.7</v>
      </c>
      <c r="AE49" s="196">
        <v>56.3</v>
      </c>
      <c r="AF49" s="196">
        <v>29.9</v>
      </c>
      <c r="AG49" s="196">
        <v>307.8</v>
      </c>
      <c r="AH49" s="196">
        <v>3797.6</v>
      </c>
      <c r="AI49" s="196">
        <v>23.9</v>
      </c>
      <c r="AJ49" s="196">
        <v>5.8</v>
      </c>
      <c r="AK49" s="196">
        <v>14.7</v>
      </c>
      <c r="AL49" s="196">
        <v>4.3</v>
      </c>
      <c r="AM49" s="196">
        <v>125</v>
      </c>
      <c r="AN49" s="196">
        <v>202.9</v>
      </c>
      <c r="AO49" s="196">
        <v>14.6</v>
      </c>
      <c r="AP49" s="196">
        <v>0</v>
      </c>
      <c r="AQ49" s="195">
        <v>754.3</v>
      </c>
      <c r="AR49" s="196">
        <v>5.9</v>
      </c>
      <c r="AS49" s="196">
        <v>16.2</v>
      </c>
      <c r="AT49" s="196">
        <v>181.6</v>
      </c>
      <c r="AU49" s="196">
        <v>178.6</v>
      </c>
      <c r="AV49" s="196">
        <v>14.2</v>
      </c>
      <c r="AW49" s="196">
        <v>8.8000000000000007</v>
      </c>
      <c r="AX49" s="196">
        <v>32.6</v>
      </c>
      <c r="AY49" s="196">
        <v>48.8</v>
      </c>
      <c r="AZ49" s="196">
        <v>76.099999999999994</v>
      </c>
      <c r="BA49" s="196">
        <v>162</v>
      </c>
      <c r="BB49" s="196">
        <v>20.9</v>
      </c>
      <c r="BC49" s="196">
        <v>8.6999999999999993</v>
      </c>
      <c r="BE49" s="194">
        <v>40816</v>
      </c>
      <c r="BF49" s="195">
        <v>258.89999999999998</v>
      </c>
      <c r="BG49" s="196">
        <v>170</v>
      </c>
      <c r="BH49" s="196">
        <v>88.8</v>
      </c>
      <c r="BI49" s="195">
        <v>646.4</v>
      </c>
      <c r="BJ49" s="196">
        <v>9.8000000000000007</v>
      </c>
      <c r="BK49" s="196">
        <v>636.5</v>
      </c>
      <c r="BM49" s="194">
        <v>40816</v>
      </c>
      <c r="BN49" s="195">
        <v>512.4</v>
      </c>
      <c r="BO49" s="196">
        <v>307.3</v>
      </c>
      <c r="BP49" s="195">
        <v>149.9</v>
      </c>
      <c r="BQ49" s="196">
        <v>59.9</v>
      </c>
      <c r="BS49" s="189">
        <v>38352</v>
      </c>
      <c r="BT49" s="190">
        <v>6436.170066920532</v>
      </c>
      <c r="BU49" s="190">
        <v>-15.662389294616332</v>
      </c>
    </row>
    <row r="50" spans="1:73" ht="14.25" customHeight="1">
      <c r="A50" s="18">
        <v>40908</v>
      </c>
      <c r="B50" s="191">
        <v>2191.4748865901006</v>
      </c>
      <c r="C50" s="191">
        <v>1278.8393042975999</v>
      </c>
      <c r="D50" s="191">
        <v>241.31378023321628</v>
      </c>
      <c r="E50" s="191">
        <v>530.5994305800001</v>
      </c>
      <c r="F50" s="191">
        <v>32.54331201010001</v>
      </c>
      <c r="G50" s="191">
        <v>34.321529740983259</v>
      </c>
      <c r="H50" s="191">
        <v>-232.4968065509554</v>
      </c>
      <c r="I50" s="191">
        <v>-73.397571747399994</v>
      </c>
      <c r="J50" s="191">
        <v>-290.65793787714006</v>
      </c>
      <c r="K50" s="192">
        <v>-265.73963718635486</v>
      </c>
      <c r="L50" s="191">
        <v>-89.359318799642779</v>
      </c>
      <c r="M50" s="191">
        <v>3712.6799612647992</v>
      </c>
      <c r="N50" s="191">
        <v>815.33525476449995</v>
      </c>
      <c r="O50" s="191">
        <v>399.96015252651881</v>
      </c>
      <c r="P50" s="191">
        <v>183.15310365210001</v>
      </c>
      <c r="Q50" s="191">
        <v>155.03695376528412</v>
      </c>
      <c r="R50" s="191">
        <v>-57.290300089607115</v>
      </c>
      <c r="S50" s="193">
        <f t="shared" si="0"/>
        <v>-868.90107050700135</v>
      </c>
      <c r="T50" s="193">
        <f t="shared" si="1"/>
        <v>-1851.4341545930884</v>
      </c>
      <c r="U50" s="370">
        <v>7.5304200000000003</v>
      </c>
      <c r="V50" s="372">
        <f>SUMPRODUCT(S47:S50,U47:U50)/SUM(bdp!AR73:AR76)</f>
        <v>-1.7374743488491537E-2</v>
      </c>
      <c r="X50" s="18">
        <v>40908</v>
      </c>
      <c r="Y50" s="372">
        <v>-1.7374743488491537E-2</v>
      </c>
      <c r="AC50" s="194">
        <v>40908</v>
      </c>
      <c r="AD50" s="195">
        <v>1277.9000000000001</v>
      </c>
      <c r="AE50" s="196">
        <v>63.2</v>
      </c>
      <c r="AF50" s="196">
        <v>38</v>
      </c>
      <c r="AG50" s="196">
        <v>216.1</v>
      </c>
      <c r="AH50" s="196">
        <v>562.5</v>
      </c>
      <c r="AI50" s="196">
        <v>28.3</v>
      </c>
      <c r="AJ50" s="196">
        <v>6.7</v>
      </c>
      <c r="AK50" s="196">
        <v>9.5</v>
      </c>
      <c r="AL50" s="196">
        <v>5.0999999999999996</v>
      </c>
      <c r="AM50" s="196">
        <v>89.9</v>
      </c>
      <c r="AN50" s="196">
        <v>247</v>
      </c>
      <c r="AO50" s="196">
        <v>11.6</v>
      </c>
      <c r="AP50" s="196">
        <v>0</v>
      </c>
      <c r="AQ50" s="195">
        <v>815</v>
      </c>
      <c r="AR50" s="196">
        <v>9.1999999999999993</v>
      </c>
      <c r="AS50" s="196">
        <v>17.5</v>
      </c>
      <c r="AT50" s="196">
        <v>170.3</v>
      </c>
      <c r="AU50" s="196">
        <v>168.3</v>
      </c>
      <c r="AV50" s="196">
        <v>17.2</v>
      </c>
      <c r="AW50" s="196">
        <v>6.9</v>
      </c>
      <c r="AX50" s="196">
        <v>59.2</v>
      </c>
      <c r="AY50" s="196">
        <v>52.6</v>
      </c>
      <c r="AZ50" s="196">
        <v>91.9</v>
      </c>
      <c r="BA50" s="196">
        <v>198</v>
      </c>
      <c r="BB50" s="196">
        <v>24</v>
      </c>
      <c r="BC50" s="196">
        <v>0</v>
      </c>
      <c r="BE50" s="194">
        <v>40908</v>
      </c>
      <c r="BF50" s="195">
        <v>241.2</v>
      </c>
      <c r="BG50" s="196">
        <v>172.7</v>
      </c>
      <c r="BH50" s="196">
        <v>68.400000000000006</v>
      </c>
      <c r="BI50" s="195">
        <v>404</v>
      </c>
      <c r="BJ50" s="196">
        <v>9.6</v>
      </c>
      <c r="BK50" s="196">
        <v>394.4</v>
      </c>
      <c r="BM50" s="194">
        <v>40908</v>
      </c>
      <c r="BN50" s="195">
        <v>530.4</v>
      </c>
      <c r="BO50" s="196">
        <v>302.7</v>
      </c>
      <c r="BP50" s="195">
        <v>183.1</v>
      </c>
      <c r="BQ50" s="196">
        <v>71.8</v>
      </c>
      <c r="BS50" s="189">
        <v>38442</v>
      </c>
      <c r="BT50" s="190">
        <v>6700.4631363987282</v>
      </c>
      <c r="BU50" s="190">
        <v>264.29306947819623</v>
      </c>
    </row>
    <row r="51" spans="1:73" ht="14.25" customHeight="1">
      <c r="A51" s="18">
        <v>40999</v>
      </c>
      <c r="B51" s="191">
        <v>1958.9440000230015</v>
      </c>
      <c r="C51" s="191">
        <v>846.70179352759999</v>
      </c>
      <c r="D51" s="191">
        <v>220.51604136848547</v>
      </c>
      <c r="E51" s="191">
        <v>507.3266047007001</v>
      </c>
      <c r="F51" s="191">
        <v>3.9048103927</v>
      </c>
      <c r="G51" s="191">
        <v>-225.1660178949553</v>
      </c>
      <c r="H51" s="191">
        <v>-255.81048130700674</v>
      </c>
      <c r="I51" s="191">
        <v>-9.0157538286999994</v>
      </c>
      <c r="J51" s="191">
        <v>-859.97425979409081</v>
      </c>
      <c r="K51" s="192">
        <v>222.64841631672815</v>
      </c>
      <c r="L51" s="191">
        <v>264.72218538658672</v>
      </c>
      <c r="M51" s="191">
        <v>3589.7267275417994</v>
      </c>
      <c r="N51" s="191">
        <v>692.78596143319987</v>
      </c>
      <c r="O51" s="191">
        <v>698.41075583978215</v>
      </c>
      <c r="P51" s="191">
        <v>163.0993882699</v>
      </c>
      <c r="Q51" s="191">
        <v>61.918737552222524</v>
      </c>
      <c r="R51" s="191">
        <v>152.67056362536019</v>
      </c>
      <c r="S51" s="193">
        <f t="shared" si="0"/>
        <v>-1610.5343934648945</v>
      </c>
      <c r="T51" s="193">
        <f t="shared" si="1"/>
        <v>-2683.8147953712146</v>
      </c>
      <c r="U51" s="370">
        <v>7.5069169999999996</v>
      </c>
      <c r="V51" s="372">
        <f>SUMPRODUCT(S48:S51,U48:U51)/SUM(bdp!AR74:AR77)</f>
        <v>-1.9643307252906885E-2</v>
      </c>
      <c r="X51" s="18">
        <v>40999</v>
      </c>
      <c r="Y51" s="372">
        <v>-1.9643307252906885E-2</v>
      </c>
      <c r="AC51" s="194">
        <v>40999</v>
      </c>
      <c r="AD51" s="195">
        <v>846.4</v>
      </c>
      <c r="AE51" s="196">
        <v>68.8</v>
      </c>
      <c r="AF51" s="196">
        <v>20.2</v>
      </c>
      <c r="AG51" s="196">
        <v>194.3</v>
      </c>
      <c r="AH51" s="196">
        <v>278.7</v>
      </c>
      <c r="AI51" s="196">
        <v>11.8</v>
      </c>
      <c r="AJ51" s="196">
        <v>4.9000000000000004</v>
      </c>
      <c r="AK51" s="196">
        <v>9</v>
      </c>
      <c r="AL51" s="196">
        <v>5.7</v>
      </c>
      <c r="AM51" s="196">
        <v>63.8</v>
      </c>
      <c r="AN51" s="196">
        <v>182.4</v>
      </c>
      <c r="AO51" s="196">
        <v>7</v>
      </c>
      <c r="AP51" s="196">
        <v>0</v>
      </c>
      <c r="AQ51" s="195">
        <v>692.5</v>
      </c>
      <c r="AR51" s="196">
        <v>42.5</v>
      </c>
      <c r="AS51" s="196">
        <v>8.1</v>
      </c>
      <c r="AT51" s="196">
        <v>162.19999999999999</v>
      </c>
      <c r="AU51" s="196">
        <v>149.5</v>
      </c>
      <c r="AV51" s="196">
        <v>10.5</v>
      </c>
      <c r="AW51" s="196">
        <v>14.4</v>
      </c>
      <c r="AX51" s="196">
        <v>36.4</v>
      </c>
      <c r="AY51" s="196">
        <v>45.4</v>
      </c>
      <c r="AZ51" s="196">
        <v>68.2</v>
      </c>
      <c r="BA51" s="196">
        <v>132.9</v>
      </c>
      <c r="BB51" s="196">
        <v>14.4</v>
      </c>
      <c r="BC51" s="196">
        <v>7.9</v>
      </c>
      <c r="BE51" s="194">
        <v>40999</v>
      </c>
      <c r="BF51" s="195">
        <v>220.3</v>
      </c>
      <c r="BG51" s="196">
        <v>179.6</v>
      </c>
      <c r="BH51" s="196">
        <v>40.9</v>
      </c>
      <c r="BI51" s="195">
        <v>709.8</v>
      </c>
      <c r="BJ51" s="196">
        <v>7.8</v>
      </c>
      <c r="BK51" s="196">
        <v>702</v>
      </c>
      <c r="BM51" s="194">
        <v>40999</v>
      </c>
      <c r="BN51" s="195">
        <v>507.2</v>
      </c>
      <c r="BO51" s="196">
        <v>306.2</v>
      </c>
      <c r="BP51" s="195">
        <v>163</v>
      </c>
      <c r="BQ51" s="196">
        <v>55.2</v>
      </c>
      <c r="BS51" s="189">
        <v>38533</v>
      </c>
      <c r="BT51" s="190">
        <v>7065.6703593964639</v>
      </c>
      <c r="BU51" s="190">
        <v>365.2072229977357</v>
      </c>
    </row>
    <row r="52" spans="1:73" ht="14.25" customHeight="1">
      <c r="A52" s="18">
        <v>41090</v>
      </c>
      <c r="B52" s="191">
        <v>2132.8208750395002</v>
      </c>
      <c r="C52" s="191">
        <v>1963.3574823773995</v>
      </c>
      <c r="D52" s="191">
        <v>271.55387576888967</v>
      </c>
      <c r="E52" s="191">
        <v>547.94088406539993</v>
      </c>
      <c r="F52" s="191">
        <v>65.507323334199981</v>
      </c>
      <c r="G52" s="191">
        <v>55.948717006244607</v>
      </c>
      <c r="H52" s="191">
        <v>218.0082345116478</v>
      </c>
      <c r="I52" s="191">
        <v>-35.735450799699997</v>
      </c>
      <c r="J52" s="191">
        <v>1064.7783084398211</v>
      </c>
      <c r="K52" s="192">
        <v>108.75103219818291</v>
      </c>
      <c r="L52" s="191">
        <v>759.67659881408531</v>
      </c>
      <c r="M52" s="191">
        <v>3909.0485813977057</v>
      </c>
      <c r="N52" s="191">
        <v>780.45262666399992</v>
      </c>
      <c r="O52" s="191">
        <v>740.27211516149134</v>
      </c>
      <c r="P52" s="191">
        <v>153.66043284670002</v>
      </c>
      <c r="Q52" s="191">
        <v>199.58955704822208</v>
      </c>
      <c r="R52" s="191">
        <v>1054.7380009783965</v>
      </c>
      <c r="S52" s="193">
        <f t="shared" si="0"/>
        <v>-667.76063881870778</v>
      </c>
      <c r="T52" s="193">
        <f t="shared" si="1"/>
        <v>314.84656665915645</v>
      </c>
      <c r="U52" s="370">
        <v>7.5101000000000004</v>
      </c>
      <c r="V52" s="372">
        <f>SUMPRODUCT(S49:S52,U49:U52)/SUM(bdp!AR75:AR78)</f>
        <v>-2.2451883148381011E-2</v>
      </c>
      <c r="X52" s="18">
        <v>41090</v>
      </c>
      <c r="Y52" s="372">
        <v>-2.2451883148381011E-2</v>
      </c>
      <c r="AC52" s="194">
        <v>41090</v>
      </c>
      <c r="AD52" s="195">
        <v>1963.9</v>
      </c>
      <c r="AE52" s="196">
        <v>63.5</v>
      </c>
      <c r="AF52" s="196">
        <v>27.8</v>
      </c>
      <c r="AG52" s="196">
        <v>247.3</v>
      </c>
      <c r="AH52" s="196">
        <v>1278</v>
      </c>
      <c r="AI52" s="196">
        <v>18.100000000000001</v>
      </c>
      <c r="AJ52" s="196">
        <v>5.8</v>
      </c>
      <c r="AK52" s="196">
        <v>11.3</v>
      </c>
      <c r="AL52" s="196">
        <v>4.0999999999999996</v>
      </c>
      <c r="AM52" s="196">
        <v>81.2</v>
      </c>
      <c r="AN52" s="196">
        <v>219.6</v>
      </c>
      <c r="AO52" s="196">
        <v>7</v>
      </c>
      <c r="AP52" s="196">
        <v>0</v>
      </c>
      <c r="AQ52" s="195">
        <v>780</v>
      </c>
      <c r="AR52" s="196">
        <v>5</v>
      </c>
      <c r="AS52" s="196">
        <v>14.1</v>
      </c>
      <c r="AT52" s="196">
        <v>179.6</v>
      </c>
      <c r="AU52" s="196">
        <v>203.9</v>
      </c>
      <c r="AV52" s="196">
        <v>13.2</v>
      </c>
      <c r="AW52" s="196">
        <v>12.4</v>
      </c>
      <c r="AX52" s="196">
        <v>34.299999999999997</v>
      </c>
      <c r="AY52" s="196">
        <v>77.2</v>
      </c>
      <c r="AZ52" s="196">
        <v>76.5</v>
      </c>
      <c r="BA52" s="196">
        <v>140</v>
      </c>
      <c r="BB52" s="196">
        <v>15.7</v>
      </c>
      <c r="BC52" s="196">
        <v>8.4</v>
      </c>
      <c r="BE52" s="194">
        <v>41090</v>
      </c>
      <c r="BF52" s="195">
        <v>271.3</v>
      </c>
      <c r="BG52" s="196">
        <v>189.7</v>
      </c>
      <c r="BH52" s="196">
        <v>81.599999999999994</v>
      </c>
      <c r="BI52" s="195">
        <v>745.9</v>
      </c>
      <c r="BJ52" s="196">
        <v>8.8000000000000007</v>
      </c>
      <c r="BK52" s="196">
        <v>737.1</v>
      </c>
      <c r="BM52" s="194">
        <v>41090</v>
      </c>
      <c r="BN52" s="195">
        <v>547.6</v>
      </c>
      <c r="BO52" s="196">
        <v>342.7</v>
      </c>
      <c r="BP52" s="195">
        <v>153.6</v>
      </c>
      <c r="BQ52" s="196">
        <v>63.8</v>
      </c>
      <c r="BS52" s="189">
        <v>38625</v>
      </c>
      <c r="BT52" s="190">
        <v>6998.7048338800705</v>
      </c>
      <c r="BU52" s="190">
        <v>-66.965525516393427</v>
      </c>
    </row>
    <row r="53" spans="1:73" ht="14.25" customHeight="1">
      <c r="A53" s="18">
        <v>41182</v>
      </c>
      <c r="B53" s="191">
        <v>2304.4278003431969</v>
      </c>
      <c r="C53" s="191">
        <v>4651.4456524798998</v>
      </c>
      <c r="D53" s="191">
        <v>286.13358066162027</v>
      </c>
      <c r="E53" s="191">
        <v>529.81641248510005</v>
      </c>
      <c r="F53" s="191">
        <v>10.810658134900002</v>
      </c>
      <c r="G53" s="191">
        <v>36.317814408444278</v>
      </c>
      <c r="H53" s="191">
        <v>200.20225311102882</v>
      </c>
      <c r="I53" s="191">
        <v>-27.390203408600001</v>
      </c>
      <c r="J53" s="191">
        <v>1873.815808449463</v>
      </c>
      <c r="K53" s="192">
        <v>-184.30970442646475</v>
      </c>
      <c r="L53" s="191">
        <v>-548.14423614118709</v>
      </c>
      <c r="M53" s="191">
        <v>3849.1551116053988</v>
      </c>
      <c r="N53" s="191">
        <v>814.2979571502002</v>
      </c>
      <c r="O53" s="191">
        <v>755.44317412413102</v>
      </c>
      <c r="P53" s="191">
        <v>184.80459627020005</v>
      </c>
      <c r="Q53" s="191">
        <v>294.17100270552328</v>
      </c>
      <c r="R53" s="191">
        <v>-26.324063385251879</v>
      </c>
      <c r="S53" s="193">
        <f t="shared" si="0"/>
        <v>2168.1226068198876</v>
      </c>
      <c r="T53" s="193">
        <f t="shared" si="1"/>
        <v>3261.5780576272</v>
      </c>
      <c r="U53" s="370">
        <v>7.4497460000000002</v>
      </c>
      <c r="V53" s="372">
        <f>SUMPRODUCT(S50:S53,U50:U53)/SUM(bdp!AR76:AR79)</f>
        <v>-2.2624440434179958E-2</v>
      </c>
      <c r="X53" s="18">
        <v>41182</v>
      </c>
      <c r="Y53" s="372">
        <v>-2.2624440434179958E-2</v>
      </c>
      <c r="AC53" s="194">
        <v>41182</v>
      </c>
      <c r="AD53" s="195">
        <v>4653.7</v>
      </c>
      <c r="AE53" s="196">
        <v>57.7</v>
      </c>
      <c r="AF53" s="196">
        <v>30.6</v>
      </c>
      <c r="AG53" s="196">
        <v>312.2</v>
      </c>
      <c r="AH53" s="196">
        <v>3839.2</v>
      </c>
      <c r="AI53" s="196">
        <v>29.8</v>
      </c>
      <c r="AJ53" s="196">
        <v>5.8</v>
      </c>
      <c r="AK53" s="196">
        <v>18.100000000000001</v>
      </c>
      <c r="AL53" s="196">
        <v>6.2</v>
      </c>
      <c r="AM53" s="196">
        <v>126.1</v>
      </c>
      <c r="AN53" s="196">
        <v>209.8</v>
      </c>
      <c r="AO53" s="196">
        <v>18.5</v>
      </c>
      <c r="AP53" s="196">
        <v>0</v>
      </c>
      <c r="AQ53" s="195">
        <v>814.1</v>
      </c>
      <c r="AR53" s="196">
        <v>4.4000000000000004</v>
      </c>
      <c r="AS53" s="196">
        <v>12.8</v>
      </c>
      <c r="AT53" s="196">
        <v>185.6</v>
      </c>
      <c r="AU53" s="196">
        <v>203.9</v>
      </c>
      <c r="AV53" s="196">
        <v>19.3</v>
      </c>
      <c r="AW53" s="196">
        <v>9.5</v>
      </c>
      <c r="AX53" s="196">
        <v>50.4</v>
      </c>
      <c r="AY53" s="196">
        <v>57.5</v>
      </c>
      <c r="AZ53" s="196">
        <v>88.3</v>
      </c>
      <c r="BA53" s="196">
        <v>151.19999999999999</v>
      </c>
      <c r="BB53" s="196">
        <v>20.3</v>
      </c>
      <c r="BC53" s="196">
        <v>10.7</v>
      </c>
      <c r="BE53" s="194">
        <v>41182</v>
      </c>
      <c r="BF53" s="195">
        <v>285.7</v>
      </c>
      <c r="BG53" s="196">
        <v>191.4</v>
      </c>
      <c r="BH53" s="196">
        <v>94.3</v>
      </c>
      <c r="BI53" s="195">
        <v>761.7</v>
      </c>
      <c r="BJ53" s="196">
        <v>11.8</v>
      </c>
      <c r="BK53" s="196">
        <v>749.9</v>
      </c>
      <c r="BM53" s="194">
        <v>41182</v>
      </c>
      <c r="BN53" s="195">
        <v>529.5</v>
      </c>
      <c r="BO53" s="196">
        <v>320.89999999999998</v>
      </c>
      <c r="BP53" s="195">
        <v>184.7</v>
      </c>
      <c r="BQ53" s="196">
        <v>74.3</v>
      </c>
      <c r="BS53" s="189">
        <v>38717</v>
      </c>
      <c r="BT53" s="190">
        <v>7438.3540109550568</v>
      </c>
      <c r="BU53" s="190">
        <v>439.64917707498626</v>
      </c>
    </row>
    <row r="54" spans="1:73" ht="14.25" customHeight="1">
      <c r="A54" s="18">
        <v>41274</v>
      </c>
      <c r="B54" s="191">
        <v>2276.7568476321021</v>
      </c>
      <c r="C54" s="191">
        <v>1265.9642760357999</v>
      </c>
      <c r="D54" s="191">
        <v>178.53023462013709</v>
      </c>
      <c r="E54" s="191">
        <v>551.52643121849985</v>
      </c>
      <c r="F54" s="191">
        <v>52.163672769399994</v>
      </c>
      <c r="G54" s="191">
        <v>86.728024609244414</v>
      </c>
      <c r="H54" s="191">
        <v>124.59015425813394</v>
      </c>
      <c r="I54" s="191">
        <v>-88.119245338300004</v>
      </c>
      <c r="J54" s="191">
        <v>664.15233210018209</v>
      </c>
      <c r="K54" s="192">
        <v>-101.27979415117382</v>
      </c>
      <c r="L54" s="191">
        <v>23.38699811707761</v>
      </c>
      <c r="M54" s="191">
        <v>3621.1034157720019</v>
      </c>
      <c r="N54" s="191">
        <v>838.93575666769982</v>
      </c>
      <c r="O54" s="191">
        <v>313.85884947316714</v>
      </c>
      <c r="P54" s="191">
        <v>177.61564632240001</v>
      </c>
      <c r="Q54" s="191">
        <v>458.99753062542311</v>
      </c>
      <c r="R54" s="191">
        <v>830.25914869491555</v>
      </c>
      <c r="S54" s="193">
        <f t="shared" si="0"/>
        <v>-678.7358787287294</v>
      </c>
      <c r="T54" s="193">
        <f t="shared" si="1"/>
        <v>-1206.3704156845033</v>
      </c>
      <c r="U54" s="370">
        <v>7.5456240000000001</v>
      </c>
      <c r="V54" s="372">
        <f>SUMPRODUCT(S51:S54,U51:U54)/SUM(bdp!AR77:AR80)</f>
        <v>-1.8379570826245455E-2</v>
      </c>
      <c r="X54" s="18">
        <v>41274</v>
      </c>
      <c r="Y54" s="372">
        <v>-1.8379570826245455E-2</v>
      </c>
      <c r="AC54" s="194">
        <v>41274</v>
      </c>
      <c r="AD54" s="195">
        <v>1264.3</v>
      </c>
      <c r="AE54" s="196">
        <v>81.7</v>
      </c>
      <c r="AF54" s="196">
        <v>33.299999999999997</v>
      </c>
      <c r="AG54" s="196">
        <v>212.4</v>
      </c>
      <c r="AH54" s="196">
        <v>542.4</v>
      </c>
      <c r="AI54" s="196">
        <v>21.9</v>
      </c>
      <c r="AJ54" s="196">
        <v>6</v>
      </c>
      <c r="AK54" s="196">
        <v>10.4</v>
      </c>
      <c r="AL54" s="196">
        <v>7</v>
      </c>
      <c r="AM54" s="196">
        <v>96.3</v>
      </c>
      <c r="AN54" s="196">
        <v>243.5</v>
      </c>
      <c r="AO54" s="196">
        <v>9.6999999999999993</v>
      </c>
      <c r="AP54" s="196">
        <v>0</v>
      </c>
      <c r="AQ54" s="195">
        <v>838.1</v>
      </c>
      <c r="AR54" s="196">
        <v>27.4</v>
      </c>
      <c r="AS54" s="196">
        <v>12.4</v>
      </c>
      <c r="AT54" s="196">
        <v>171.1</v>
      </c>
      <c r="AU54" s="196">
        <v>164.2</v>
      </c>
      <c r="AV54" s="196">
        <v>14.5</v>
      </c>
      <c r="AW54" s="196">
        <v>7</v>
      </c>
      <c r="AX54" s="196">
        <v>64.8</v>
      </c>
      <c r="AY54" s="196">
        <v>59.1</v>
      </c>
      <c r="AZ54" s="196">
        <v>79.400000000000006</v>
      </c>
      <c r="BA54" s="196">
        <v>209.6</v>
      </c>
      <c r="BB54" s="196">
        <v>18.5</v>
      </c>
      <c r="BC54" s="196">
        <v>10.199999999999999</v>
      </c>
      <c r="BE54" s="194">
        <v>41274</v>
      </c>
      <c r="BF54" s="195">
        <v>178.1</v>
      </c>
      <c r="BG54" s="196">
        <v>189</v>
      </c>
      <c r="BH54" s="196">
        <v>-10.9</v>
      </c>
      <c r="BI54" s="195">
        <v>317.2</v>
      </c>
      <c r="BJ54" s="196">
        <v>10.199999999999999</v>
      </c>
      <c r="BK54" s="196">
        <v>306.89999999999998</v>
      </c>
      <c r="BM54" s="194">
        <v>41274</v>
      </c>
      <c r="BN54" s="195">
        <v>551.1</v>
      </c>
      <c r="BO54" s="196">
        <v>329.5</v>
      </c>
      <c r="BP54" s="195">
        <v>177.4</v>
      </c>
      <c r="BQ54" s="196">
        <v>69.900000000000006</v>
      </c>
      <c r="BS54" s="189">
        <v>38807</v>
      </c>
      <c r="BT54" s="190">
        <v>8088.50203840821</v>
      </c>
      <c r="BU54" s="190">
        <v>650.14802745315319</v>
      </c>
    </row>
    <row r="55" spans="1:73" ht="14.25" customHeight="1">
      <c r="A55" s="18">
        <v>41364</v>
      </c>
      <c r="B55" s="191">
        <v>1914.7092627734003</v>
      </c>
      <c r="C55" s="191">
        <v>858.28451529309996</v>
      </c>
      <c r="D55" s="191">
        <v>266.38406546979843</v>
      </c>
      <c r="E55" s="191">
        <v>523.86293987640011</v>
      </c>
      <c r="F55" s="191">
        <v>6.6357031878000017</v>
      </c>
      <c r="G55" s="191">
        <v>26.707827561482311</v>
      </c>
      <c r="H55" s="191">
        <v>-76.109734533427286</v>
      </c>
      <c r="I55" s="191">
        <v>28.482971340799999</v>
      </c>
      <c r="J55" s="191">
        <v>-594.91773059254797</v>
      </c>
      <c r="K55" s="192">
        <v>-38.623096000000054</v>
      </c>
      <c r="L55" s="191">
        <v>168.57623735528591</v>
      </c>
      <c r="M55" s="191">
        <v>3499.3166707100008</v>
      </c>
      <c r="N55" s="191">
        <v>646.99935332960013</v>
      </c>
      <c r="O55" s="191">
        <v>582.92442332174039</v>
      </c>
      <c r="P55" s="191">
        <v>162.11860325420002</v>
      </c>
      <c r="Q55" s="191">
        <v>600.9778130524038</v>
      </c>
      <c r="R55" s="191">
        <v>-102.53124861633997</v>
      </c>
      <c r="S55" s="193">
        <f t="shared" si="0"/>
        <v>-1328.1182672028426</v>
      </c>
      <c r="T55" s="193">
        <f t="shared" si="1"/>
        <v>-2305.8126533195136</v>
      </c>
      <c r="U55" s="370">
        <v>7.5867269999999998</v>
      </c>
      <c r="V55" s="372">
        <f>SUMPRODUCT(S52:S55,U52:U55)/SUM(bdp!AR78:AR81)</f>
        <v>-1.2260523858376936E-2</v>
      </c>
      <c r="X55" s="18">
        <v>41364</v>
      </c>
      <c r="Y55" s="372">
        <v>-1.2260523858376936E-2</v>
      </c>
      <c r="AC55" s="194">
        <v>41364</v>
      </c>
      <c r="AD55" s="195">
        <v>857.7</v>
      </c>
      <c r="AE55" s="196">
        <v>51.2</v>
      </c>
      <c r="AF55" s="196">
        <v>23.6</v>
      </c>
      <c r="AG55" s="196">
        <v>176.8</v>
      </c>
      <c r="AH55" s="196">
        <v>294.39999999999998</v>
      </c>
      <c r="AI55" s="196">
        <v>14.6</v>
      </c>
      <c r="AJ55" s="196">
        <v>6.5</v>
      </c>
      <c r="AK55" s="196">
        <v>5.9</v>
      </c>
      <c r="AL55" s="196">
        <v>3.3</v>
      </c>
      <c r="AM55" s="196">
        <v>64.3</v>
      </c>
      <c r="AN55" s="196">
        <v>185.8</v>
      </c>
      <c r="AO55" s="196">
        <v>31.4</v>
      </c>
      <c r="AP55" s="196">
        <v>0</v>
      </c>
      <c r="AQ55" s="195">
        <v>646.5</v>
      </c>
      <c r="AR55" s="196">
        <v>7.1</v>
      </c>
      <c r="AS55" s="196">
        <v>9.6</v>
      </c>
      <c r="AT55" s="196">
        <v>151.9</v>
      </c>
      <c r="AU55" s="196">
        <v>138.80000000000001</v>
      </c>
      <c r="AV55" s="196">
        <v>6.7</v>
      </c>
      <c r="AW55" s="196">
        <v>18.2</v>
      </c>
      <c r="AX55" s="196">
        <v>42.2</v>
      </c>
      <c r="AY55" s="196">
        <v>49.7</v>
      </c>
      <c r="AZ55" s="196">
        <v>61.2</v>
      </c>
      <c r="BA55" s="196">
        <v>134.9</v>
      </c>
      <c r="BB55" s="196">
        <v>18.3</v>
      </c>
      <c r="BC55" s="196">
        <v>7.9</v>
      </c>
      <c r="BE55" s="194">
        <v>41364</v>
      </c>
      <c r="BF55" s="195">
        <v>266.2</v>
      </c>
      <c r="BG55" s="196">
        <v>184.3</v>
      </c>
      <c r="BH55" s="196">
        <v>81.900000000000006</v>
      </c>
      <c r="BI55" s="195">
        <v>582.70000000000005</v>
      </c>
      <c r="BJ55" s="196">
        <v>9</v>
      </c>
      <c r="BK55" s="196">
        <v>573.6</v>
      </c>
      <c r="BM55" s="194">
        <v>41364</v>
      </c>
      <c r="BN55" s="195">
        <v>523.5</v>
      </c>
      <c r="BO55" s="196">
        <v>318.8</v>
      </c>
      <c r="BP55" s="195">
        <v>162.1</v>
      </c>
      <c r="BQ55" s="196">
        <v>56.7</v>
      </c>
      <c r="BS55" s="189">
        <v>38898</v>
      </c>
      <c r="BT55" s="190">
        <v>8743.556474674273</v>
      </c>
      <c r="BU55" s="190">
        <v>655.05443626606302</v>
      </c>
    </row>
    <row r="56" spans="1:73" ht="14.25" customHeight="1">
      <c r="A56" s="18">
        <v>41455</v>
      </c>
      <c r="B56" s="191">
        <v>2113.5667905262007</v>
      </c>
      <c r="C56" s="191">
        <v>1990.8710651826</v>
      </c>
      <c r="D56" s="191">
        <v>282.69766005356655</v>
      </c>
      <c r="E56" s="191">
        <v>597.10995079829991</v>
      </c>
      <c r="F56" s="191">
        <v>25.016570223799999</v>
      </c>
      <c r="G56" s="191">
        <v>95.255753665882281</v>
      </c>
      <c r="H56" s="191">
        <v>-272.16088796573712</v>
      </c>
      <c r="I56" s="191">
        <v>16.483707408199997</v>
      </c>
      <c r="J56" s="191">
        <v>-145.12924034038878</v>
      </c>
      <c r="K56" s="192">
        <v>804.22626600010017</v>
      </c>
      <c r="L56" s="191">
        <v>361.10743295443598</v>
      </c>
      <c r="M56" s="191">
        <v>4128.9663633682994</v>
      </c>
      <c r="N56" s="191">
        <v>783.64592014679988</v>
      </c>
      <c r="O56" s="191">
        <v>571.0387820615199</v>
      </c>
      <c r="P56" s="191">
        <v>156.73431716019999</v>
      </c>
      <c r="Q56" s="191">
        <v>50.927578986804036</v>
      </c>
      <c r="R56" s="191">
        <v>717.76393277916861</v>
      </c>
      <c r="S56" s="193">
        <f t="shared" si="0"/>
        <v>-656.13991617615193</v>
      </c>
      <c r="T56" s="193">
        <f t="shared" si="1"/>
        <v>-540.03182599583124</v>
      </c>
      <c r="U56" s="370">
        <v>7.4513439999999997</v>
      </c>
      <c r="V56" s="372">
        <f>SUMPRODUCT(S53:S56,U53:U56)/SUM(bdp!AR79:AR82)</f>
        <v>-1.1845507277636877E-2</v>
      </c>
      <c r="X56" s="18">
        <v>41455</v>
      </c>
      <c r="Y56" s="372">
        <v>-1.1845507277636877E-2</v>
      </c>
      <c r="AC56" s="194">
        <v>41455</v>
      </c>
      <c r="AD56" s="195">
        <v>1987.4</v>
      </c>
      <c r="AE56" s="196">
        <v>55.7</v>
      </c>
      <c r="AF56" s="196">
        <v>29.4</v>
      </c>
      <c r="AG56" s="196">
        <v>245.5</v>
      </c>
      <c r="AH56" s="196">
        <v>1312.5</v>
      </c>
      <c r="AI56" s="196">
        <v>16.899999999999999</v>
      </c>
      <c r="AJ56" s="196">
        <v>6.1</v>
      </c>
      <c r="AK56" s="196">
        <v>9.1</v>
      </c>
      <c r="AL56" s="196">
        <v>6.4</v>
      </c>
      <c r="AM56" s="196">
        <v>77.900000000000006</v>
      </c>
      <c r="AN56" s="196">
        <v>216.2</v>
      </c>
      <c r="AO56" s="196">
        <v>11.5</v>
      </c>
      <c r="AP56" s="196">
        <v>0</v>
      </c>
      <c r="AQ56" s="195">
        <v>783.6</v>
      </c>
      <c r="AR56" s="196">
        <v>10.6</v>
      </c>
      <c r="AS56" s="196">
        <v>10.9</v>
      </c>
      <c r="AT56" s="196">
        <v>182.2</v>
      </c>
      <c r="AU56" s="196">
        <v>185.1</v>
      </c>
      <c r="AV56" s="196">
        <v>7.7</v>
      </c>
      <c r="AW56" s="196">
        <v>11</v>
      </c>
      <c r="AX56" s="196">
        <v>56</v>
      </c>
      <c r="AY56" s="196">
        <v>56</v>
      </c>
      <c r="AZ56" s="196">
        <v>75</v>
      </c>
      <c r="BA56" s="196">
        <v>160.80000000000001</v>
      </c>
      <c r="BB56" s="196">
        <v>18.8</v>
      </c>
      <c r="BC56" s="196">
        <v>9.4</v>
      </c>
      <c r="BE56" s="194">
        <v>41455</v>
      </c>
      <c r="BF56" s="195">
        <v>282.8</v>
      </c>
      <c r="BG56" s="196">
        <v>206</v>
      </c>
      <c r="BH56" s="196">
        <v>76.8</v>
      </c>
      <c r="BI56" s="195">
        <v>569.79999999999995</v>
      </c>
      <c r="BJ56" s="196">
        <v>9.6999999999999993</v>
      </c>
      <c r="BK56" s="196">
        <v>560.20000000000005</v>
      </c>
      <c r="BM56" s="194">
        <v>41455</v>
      </c>
      <c r="BN56" s="195">
        <v>597.20000000000005</v>
      </c>
      <c r="BO56" s="196">
        <v>350.3</v>
      </c>
      <c r="BP56" s="195">
        <v>156.69999999999999</v>
      </c>
      <c r="BQ56" s="196">
        <v>58.2</v>
      </c>
      <c r="BS56" s="189">
        <v>38990</v>
      </c>
      <c r="BT56" s="190">
        <v>8134.7834681989289</v>
      </c>
      <c r="BU56" s="190">
        <v>-608.77300647534412</v>
      </c>
    </row>
    <row r="57" spans="1:73" ht="14.25" customHeight="1">
      <c r="A57" s="18">
        <v>41547</v>
      </c>
      <c r="B57" s="191">
        <v>2460.4214755432013</v>
      </c>
      <c r="C57" s="191">
        <v>4681.2428695897988</v>
      </c>
      <c r="D57" s="191">
        <v>326.92040525049646</v>
      </c>
      <c r="E57" s="191">
        <v>560.38711119179993</v>
      </c>
      <c r="F57" s="191">
        <v>14.807823966700003</v>
      </c>
      <c r="G57" s="191">
        <v>89.826792641482442</v>
      </c>
      <c r="H57" s="191">
        <v>531.92317416797425</v>
      </c>
      <c r="I57" s="191">
        <v>-158.20960192429999</v>
      </c>
      <c r="J57" s="191">
        <v>1184.8561930461576</v>
      </c>
      <c r="K57" s="192">
        <v>-185.144732</v>
      </c>
      <c r="L57" s="191">
        <v>-999.07448074154877</v>
      </c>
      <c r="M57" s="191">
        <v>4093.9531479356997</v>
      </c>
      <c r="N57" s="191">
        <v>766.51848235419993</v>
      </c>
      <c r="O57" s="191">
        <v>608.62566962647224</v>
      </c>
      <c r="P57" s="191">
        <v>261.0268098752</v>
      </c>
      <c r="Q57" s="191">
        <v>82.978182649403635</v>
      </c>
      <c r="R57" s="191">
        <v>65.692548273034973</v>
      </c>
      <c r="S57" s="193">
        <f t="shared" si="0"/>
        <v>2298.8477517837246</v>
      </c>
      <c r="T57" s="193">
        <f t="shared" si="1"/>
        <v>2629.1621900177524</v>
      </c>
      <c r="U57" s="370">
        <v>7.6115930000000001</v>
      </c>
      <c r="V57" s="372">
        <f>SUMPRODUCT(S54:S57,U54:U57)/SUM(bdp!AR80:AR83)</f>
        <v>-7.8022563392544323E-3</v>
      </c>
      <c r="X57" s="18">
        <v>41547</v>
      </c>
      <c r="Y57" s="372">
        <v>-7.8022563392544323E-3</v>
      </c>
      <c r="AC57" s="194">
        <v>41547</v>
      </c>
      <c r="AD57" s="195">
        <v>4668.3999999999996</v>
      </c>
      <c r="AE57" s="196">
        <v>53.5</v>
      </c>
      <c r="AF57" s="196">
        <v>26</v>
      </c>
      <c r="AG57" s="196">
        <v>286.60000000000002</v>
      </c>
      <c r="AH57" s="196">
        <v>3949</v>
      </c>
      <c r="AI57" s="196">
        <v>13.6</v>
      </c>
      <c r="AJ57" s="196">
        <v>5.3</v>
      </c>
      <c r="AK57" s="196">
        <v>17.399999999999999</v>
      </c>
      <c r="AL57" s="196">
        <v>2.7</v>
      </c>
      <c r="AM57" s="196">
        <v>86.1</v>
      </c>
      <c r="AN57" s="196">
        <v>207.5</v>
      </c>
      <c r="AO57" s="196">
        <v>20.5</v>
      </c>
      <c r="AP57" s="196">
        <v>0</v>
      </c>
      <c r="AQ57" s="195">
        <v>765.3</v>
      </c>
      <c r="AR57" s="196">
        <v>5.6</v>
      </c>
      <c r="AS57" s="196">
        <v>12.1</v>
      </c>
      <c r="AT57" s="196">
        <v>179.8</v>
      </c>
      <c r="AU57" s="196">
        <v>180.1</v>
      </c>
      <c r="AV57" s="196">
        <v>14.4</v>
      </c>
      <c r="AW57" s="196">
        <v>10.1</v>
      </c>
      <c r="AX57" s="196">
        <v>53.9</v>
      </c>
      <c r="AY57" s="196">
        <v>43.7</v>
      </c>
      <c r="AZ57" s="196">
        <v>71</v>
      </c>
      <c r="BA57" s="196">
        <v>158.4</v>
      </c>
      <c r="BB57" s="196">
        <v>27.2</v>
      </c>
      <c r="BC57" s="196">
        <v>8.9</v>
      </c>
      <c r="BE57" s="194">
        <v>41547</v>
      </c>
      <c r="BF57" s="195">
        <v>326.89999999999998</v>
      </c>
      <c r="BG57" s="196">
        <v>176.7</v>
      </c>
      <c r="BH57" s="196">
        <v>150.30000000000001</v>
      </c>
      <c r="BI57" s="195">
        <v>607.9</v>
      </c>
      <c r="BJ57" s="196">
        <v>13.4</v>
      </c>
      <c r="BK57" s="196">
        <v>594.5</v>
      </c>
      <c r="BM57" s="194">
        <v>41547</v>
      </c>
      <c r="BN57" s="195">
        <v>559.5</v>
      </c>
      <c r="BO57" s="196">
        <v>322.3</v>
      </c>
      <c r="BP57" s="195">
        <v>260.8</v>
      </c>
      <c r="BQ57" s="196">
        <v>70.400000000000006</v>
      </c>
      <c r="BS57" s="189">
        <v>39082</v>
      </c>
      <c r="BT57" s="190">
        <v>8725.3175425672598</v>
      </c>
      <c r="BU57" s="190">
        <v>590.53407436833095</v>
      </c>
    </row>
    <row r="58" spans="1:73" ht="14.25" customHeight="1">
      <c r="A58" s="18">
        <v>41639</v>
      </c>
      <c r="B58" s="191">
        <v>2435.2749463612008</v>
      </c>
      <c r="C58" s="191">
        <v>1258.4848387895001</v>
      </c>
      <c r="D58" s="191">
        <v>-6.7383998005700221</v>
      </c>
      <c r="E58" s="191">
        <v>573.15489109070006</v>
      </c>
      <c r="F58" s="191">
        <v>37.724448887400001</v>
      </c>
      <c r="G58" s="191">
        <v>-225.72168099151762</v>
      </c>
      <c r="H58" s="191">
        <v>-285.99430305254572</v>
      </c>
      <c r="I58" s="191">
        <v>-41.968861494299993</v>
      </c>
      <c r="J58" s="191">
        <v>15.374342467843178</v>
      </c>
      <c r="K58" s="192">
        <v>1263.629117</v>
      </c>
      <c r="L58" s="191">
        <v>308.50667549415215</v>
      </c>
      <c r="M58" s="191">
        <v>3827.6752255910988</v>
      </c>
      <c r="N58" s="191">
        <v>836.03381975339994</v>
      </c>
      <c r="O58" s="191">
        <v>81.562602019370402</v>
      </c>
      <c r="P58" s="191">
        <v>290.4914110405</v>
      </c>
      <c r="Q58" s="191">
        <v>-0.6357702084949608</v>
      </c>
      <c r="R58" s="191">
        <v>1155.3100417199607</v>
      </c>
      <c r="S58" s="193">
        <f t="shared" si="0"/>
        <v>-775.58678196353776</v>
      </c>
      <c r="T58" s="193">
        <f t="shared" si="1"/>
        <v>-858.71131516397054</v>
      </c>
      <c r="U58" s="370">
        <v>7.6376429999999997</v>
      </c>
      <c r="V58" s="372">
        <f>SUMPRODUCT(S55:S58,U55:U58)/SUM(bdp!AR81:AR84)</f>
        <v>-1.0238118454250574E-2</v>
      </c>
      <c r="X58" s="18">
        <v>41639</v>
      </c>
      <c r="Y58" s="372">
        <v>-1.0238118454250574E-2</v>
      </c>
      <c r="AC58" s="194">
        <v>41639</v>
      </c>
      <c r="AD58" s="195">
        <v>1257.5999999999999</v>
      </c>
      <c r="AE58" s="196">
        <v>59.9</v>
      </c>
      <c r="AF58" s="196">
        <v>32.799999999999997</v>
      </c>
      <c r="AG58" s="196">
        <v>224.7</v>
      </c>
      <c r="AH58" s="196">
        <v>579.9</v>
      </c>
      <c r="AI58" s="196">
        <v>22.8</v>
      </c>
      <c r="AJ58" s="196">
        <v>6.8</v>
      </c>
      <c r="AK58" s="196">
        <v>7.7</v>
      </c>
      <c r="AL58" s="196">
        <v>5.8</v>
      </c>
      <c r="AM58" s="196">
        <v>85.1</v>
      </c>
      <c r="AN58" s="196">
        <v>222.4</v>
      </c>
      <c r="AO58" s="196">
        <v>9.6999999999999993</v>
      </c>
      <c r="AP58" s="196">
        <v>0</v>
      </c>
      <c r="AQ58" s="195">
        <v>835.6</v>
      </c>
      <c r="AR58" s="196">
        <v>8.9</v>
      </c>
      <c r="AS58" s="196">
        <v>14.4</v>
      </c>
      <c r="AT58" s="196">
        <v>170.1</v>
      </c>
      <c r="AU58" s="196">
        <v>175.3</v>
      </c>
      <c r="AV58" s="196">
        <v>21.6</v>
      </c>
      <c r="AW58" s="196">
        <v>8.9</v>
      </c>
      <c r="AX58" s="196">
        <v>54.8</v>
      </c>
      <c r="AY58" s="196">
        <v>62</v>
      </c>
      <c r="AZ58" s="196">
        <v>74.8</v>
      </c>
      <c r="BA58" s="196">
        <v>211</v>
      </c>
      <c r="BB58" s="196">
        <v>25.6</v>
      </c>
      <c r="BC58" s="196">
        <v>8.1</v>
      </c>
      <c r="BE58" s="194">
        <v>41639</v>
      </c>
      <c r="BF58" s="195">
        <v>-6.9</v>
      </c>
      <c r="BG58" s="196">
        <v>189.4</v>
      </c>
      <c r="BH58" s="196">
        <v>-196.5</v>
      </c>
      <c r="BI58" s="195">
        <v>81.5</v>
      </c>
      <c r="BJ58" s="196">
        <v>13</v>
      </c>
      <c r="BK58" s="196">
        <v>68.599999999999994</v>
      </c>
      <c r="BM58" s="194">
        <v>41639</v>
      </c>
      <c r="BN58" s="195">
        <v>572.79999999999995</v>
      </c>
      <c r="BO58" s="196">
        <v>346.8</v>
      </c>
      <c r="BP58" s="195">
        <v>290.3</v>
      </c>
      <c r="BQ58" s="196">
        <v>84.5</v>
      </c>
      <c r="BS58" s="189">
        <v>39172</v>
      </c>
      <c r="BT58" s="190">
        <v>9519.7484465546277</v>
      </c>
      <c r="BU58" s="190">
        <v>794.43090398736786</v>
      </c>
    </row>
    <row r="59" spans="1:73" ht="14.25" customHeight="1">
      <c r="A59" s="18">
        <v>41729</v>
      </c>
      <c r="B59" s="191">
        <v>2145.2114874735989</v>
      </c>
      <c r="C59" s="191">
        <v>907.01591341740027</v>
      </c>
      <c r="D59" s="191">
        <v>240.73233831821688</v>
      </c>
      <c r="E59" s="191">
        <v>599.3076404538001</v>
      </c>
      <c r="F59" s="191">
        <v>96.41810763120003</v>
      </c>
      <c r="G59" s="191">
        <v>14.05763030915357</v>
      </c>
      <c r="H59" s="191">
        <v>-9.2422386490340216</v>
      </c>
      <c r="I59" s="191">
        <v>-47.697028350500005</v>
      </c>
      <c r="J59" s="191">
        <v>161.4190426781978</v>
      </c>
      <c r="K59" s="192">
        <v>-801.32541600000002</v>
      </c>
      <c r="L59" s="191">
        <v>433.79486602363886</v>
      </c>
      <c r="M59" s="191">
        <v>3729.372983129902</v>
      </c>
      <c r="N59" s="191">
        <v>637.30543740459996</v>
      </c>
      <c r="O59" s="191">
        <v>572.74482226354542</v>
      </c>
      <c r="P59" s="191">
        <v>340.6345036724</v>
      </c>
      <c r="Q59" s="191">
        <v>195.22061562052033</v>
      </c>
      <c r="R59" s="191">
        <v>-20.431232480110875</v>
      </c>
      <c r="S59" s="193">
        <f t="shared" si="0"/>
        <v>-1387.7903668074314</v>
      </c>
      <c r="T59" s="193">
        <f t="shared" si="1"/>
        <v>-1715.1547863051842</v>
      </c>
      <c r="U59" s="370">
        <v>7.6583940000000004</v>
      </c>
      <c r="V59" s="372">
        <f>SUMPRODUCT(S56:S59,U56:U59)/SUM(bdp!AR82:AR85)</f>
        <v>-1.1953028286333609E-2</v>
      </c>
      <c r="X59" s="18">
        <v>41729</v>
      </c>
      <c r="Y59" s="372">
        <v>-1.1953028286333609E-2</v>
      </c>
      <c r="AC59" s="194">
        <v>41729</v>
      </c>
      <c r="AD59" s="195">
        <v>906.6</v>
      </c>
      <c r="AE59" s="196">
        <v>55.3</v>
      </c>
      <c r="AF59" s="196">
        <v>21.6</v>
      </c>
      <c r="AG59" s="196">
        <v>189.8</v>
      </c>
      <c r="AH59" s="196">
        <v>344.3</v>
      </c>
      <c r="AI59" s="196">
        <v>11.9</v>
      </c>
      <c r="AJ59" s="196">
        <v>6.4</v>
      </c>
      <c r="AK59" s="196">
        <v>7.7</v>
      </c>
      <c r="AL59" s="196">
        <v>3.4</v>
      </c>
      <c r="AM59" s="196">
        <v>66.7</v>
      </c>
      <c r="AN59" s="196">
        <v>190.5</v>
      </c>
      <c r="AO59" s="196">
        <v>9.3000000000000007</v>
      </c>
      <c r="AP59" s="196">
        <v>0</v>
      </c>
      <c r="AQ59" s="195">
        <v>637</v>
      </c>
      <c r="AR59" s="196">
        <v>3.7</v>
      </c>
      <c r="AS59" s="196">
        <v>10.8</v>
      </c>
      <c r="AT59" s="196">
        <v>126.4</v>
      </c>
      <c r="AU59" s="196">
        <v>141.30000000000001</v>
      </c>
      <c r="AV59" s="196">
        <v>11.6</v>
      </c>
      <c r="AW59" s="196">
        <v>18</v>
      </c>
      <c r="AX59" s="196">
        <v>50.6</v>
      </c>
      <c r="AY59" s="196">
        <v>45.4</v>
      </c>
      <c r="AZ59" s="196">
        <v>59.6</v>
      </c>
      <c r="BA59" s="196">
        <v>141.4</v>
      </c>
      <c r="BB59" s="196">
        <v>20.399999999999999</v>
      </c>
      <c r="BC59" s="196">
        <v>7.8</v>
      </c>
      <c r="BE59" s="194">
        <v>41729</v>
      </c>
      <c r="BF59" s="195">
        <v>240.7</v>
      </c>
      <c r="BG59" s="196">
        <v>162.5</v>
      </c>
      <c r="BH59" s="196">
        <v>78.2</v>
      </c>
      <c r="BI59" s="195">
        <v>572.6</v>
      </c>
      <c r="BJ59" s="196">
        <v>7.7</v>
      </c>
      <c r="BK59" s="196">
        <v>564.9</v>
      </c>
      <c r="BM59" s="194">
        <v>41729</v>
      </c>
      <c r="BN59" s="195">
        <v>599.20000000000005</v>
      </c>
      <c r="BO59" s="196">
        <v>413.1</v>
      </c>
      <c r="BP59" s="195">
        <v>340.5</v>
      </c>
      <c r="BQ59" s="196">
        <v>72.3</v>
      </c>
      <c r="BS59" s="189">
        <v>39263</v>
      </c>
      <c r="BT59" s="190">
        <v>9170.359322238759</v>
      </c>
      <c r="BU59" s="190">
        <v>-349.38912431586868</v>
      </c>
    </row>
    <row r="60" spans="1:73" ht="14.25" customHeight="1">
      <c r="A60" s="18">
        <v>41820</v>
      </c>
      <c r="B60" s="197">
        <v>2308.8966373134003</v>
      </c>
      <c r="C60" s="197">
        <v>2166.213424172</v>
      </c>
      <c r="D60" s="197">
        <v>270.26855758562692</v>
      </c>
      <c r="E60" s="197">
        <v>539.84615609139985</v>
      </c>
      <c r="F60" s="197">
        <v>23.900325668700006</v>
      </c>
      <c r="G60" s="197">
        <v>1750.4308974827545</v>
      </c>
      <c r="H60" s="197">
        <v>140.07001308736494</v>
      </c>
      <c r="I60" s="197">
        <v>21.555540983900002</v>
      </c>
      <c r="J60" s="197">
        <v>111.15794617138033</v>
      </c>
      <c r="K60" s="198">
        <v>208.74065200000004</v>
      </c>
      <c r="L60" s="197">
        <v>849.0293825048501</v>
      </c>
      <c r="M60" s="197">
        <v>4267.5251626221016</v>
      </c>
      <c r="N60" s="197">
        <v>725.88527452850008</v>
      </c>
      <c r="O60" s="197">
        <v>669.54649416967868</v>
      </c>
      <c r="P60" s="197">
        <v>281.06732800099996</v>
      </c>
      <c r="Q60" s="197">
        <v>2064.2630456024222</v>
      </c>
      <c r="R60" s="197">
        <v>-46.438219891719292</v>
      </c>
      <c r="S60" s="193">
        <f t="shared" si="0"/>
        <v>-658.79948415885337</v>
      </c>
      <c r="T60" s="193">
        <f t="shared" si="1"/>
        <v>428.26044802939396</v>
      </c>
      <c r="U60" s="370">
        <v>7.5713710000000001</v>
      </c>
      <c r="V60" s="372">
        <f>SUMPRODUCT(S57:S60,U57:U60)/SUM(bdp!AR83:AR86)</f>
        <v>-1.2269421001072835E-2</v>
      </c>
      <c r="X60" s="18">
        <v>41820</v>
      </c>
      <c r="Y60" s="372">
        <v>-1.2269421001072835E-2</v>
      </c>
      <c r="AC60" s="194">
        <v>41820</v>
      </c>
      <c r="AD60" s="195">
        <v>2163.9</v>
      </c>
      <c r="AE60" s="196">
        <v>62.8</v>
      </c>
      <c r="AF60" s="196">
        <v>35.700000000000003</v>
      </c>
      <c r="AG60" s="196">
        <v>248.3</v>
      </c>
      <c r="AH60" s="196">
        <v>1472.1</v>
      </c>
      <c r="AI60" s="196">
        <v>15</v>
      </c>
      <c r="AJ60" s="196">
        <v>6.6</v>
      </c>
      <c r="AK60" s="196">
        <v>12.4</v>
      </c>
      <c r="AL60" s="196">
        <v>4.2</v>
      </c>
      <c r="AM60" s="196">
        <v>74.599999999999994</v>
      </c>
      <c r="AN60" s="196">
        <v>217</v>
      </c>
      <c r="AO60" s="196">
        <v>15.1</v>
      </c>
      <c r="AP60" s="196">
        <v>0</v>
      </c>
      <c r="AQ60" s="195">
        <v>725.7</v>
      </c>
      <c r="AR60" s="196">
        <v>5.5</v>
      </c>
      <c r="AS60" s="196">
        <v>13</v>
      </c>
      <c r="AT60" s="196">
        <v>145.5</v>
      </c>
      <c r="AU60" s="196">
        <v>171.5</v>
      </c>
      <c r="AV60" s="196">
        <v>18.2</v>
      </c>
      <c r="AW60" s="196">
        <v>9.9</v>
      </c>
      <c r="AX60" s="196">
        <v>52.9</v>
      </c>
      <c r="AY60" s="196">
        <v>48.3</v>
      </c>
      <c r="AZ60" s="196">
        <v>65.8</v>
      </c>
      <c r="BA60" s="196">
        <v>168.6</v>
      </c>
      <c r="BB60" s="196">
        <v>19.3</v>
      </c>
      <c r="BC60" s="196">
        <v>7.2</v>
      </c>
      <c r="BE60" s="194">
        <v>41820</v>
      </c>
      <c r="BF60" s="195">
        <v>270.2</v>
      </c>
      <c r="BG60" s="196">
        <v>186.3</v>
      </c>
      <c r="BH60" s="196">
        <v>83.8</v>
      </c>
      <c r="BI60" s="195">
        <v>669.9</v>
      </c>
      <c r="BJ60" s="196">
        <v>10</v>
      </c>
      <c r="BK60" s="196">
        <v>659.9</v>
      </c>
      <c r="BM60" s="194">
        <v>41820</v>
      </c>
      <c r="BN60" s="195">
        <v>539.79999999999995</v>
      </c>
      <c r="BO60" s="196">
        <v>336.7</v>
      </c>
      <c r="BP60" s="195">
        <v>281.10000000000002</v>
      </c>
      <c r="BQ60" s="196">
        <v>90.5</v>
      </c>
      <c r="BS60" s="189">
        <v>39355</v>
      </c>
      <c r="BT60" s="190">
        <v>8795.1166941612955</v>
      </c>
      <c r="BU60" s="190">
        <v>-375.24262807746345</v>
      </c>
    </row>
    <row r="61" spans="1:73" ht="14.25" customHeight="1">
      <c r="A61" s="18">
        <v>41912</v>
      </c>
      <c r="B61" s="197">
        <v>2502.170006605299</v>
      </c>
      <c r="C61" s="197">
        <v>4922.4998376287986</v>
      </c>
      <c r="D61" s="197">
        <v>253.56683443752803</v>
      </c>
      <c r="E61" s="197">
        <v>553.58426901840016</v>
      </c>
      <c r="F61" s="197">
        <v>14.613455374899999</v>
      </c>
      <c r="G61" s="197">
        <v>91.912641264853491</v>
      </c>
      <c r="H61" s="197">
        <v>121.93027720954396</v>
      </c>
      <c r="I61" s="197">
        <v>124.66808767479998</v>
      </c>
      <c r="J61" s="197">
        <v>1644.5439460321666</v>
      </c>
      <c r="K61" s="198">
        <v>-407.65781100000004</v>
      </c>
      <c r="L61" s="197">
        <v>-840.3900225888849</v>
      </c>
      <c r="M61" s="197">
        <v>4194.5909885002011</v>
      </c>
      <c r="N61" s="197">
        <v>787.48153806219955</v>
      </c>
      <c r="O61" s="197">
        <v>691.57408713978168</v>
      </c>
      <c r="P61" s="197">
        <v>238.78605470299999</v>
      </c>
      <c r="Q61" s="197">
        <v>367.13128338472018</v>
      </c>
      <c r="R61" s="197">
        <v>-285.34585427421496</v>
      </c>
      <c r="S61" s="193">
        <f t="shared" si="0"/>
        <v>2319.3882792848435</v>
      </c>
      <c r="T61" s="193">
        <f t="shared" si="1"/>
        <v>2987.2234241417145</v>
      </c>
      <c r="U61" s="370">
        <v>7.6262670000000004</v>
      </c>
      <c r="V61" s="372">
        <f>SUMPRODUCT(S58:S61,U58:U61)/SUM(bdp!AR84:AR87)</f>
        <v>-1.1660856953313987E-2</v>
      </c>
      <c r="X61" s="18">
        <v>41912</v>
      </c>
      <c r="Y61" s="372">
        <v>-1.1660856953313987E-2</v>
      </c>
      <c r="AC61" s="194">
        <v>41912</v>
      </c>
      <c r="AD61" s="195">
        <v>4917</v>
      </c>
      <c r="AE61" s="196">
        <v>62.6</v>
      </c>
      <c r="AF61" s="196">
        <v>31.5</v>
      </c>
      <c r="AG61" s="196">
        <v>318</v>
      </c>
      <c r="AH61" s="196">
        <v>4111.6000000000004</v>
      </c>
      <c r="AI61" s="196">
        <v>15</v>
      </c>
      <c r="AJ61" s="196">
        <v>5.5</v>
      </c>
      <c r="AK61" s="196">
        <v>23.6</v>
      </c>
      <c r="AL61" s="196">
        <v>3.7</v>
      </c>
      <c r="AM61" s="196">
        <v>118.7</v>
      </c>
      <c r="AN61" s="196">
        <v>208.6</v>
      </c>
      <c r="AO61" s="196">
        <v>18.399999999999999</v>
      </c>
      <c r="AP61" s="196">
        <v>0</v>
      </c>
      <c r="AQ61" s="195">
        <v>786.5</v>
      </c>
      <c r="AR61" s="196">
        <v>6.2</v>
      </c>
      <c r="AS61" s="196">
        <v>17.3</v>
      </c>
      <c r="AT61" s="196">
        <v>155.30000000000001</v>
      </c>
      <c r="AU61" s="196">
        <v>191.9</v>
      </c>
      <c r="AV61" s="196">
        <v>11.4</v>
      </c>
      <c r="AW61" s="196">
        <v>8</v>
      </c>
      <c r="AX61" s="196">
        <v>63.1</v>
      </c>
      <c r="AY61" s="196">
        <v>51.4</v>
      </c>
      <c r="AZ61" s="196">
        <v>67.8</v>
      </c>
      <c r="BA61" s="196">
        <v>179.2</v>
      </c>
      <c r="BB61" s="196">
        <v>26.4</v>
      </c>
      <c r="BC61" s="196">
        <v>8.4</v>
      </c>
      <c r="BE61" s="194">
        <v>41912</v>
      </c>
      <c r="BF61" s="195">
        <v>253.3</v>
      </c>
      <c r="BG61" s="196">
        <v>187.6</v>
      </c>
      <c r="BH61" s="196">
        <v>65.7</v>
      </c>
      <c r="BI61" s="195">
        <v>690.8</v>
      </c>
      <c r="BJ61" s="196">
        <v>7.5</v>
      </c>
      <c r="BK61" s="196">
        <v>683.3</v>
      </c>
      <c r="BM61" s="194">
        <v>41912</v>
      </c>
      <c r="BN61" s="195">
        <v>552.9</v>
      </c>
      <c r="BO61" s="196">
        <v>354.2</v>
      </c>
      <c r="BP61" s="195">
        <v>238.5</v>
      </c>
      <c r="BQ61" s="196">
        <v>95.4</v>
      </c>
      <c r="BS61" s="189">
        <v>39447</v>
      </c>
      <c r="BT61" s="190">
        <v>9307.3846309397904</v>
      </c>
      <c r="BU61" s="190">
        <v>512.26793677849491</v>
      </c>
    </row>
    <row r="62" spans="1:73" ht="14.25" customHeight="1">
      <c r="A62" s="18">
        <v>42004</v>
      </c>
      <c r="B62" s="191">
        <v>2483.2490234641991</v>
      </c>
      <c r="C62" s="191">
        <v>1379.7711653117001</v>
      </c>
      <c r="D62" s="191">
        <v>59.612163130790009</v>
      </c>
      <c r="E62" s="191">
        <v>578.55280914000025</v>
      </c>
      <c r="F62" s="191">
        <v>50.309228755499994</v>
      </c>
      <c r="G62" s="191">
        <v>-236.32124077724683</v>
      </c>
      <c r="H62" s="191">
        <v>121.99083496006305</v>
      </c>
      <c r="I62" s="191">
        <v>76.448751800699995</v>
      </c>
      <c r="J62" s="191">
        <v>-808.19943629536147</v>
      </c>
      <c r="K62" s="192">
        <v>470.362415</v>
      </c>
      <c r="L62" s="191">
        <v>29.342080530268163</v>
      </c>
      <c r="M62" s="191">
        <v>3875.213204617603</v>
      </c>
      <c r="N62" s="191">
        <v>751.96573771099997</v>
      </c>
      <c r="O62" s="191">
        <v>-242.77127530586785</v>
      </c>
      <c r="P62" s="191">
        <v>278.44431243540004</v>
      </c>
      <c r="Q62" s="191">
        <v>-317.30821617207914</v>
      </c>
      <c r="R62" s="191">
        <v>23.605049985911478</v>
      </c>
      <c r="S62" s="193">
        <f t="shared" si="0"/>
        <v>-161.66681841144509</v>
      </c>
      <c r="T62" s="193">
        <f t="shared" si="1"/>
        <v>-164.031018251354</v>
      </c>
      <c r="U62" s="370">
        <v>7.6614709999999997</v>
      </c>
      <c r="V62" s="372">
        <f>SUMPRODUCT(S59:S62,U59:U62)/SUM(bdp!AR85:AR88)</f>
        <v>2.5152440868682693E-3</v>
      </c>
      <c r="X62" s="18">
        <v>42004</v>
      </c>
      <c r="Y62" s="372">
        <v>2.5152440868682693E-3</v>
      </c>
      <c r="AC62" s="194">
        <v>42004</v>
      </c>
      <c r="AD62" s="195">
        <v>1378.8</v>
      </c>
      <c r="AE62" s="196">
        <v>70.599999999999994</v>
      </c>
      <c r="AF62" s="196">
        <v>33.4</v>
      </c>
      <c r="AG62" s="196">
        <v>242.4</v>
      </c>
      <c r="AH62" s="196">
        <v>609.29999999999995</v>
      </c>
      <c r="AI62" s="196">
        <v>24</v>
      </c>
      <c r="AJ62" s="196">
        <v>5.9</v>
      </c>
      <c r="AK62" s="196">
        <v>13.3</v>
      </c>
      <c r="AL62" s="196">
        <v>8.6999999999999993</v>
      </c>
      <c r="AM62" s="196">
        <v>128.9</v>
      </c>
      <c r="AN62" s="196">
        <v>229.1</v>
      </c>
      <c r="AO62" s="196">
        <v>13.2</v>
      </c>
      <c r="AP62" s="196">
        <v>0</v>
      </c>
      <c r="AQ62" s="195">
        <v>751.6</v>
      </c>
      <c r="AR62" s="196">
        <v>5.9</v>
      </c>
      <c r="AS62" s="196">
        <v>18.7</v>
      </c>
      <c r="AT62" s="196">
        <v>139.5</v>
      </c>
      <c r="AU62" s="196">
        <v>129.69999999999999</v>
      </c>
      <c r="AV62" s="196">
        <v>17.899999999999999</v>
      </c>
      <c r="AW62" s="196">
        <v>7.3</v>
      </c>
      <c r="AX62" s="196">
        <v>62</v>
      </c>
      <c r="AY62" s="196">
        <v>63.4</v>
      </c>
      <c r="AZ62" s="196">
        <v>72.400000000000006</v>
      </c>
      <c r="BA62" s="196">
        <v>200.3</v>
      </c>
      <c r="BB62" s="196">
        <v>27.1</v>
      </c>
      <c r="BC62" s="196">
        <v>7.7</v>
      </c>
      <c r="BE62" s="194">
        <v>42004</v>
      </c>
      <c r="BF62" s="195">
        <v>59.6</v>
      </c>
      <c r="BG62" s="196">
        <v>217.5</v>
      </c>
      <c r="BH62" s="196">
        <v>-158</v>
      </c>
      <c r="BI62" s="195">
        <v>-242.7</v>
      </c>
      <c r="BJ62" s="196">
        <v>8</v>
      </c>
      <c r="BK62" s="196">
        <v>-250.6</v>
      </c>
      <c r="BM62" s="194">
        <v>42004</v>
      </c>
      <c r="BN62" s="195">
        <v>578.20000000000005</v>
      </c>
      <c r="BO62" s="196">
        <v>370.7</v>
      </c>
      <c r="BP62" s="195">
        <v>278.3</v>
      </c>
      <c r="BQ62" s="196">
        <v>105.8</v>
      </c>
      <c r="BS62" s="189">
        <v>39538</v>
      </c>
      <c r="BT62" s="190">
        <v>9841.6781937166797</v>
      </c>
      <c r="BU62" s="190">
        <v>534.2935627768893</v>
      </c>
    </row>
    <row r="63" spans="1:73" ht="14.25" customHeight="1">
      <c r="A63" s="18">
        <v>42094</v>
      </c>
      <c r="B63" s="191">
        <v>2225.3967787057022</v>
      </c>
      <c r="C63" s="191">
        <v>1074.3866499143001</v>
      </c>
      <c r="D63" s="191">
        <v>305.84567629621461</v>
      </c>
      <c r="E63" s="191">
        <v>694.78321655510013</v>
      </c>
      <c r="F63" s="191">
        <v>39.1016993617</v>
      </c>
      <c r="G63" s="191">
        <v>144.44478612256006</v>
      </c>
      <c r="H63" s="191">
        <v>-72.693834393697983</v>
      </c>
      <c r="I63" s="191">
        <v>-89.497775908300014</v>
      </c>
      <c r="J63" s="191">
        <v>-848.11529356138158</v>
      </c>
      <c r="K63" s="192">
        <v>1115.41526</v>
      </c>
      <c r="L63" s="191">
        <v>599.86733511987154</v>
      </c>
      <c r="M63" s="191">
        <v>4013.782701772303</v>
      </c>
      <c r="N63" s="191">
        <v>685.42123735820007</v>
      </c>
      <c r="O63" s="191">
        <v>512.6549226563053</v>
      </c>
      <c r="P63" s="191">
        <v>331.48320607469998</v>
      </c>
      <c r="Q63" s="191">
        <v>398.9139545012456</v>
      </c>
      <c r="R63" s="191">
        <v>454.59989966655468</v>
      </c>
      <c r="S63" s="193">
        <f t="shared" si="0"/>
        <v>-1242.9297463901921</v>
      </c>
      <c r="T63" s="193">
        <f t="shared" si="1"/>
        <v>-1207.9214238172417</v>
      </c>
      <c r="U63" s="370">
        <v>7.6445959999999999</v>
      </c>
      <c r="V63" s="372">
        <f>SUMPRODUCT(S60:S63,U60:U63)/SUM(bdp!AR86:AR89)</f>
        <v>5.8890459533234036E-3</v>
      </c>
      <c r="X63" s="18">
        <v>42094</v>
      </c>
      <c r="Y63" s="372">
        <v>5.8890459533234036E-3</v>
      </c>
      <c r="AC63" s="194">
        <v>42094</v>
      </c>
      <c r="AD63" s="195">
        <v>1073.7</v>
      </c>
      <c r="AE63" s="196">
        <v>80.5</v>
      </c>
      <c r="AF63" s="196">
        <v>41.9</v>
      </c>
      <c r="AG63" s="196">
        <v>203.7</v>
      </c>
      <c r="AH63" s="196">
        <v>366</v>
      </c>
      <c r="AI63" s="196">
        <v>28</v>
      </c>
      <c r="AJ63" s="196">
        <v>5.2</v>
      </c>
      <c r="AK63" s="196">
        <v>9.1999999999999993</v>
      </c>
      <c r="AL63" s="196">
        <v>12.1</v>
      </c>
      <c r="AM63" s="196">
        <v>94.8</v>
      </c>
      <c r="AN63" s="196">
        <v>209.1</v>
      </c>
      <c r="AO63" s="196">
        <v>23.2</v>
      </c>
      <c r="AP63" s="196">
        <v>0</v>
      </c>
      <c r="AQ63" s="195">
        <v>685.2</v>
      </c>
      <c r="AR63" s="196">
        <v>5.3</v>
      </c>
      <c r="AS63" s="196">
        <v>13.4</v>
      </c>
      <c r="AT63" s="196">
        <v>129.30000000000001</v>
      </c>
      <c r="AU63" s="196">
        <v>116.4</v>
      </c>
      <c r="AV63" s="196">
        <v>15.5</v>
      </c>
      <c r="AW63" s="196">
        <v>13.9</v>
      </c>
      <c r="AX63" s="196">
        <v>56.1</v>
      </c>
      <c r="AY63" s="196">
        <v>54.8</v>
      </c>
      <c r="AZ63" s="196">
        <v>63.4</v>
      </c>
      <c r="BA63" s="196">
        <v>184.3</v>
      </c>
      <c r="BB63" s="196">
        <v>25.9</v>
      </c>
      <c r="BC63" s="196">
        <v>6.9</v>
      </c>
      <c r="BE63" s="194">
        <v>42094</v>
      </c>
      <c r="BF63" s="195">
        <v>305.8</v>
      </c>
      <c r="BG63" s="196">
        <v>206.7</v>
      </c>
      <c r="BH63" s="196">
        <v>99.1</v>
      </c>
      <c r="BI63" s="195">
        <v>512.20000000000005</v>
      </c>
      <c r="BJ63" s="196">
        <v>7</v>
      </c>
      <c r="BK63" s="196">
        <v>505.3</v>
      </c>
      <c r="BM63" s="194">
        <v>42094</v>
      </c>
      <c r="BN63" s="195">
        <v>695</v>
      </c>
      <c r="BO63" s="196">
        <v>501.5</v>
      </c>
      <c r="BP63" s="195">
        <v>331.5</v>
      </c>
      <c r="BQ63" s="196">
        <v>95.8</v>
      </c>
      <c r="BS63" s="189">
        <v>39629</v>
      </c>
      <c r="BT63" s="190">
        <v>9941.1965177451129</v>
      </c>
      <c r="BU63" s="190">
        <v>99.518324028433199</v>
      </c>
    </row>
    <row r="64" spans="1:73" ht="14.25" customHeight="1">
      <c r="A64" s="18">
        <v>42185</v>
      </c>
      <c r="B64" s="191">
        <v>2595.2850339588017</v>
      </c>
      <c r="C64" s="191">
        <v>2358.8403749797003</v>
      </c>
      <c r="D64" s="191">
        <v>309.22918937153383</v>
      </c>
      <c r="E64" s="191">
        <v>671.26300969019997</v>
      </c>
      <c r="F64" s="191">
        <v>73.099181367399993</v>
      </c>
      <c r="G64" s="191">
        <v>82.715521292559899</v>
      </c>
      <c r="H64" s="191">
        <v>51.798110546040988</v>
      </c>
      <c r="I64" s="191">
        <v>68.9360264771</v>
      </c>
      <c r="J64" s="191">
        <v>454.51848796928164</v>
      </c>
      <c r="K64" s="192">
        <v>-322.93179700000007</v>
      </c>
      <c r="L64" s="191">
        <v>479.18465622101797</v>
      </c>
      <c r="M64" s="191">
        <v>4517.9175203837995</v>
      </c>
      <c r="N64" s="191">
        <v>842.9448478618001</v>
      </c>
      <c r="O64" s="191">
        <v>720.42019491687199</v>
      </c>
      <c r="P64" s="191">
        <v>277.07812511279997</v>
      </c>
      <c r="Q64" s="191">
        <v>97.079925360545431</v>
      </c>
      <c r="R64" s="191">
        <v>109.41566661105477</v>
      </c>
      <c r="S64" s="193">
        <f t="shared" si="0"/>
        <v>-423.74308027503594</v>
      </c>
      <c r="T64" s="193">
        <f t="shared" si="1"/>
        <v>257.08151462676415</v>
      </c>
      <c r="U64" s="370">
        <v>7.58066</v>
      </c>
      <c r="V64" s="372">
        <f>SUMPRODUCT(S61:S64,U61:U64)/SUM(bdp!AR87:AR90)</f>
        <v>1.1162191256264014E-2</v>
      </c>
      <c r="X64" s="18">
        <v>42185</v>
      </c>
      <c r="Y64" s="372">
        <v>1.1162191256264014E-2</v>
      </c>
      <c r="AC64" s="194">
        <v>42185</v>
      </c>
      <c r="AD64" s="195">
        <v>2357.1999999999998</v>
      </c>
      <c r="AE64" s="196">
        <v>74.3</v>
      </c>
      <c r="AF64" s="196">
        <v>48.7</v>
      </c>
      <c r="AG64" s="196">
        <v>263.2</v>
      </c>
      <c r="AH64" s="196">
        <v>1534.8</v>
      </c>
      <c r="AI64" s="196">
        <v>30.5</v>
      </c>
      <c r="AJ64" s="196">
        <v>4</v>
      </c>
      <c r="AK64" s="196">
        <v>18.399999999999999</v>
      </c>
      <c r="AL64" s="196">
        <v>8.3000000000000007</v>
      </c>
      <c r="AM64" s="196">
        <v>118.3</v>
      </c>
      <c r="AN64" s="196">
        <v>237.3</v>
      </c>
      <c r="AO64" s="196">
        <v>19.5</v>
      </c>
      <c r="AP64" s="196">
        <v>0</v>
      </c>
      <c r="AQ64" s="195">
        <v>842.7</v>
      </c>
      <c r="AR64" s="196">
        <v>6.9</v>
      </c>
      <c r="AS64" s="196">
        <v>18.899999999999999</v>
      </c>
      <c r="AT64" s="196">
        <v>156.5</v>
      </c>
      <c r="AU64" s="196">
        <v>204.5</v>
      </c>
      <c r="AV64" s="196">
        <v>24</v>
      </c>
      <c r="AW64" s="196">
        <v>8.6</v>
      </c>
      <c r="AX64" s="196">
        <v>58.6</v>
      </c>
      <c r="AY64" s="196">
        <v>58.6</v>
      </c>
      <c r="AZ64" s="196">
        <v>88.6</v>
      </c>
      <c r="BA64" s="196">
        <v>185.8</v>
      </c>
      <c r="BB64" s="196">
        <v>24.4</v>
      </c>
      <c r="BC64" s="196">
        <v>7.3</v>
      </c>
      <c r="BE64" s="194">
        <v>42185</v>
      </c>
      <c r="BF64" s="195">
        <v>309.10000000000002</v>
      </c>
      <c r="BG64" s="196">
        <v>234.5</v>
      </c>
      <c r="BH64" s="196">
        <v>74.599999999999994</v>
      </c>
      <c r="BI64" s="195">
        <v>720.9</v>
      </c>
      <c r="BJ64" s="196">
        <v>10.4</v>
      </c>
      <c r="BK64" s="196">
        <v>710.5</v>
      </c>
      <c r="BM64" s="194">
        <v>42185</v>
      </c>
      <c r="BN64" s="195">
        <v>671</v>
      </c>
      <c r="BO64" s="196">
        <v>460.4</v>
      </c>
      <c r="BP64" s="195">
        <v>277</v>
      </c>
      <c r="BQ64" s="196">
        <v>96.3</v>
      </c>
      <c r="BS64" s="189">
        <v>39721</v>
      </c>
      <c r="BT64" s="190">
        <v>9808.73600241247</v>
      </c>
      <c r="BU64" s="190">
        <v>-132.4605153326429</v>
      </c>
    </row>
    <row r="65" spans="1:73" ht="14.25" customHeight="1">
      <c r="A65" s="18">
        <v>42277</v>
      </c>
      <c r="B65" s="191">
        <v>2640.2105345859018</v>
      </c>
      <c r="C65" s="191">
        <v>5547.7509756573991</v>
      </c>
      <c r="D65" s="191">
        <v>351.84605165577642</v>
      </c>
      <c r="E65" s="191">
        <v>604.24989632689983</v>
      </c>
      <c r="F65" s="191">
        <v>72.585125026400007</v>
      </c>
      <c r="G65" s="191">
        <v>225.12887977856008</v>
      </c>
      <c r="H65" s="191">
        <v>149.869407420855</v>
      </c>
      <c r="I65" s="191">
        <v>-22.806678240700002</v>
      </c>
      <c r="J65" s="191">
        <v>2224.023827899156</v>
      </c>
      <c r="K65" s="192">
        <v>-241.97285999999997</v>
      </c>
      <c r="L65" s="191">
        <v>-1138.9732207380353</v>
      </c>
      <c r="M65" s="191">
        <v>4472.7970796520012</v>
      </c>
      <c r="N65" s="191">
        <v>869.67779327470009</v>
      </c>
      <c r="O65" s="191">
        <v>12.428555230229321</v>
      </c>
      <c r="P65" s="191">
        <v>244.20834029940002</v>
      </c>
      <c r="Q65" s="191">
        <v>153.20051109294721</v>
      </c>
      <c r="R65" s="191">
        <v>-297.5155282930869</v>
      </c>
      <c r="S65" s="193">
        <f t="shared" si="0"/>
        <v>3544.9456897696455</v>
      </c>
      <c r="T65" s="193">
        <f t="shared" si="1"/>
        <v>4957.1151881160213</v>
      </c>
      <c r="U65" s="370">
        <v>7.6320779999999999</v>
      </c>
      <c r="V65" s="372">
        <f>SUMPRODUCT(S62:S65,U62:U65)/SUM(bdp!AR88:AR91)</f>
        <v>3.8823518601421983E-2</v>
      </c>
      <c r="X65" s="18">
        <v>42277</v>
      </c>
      <c r="Y65" s="372">
        <v>3.8823518601421983E-2</v>
      </c>
      <c r="AC65" s="194">
        <v>42277</v>
      </c>
      <c r="AD65" s="195">
        <v>5539.6</v>
      </c>
      <c r="AE65" s="196">
        <v>61</v>
      </c>
      <c r="AF65" s="196">
        <v>43.7</v>
      </c>
      <c r="AG65" s="196">
        <v>312.10000000000002</v>
      </c>
      <c r="AH65" s="196">
        <v>4640.8999999999996</v>
      </c>
      <c r="AI65" s="196">
        <v>29</v>
      </c>
      <c r="AJ65" s="196">
        <v>4.4000000000000004</v>
      </c>
      <c r="AK65" s="196">
        <v>33.1</v>
      </c>
      <c r="AL65" s="196">
        <v>7.4</v>
      </c>
      <c r="AM65" s="196">
        <v>127.2</v>
      </c>
      <c r="AN65" s="196">
        <v>238.8</v>
      </c>
      <c r="AO65" s="196">
        <v>42.1</v>
      </c>
      <c r="AP65" s="196">
        <v>0</v>
      </c>
      <c r="AQ65" s="195">
        <v>868.7</v>
      </c>
      <c r="AR65" s="196">
        <v>4.8</v>
      </c>
      <c r="AS65" s="196">
        <v>18.2</v>
      </c>
      <c r="AT65" s="196">
        <v>151.80000000000001</v>
      </c>
      <c r="AU65" s="196">
        <v>193.1</v>
      </c>
      <c r="AV65" s="196">
        <v>28</v>
      </c>
      <c r="AW65" s="196">
        <v>5.8</v>
      </c>
      <c r="AX65" s="196">
        <v>94.7</v>
      </c>
      <c r="AY65" s="196">
        <v>58.1</v>
      </c>
      <c r="AZ65" s="196">
        <v>75.900000000000006</v>
      </c>
      <c r="BA65" s="196">
        <v>201.4</v>
      </c>
      <c r="BB65" s="196">
        <v>29</v>
      </c>
      <c r="BC65" s="196">
        <v>8.3000000000000007</v>
      </c>
      <c r="BE65" s="194">
        <v>42277</v>
      </c>
      <c r="BF65" s="195">
        <v>351.8</v>
      </c>
      <c r="BG65" s="196">
        <v>238.5</v>
      </c>
      <c r="BH65" s="196">
        <v>113.4</v>
      </c>
      <c r="BI65" s="195">
        <v>12.5</v>
      </c>
      <c r="BJ65" s="196">
        <v>5.8</v>
      </c>
      <c r="BK65" s="196">
        <v>6.9</v>
      </c>
      <c r="BM65" s="194">
        <v>42277</v>
      </c>
      <c r="BN65" s="195">
        <v>603.6</v>
      </c>
      <c r="BO65" s="196">
        <v>393.2</v>
      </c>
      <c r="BP65" s="195">
        <v>243.9</v>
      </c>
      <c r="BQ65" s="196">
        <v>108.1</v>
      </c>
      <c r="BS65" s="189">
        <v>39813</v>
      </c>
      <c r="BT65" s="190">
        <v>9120.9163825494525</v>
      </c>
      <c r="BU65" s="190">
        <v>-687.81961986301758</v>
      </c>
    </row>
    <row r="66" spans="1:73" ht="14.25" customHeight="1">
      <c r="A66" s="18">
        <v>42369</v>
      </c>
      <c r="B66" s="191">
        <v>2732.5769512275006</v>
      </c>
      <c r="C66" s="191">
        <v>1553.3356134241999</v>
      </c>
      <c r="D66" s="191">
        <v>-198.40582455051029</v>
      </c>
      <c r="E66" s="191">
        <v>749.93514155430012</v>
      </c>
      <c r="F66" s="191">
        <v>150.4929949472</v>
      </c>
      <c r="G66" s="191">
        <v>-632.03276027703942</v>
      </c>
      <c r="H66" s="191">
        <v>22.503072048943963</v>
      </c>
      <c r="I66" s="191">
        <v>-86.603370988699993</v>
      </c>
      <c r="J66" s="191">
        <v>-289.75504255656767</v>
      </c>
      <c r="K66" s="192">
        <v>194.83548300000027</v>
      </c>
      <c r="L66" s="191">
        <v>70.451454531611091</v>
      </c>
      <c r="M66" s="191">
        <v>4305.7779636795995</v>
      </c>
      <c r="N66" s="191">
        <v>885.62266339790017</v>
      </c>
      <c r="O66" s="191">
        <v>-199.0009307038481</v>
      </c>
      <c r="P66" s="191">
        <v>270.94698263520002</v>
      </c>
      <c r="Q66" s="191">
        <v>-619.11505414045087</v>
      </c>
      <c r="R66" s="191">
        <v>33.022783241638152</v>
      </c>
      <c r="S66" s="193">
        <f t="shared" si="0"/>
        <v>-425.90479735336157</v>
      </c>
      <c r="T66" s="193">
        <f t="shared" si="1"/>
        <v>-409.92069574910056</v>
      </c>
      <c r="U66" s="370">
        <v>7.6350470000000001</v>
      </c>
      <c r="V66" s="372">
        <f>SUMPRODUCT(S63:S66,U63:U66)/SUM(bdp!AR89:AR92)</f>
        <v>3.2645472432707504E-2</v>
      </c>
      <c r="X66" s="18">
        <v>42369</v>
      </c>
      <c r="Y66" s="372">
        <v>3.2645472432707504E-2</v>
      </c>
      <c r="AC66" s="194">
        <v>42369</v>
      </c>
      <c r="AD66" s="195">
        <v>1552.6</v>
      </c>
      <c r="AE66" s="196">
        <v>61.1</v>
      </c>
      <c r="AF66" s="196">
        <v>44.3</v>
      </c>
      <c r="AG66" s="196">
        <v>238.4</v>
      </c>
      <c r="AH66" s="196">
        <v>668.5</v>
      </c>
      <c r="AI66" s="196">
        <v>29</v>
      </c>
      <c r="AJ66" s="196">
        <v>5.2</v>
      </c>
      <c r="AK66" s="196">
        <v>14.7</v>
      </c>
      <c r="AL66" s="196">
        <v>13.1</v>
      </c>
      <c r="AM66" s="196">
        <v>145.19999999999999</v>
      </c>
      <c r="AN66" s="196">
        <v>299.2</v>
      </c>
      <c r="AO66" s="196">
        <v>33.700000000000003</v>
      </c>
      <c r="AP66" s="196">
        <v>0</v>
      </c>
      <c r="AQ66" s="195">
        <v>885.2</v>
      </c>
      <c r="AR66" s="196">
        <v>8.6999999999999993</v>
      </c>
      <c r="AS66" s="196">
        <v>16</v>
      </c>
      <c r="AT66" s="196">
        <v>141.4</v>
      </c>
      <c r="AU66" s="196">
        <v>167.4</v>
      </c>
      <c r="AV66" s="196">
        <v>21.1</v>
      </c>
      <c r="AW66" s="196">
        <v>10.6</v>
      </c>
      <c r="AX66" s="196">
        <v>67.3</v>
      </c>
      <c r="AY66" s="196">
        <v>69.900000000000006</v>
      </c>
      <c r="AZ66" s="196">
        <v>98.3</v>
      </c>
      <c r="BA66" s="196">
        <v>247.4</v>
      </c>
      <c r="BB66" s="196">
        <v>28.2</v>
      </c>
      <c r="BC66" s="196">
        <v>8.8000000000000007</v>
      </c>
      <c r="BE66" s="194">
        <v>42369</v>
      </c>
      <c r="BF66" s="195">
        <v>-198.9</v>
      </c>
      <c r="BG66" s="196">
        <v>246.1</v>
      </c>
      <c r="BH66" s="196">
        <v>-445</v>
      </c>
      <c r="BI66" s="195">
        <v>-198.7</v>
      </c>
      <c r="BJ66" s="196">
        <v>6.2</v>
      </c>
      <c r="BK66" s="196">
        <v>-204.9</v>
      </c>
      <c r="BM66" s="194">
        <v>42369</v>
      </c>
      <c r="BN66" s="195">
        <v>749.2</v>
      </c>
      <c r="BO66" s="196">
        <v>521.20000000000005</v>
      </c>
      <c r="BP66" s="195">
        <v>270.89999999999998</v>
      </c>
      <c r="BQ66" s="196">
        <v>102.6</v>
      </c>
      <c r="BS66" s="189">
        <v>39903</v>
      </c>
      <c r="BT66" s="190">
        <v>8869.5485378721569</v>
      </c>
      <c r="BU66" s="190">
        <v>-251.36784467729558</v>
      </c>
    </row>
    <row r="67" spans="1:73" ht="14.25" customHeight="1">
      <c r="A67" s="18">
        <v>42460</v>
      </c>
      <c r="B67" s="191">
        <v>2332.2690439349999</v>
      </c>
      <c r="C67" s="191">
        <v>1163.3283084676</v>
      </c>
      <c r="D67" s="191">
        <v>142.00450383486805</v>
      </c>
      <c r="E67" s="191">
        <v>559.69220822429986</v>
      </c>
      <c r="F67" s="191">
        <v>137.64978583480001</v>
      </c>
      <c r="G67" s="191">
        <v>-43.596970110120374</v>
      </c>
      <c r="H67" s="191">
        <v>-23.034568666537009</v>
      </c>
      <c r="I67" s="191">
        <v>-35.331270348000004</v>
      </c>
      <c r="J67" s="191">
        <v>-253.46610748195371</v>
      </c>
      <c r="K67" s="192">
        <v>-447.68827600000009</v>
      </c>
      <c r="L67" s="191">
        <v>486.27898932540757</v>
      </c>
      <c r="M67" s="191">
        <v>4160.2845779076979</v>
      </c>
      <c r="N67" s="191">
        <v>735.49182770059997</v>
      </c>
      <c r="O67" s="191">
        <v>494.88762686090178</v>
      </c>
      <c r="P67" s="191">
        <v>321.66955880539996</v>
      </c>
      <c r="Q67" s="191">
        <v>452.43176533890744</v>
      </c>
      <c r="R67" s="191">
        <v>-364.43820629289439</v>
      </c>
      <c r="S67" s="193">
        <f t="shared" si="0"/>
        <v>-1515.0395268128323</v>
      </c>
      <c r="T67" s="193">
        <f t="shared" si="1"/>
        <v>-1782.221503305248</v>
      </c>
      <c r="U67" s="370">
        <v>7.5237030000000003</v>
      </c>
      <c r="V67" s="372">
        <f>SUMPRODUCT(S64:S67,U64:U67)/SUM(bdp!AR90:AR93)</f>
        <v>2.6934997415211073E-2</v>
      </c>
      <c r="X67" s="18">
        <v>42460</v>
      </c>
      <c r="Y67" s="372">
        <v>2.6934997415211073E-2</v>
      </c>
      <c r="AC67" s="194">
        <v>42460</v>
      </c>
      <c r="AD67" s="195">
        <v>1162.9000000000001</v>
      </c>
      <c r="AE67" s="196">
        <v>65.599999999999994</v>
      </c>
      <c r="AF67" s="196">
        <v>29.3</v>
      </c>
      <c r="AG67" s="196">
        <v>205.2</v>
      </c>
      <c r="AH67" s="196">
        <v>435.3</v>
      </c>
      <c r="AI67" s="196">
        <v>26</v>
      </c>
      <c r="AJ67" s="196">
        <v>5.5</v>
      </c>
      <c r="AK67" s="196">
        <v>9.6999999999999993</v>
      </c>
      <c r="AL67" s="196">
        <v>12.9</v>
      </c>
      <c r="AM67" s="196">
        <v>120.3</v>
      </c>
      <c r="AN67" s="196">
        <v>226.3</v>
      </c>
      <c r="AO67" s="196">
        <v>26.5</v>
      </c>
      <c r="AP67" s="196">
        <v>0</v>
      </c>
      <c r="AQ67" s="195">
        <v>735.5</v>
      </c>
      <c r="AR67" s="196">
        <v>7.6</v>
      </c>
      <c r="AS67" s="196">
        <v>13.5</v>
      </c>
      <c r="AT67" s="196">
        <v>123.1</v>
      </c>
      <c r="AU67" s="196">
        <v>142.19999999999999</v>
      </c>
      <c r="AV67" s="196">
        <v>14.4</v>
      </c>
      <c r="AW67" s="196">
        <v>17.600000000000001</v>
      </c>
      <c r="AX67" s="196">
        <v>69.7</v>
      </c>
      <c r="AY67" s="196">
        <v>52.3</v>
      </c>
      <c r="AZ67" s="196">
        <v>69.7</v>
      </c>
      <c r="BA67" s="196">
        <v>182.6</v>
      </c>
      <c r="BB67" s="196">
        <v>34.9</v>
      </c>
      <c r="BC67" s="196">
        <v>7.9</v>
      </c>
      <c r="BE67" s="194">
        <v>42460</v>
      </c>
      <c r="BF67" s="195">
        <v>142.69999999999999</v>
      </c>
      <c r="BG67" s="196">
        <v>196.1</v>
      </c>
      <c r="BH67" s="196">
        <v>-53.4</v>
      </c>
      <c r="BI67" s="195">
        <v>494.9</v>
      </c>
      <c r="BJ67" s="196">
        <v>3.4</v>
      </c>
      <c r="BK67" s="196">
        <v>491.4</v>
      </c>
      <c r="BM67" s="194">
        <v>42460</v>
      </c>
      <c r="BN67" s="195">
        <v>559.70000000000005</v>
      </c>
      <c r="BO67" s="196">
        <v>362</v>
      </c>
      <c r="BP67" s="195">
        <v>321.60000000000002</v>
      </c>
      <c r="BQ67" s="196">
        <v>98.7</v>
      </c>
      <c r="BS67" s="189">
        <v>39994</v>
      </c>
      <c r="BT67" s="190">
        <v>9090.0634055776209</v>
      </c>
      <c r="BU67" s="190">
        <v>220.51486770546398</v>
      </c>
    </row>
    <row r="68" spans="1:73" ht="14.25" customHeight="1">
      <c r="A68" s="18">
        <v>42551</v>
      </c>
      <c r="B68" s="191">
        <v>2632.5262579080008</v>
      </c>
      <c r="C68" s="191">
        <v>2530.4239446523998</v>
      </c>
      <c r="D68" s="191">
        <v>340.68527692897555</v>
      </c>
      <c r="E68" s="191">
        <v>876.81264451470008</v>
      </c>
      <c r="F68" s="191">
        <v>144.60522776029998</v>
      </c>
      <c r="G68" s="191">
        <v>-255.57706893002023</v>
      </c>
      <c r="H68" s="191">
        <v>-409.60880785383813</v>
      </c>
      <c r="I68" s="191">
        <v>-47.331925562099997</v>
      </c>
      <c r="J68" s="191">
        <v>1526.3928397255463</v>
      </c>
      <c r="K68" s="192">
        <v>-388.92530299999999</v>
      </c>
      <c r="L68" s="191">
        <v>572.79828780554533</v>
      </c>
      <c r="M68" s="191">
        <v>4780.505351768199</v>
      </c>
      <c r="N68" s="191">
        <v>859.28040324159963</v>
      </c>
      <c r="O68" s="191">
        <v>633.19545813158425</v>
      </c>
      <c r="P68" s="191">
        <v>251.79704102030004</v>
      </c>
      <c r="Q68" s="191">
        <v>12.82068156990681</v>
      </c>
      <c r="R68" s="191">
        <v>-160.9443325985572</v>
      </c>
      <c r="S68" s="193">
        <f t="shared" si="0"/>
        <v>-144.33013015760662</v>
      </c>
      <c r="T68" s="193">
        <f t="shared" si="1"/>
        <v>1146.1467708164782</v>
      </c>
      <c r="U68" s="370">
        <v>7.5127370000000004</v>
      </c>
      <c r="V68" s="372">
        <f>SUMPRODUCT(S65:S68,U65:U68)/SUM(bdp!AR91:AR94)</f>
        <v>3.2944996762127775E-2</v>
      </c>
      <c r="X68" s="18">
        <v>42551</v>
      </c>
      <c r="Y68" s="372">
        <v>3.2944996762127775E-2</v>
      </c>
      <c r="AC68" s="194">
        <v>42551</v>
      </c>
      <c r="AD68" s="195">
        <v>2529.8000000000002</v>
      </c>
      <c r="AE68" s="196">
        <v>74</v>
      </c>
      <c r="AF68" s="196">
        <v>38.799999999999997</v>
      </c>
      <c r="AG68" s="196">
        <v>279.8</v>
      </c>
      <c r="AH68" s="196">
        <v>1651.9</v>
      </c>
      <c r="AI68" s="196">
        <v>30.9</v>
      </c>
      <c r="AJ68" s="196">
        <v>4.5</v>
      </c>
      <c r="AK68" s="196">
        <v>18.100000000000001</v>
      </c>
      <c r="AL68" s="196">
        <v>10.8</v>
      </c>
      <c r="AM68" s="196">
        <v>145.80000000000001</v>
      </c>
      <c r="AN68" s="196">
        <v>254.8</v>
      </c>
      <c r="AO68" s="196">
        <v>20.399999999999999</v>
      </c>
      <c r="AP68" s="196">
        <v>0</v>
      </c>
      <c r="AQ68" s="195">
        <v>858.8</v>
      </c>
      <c r="AR68" s="196">
        <v>10.1</v>
      </c>
      <c r="AS68" s="196">
        <v>13.9</v>
      </c>
      <c r="AT68" s="196">
        <v>144</v>
      </c>
      <c r="AU68" s="196">
        <v>212.3</v>
      </c>
      <c r="AV68" s="196">
        <v>15.2</v>
      </c>
      <c r="AW68" s="196">
        <v>10</v>
      </c>
      <c r="AX68" s="196">
        <v>83.3</v>
      </c>
      <c r="AY68" s="196">
        <v>56.5</v>
      </c>
      <c r="AZ68" s="196">
        <v>77.599999999999994</v>
      </c>
      <c r="BA68" s="196">
        <v>203.3</v>
      </c>
      <c r="BB68" s="196">
        <v>24.9</v>
      </c>
      <c r="BC68" s="196">
        <v>7.6</v>
      </c>
      <c r="BE68" s="194">
        <v>42551</v>
      </c>
      <c r="BF68" s="195">
        <v>340.5</v>
      </c>
      <c r="BG68" s="196">
        <v>336.6</v>
      </c>
      <c r="BH68" s="196">
        <v>3.9</v>
      </c>
      <c r="BI68" s="195">
        <v>632.79999999999995</v>
      </c>
      <c r="BJ68" s="196">
        <v>4.5</v>
      </c>
      <c r="BK68" s="196">
        <v>628.29999999999995</v>
      </c>
      <c r="BM68" s="194">
        <v>42551</v>
      </c>
      <c r="BN68" s="195">
        <v>876.3</v>
      </c>
      <c r="BO68" s="196">
        <v>666.4</v>
      </c>
      <c r="BP68" s="195">
        <v>251.7</v>
      </c>
      <c r="BQ68" s="196">
        <v>96.3</v>
      </c>
      <c r="BS68" s="189">
        <v>40086</v>
      </c>
      <c r="BT68" s="190">
        <v>9317.5946912939653</v>
      </c>
      <c r="BU68" s="190">
        <v>227.53128571634443</v>
      </c>
    </row>
    <row r="69" spans="1:73" ht="14.25" customHeight="1">
      <c r="A69" s="18">
        <v>42643</v>
      </c>
      <c r="B69" s="191">
        <v>2628.5633854164994</v>
      </c>
      <c r="C69" s="191">
        <v>6319.3054029523973</v>
      </c>
      <c r="D69" s="191">
        <v>268.98977112139573</v>
      </c>
      <c r="E69" s="191">
        <v>707.20986751750013</v>
      </c>
      <c r="F69" s="191">
        <v>129.47185793579999</v>
      </c>
      <c r="G69" s="191">
        <v>-105.4398344220207</v>
      </c>
      <c r="H69" s="191">
        <v>-4.6543578023510186</v>
      </c>
      <c r="I69" s="191">
        <v>-55.583919432200005</v>
      </c>
      <c r="J69" s="191">
        <v>2248.1933245379437</v>
      </c>
      <c r="K69" s="192">
        <v>141.99169699989994</v>
      </c>
      <c r="L69" s="191">
        <v>-1189.9287485247883</v>
      </c>
      <c r="M69" s="191">
        <v>4611.1351436786017</v>
      </c>
      <c r="N69" s="191">
        <v>975.82610208980032</v>
      </c>
      <c r="O69" s="191">
        <v>854.4259076835425</v>
      </c>
      <c r="P69" s="191">
        <v>303.12678492249995</v>
      </c>
      <c r="Q69" s="191">
        <v>660.58846688490689</v>
      </c>
      <c r="R69" s="191">
        <v>-555.1791550479943</v>
      </c>
      <c r="S69" s="193">
        <f t="shared" si="0"/>
        <v>3179.5544886333491</v>
      </c>
      <c r="T69" s="193">
        <f t="shared" si="1"/>
        <v>4238.1951960887218</v>
      </c>
      <c r="U69" s="370">
        <v>7.5077530000000001</v>
      </c>
      <c r="V69" s="372">
        <f>SUMPRODUCT(S66:S69,U66:U69)/SUM(bdp!AR92:AR95)</f>
        <v>2.336767989708103E-2</v>
      </c>
      <c r="X69" s="18">
        <v>42643</v>
      </c>
      <c r="Y69" s="372">
        <v>2.336767989708103E-2</v>
      </c>
      <c r="AC69" s="194">
        <v>42643</v>
      </c>
      <c r="AD69" s="195">
        <v>6312</v>
      </c>
      <c r="AE69" s="196">
        <v>89.7</v>
      </c>
      <c r="AF69" s="196">
        <v>33.4</v>
      </c>
      <c r="AG69" s="196">
        <v>331.6</v>
      </c>
      <c r="AH69" s="196">
        <v>5250</v>
      </c>
      <c r="AI69" s="196">
        <v>36</v>
      </c>
      <c r="AJ69" s="196">
        <v>4.3</v>
      </c>
      <c r="AK69" s="196">
        <v>39.9</v>
      </c>
      <c r="AL69" s="196">
        <v>13.1</v>
      </c>
      <c r="AM69" s="196">
        <v>154.4</v>
      </c>
      <c r="AN69" s="196">
        <v>290.3</v>
      </c>
      <c r="AO69" s="196">
        <v>69.400000000000006</v>
      </c>
      <c r="AP69" s="196">
        <v>0</v>
      </c>
      <c r="AQ69" s="195">
        <v>974.9</v>
      </c>
      <c r="AR69" s="196">
        <v>8.9</v>
      </c>
      <c r="AS69" s="196">
        <v>13.7</v>
      </c>
      <c r="AT69" s="196">
        <v>149.69999999999999</v>
      </c>
      <c r="AU69" s="196">
        <v>252.9</v>
      </c>
      <c r="AV69" s="196">
        <v>25.5</v>
      </c>
      <c r="AW69" s="196">
        <v>9.6</v>
      </c>
      <c r="AX69" s="196">
        <v>125.2</v>
      </c>
      <c r="AY69" s="196">
        <v>67.400000000000006</v>
      </c>
      <c r="AZ69" s="196">
        <v>84.3</v>
      </c>
      <c r="BA69" s="196">
        <v>202.7</v>
      </c>
      <c r="BB69" s="196">
        <v>27</v>
      </c>
      <c r="BC69" s="196">
        <v>7.9</v>
      </c>
      <c r="BE69" s="194">
        <v>42643</v>
      </c>
      <c r="BF69" s="195">
        <v>268.60000000000002</v>
      </c>
      <c r="BG69" s="196">
        <v>305.7</v>
      </c>
      <c r="BH69" s="196">
        <v>-37</v>
      </c>
      <c r="BI69" s="195">
        <v>853.8</v>
      </c>
      <c r="BJ69" s="196">
        <v>4.9000000000000004</v>
      </c>
      <c r="BK69" s="196">
        <v>848.9</v>
      </c>
      <c r="BM69" s="194">
        <v>42643</v>
      </c>
      <c r="BN69" s="195">
        <v>706.5</v>
      </c>
      <c r="BO69" s="196">
        <v>478.2</v>
      </c>
      <c r="BP69" s="195">
        <v>302.8</v>
      </c>
      <c r="BQ69" s="196">
        <v>117.6</v>
      </c>
      <c r="BS69" s="189">
        <v>40178</v>
      </c>
      <c r="BT69" s="190">
        <v>10375.815685539206</v>
      </c>
      <c r="BU69" s="190">
        <v>1058.2209942452409</v>
      </c>
    </row>
    <row r="70" spans="1:73" ht="14.25" customHeight="1">
      <c r="A70" s="18">
        <v>42735</v>
      </c>
      <c r="B70" s="191">
        <v>2917.2859949731001</v>
      </c>
      <c r="C70" s="191">
        <v>1721.5079124924</v>
      </c>
      <c r="D70" s="191">
        <v>-824.13720143963599</v>
      </c>
      <c r="E70" s="191">
        <v>869.50027634259993</v>
      </c>
      <c r="F70" s="191">
        <v>290.64340570049995</v>
      </c>
      <c r="G70" s="191">
        <v>-1224.5301048498191</v>
      </c>
      <c r="H70" s="191">
        <v>313.71113272791007</v>
      </c>
      <c r="I70" s="191">
        <v>-10.881170067899998</v>
      </c>
      <c r="J70" s="191">
        <v>-982.1410996446549</v>
      </c>
      <c r="K70" s="192">
        <v>429.93825700000002</v>
      </c>
      <c r="L70" s="191">
        <v>-79.691392699416838</v>
      </c>
      <c r="M70" s="191">
        <v>4565.6404804096974</v>
      </c>
      <c r="N70" s="191">
        <v>993.3867751334999</v>
      </c>
      <c r="O70" s="191">
        <v>-669.13023071226178</v>
      </c>
      <c r="P70" s="191">
        <v>320.72676005459999</v>
      </c>
      <c r="Q70" s="191">
        <v>-755.84697263549162</v>
      </c>
      <c r="R70" s="191">
        <v>-402.54122268298386</v>
      </c>
      <c r="S70" s="193">
        <f t="shared" si="0"/>
        <v>-526.46680251707221</v>
      </c>
      <c r="T70" s="193">
        <f t="shared" si="1"/>
        <v>-631.02957903197694</v>
      </c>
      <c r="U70" s="370">
        <v>7.5577870000000003</v>
      </c>
      <c r="V70" s="372">
        <f>SUMPRODUCT(S67:S70,U67:U70)/SUM(bdp!AR93:AR96)</f>
        <v>2.1099155878398831E-2</v>
      </c>
      <c r="X70" s="18">
        <v>42735</v>
      </c>
      <c r="Y70" s="372">
        <v>2.1099155878398831E-2</v>
      </c>
      <c r="AC70" s="194">
        <v>42735</v>
      </c>
      <c r="AD70" s="195">
        <v>1719.7</v>
      </c>
      <c r="AE70" s="196">
        <v>71.400000000000006</v>
      </c>
      <c r="AF70" s="196">
        <v>39.200000000000003</v>
      </c>
      <c r="AG70" s="196">
        <v>260.10000000000002</v>
      </c>
      <c r="AH70" s="196">
        <v>753.1</v>
      </c>
      <c r="AI70" s="196">
        <v>39.299999999999997</v>
      </c>
      <c r="AJ70" s="196">
        <v>4.0999999999999996</v>
      </c>
      <c r="AK70" s="196">
        <v>17</v>
      </c>
      <c r="AL70" s="196">
        <v>10.1</v>
      </c>
      <c r="AM70" s="196">
        <v>177.6</v>
      </c>
      <c r="AN70" s="196">
        <v>310.10000000000002</v>
      </c>
      <c r="AO70" s="196">
        <v>37.799999999999997</v>
      </c>
      <c r="AP70" s="196">
        <v>0</v>
      </c>
      <c r="AQ70" s="195">
        <v>992.7</v>
      </c>
      <c r="AR70" s="196">
        <v>9.8000000000000007</v>
      </c>
      <c r="AS70" s="196">
        <v>16</v>
      </c>
      <c r="AT70" s="196">
        <v>150.1</v>
      </c>
      <c r="AU70" s="196">
        <v>245.7</v>
      </c>
      <c r="AV70" s="196">
        <v>22.1</v>
      </c>
      <c r="AW70" s="196">
        <v>9.8000000000000007</v>
      </c>
      <c r="AX70" s="196">
        <v>94.5</v>
      </c>
      <c r="AY70" s="196">
        <v>67</v>
      </c>
      <c r="AZ70" s="196">
        <v>104.7</v>
      </c>
      <c r="BA70" s="196">
        <v>237.4</v>
      </c>
      <c r="BB70" s="196">
        <v>26.2</v>
      </c>
      <c r="BC70" s="196">
        <v>9.3000000000000007</v>
      </c>
      <c r="BE70" s="194">
        <v>42735</v>
      </c>
      <c r="BF70" s="195">
        <v>-826.2</v>
      </c>
      <c r="BG70" s="196">
        <v>344.3</v>
      </c>
      <c r="BH70" s="196">
        <v>-1170.5</v>
      </c>
      <c r="BI70" s="195">
        <v>-668</v>
      </c>
      <c r="BJ70" s="196">
        <v>5.7</v>
      </c>
      <c r="BK70" s="196">
        <v>-673.7</v>
      </c>
      <c r="BM70" s="194">
        <v>42735</v>
      </c>
      <c r="BN70" s="195">
        <v>868.8</v>
      </c>
      <c r="BO70" s="196">
        <v>609</v>
      </c>
      <c r="BP70" s="195">
        <v>320.5</v>
      </c>
      <c r="BQ70" s="196">
        <v>110.2</v>
      </c>
      <c r="BS70" s="189">
        <v>40268</v>
      </c>
      <c r="BT70" s="190">
        <v>10008.111192698574</v>
      </c>
      <c r="BU70" s="190">
        <v>-367.70449284063216</v>
      </c>
    </row>
    <row r="71" spans="1:73" ht="14.25" customHeight="1">
      <c r="A71" s="18">
        <v>42825</v>
      </c>
      <c r="B71" s="191">
        <v>2796.4511718741996</v>
      </c>
      <c r="C71" s="191">
        <v>1313.4760751337997</v>
      </c>
      <c r="D71" s="191">
        <v>401.94201138037852</v>
      </c>
      <c r="E71" s="191">
        <v>774.97723819129999</v>
      </c>
      <c r="F71" s="191">
        <v>90.118576514500006</v>
      </c>
      <c r="G71" s="191">
        <v>297.76305736417385</v>
      </c>
      <c r="H71" s="191">
        <v>-39.794629973185977</v>
      </c>
      <c r="I71" s="191">
        <v>10.470241377699999</v>
      </c>
      <c r="J71" s="191">
        <v>-2082.1276483729453</v>
      </c>
      <c r="K71" s="192">
        <v>2653.7549040000004</v>
      </c>
      <c r="L71" s="191">
        <v>797.24742100109836</v>
      </c>
      <c r="M71" s="191">
        <v>4843.7614577940994</v>
      </c>
      <c r="N71" s="191">
        <v>863.45828382820002</v>
      </c>
      <c r="O71" s="191">
        <v>530.72193423175815</v>
      </c>
      <c r="P71" s="191">
        <v>302.72980211390001</v>
      </c>
      <c r="Q71" s="191">
        <v>443.9862485064308</v>
      </c>
      <c r="R71" s="191">
        <v>762.53865976199381</v>
      </c>
      <c r="S71" s="193">
        <f t="shared" si="0"/>
        <v>-1253.8249813882803</v>
      </c>
      <c r="T71" s="193">
        <f t="shared" si="1"/>
        <v>-732.91796774536215</v>
      </c>
      <c r="U71" s="370">
        <v>7.4383900000000001</v>
      </c>
      <c r="V71" s="372">
        <f>SUMPRODUCT(S68:S71,U68:U71)/SUM(bdp!AR94:AR97)</f>
        <v>2.6804255612397437E-2</v>
      </c>
      <c r="X71" s="18">
        <v>42825</v>
      </c>
      <c r="Y71" s="372">
        <v>2.6804255612397437E-2</v>
      </c>
      <c r="AC71" s="194">
        <v>42825</v>
      </c>
      <c r="AD71" s="195">
        <v>1313.5</v>
      </c>
      <c r="AE71" s="196">
        <v>74.7</v>
      </c>
      <c r="AF71" s="196">
        <v>46.9</v>
      </c>
      <c r="AG71" s="196">
        <v>225.1</v>
      </c>
      <c r="AH71" s="196">
        <v>463.9</v>
      </c>
      <c r="AI71" s="196">
        <v>28.7</v>
      </c>
      <c r="AJ71" s="196">
        <v>4.7</v>
      </c>
      <c r="AK71" s="196">
        <v>16.100000000000001</v>
      </c>
      <c r="AL71" s="196">
        <v>13.8</v>
      </c>
      <c r="AM71" s="196">
        <v>141.19999999999999</v>
      </c>
      <c r="AN71" s="196">
        <v>250.4</v>
      </c>
      <c r="AO71" s="196">
        <v>48.1</v>
      </c>
      <c r="AP71" s="196">
        <v>0</v>
      </c>
      <c r="AQ71" s="195">
        <v>863.4</v>
      </c>
      <c r="AR71" s="196">
        <v>11.2</v>
      </c>
      <c r="AS71" s="196">
        <v>20.100000000000001</v>
      </c>
      <c r="AT71" s="196">
        <v>142.4</v>
      </c>
      <c r="AU71" s="196">
        <v>210.1</v>
      </c>
      <c r="AV71" s="196">
        <v>13.7</v>
      </c>
      <c r="AW71" s="196">
        <v>17.399999999999999</v>
      </c>
      <c r="AX71" s="196">
        <v>87.3</v>
      </c>
      <c r="AY71" s="196">
        <v>52.2</v>
      </c>
      <c r="AZ71" s="196">
        <v>81.3</v>
      </c>
      <c r="BA71" s="196">
        <v>192.5</v>
      </c>
      <c r="BB71" s="196">
        <v>27.2</v>
      </c>
      <c r="BC71" s="196">
        <v>7.9</v>
      </c>
      <c r="BE71" s="194">
        <v>42825</v>
      </c>
      <c r="BF71" s="195">
        <v>401.6</v>
      </c>
      <c r="BG71" s="196">
        <v>311.10000000000002</v>
      </c>
      <c r="BH71" s="196">
        <v>90.5</v>
      </c>
      <c r="BI71" s="195">
        <v>530.70000000000005</v>
      </c>
      <c r="BJ71" s="196">
        <v>4.5999999999999996</v>
      </c>
      <c r="BK71" s="196">
        <v>526.20000000000005</v>
      </c>
      <c r="BM71" s="194">
        <v>42825</v>
      </c>
      <c r="BN71" s="195">
        <v>774.8</v>
      </c>
      <c r="BO71" s="196">
        <v>547.1</v>
      </c>
      <c r="BP71" s="195">
        <v>302.7</v>
      </c>
      <c r="BQ71" s="196">
        <v>107.4</v>
      </c>
      <c r="BS71" s="189">
        <v>40359</v>
      </c>
      <c r="BT71" s="190">
        <v>10305.171023149778</v>
      </c>
      <c r="BU71" s="190">
        <v>297.05983045120411</v>
      </c>
    </row>
    <row r="72" spans="1:73" ht="14.25" customHeight="1">
      <c r="A72" s="18">
        <v>42916</v>
      </c>
      <c r="B72" s="191">
        <v>2854.549341765497</v>
      </c>
      <c r="C72" s="191">
        <v>2941.4469883960001</v>
      </c>
      <c r="D72" s="191">
        <v>461.44155400384324</v>
      </c>
      <c r="E72" s="191">
        <v>847.25691305190026</v>
      </c>
      <c r="F72" s="191">
        <v>206.64560564739998</v>
      </c>
      <c r="G72" s="191">
        <v>57.606841659073687</v>
      </c>
      <c r="H72" s="191">
        <v>40.914967753210021</v>
      </c>
      <c r="I72" s="191">
        <v>-289.30273076809999</v>
      </c>
      <c r="J72" s="191">
        <v>1194.5753458835857</v>
      </c>
      <c r="K72" s="192">
        <v>-1883.2567770000001</v>
      </c>
      <c r="L72" s="191">
        <v>316.42483050983003</v>
      </c>
      <c r="M72" s="191">
        <v>5253.8434441660984</v>
      </c>
      <c r="N72" s="191">
        <v>972.29342824469973</v>
      </c>
      <c r="O72" s="191">
        <v>763.98623535439799</v>
      </c>
      <c r="P72" s="191">
        <v>305.58371549499998</v>
      </c>
      <c r="Q72" s="191">
        <v>194.95421119503163</v>
      </c>
      <c r="R72" s="191">
        <v>-1406.4749737815368</v>
      </c>
      <c r="S72" s="193">
        <f t="shared" si="0"/>
        <v>-191.01202604295486</v>
      </c>
      <c r="T72" s="193">
        <f t="shared" si="1"/>
        <v>664.11682022854984</v>
      </c>
      <c r="U72" s="370">
        <v>7.4066450000000001</v>
      </c>
      <c r="V72" s="372">
        <f>SUMPRODUCT(S69:S72,U69:U72)/SUM(bdp!AR95:AR98)</f>
        <v>2.5553797802424883E-2</v>
      </c>
      <c r="X72" s="18">
        <v>42916</v>
      </c>
      <c r="Y72" s="372">
        <v>2.5553797802424883E-2</v>
      </c>
      <c r="AC72" s="194">
        <v>42916</v>
      </c>
      <c r="AD72" s="195">
        <v>2938</v>
      </c>
      <c r="AE72" s="196">
        <v>74.400000000000006</v>
      </c>
      <c r="AF72" s="196">
        <v>53.2</v>
      </c>
      <c r="AG72" s="196">
        <v>303.10000000000002</v>
      </c>
      <c r="AH72" s="196">
        <v>1941.9</v>
      </c>
      <c r="AI72" s="196">
        <v>34.6</v>
      </c>
      <c r="AJ72" s="196">
        <v>5.2</v>
      </c>
      <c r="AK72" s="196">
        <v>25.8</v>
      </c>
      <c r="AL72" s="196">
        <v>10.9</v>
      </c>
      <c r="AM72" s="196">
        <v>160</v>
      </c>
      <c r="AN72" s="196">
        <v>286.8</v>
      </c>
      <c r="AO72" s="196">
        <v>41.9</v>
      </c>
      <c r="AP72" s="196">
        <v>0</v>
      </c>
      <c r="AQ72" s="195">
        <v>971.5</v>
      </c>
      <c r="AR72" s="196">
        <v>12</v>
      </c>
      <c r="AS72" s="196">
        <v>23.8</v>
      </c>
      <c r="AT72" s="196">
        <v>169.1</v>
      </c>
      <c r="AU72" s="196">
        <v>269.5</v>
      </c>
      <c r="AV72" s="196">
        <v>19.399999999999999</v>
      </c>
      <c r="AW72" s="196">
        <v>12.8</v>
      </c>
      <c r="AX72" s="196">
        <v>77.8</v>
      </c>
      <c r="AY72" s="196">
        <v>59.9</v>
      </c>
      <c r="AZ72" s="196">
        <v>76.7</v>
      </c>
      <c r="BA72" s="196">
        <v>212.8</v>
      </c>
      <c r="BB72" s="196">
        <v>28.1</v>
      </c>
      <c r="BC72" s="196">
        <v>9.6</v>
      </c>
      <c r="BE72" s="194">
        <v>42916</v>
      </c>
      <c r="BF72" s="195">
        <v>461.3</v>
      </c>
      <c r="BG72" s="196">
        <v>347.4</v>
      </c>
      <c r="BH72" s="196">
        <v>113.9</v>
      </c>
      <c r="BI72" s="195">
        <v>764.5</v>
      </c>
      <c r="BJ72" s="196">
        <v>5.9</v>
      </c>
      <c r="BK72" s="196">
        <v>758.7</v>
      </c>
      <c r="BM72" s="194">
        <v>42916</v>
      </c>
      <c r="BN72" s="195">
        <v>846.9</v>
      </c>
      <c r="BO72" s="196">
        <v>569.79999999999995</v>
      </c>
      <c r="BP72" s="195">
        <v>305.39999999999998</v>
      </c>
      <c r="BQ72" s="196">
        <v>98.7</v>
      </c>
      <c r="BS72" s="189">
        <v>40451</v>
      </c>
      <c r="BT72" s="190">
        <v>11154.383806948561</v>
      </c>
      <c r="BU72" s="190">
        <v>849.21278379878277</v>
      </c>
    </row>
    <row r="73" spans="1:73" ht="14.25" customHeight="1">
      <c r="A73" s="18">
        <v>43008</v>
      </c>
      <c r="B73" s="191">
        <v>2913.4375201110993</v>
      </c>
      <c r="C73" s="191">
        <v>6851.1022925558027</v>
      </c>
      <c r="D73" s="191">
        <v>455.22583023447385</v>
      </c>
      <c r="E73" s="191">
        <v>741.74342078599989</v>
      </c>
      <c r="F73" s="191">
        <v>98.952835442899996</v>
      </c>
      <c r="G73" s="191">
        <v>290.32806195827408</v>
      </c>
      <c r="H73" s="191">
        <v>201.42399211551901</v>
      </c>
      <c r="I73" s="191">
        <v>-81.655153761299999</v>
      </c>
      <c r="J73" s="191">
        <v>1751.1332174869895</v>
      </c>
      <c r="K73" s="192">
        <v>1009.935355</v>
      </c>
      <c r="L73" s="191">
        <v>-918.92361312804951</v>
      </c>
      <c r="M73" s="191">
        <v>5130.6349240614982</v>
      </c>
      <c r="N73" s="191">
        <v>1103.1427259133</v>
      </c>
      <c r="O73" s="191">
        <v>728.15618451371472</v>
      </c>
      <c r="P73" s="191">
        <v>303.21305703430005</v>
      </c>
      <c r="Q73" s="191">
        <v>578.72869429093112</v>
      </c>
      <c r="R73" s="191">
        <v>-283.95461597086222</v>
      </c>
      <c r="S73" s="193">
        <f t="shared" si="0"/>
        <v>3696.362172164565</v>
      </c>
      <c r="T73" s="193">
        <f t="shared" si="1"/>
        <v>5752.7827889588307</v>
      </c>
      <c r="U73" s="370">
        <v>7.497115</v>
      </c>
      <c r="V73" s="372">
        <f>SUMPRODUCT(S70:S73,U70:U73)/SUM(bdp!AR96:AR99)</f>
        <v>3.5812529584472362E-2</v>
      </c>
      <c r="X73" s="18">
        <v>43008</v>
      </c>
      <c r="Y73" s="372">
        <v>3.5812529584472362E-2</v>
      </c>
      <c r="AC73" s="194">
        <v>43008</v>
      </c>
      <c r="AD73" s="195">
        <v>6837.2</v>
      </c>
      <c r="AE73" s="196">
        <v>70.599999999999994</v>
      </c>
      <c r="AF73" s="196">
        <v>39.9</v>
      </c>
      <c r="AG73" s="196">
        <v>359.5</v>
      </c>
      <c r="AH73" s="196">
        <v>5749.8</v>
      </c>
      <c r="AI73" s="196">
        <v>31</v>
      </c>
      <c r="AJ73" s="196">
        <v>4.4000000000000004</v>
      </c>
      <c r="AK73" s="196">
        <v>55.7</v>
      </c>
      <c r="AL73" s="196">
        <v>10.8</v>
      </c>
      <c r="AM73" s="196">
        <v>188.2</v>
      </c>
      <c r="AN73" s="196">
        <v>290.2</v>
      </c>
      <c r="AO73" s="196">
        <v>36.9</v>
      </c>
      <c r="AP73" s="196">
        <v>0</v>
      </c>
      <c r="AQ73" s="195">
        <v>1101.5999999999999</v>
      </c>
      <c r="AR73" s="196">
        <v>10</v>
      </c>
      <c r="AS73" s="196">
        <v>14.7</v>
      </c>
      <c r="AT73" s="196">
        <v>170.3</v>
      </c>
      <c r="AU73" s="196">
        <v>356</v>
      </c>
      <c r="AV73" s="196">
        <v>19.100000000000001</v>
      </c>
      <c r="AW73" s="196">
        <v>11.2</v>
      </c>
      <c r="AX73" s="196">
        <v>84.8</v>
      </c>
      <c r="AY73" s="196">
        <v>77.7</v>
      </c>
      <c r="AZ73" s="196">
        <v>102.1</v>
      </c>
      <c r="BA73" s="196">
        <v>215.2</v>
      </c>
      <c r="BB73" s="196">
        <v>31.9</v>
      </c>
      <c r="BC73" s="196">
        <v>8.8000000000000007</v>
      </c>
      <c r="BE73" s="194">
        <v>43008</v>
      </c>
      <c r="BF73" s="195">
        <v>455</v>
      </c>
      <c r="BG73" s="196">
        <v>348.1</v>
      </c>
      <c r="BH73" s="196">
        <v>106.9</v>
      </c>
      <c r="BI73" s="195">
        <v>728</v>
      </c>
      <c r="BJ73" s="196">
        <v>6.3</v>
      </c>
      <c r="BK73" s="196">
        <v>721.6</v>
      </c>
      <c r="BM73" s="194">
        <v>43008</v>
      </c>
      <c r="BN73" s="195">
        <v>740.9</v>
      </c>
      <c r="BO73" s="196">
        <v>498.9</v>
      </c>
      <c r="BP73" s="195">
        <v>303</v>
      </c>
      <c r="BQ73" s="196">
        <v>121.3</v>
      </c>
      <c r="BS73" s="189">
        <v>40543</v>
      </c>
      <c r="BT73" s="190">
        <v>10660.30417664016</v>
      </c>
      <c r="BU73" s="190">
        <v>-494.07963030840074</v>
      </c>
    </row>
    <row r="74" spans="1:73" ht="14.25" customHeight="1">
      <c r="A74" s="18">
        <v>43100</v>
      </c>
      <c r="B74" s="191">
        <v>3147.6961424383016</v>
      </c>
      <c r="C74" s="191">
        <v>1797.8534578043993</v>
      </c>
      <c r="D74" s="191">
        <v>-888.23250070434347</v>
      </c>
      <c r="E74" s="191">
        <v>910.11857961210012</v>
      </c>
      <c r="F74" s="191">
        <v>142.04048073709998</v>
      </c>
      <c r="G74" s="191">
        <v>-1318.4713931591266</v>
      </c>
      <c r="H74" s="191">
        <v>227.90072221579788</v>
      </c>
      <c r="I74" s="191">
        <v>-10.993971457500006</v>
      </c>
      <c r="J74" s="191">
        <v>38.349625487087849</v>
      </c>
      <c r="K74" s="192">
        <v>812.70644700000003</v>
      </c>
      <c r="L74" s="191">
        <v>-29.235682769950813</v>
      </c>
      <c r="M74" s="191">
        <v>4931.8270487987047</v>
      </c>
      <c r="N74" s="191">
        <v>1173.4140258710997</v>
      </c>
      <c r="O74" s="191">
        <v>-871.91198661838109</v>
      </c>
      <c r="P74" s="191">
        <v>307.04690441899993</v>
      </c>
      <c r="Q74" s="191">
        <v>-757.2922015179729</v>
      </c>
      <c r="R74" s="191">
        <v>966.91914695704838</v>
      </c>
      <c r="S74" s="193">
        <f t="shared" si="0"/>
        <v>-572.94031331996575</v>
      </c>
      <c r="T74" s="193">
        <f t="shared" si="1"/>
        <v>-920.27103070563317</v>
      </c>
      <c r="U74" s="370">
        <v>7.5136479999999999</v>
      </c>
      <c r="V74" s="372">
        <f>SUMPRODUCT(S71:S74,U71:U74)/SUM(bdp!AR97:AR100)</f>
        <v>3.4566258283246477E-2</v>
      </c>
      <c r="X74" s="18">
        <v>43100</v>
      </c>
      <c r="Y74" s="372">
        <v>3.4566258283246477E-2</v>
      </c>
      <c r="AC74" s="194">
        <v>43100</v>
      </c>
      <c r="AD74" s="195">
        <v>1796.3</v>
      </c>
      <c r="AE74" s="196">
        <v>82</v>
      </c>
      <c r="AF74" s="196">
        <v>45.5</v>
      </c>
      <c r="AG74" s="196">
        <v>258.3</v>
      </c>
      <c r="AH74" s="196">
        <v>787.4</v>
      </c>
      <c r="AI74" s="196">
        <v>31.6</v>
      </c>
      <c r="AJ74" s="196">
        <v>5.7</v>
      </c>
      <c r="AK74" s="196">
        <v>21.8</v>
      </c>
      <c r="AL74" s="196">
        <v>12.5</v>
      </c>
      <c r="AM74" s="196">
        <v>188.5</v>
      </c>
      <c r="AN74" s="196">
        <v>336.5</v>
      </c>
      <c r="AO74" s="196">
        <v>26</v>
      </c>
      <c r="AP74" s="196">
        <v>0</v>
      </c>
      <c r="AQ74" s="195">
        <v>1172.8</v>
      </c>
      <c r="AR74" s="196">
        <v>10.6</v>
      </c>
      <c r="AS74" s="196">
        <v>16.2</v>
      </c>
      <c r="AT74" s="196">
        <v>160.5</v>
      </c>
      <c r="AU74" s="196">
        <v>365.7</v>
      </c>
      <c r="AV74" s="196">
        <v>18.100000000000001</v>
      </c>
      <c r="AW74" s="196">
        <v>12.1</v>
      </c>
      <c r="AX74" s="196">
        <v>94.4</v>
      </c>
      <c r="AY74" s="196">
        <v>80.400000000000006</v>
      </c>
      <c r="AZ74" s="196">
        <v>105.8</v>
      </c>
      <c r="BA74" s="196">
        <v>268.8</v>
      </c>
      <c r="BB74" s="196">
        <v>33.200000000000003</v>
      </c>
      <c r="BC74" s="196">
        <v>6.8</v>
      </c>
      <c r="BE74" s="194">
        <v>43100</v>
      </c>
      <c r="BF74" s="195">
        <v>-890.1</v>
      </c>
      <c r="BG74" s="196">
        <v>359.8</v>
      </c>
      <c r="BH74" s="196">
        <v>-1249.9000000000001</v>
      </c>
      <c r="BI74" s="195">
        <v>-870.9</v>
      </c>
      <c r="BJ74" s="196">
        <v>5.2</v>
      </c>
      <c r="BK74" s="196">
        <v>-876</v>
      </c>
      <c r="BM74" s="194">
        <v>43100</v>
      </c>
      <c r="BN74" s="195">
        <v>910</v>
      </c>
      <c r="BO74" s="196">
        <v>633.20000000000005</v>
      </c>
      <c r="BP74" s="195">
        <v>306.89999999999998</v>
      </c>
      <c r="BQ74" s="196">
        <v>110.1</v>
      </c>
      <c r="BS74" s="189">
        <v>40633</v>
      </c>
      <c r="BT74" s="190">
        <v>11423.833909730996</v>
      </c>
      <c r="BU74" s="190">
        <v>763.52973309083609</v>
      </c>
    </row>
    <row r="75" spans="1:73" ht="14.25" customHeight="1">
      <c r="A75" s="18">
        <v>43190</v>
      </c>
      <c r="B75" s="191">
        <v>2750.7861756584002</v>
      </c>
      <c r="C75" s="191">
        <v>1349.6206335080997</v>
      </c>
      <c r="D75" s="191">
        <v>407.6560120704375</v>
      </c>
      <c r="E75" s="191">
        <v>807.94075975770011</v>
      </c>
      <c r="F75" s="191">
        <v>122.40188855780002</v>
      </c>
      <c r="G75" s="191">
        <v>137.85556497224638</v>
      </c>
      <c r="H75" s="191">
        <v>205.70574944935791</v>
      </c>
      <c r="I75" s="191">
        <v>82.929248627599989</v>
      </c>
      <c r="J75" s="191">
        <v>-1608.7397978858569</v>
      </c>
      <c r="K75" s="192">
        <v>785.75924904999999</v>
      </c>
      <c r="L75" s="191">
        <v>763.25865401996271</v>
      </c>
      <c r="M75" s="191">
        <v>5193.1836695021966</v>
      </c>
      <c r="N75" s="191">
        <v>1008.0949103921</v>
      </c>
      <c r="O75" s="191">
        <v>601.54264085141267</v>
      </c>
      <c r="P75" s="191">
        <v>334.98690287400001</v>
      </c>
      <c r="Q75" s="191">
        <v>565.27026300156774</v>
      </c>
      <c r="R75" s="191">
        <v>-25.616248740911693</v>
      </c>
      <c r="S75" s="193">
        <f t="shared" si="0"/>
        <v>-1821.8045426250728</v>
      </c>
      <c r="T75" s="193">
        <f t="shared" si="1"/>
        <v>-1872.2880000946179</v>
      </c>
      <c r="U75" s="370">
        <v>7.4320259999999996</v>
      </c>
      <c r="V75" s="372">
        <f>SUMPRODUCT(S72:S75,U72:U75)/SUM(bdp!AR98:AR101)</f>
        <v>2.2833503513834751E-2</v>
      </c>
      <c r="X75" s="18">
        <v>43190</v>
      </c>
      <c r="Y75" s="372">
        <v>2.2833503513834751E-2</v>
      </c>
      <c r="AC75" s="194">
        <v>43190</v>
      </c>
      <c r="AD75" s="195">
        <v>1348.9</v>
      </c>
      <c r="AE75" s="196">
        <v>75.400000000000006</v>
      </c>
      <c r="AF75" s="196">
        <v>30.4</v>
      </c>
      <c r="AG75" s="196">
        <v>231.9</v>
      </c>
      <c r="AH75" s="196">
        <v>468.5</v>
      </c>
      <c r="AI75" s="196">
        <v>46.7</v>
      </c>
      <c r="AJ75" s="196">
        <v>5.9</v>
      </c>
      <c r="AK75" s="196">
        <v>17.899999999999999</v>
      </c>
      <c r="AL75" s="196">
        <v>12.5</v>
      </c>
      <c r="AM75" s="196">
        <v>160.5</v>
      </c>
      <c r="AN75" s="196">
        <v>271.39999999999998</v>
      </c>
      <c r="AO75" s="196">
        <v>27.8</v>
      </c>
      <c r="AP75" s="196">
        <v>0</v>
      </c>
      <c r="AQ75" s="195">
        <v>1007.3</v>
      </c>
      <c r="AR75" s="196">
        <v>14.7</v>
      </c>
      <c r="AS75" s="196">
        <v>14.1</v>
      </c>
      <c r="AT75" s="196">
        <v>151.69999999999999</v>
      </c>
      <c r="AU75" s="196">
        <v>295.8</v>
      </c>
      <c r="AV75" s="196">
        <v>28.2</v>
      </c>
      <c r="AW75" s="196">
        <v>24.5</v>
      </c>
      <c r="AX75" s="196">
        <v>71.099999999999994</v>
      </c>
      <c r="AY75" s="196">
        <v>55</v>
      </c>
      <c r="AZ75" s="196">
        <v>87.1</v>
      </c>
      <c r="BA75" s="196">
        <v>229.2</v>
      </c>
      <c r="BB75" s="196">
        <v>27.7</v>
      </c>
      <c r="BC75" s="196">
        <v>8.6</v>
      </c>
      <c r="BE75" s="194">
        <v>43190</v>
      </c>
      <c r="BF75" s="195">
        <v>418.1</v>
      </c>
      <c r="BG75" s="196">
        <v>337.2</v>
      </c>
      <c r="BH75" s="196">
        <v>80.900000000000006</v>
      </c>
      <c r="BI75" s="195">
        <v>603.70000000000005</v>
      </c>
      <c r="BJ75" s="196">
        <v>5.8</v>
      </c>
      <c r="BK75" s="196">
        <v>597.9</v>
      </c>
      <c r="BM75" s="194">
        <v>43190</v>
      </c>
      <c r="BN75" s="195">
        <v>797</v>
      </c>
      <c r="BO75" s="196">
        <v>555.5</v>
      </c>
      <c r="BP75" s="195">
        <v>334.9</v>
      </c>
      <c r="BQ75" s="196">
        <v>113.6</v>
      </c>
      <c r="BS75" s="189">
        <v>40724</v>
      </c>
      <c r="BT75" s="190">
        <v>11422.260487426012</v>
      </c>
      <c r="BU75" s="190">
        <v>-1.5734223049839784</v>
      </c>
    </row>
    <row r="76" spans="1:73" ht="14.25" customHeight="1">
      <c r="A76" s="18">
        <v>43281</v>
      </c>
      <c r="B76" s="191">
        <v>3097.8290566184996</v>
      </c>
      <c r="C76" s="191">
        <v>3186.9514196974005</v>
      </c>
      <c r="D76" s="191">
        <v>517.09130954906993</v>
      </c>
      <c r="E76" s="191">
        <v>885.08119853510004</v>
      </c>
      <c r="F76" s="191">
        <v>185.3442221215</v>
      </c>
      <c r="G76" s="191">
        <v>69.073808034746534</v>
      </c>
      <c r="H76" s="191">
        <v>-106.84460589369198</v>
      </c>
      <c r="I76" s="191">
        <v>23.301921781899996</v>
      </c>
      <c r="J76" s="191">
        <v>1298.2847303939827</v>
      </c>
      <c r="K76" s="192">
        <v>25.056777919999995</v>
      </c>
      <c r="L76" s="191">
        <v>459.06421692699109</v>
      </c>
      <c r="M76" s="191">
        <v>5569.1984790121014</v>
      </c>
      <c r="N76" s="191">
        <v>1166.086050959</v>
      </c>
      <c r="O76" s="191">
        <v>770.92960013825007</v>
      </c>
      <c r="P76" s="191">
        <v>301.17205712549998</v>
      </c>
      <c r="Q76" s="191">
        <v>519.07196020306776</v>
      </c>
      <c r="R76" s="191">
        <v>265.82543582015956</v>
      </c>
      <c r="S76" s="193">
        <f t="shared" si="0"/>
        <v>-120.4332028347817</v>
      </c>
      <c r="T76" s="193">
        <f t="shared" si="1"/>
        <v>1047.9504724274193</v>
      </c>
      <c r="U76" s="370">
        <v>7.3795770000000003</v>
      </c>
      <c r="V76" s="372">
        <f>SUMPRODUCT(S73:S76,U73:U76)/SUM(bdp!AR99:AR102)</f>
        <v>2.3966923128178684E-2</v>
      </c>
      <c r="X76" s="18">
        <v>43281</v>
      </c>
      <c r="Y76" s="372">
        <v>2.3966923128178684E-2</v>
      </c>
      <c r="AC76" s="194">
        <v>43281</v>
      </c>
      <c r="AD76" s="195">
        <v>3182.4</v>
      </c>
      <c r="AE76" s="196">
        <v>81.5</v>
      </c>
      <c r="AF76" s="196">
        <v>44.1</v>
      </c>
      <c r="AG76" s="196">
        <v>311.3</v>
      </c>
      <c r="AH76" s="196">
        <v>2120.6</v>
      </c>
      <c r="AI76" s="196">
        <v>56</v>
      </c>
      <c r="AJ76" s="196">
        <v>3.4</v>
      </c>
      <c r="AK76" s="196">
        <v>31.4</v>
      </c>
      <c r="AL76" s="196">
        <v>19.7</v>
      </c>
      <c r="AM76" s="196">
        <v>186</v>
      </c>
      <c r="AN76" s="196">
        <v>307.5</v>
      </c>
      <c r="AO76" s="196">
        <v>21</v>
      </c>
      <c r="AP76" s="196">
        <v>0</v>
      </c>
      <c r="AQ76" s="195">
        <v>1164.2</v>
      </c>
      <c r="AR76" s="196">
        <v>14.1</v>
      </c>
      <c r="AS76" s="196">
        <v>14.9</v>
      </c>
      <c r="AT76" s="196">
        <v>169.6</v>
      </c>
      <c r="AU76" s="196">
        <v>403</v>
      </c>
      <c r="AV76" s="196">
        <v>33.799999999999997</v>
      </c>
      <c r="AW76" s="196">
        <v>10.3</v>
      </c>
      <c r="AX76" s="196">
        <v>73.5</v>
      </c>
      <c r="AY76" s="196">
        <v>66.2</v>
      </c>
      <c r="AZ76" s="196">
        <v>97.5</v>
      </c>
      <c r="BA76" s="196">
        <v>245.5</v>
      </c>
      <c r="BB76" s="196">
        <v>29.2</v>
      </c>
      <c r="BC76" s="196">
        <v>6.6</v>
      </c>
      <c r="BE76" s="194">
        <v>43281</v>
      </c>
      <c r="BF76" s="195">
        <v>527.29999999999995</v>
      </c>
      <c r="BG76" s="196">
        <v>386.7</v>
      </c>
      <c r="BH76" s="196">
        <v>140.6</v>
      </c>
      <c r="BI76" s="195">
        <v>765.5</v>
      </c>
      <c r="BJ76" s="196">
        <v>9.5</v>
      </c>
      <c r="BK76" s="196">
        <v>756.2</v>
      </c>
      <c r="BM76" s="194">
        <v>43281</v>
      </c>
      <c r="BN76" s="195">
        <v>873.9</v>
      </c>
      <c r="BO76" s="196">
        <v>623.6</v>
      </c>
      <c r="BP76" s="195">
        <v>301</v>
      </c>
      <c r="BQ76" s="196">
        <v>106</v>
      </c>
      <c r="BS76" s="189">
        <v>40816</v>
      </c>
      <c r="BT76" s="190">
        <v>11323.837183168856</v>
      </c>
      <c r="BU76" s="190">
        <v>-98.423304257155905</v>
      </c>
    </row>
    <row r="77" spans="1:73" ht="14.25" customHeight="1">
      <c r="A77" s="18">
        <v>43373</v>
      </c>
      <c r="B77" s="191">
        <v>3169.3732585570006</v>
      </c>
      <c r="C77" s="191">
        <v>7346.2716277776044</v>
      </c>
      <c r="D77" s="191">
        <v>480.89162860077408</v>
      </c>
      <c r="E77" s="191">
        <v>787.08568686730007</v>
      </c>
      <c r="F77" s="191">
        <v>150.27553707619998</v>
      </c>
      <c r="G77" s="191">
        <v>131.54686929754661</v>
      </c>
      <c r="H77" s="191">
        <v>312.68971757225688</v>
      </c>
      <c r="I77" s="191">
        <v>-15.228233243200002</v>
      </c>
      <c r="J77" s="191">
        <v>1723.0376751036003</v>
      </c>
      <c r="K77" s="192">
        <v>12.786647849999964</v>
      </c>
      <c r="L77" s="191">
        <v>-1234.8393742853109</v>
      </c>
      <c r="M77" s="191">
        <v>5551.0616877569046</v>
      </c>
      <c r="N77" s="191">
        <v>1236.6211725283003</v>
      </c>
      <c r="O77" s="191">
        <v>866.26056307918691</v>
      </c>
      <c r="P77" s="191">
        <v>331.60904038039996</v>
      </c>
      <c r="Q77" s="191">
        <v>115.56039718326758</v>
      </c>
      <c r="R77" s="191">
        <v>-664.23362145184069</v>
      </c>
      <c r="S77" s="193">
        <f t="shared" si="0"/>
        <v>3798.0697380578868</v>
      </c>
      <c r="T77" s="193">
        <f t="shared" si="1"/>
        <v>5427.0118016975521</v>
      </c>
      <c r="U77" s="370">
        <v>7.4240149999999998</v>
      </c>
      <c r="V77" s="372">
        <f>SUMPRODUCT(S74:S77,U74:U77)/SUM(bdp!AR100:AR103)</f>
        <v>2.4932519037269528E-2</v>
      </c>
      <c r="X77" s="18">
        <v>43373</v>
      </c>
      <c r="Y77" s="372">
        <v>2.4932519037269528E-2</v>
      </c>
      <c r="AC77" s="194">
        <v>43373</v>
      </c>
      <c r="AD77" s="195">
        <v>7334.9</v>
      </c>
      <c r="AE77" s="196">
        <v>72.900000000000006</v>
      </c>
      <c r="AF77" s="196">
        <v>32</v>
      </c>
      <c r="AG77" s="196">
        <v>383.8</v>
      </c>
      <c r="AH77" s="196">
        <v>6076.5</v>
      </c>
      <c r="AI77" s="196">
        <v>46.8</v>
      </c>
      <c r="AJ77" s="196">
        <v>5.3</v>
      </c>
      <c r="AK77" s="196">
        <v>64.599999999999994</v>
      </c>
      <c r="AL77" s="196">
        <v>12.3</v>
      </c>
      <c r="AM77" s="196">
        <v>218.3</v>
      </c>
      <c r="AN77" s="196">
        <v>337.6</v>
      </c>
      <c r="AO77" s="196">
        <v>84.9</v>
      </c>
      <c r="AP77" s="196">
        <v>0</v>
      </c>
      <c r="AQ77" s="195">
        <v>1233.9000000000001</v>
      </c>
      <c r="AR77" s="196">
        <v>9.6</v>
      </c>
      <c r="AS77" s="196">
        <v>18.5</v>
      </c>
      <c r="AT77" s="196">
        <v>174.5</v>
      </c>
      <c r="AU77" s="196">
        <v>377.5</v>
      </c>
      <c r="AV77" s="196">
        <v>28.2</v>
      </c>
      <c r="AW77" s="196">
        <v>10.199999999999999</v>
      </c>
      <c r="AX77" s="196">
        <v>115.5</v>
      </c>
      <c r="AY77" s="196">
        <v>59.6</v>
      </c>
      <c r="AZ77" s="196">
        <v>114.6</v>
      </c>
      <c r="BA77" s="196">
        <v>275.3</v>
      </c>
      <c r="BB77" s="196">
        <v>42.3</v>
      </c>
      <c r="BC77" s="196">
        <v>8.1</v>
      </c>
      <c r="BE77" s="194">
        <v>43373</v>
      </c>
      <c r="BF77" s="195">
        <v>491.1</v>
      </c>
      <c r="BG77" s="196">
        <v>367.4</v>
      </c>
      <c r="BH77" s="196">
        <v>123.8</v>
      </c>
      <c r="BI77" s="195">
        <v>863.8</v>
      </c>
      <c r="BJ77" s="196">
        <v>9.6</v>
      </c>
      <c r="BK77" s="196">
        <v>854.2</v>
      </c>
      <c r="BM77" s="194">
        <v>43373</v>
      </c>
      <c r="BN77" s="195">
        <v>775.3</v>
      </c>
      <c r="BO77" s="196">
        <v>516.4</v>
      </c>
      <c r="BP77" s="195">
        <v>331.3</v>
      </c>
      <c r="BQ77" s="196">
        <v>130.5</v>
      </c>
      <c r="BS77" s="189">
        <v>40908</v>
      </c>
      <c r="BT77" s="190">
        <v>11194.859613033381</v>
      </c>
      <c r="BU77" s="190">
        <v>-128.97757013547562</v>
      </c>
    </row>
    <row r="78" spans="1:73" ht="14.25" customHeight="1">
      <c r="A78" s="18">
        <v>43465</v>
      </c>
      <c r="B78" s="191">
        <v>3215.8076224273987</v>
      </c>
      <c r="C78" s="191">
        <v>1983.8736909422003</v>
      </c>
      <c r="D78" s="191">
        <v>393.84013798376958</v>
      </c>
      <c r="E78" s="191">
        <v>1010.4857816658999</v>
      </c>
      <c r="F78" s="191">
        <v>271.76744691340002</v>
      </c>
      <c r="G78" s="191">
        <v>-76.973230320353949</v>
      </c>
      <c r="H78" s="191">
        <v>-75.118460300157153</v>
      </c>
      <c r="I78" s="191">
        <v>-6.6257360864000034</v>
      </c>
      <c r="J78" s="191">
        <v>-1361.2075263757906</v>
      </c>
      <c r="K78" s="192">
        <v>721.43776332999994</v>
      </c>
      <c r="L78" s="191">
        <v>87.5024999822773</v>
      </c>
      <c r="M78" s="191">
        <v>5559.2963635823971</v>
      </c>
      <c r="N78" s="191">
        <v>1231.4332460783</v>
      </c>
      <c r="O78" s="191">
        <v>361.15467785013846</v>
      </c>
      <c r="P78" s="191">
        <v>325.86650969840002</v>
      </c>
      <c r="Q78" s="191">
        <v>-158.96650303603121</v>
      </c>
      <c r="R78" s="191">
        <v>-125.04706942238072</v>
      </c>
      <c r="S78" s="193">
        <f t="shared" si="0"/>
        <v>-873.7435641899674</v>
      </c>
      <c r="T78" s="193">
        <f t="shared" si="1"/>
        <v>-1028.9472345885806</v>
      </c>
      <c r="U78" s="370">
        <v>7.4175750000000003</v>
      </c>
      <c r="V78" s="372">
        <f>SUMPRODUCT(S75:S78,U75:U78)/SUM(bdp!AR101:AR104)</f>
        <v>1.9028952283291923E-2</v>
      </c>
      <c r="X78" s="18">
        <v>43465</v>
      </c>
      <c r="Y78" s="372">
        <v>1.9028952283291923E-2</v>
      </c>
      <c r="AC78" s="194">
        <v>43465</v>
      </c>
      <c r="AD78" s="195">
        <v>1981.9</v>
      </c>
      <c r="AE78" s="196">
        <v>70.8</v>
      </c>
      <c r="AF78" s="196">
        <v>35.9</v>
      </c>
      <c r="AG78" s="196">
        <v>295.8</v>
      </c>
      <c r="AH78" s="196">
        <v>823.1</v>
      </c>
      <c r="AI78" s="196">
        <v>44.5</v>
      </c>
      <c r="AJ78" s="196">
        <v>4.4000000000000004</v>
      </c>
      <c r="AK78" s="196">
        <v>23.3</v>
      </c>
      <c r="AL78" s="196">
        <v>13.2</v>
      </c>
      <c r="AM78" s="196">
        <v>231.1</v>
      </c>
      <c r="AN78" s="196">
        <v>410</v>
      </c>
      <c r="AO78" s="196">
        <v>29.7</v>
      </c>
      <c r="AP78" s="196">
        <v>0</v>
      </c>
      <c r="AQ78" s="195">
        <v>1229</v>
      </c>
      <c r="AR78" s="196">
        <v>10.6</v>
      </c>
      <c r="AS78" s="196">
        <v>16.8</v>
      </c>
      <c r="AT78" s="196">
        <v>173.5</v>
      </c>
      <c r="AU78" s="196">
        <v>358</v>
      </c>
      <c r="AV78" s="196">
        <v>27</v>
      </c>
      <c r="AW78" s="196">
        <v>10.4</v>
      </c>
      <c r="AX78" s="196">
        <v>91</v>
      </c>
      <c r="AY78" s="196">
        <v>83.4</v>
      </c>
      <c r="AZ78" s="196">
        <v>116.9</v>
      </c>
      <c r="BA78" s="196">
        <v>299.60000000000002</v>
      </c>
      <c r="BB78" s="196">
        <v>31.9</v>
      </c>
      <c r="BC78" s="196">
        <v>10</v>
      </c>
      <c r="BE78" s="194">
        <v>43465</v>
      </c>
      <c r="BF78" s="195">
        <v>404.1</v>
      </c>
      <c r="BG78" s="196">
        <v>389.6</v>
      </c>
      <c r="BH78" s="196">
        <v>14.3</v>
      </c>
      <c r="BI78" s="195">
        <v>361.5</v>
      </c>
      <c r="BJ78" s="196">
        <v>10</v>
      </c>
      <c r="BK78" s="196">
        <v>351.5</v>
      </c>
      <c r="BM78" s="194">
        <v>43465</v>
      </c>
      <c r="BN78" s="195">
        <v>999.2</v>
      </c>
      <c r="BO78" s="196">
        <v>689</v>
      </c>
      <c r="BP78" s="195">
        <v>325.60000000000002</v>
      </c>
      <c r="BQ78" s="196">
        <v>116.9</v>
      </c>
      <c r="BS78" s="189">
        <v>40999</v>
      </c>
      <c r="BT78" s="190">
        <v>11340.065343263015</v>
      </c>
      <c r="BU78" s="190">
        <v>145.20573022963436</v>
      </c>
    </row>
    <row r="79" spans="1:73" ht="14.25" customHeight="1">
      <c r="A79" s="18">
        <v>43555</v>
      </c>
      <c r="B79" s="191">
        <v>3028.7427890657018</v>
      </c>
      <c r="C79" s="191">
        <v>1431.3612196445004</v>
      </c>
      <c r="D79" s="191">
        <v>353.15210900875064</v>
      </c>
      <c r="E79" s="191">
        <v>881.61714921029989</v>
      </c>
      <c r="F79" s="191">
        <v>202.5482311216</v>
      </c>
      <c r="G79" s="191">
        <v>-6.5986620603358652</v>
      </c>
      <c r="H79" s="191">
        <v>220.15873226240294</v>
      </c>
      <c r="I79" s="191">
        <v>-36.9631318956</v>
      </c>
      <c r="J79" s="191">
        <v>-2060.3336927104747</v>
      </c>
      <c r="K79" s="192">
        <v>725.5415992500001</v>
      </c>
      <c r="L79" s="191">
        <v>413.93859691295893</v>
      </c>
      <c r="M79" s="191">
        <v>5587.1801792120996</v>
      </c>
      <c r="N79" s="191">
        <v>1212.2294916902999</v>
      </c>
      <c r="O79" s="191">
        <v>524.37646365434921</v>
      </c>
      <c r="P79" s="191">
        <v>437.86860053689998</v>
      </c>
      <c r="Q79" s="191">
        <v>493.65714397867566</v>
      </c>
      <c r="R79" s="191">
        <v>-201.55765900284612</v>
      </c>
      <c r="S79" s="193">
        <f t="shared" si="0"/>
        <v>-2066.7814681643958</v>
      </c>
      <c r="T79" s="193">
        <f t="shared" si="1"/>
        <v>-2900.5892802596736</v>
      </c>
      <c r="U79" s="370">
        <v>7.4250579999999999</v>
      </c>
      <c r="V79" s="372">
        <f>SUMPRODUCT(S76:S79,U76:U79)/SUM(bdp!AR102:AR105)</f>
        <v>1.4136923253575245E-2</v>
      </c>
      <c r="X79" s="18">
        <v>43555</v>
      </c>
      <c r="Y79" s="372">
        <v>1.4136923253575245E-2</v>
      </c>
      <c r="AC79" s="194">
        <v>43555</v>
      </c>
      <c r="AD79" s="195">
        <v>1392</v>
      </c>
      <c r="AE79" s="196">
        <v>77.5</v>
      </c>
      <c r="AF79" s="196">
        <v>29.6</v>
      </c>
      <c r="AG79" s="196">
        <v>248.9</v>
      </c>
      <c r="AH79" s="196">
        <v>486.1</v>
      </c>
      <c r="AI79" s="196">
        <v>35.6</v>
      </c>
      <c r="AJ79" s="196">
        <v>6.7</v>
      </c>
      <c r="AK79" s="196">
        <v>21.8</v>
      </c>
      <c r="AL79" s="196">
        <v>13.6</v>
      </c>
      <c r="AM79" s="196">
        <v>177.1</v>
      </c>
      <c r="AN79" s="196">
        <v>257.89999999999998</v>
      </c>
      <c r="AO79" s="196">
        <v>36.9</v>
      </c>
      <c r="AP79" s="196">
        <v>0</v>
      </c>
      <c r="AQ79" s="195">
        <v>1196.8</v>
      </c>
      <c r="AR79" s="196">
        <v>11.7</v>
      </c>
      <c r="AS79" s="196">
        <v>10.199999999999999</v>
      </c>
      <c r="AT79" s="196">
        <v>163.19999999999999</v>
      </c>
      <c r="AU79" s="196">
        <v>413.3</v>
      </c>
      <c r="AV79" s="196">
        <v>13.7</v>
      </c>
      <c r="AW79" s="196">
        <v>20.8</v>
      </c>
      <c r="AX79" s="196">
        <v>95.3</v>
      </c>
      <c r="AY79" s="196">
        <v>73</v>
      </c>
      <c r="AZ79" s="196">
        <v>99.4</v>
      </c>
      <c r="BA79" s="196">
        <v>260.3</v>
      </c>
      <c r="BB79" s="196">
        <v>27.4</v>
      </c>
      <c r="BC79" s="196">
        <v>8.5</v>
      </c>
      <c r="BE79" s="194">
        <v>43555</v>
      </c>
      <c r="BF79" s="195">
        <v>361.9</v>
      </c>
      <c r="BG79" s="196">
        <v>353.2</v>
      </c>
      <c r="BH79" s="196">
        <v>8.9</v>
      </c>
      <c r="BI79" s="195">
        <v>524</v>
      </c>
      <c r="BJ79" s="196">
        <v>9.6</v>
      </c>
      <c r="BK79" s="196">
        <v>514.29999999999995</v>
      </c>
      <c r="BM79" s="194">
        <v>43555</v>
      </c>
      <c r="BN79" s="195">
        <v>866.4</v>
      </c>
      <c r="BO79" s="196">
        <v>621.4</v>
      </c>
      <c r="BP79" s="195">
        <v>436.3</v>
      </c>
      <c r="BQ79" s="196">
        <v>125.6</v>
      </c>
      <c r="BS79" s="189">
        <v>41090</v>
      </c>
      <c r="BT79" s="190">
        <v>11635.252010371887</v>
      </c>
      <c r="BU79" s="190">
        <v>295.18666710887192</v>
      </c>
    </row>
    <row r="80" spans="1:73" ht="14.25" customHeight="1">
      <c r="A80" s="18">
        <v>43646</v>
      </c>
      <c r="B80" s="191">
        <v>3147.6570745113991</v>
      </c>
      <c r="C80" s="191">
        <v>3583.7380085221002</v>
      </c>
      <c r="D80" s="191">
        <v>591.42996062549889</v>
      </c>
      <c r="E80" s="191">
        <v>985.15079982949999</v>
      </c>
      <c r="F80" s="191">
        <v>373.18811665029995</v>
      </c>
      <c r="G80" s="191">
        <v>102.11391184641728</v>
      </c>
      <c r="H80" s="191">
        <v>16.145067591079993</v>
      </c>
      <c r="I80" s="191">
        <v>-40.377633002899998</v>
      </c>
      <c r="J80" s="191">
        <v>7.553304655647338</v>
      </c>
      <c r="K80" s="192">
        <v>1531.6371312999997</v>
      </c>
      <c r="L80" s="191">
        <v>614.31088203385116</v>
      </c>
      <c r="M80" s="191">
        <v>6154.3605159570061</v>
      </c>
      <c r="N80" s="191">
        <v>1221.5908311027001</v>
      </c>
      <c r="O80" s="191">
        <v>953.39817602702499</v>
      </c>
      <c r="P80" s="191">
        <v>320.13023345490001</v>
      </c>
      <c r="Q80" s="191">
        <v>-19.402932970505873</v>
      </c>
      <c r="R80" s="191">
        <v>990.4796297297321</v>
      </c>
      <c r="S80" s="193">
        <f t="shared" si="0"/>
        <v>-341.50391305313315</v>
      </c>
      <c r="T80" s="193">
        <f t="shared" si="1"/>
        <v>1291.9901712620376</v>
      </c>
      <c r="U80" s="370">
        <v>7.3936330000000003</v>
      </c>
      <c r="V80" s="372">
        <f>SUMPRODUCT(S77:S80,U77:U80)/SUM(bdp!AR103:AR106)</f>
        <v>9.8235569037193726E-3</v>
      </c>
      <c r="X80" s="18">
        <v>43646</v>
      </c>
      <c r="Y80" s="372">
        <v>9.8235569037193726E-3</v>
      </c>
      <c r="AC80" s="194">
        <v>43646</v>
      </c>
      <c r="AD80" s="195">
        <v>3344.6</v>
      </c>
      <c r="AE80" s="196">
        <v>82.1</v>
      </c>
      <c r="AF80" s="196">
        <v>34.1</v>
      </c>
      <c r="AG80" s="196">
        <v>330.9</v>
      </c>
      <c r="AH80" s="196">
        <v>2231.1999999999998</v>
      </c>
      <c r="AI80" s="196">
        <v>37.200000000000003</v>
      </c>
      <c r="AJ80" s="196">
        <v>8.8000000000000007</v>
      </c>
      <c r="AK80" s="196">
        <v>36.5</v>
      </c>
      <c r="AL80" s="196">
        <v>15.8</v>
      </c>
      <c r="AM80" s="196">
        <v>199.5</v>
      </c>
      <c r="AN80" s="196">
        <v>326.10000000000002</v>
      </c>
      <c r="AO80" s="196">
        <v>42.3</v>
      </c>
      <c r="AP80" s="196">
        <v>0</v>
      </c>
      <c r="AQ80" s="195">
        <v>1198.5</v>
      </c>
      <c r="AR80" s="196">
        <v>12.5</v>
      </c>
      <c r="AS80" s="196">
        <v>12.5</v>
      </c>
      <c r="AT80" s="196">
        <v>180.8</v>
      </c>
      <c r="AU80" s="196">
        <v>413.7</v>
      </c>
      <c r="AV80" s="196">
        <v>14.8</v>
      </c>
      <c r="AW80" s="196">
        <v>16.3</v>
      </c>
      <c r="AX80" s="196">
        <v>107.7</v>
      </c>
      <c r="AY80" s="196">
        <v>66.599999999999994</v>
      </c>
      <c r="AZ80" s="196">
        <v>99.2</v>
      </c>
      <c r="BA80" s="196">
        <v>241.2</v>
      </c>
      <c r="BB80" s="196">
        <v>25.7</v>
      </c>
      <c r="BC80" s="196">
        <v>7.3</v>
      </c>
      <c r="BE80" s="194">
        <v>43646</v>
      </c>
      <c r="BF80" s="195">
        <v>603.1</v>
      </c>
      <c r="BG80" s="196">
        <v>451.7</v>
      </c>
      <c r="BH80" s="196">
        <v>151.4</v>
      </c>
      <c r="BI80" s="195">
        <v>953</v>
      </c>
      <c r="BJ80" s="196">
        <v>9.3000000000000007</v>
      </c>
      <c r="BK80" s="196">
        <v>943.7</v>
      </c>
      <c r="BM80" s="194">
        <v>43646</v>
      </c>
      <c r="BN80" s="195">
        <v>972.6</v>
      </c>
      <c r="BO80" s="196">
        <v>683.4</v>
      </c>
      <c r="BP80" s="195">
        <v>318.39999999999998</v>
      </c>
      <c r="BQ80" s="196">
        <v>115.9</v>
      </c>
      <c r="BS80" s="189">
        <v>41182</v>
      </c>
      <c r="BT80" s="190">
        <v>11383.943599928209</v>
      </c>
      <c r="BU80" s="190">
        <v>-251.30841044367844</v>
      </c>
    </row>
    <row r="81" spans="1:73" ht="14.25" customHeight="1">
      <c r="A81" s="18">
        <v>43738</v>
      </c>
      <c r="B81" s="191">
        <v>3424.3954741478019</v>
      </c>
      <c r="C81" s="191">
        <v>7944.6639963262996</v>
      </c>
      <c r="D81" s="191">
        <v>647.47721923071776</v>
      </c>
      <c r="E81" s="191">
        <v>914.38034365319993</v>
      </c>
      <c r="F81" s="191">
        <v>224.4945916588</v>
      </c>
      <c r="G81" s="191">
        <v>130.40479640282845</v>
      </c>
      <c r="H81" s="191">
        <v>470.81661231459492</v>
      </c>
      <c r="I81" s="191">
        <v>-51.824871172399995</v>
      </c>
      <c r="J81" s="191">
        <v>4351.5205678819639</v>
      </c>
      <c r="K81" s="192">
        <v>365.79429075999991</v>
      </c>
      <c r="L81" s="191">
        <v>-1175.3602344360906</v>
      </c>
      <c r="M81" s="191">
        <v>5809.104008713799</v>
      </c>
      <c r="N81" s="191">
        <v>1290.3677869338999</v>
      </c>
      <c r="O81" s="191">
        <v>891.94631873213734</v>
      </c>
      <c r="P81" s="191">
        <v>368.34176131549992</v>
      </c>
      <c r="Q81" s="191">
        <v>471.87457618405392</v>
      </c>
      <c r="R81" s="191">
        <v>1174.5453051175411</v>
      </c>
      <c r="S81" s="193">
        <f t="shared" si="0"/>
        <v>4571.1571576626829</v>
      </c>
      <c r="T81" s="193">
        <f t="shared" si="1"/>
        <v>7240.5830297707835</v>
      </c>
      <c r="U81" s="370">
        <v>7.4022639999999997</v>
      </c>
      <c r="V81" s="372">
        <f>SUMPRODUCT(S78:S81,U78:U81)/SUM(bdp!AR104:AR107)</f>
        <v>2.3948227697418493E-2</v>
      </c>
      <c r="X81" s="18">
        <v>43738</v>
      </c>
      <c r="Y81" s="372">
        <v>2.3948227697418493E-2</v>
      </c>
      <c r="AC81" s="194">
        <v>43738</v>
      </c>
      <c r="AD81" s="195">
        <v>7904.9</v>
      </c>
      <c r="AE81" s="196">
        <v>79.099999999999994</v>
      </c>
      <c r="AF81" s="196">
        <v>30</v>
      </c>
      <c r="AG81" s="196">
        <v>361.7</v>
      </c>
      <c r="AH81" s="196">
        <v>6631.3</v>
      </c>
      <c r="AI81" s="196">
        <v>38</v>
      </c>
      <c r="AJ81" s="196">
        <v>9.5</v>
      </c>
      <c r="AK81" s="196">
        <v>77</v>
      </c>
      <c r="AL81" s="196">
        <v>20.399999999999999</v>
      </c>
      <c r="AM81" s="196">
        <v>236</v>
      </c>
      <c r="AN81" s="196">
        <v>341.9</v>
      </c>
      <c r="AO81" s="196">
        <v>80.2</v>
      </c>
      <c r="AP81" s="196">
        <v>0</v>
      </c>
      <c r="AQ81" s="195">
        <v>1278.9000000000001</v>
      </c>
      <c r="AR81" s="196">
        <v>11.2</v>
      </c>
      <c r="AS81" s="196">
        <v>12.3</v>
      </c>
      <c r="AT81" s="196">
        <v>178.4</v>
      </c>
      <c r="AU81" s="196">
        <v>386</v>
      </c>
      <c r="AV81" s="196">
        <v>23.9</v>
      </c>
      <c r="AW81" s="196">
        <v>15.4</v>
      </c>
      <c r="AX81" s="196">
        <v>147.19999999999999</v>
      </c>
      <c r="AY81" s="196">
        <v>72.5</v>
      </c>
      <c r="AZ81" s="196">
        <v>115.4</v>
      </c>
      <c r="BA81" s="196">
        <v>269.2</v>
      </c>
      <c r="BB81" s="196">
        <v>39.1</v>
      </c>
      <c r="BC81" s="196">
        <v>8.4</v>
      </c>
      <c r="BE81" s="194">
        <v>43738</v>
      </c>
      <c r="BF81" s="195">
        <v>638.9</v>
      </c>
      <c r="BG81" s="196">
        <v>448.5</v>
      </c>
      <c r="BH81" s="196">
        <v>190.3</v>
      </c>
      <c r="BI81" s="195">
        <v>888.7</v>
      </c>
      <c r="BJ81" s="196">
        <v>10.5</v>
      </c>
      <c r="BK81" s="196">
        <v>878.1</v>
      </c>
      <c r="BM81" s="194">
        <v>43738</v>
      </c>
      <c r="BN81" s="195">
        <v>912</v>
      </c>
      <c r="BO81" s="196">
        <v>602.70000000000005</v>
      </c>
      <c r="BP81" s="195">
        <v>366.7</v>
      </c>
      <c r="BQ81" s="196">
        <v>142.6</v>
      </c>
      <c r="BS81" s="189">
        <v>41274</v>
      </c>
      <c r="BT81" s="190">
        <v>11235.922633549379</v>
      </c>
      <c r="BU81" s="190">
        <v>-148.02096637883005</v>
      </c>
    </row>
    <row r="82" spans="1:73" ht="14.25" customHeight="1">
      <c r="A82" s="18">
        <v>43830</v>
      </c>
      <c r="B82" s="191">
        <v>3247.4122125522017</v>
      </c>
      <c r="C82" s="191">
        <v>2315.7626346913003</v>
      </c>
      <c r="D82" s="191">
        <v>550.36180514673913</v>
      </c>
      <c r="E82" s="191">
        <v>1092.5875592009004</v>
      </c>
      <c r="F82" s="191">
        <v>316.83123792890001</v>
      </c>
      <c r="G82" s="191">
        <v>-0.89572813042521915</v>
      </c>
      <c r="H82" s="191">
        <v>470.25472743504702</v>
      </c>
      <c r="I82" s="191">
        <v>15.991184189699997</v>
      </c>
      <c r="J82" s="191">
        <v>-272.0201955039571</v>
      </c>
      <c r="K82" s="192">
        <v>-1633.3239852499999</v>
      </c>
      <c r="L82" s="191">
        <v>-123.71930847805208</v>
      </c>
      <c r="M82" s="191">
        <v>5643.2945652754988</v>
      </c>
      <c r="N82" s="191">
        <v>1232.3560930377998</v>
      </c>
      <c r="O82" s="191">
        <v>610.92498811680287</v>
      </c>
      <c r="P82" s="191">
        <v>311.64803040710001</v>
      </c>
      <c r="Q82" s="191">
        <v>291.08581414234806</v>
      </c>
      <c r="R82" s="191">
        <v>-1312.092275606771</v>
      </c>
      <c r="S82" s="193">
        <f t="shared" si="0"/>
        <v>-592.09946524605948</v>
      </c>
      <c r="T82" s="193">
        <f t="shared" si="1"/>
        <v>-797.97507159042379</v>
      </c>
      <c r="U82" s="370">
        <v>7.4425800000000004</v>
      </c>
      <c r="V82" s="372">
        <f>SUMPRODUCT(S79:S82,U79:U82)/SUM(bdp!AR105:AR108)</f>
        <v>2.8890682965744145E-2</v>
      </c>
      <c r="X82" s="18">
        <v>43830</v>
      </c>
      <c r="Y82" s="372">
        <v>2.8890682965744145E-2</v>
      </c>
      <c r="AC82" s="194">
        <v>43830</v>
      </c>
      <c r="AD82" s="195">
        <v>2313.8000000000002</v>
      </c>
      <c r="AE82" s="196">
        <v>84.1</v>
      </c>
      <c r="AF82" s="196">
        <v>49.2</v>
      </c>
      <c r="AG82" s="196">
        <v>285.5</v>
      </c>
      <c r="AH82" s="196">
        <v>1102.7</v>
      </c>
      <c r="AI82" s="196">
        <v>47.2</v>
      </c>
      <c r="AJ82" s="196">
        <v>7.1</v>
      </c>
      <c r="AK82" s="196">
        <v>26.2</v>
      </c>
      <c r="AL82" s="196">
        <v>16.7</v>
      </c>
      <c r="AM82" s="196">
        <v>237.4</v>
      </c>
      <c r="AN82" s="196">
        <v>424</v>
      </c>
      <c r="AO82" s="196">
        <v>33.700000000000003</v>
      </c>
      <c r="AP82" s="196">
        <v>0</v>
      </c>
      <c r="AQ82" s="195">
        <v>1231.4000000000001</v>
      </c>
      <c r="AR82" s="196">
        <v>12.4</v>
      </c>
      <c r="AS82" s="196">
        <v>16.8</v>
      </c>
      <c r="AT82" s="196">
        <v>170.9</v>
      </c>
      <c r="AU82" s="196">
        <v>361.3</v>
      </c>
      <c r="AV82" s="196">
        <v>25.1</v>
      </c>
      <c r="AW82" s="196">
        <v>12.2</v>
      </c>
      <c r="AX82" s="196">
        <v>65.7</v>
      </c>
      <c r="AY82" s="196">
        <v>87.6</v>
      </c>
      <c r="AZ82" s="196">
        <v>128.1</v>
      </c>
      <c r="BA82" s="196">
        <v>308.2</v>
      </c>
      <c r="BB82" s="196">
        <v>33.200000000000003</v>
      </c>
      <c r="BC82" s="196">
        <v>9.9</v>
      </c>
      <c r="BE82" s="194">
        <v>43830</v>
      </c>
      <c r="BF82" s="195">
        <v>550.1</v>
      </c>
      <c r="BG82" s="196">
        <v>433.4</v>
      </c>
      <c r="BH82" s="196">
        <v>116.7</v>
      </c>
      <c r="BI82" s="195">
        <v>610.5</v>
      </c>
      <c r="BJ82" s="196">
        <v>12.2</v>
      </c>
      <c r="BK82" s="196">
        <v>598.20000000000005</v>
      </c>
      <c r="BM82" s="194">
        <v>43830</v>
      </c>
      <c r="BN82" s="195">
        <v>1091.9000000000001</v>
      </c>
      <c r="BO82" s="196">
        <v>784.1</v>
      </c>
      <c r="BP82" s="195">
        <v>311.5</v>
      </c>
      <c r="BQ82" s="196">
        <v>129.69999999999999</v>
      </c>
      <c r="BS82" s="189">
        <v>41364</v>
      </c>
      <c r="BT82" s="190">
        <v>11276.600196842486</v>
      </c>
      <c r="BU82" s="190">
        <v>40.677563293107596</v>
      </c>
    </row>
    <row r="83" spans="1:73" ht="14.25" customHeight="1">
      <c r="A83" s="199">
        <v>43921</v>
      </c>
      <c r="B83" s="191">
        <f>B79+SUMPRODUCT(C130:T130,$C$135:$T$135)/SUM(C130:T130)*B79*bdp!$AW$2</f>
        <v>2946.5507994579534</v>
      </c>
      <c r="C83" s="191">
        <f>C79+SUMPRODUCT(AE79:AP79,$AE$84:$AP$84)/SUM(AE79:AP79)*C79*bdp!$AW$2</f>
        <v>1355.2896820991377</v>
      </c>
      <c r="D83" s="191">
        <f>D79+SUMPRODUCT(BG79:BH79,$BG$84:$BH$84)/SUM(BG79:BH79)*D79*bdp!$AW$2</f>
        <v>342.81794787354841</v>
      </c>
      <c r="E83" s="191">
        <f>E79+$BN$84*E79*bdp!$AW$2</f>
        <v>855.16863473399087</v>
      </c>
      <c r="F83" s="191">
        <f t="shared" ref="F83:J83" si="2">F79</f>
        <v>202.5482311216</v>
      </c>
      <c r="G83" s="191">
        <f t="shared" si="2"/>
        <v>-6.5986620603358652</v>
      </c>
      <c r="H83" s="191">
        <f t="shared" si="2"/>
        <v>220.15873226240294</v>
      </c>
      <c r="I83" s="191">
        <f t="shared" si="2"/>
        <v>-36.9631318956</v>
      </c>
      <c r="J83" s="191">
        <f t="shared" si="2"/>
        <v>-2060.3336927104747</v>
      </c>
      <c r="K83" s="200">
        <f>$BS$110</f>
        <v>-2417.2278335879091</v>
      </c>
      <c r="L83" s="191">
        <f t="shared" ref="L83:L86" si="3">L79</f>
        <v>413.93859691295893</v>
      </c>
      <c r="M83" s="191">
        <f>M79+SUMPRODUCT(W130:AN130,$C$135:$T$135)/SUM(W130:AN130)*M79*bdp!$AW$2</f>
        <v>5429.2250432373039</v>
      </c>
      <c r="N83" s="191">
        <f>N79+SUMPRODUCT(AR79:BC79,$AE$84:$AP$84)/SUM(AR79:BC79)*N79*bdp!$AW$2</f>
        <v>1149.1518119101006</v>
      </c>
      <c r="O83" s="191">
        <f>O79+SUMPRODUCT(BJ79:BK79,$BJ$84:$BK$84)/SUM(BJ79:BK79)*O79*bdp!$AW$2</f>
        <v>524.08820173121035</v>
      </c>
      <c r="P83" s="191">
        <f>P79+$BP$84*P79*bdp!$AW$2</f>
        <v>424.732542520793</v>
      </c>
      <c r="Q83" s="191">
        <f t="shared" ref="Q83:R83" si="4">Q79</f>
        <v>493.65714397867566</v>
      </c>
      <c r="R83" s="191">
        <f t="shared" si="4"/>
        <v>-201.55765900284612</v>
      </c>
      <c r="S83" s="201">
        <f t="shared" si="0"/>
        <v>-2027.370535234777</v>
      </c>
      <c r="T83" s="201">
        <f t="shared" si="1"/>
        <v>-6003.947780167965</v>
      </c>
      <c r="U83" s="370">
        <v>7.6092310000000003</v>
      </c>
      <c r="V83" s="373">
        <f>SUMPRODUCT(S80:S83,U80:U83)/SUM(bdp!AR106:AR109)</f>
        <v>2.8855646994260839E-2</v>
      </c>
      <c r="BS83" s="189">
        <v>41455</v>
      </c>
      <c r="BT83" s="190">
        <v>12020.553139989799</v>
      </c>
      <c r="BU83" s="190">
        <v>743.95294314731291</v>
      </c>
    </row>
    <row r="84" spans="1:73" ht="14.25" customHeight="1">
      <c r="A84" s="199">
        <v>44012</v>
      </c>
      <c r="B84" s="191">
        <f>B80+SUMPRODUCT(C131:T131,$C$135:$T$135)/SUM(C131:T131)*B80*bdp!$AX$2</f>
        <v>2448.189582074323</v>
      </c>
      <c r="C84" s="191">
        <f>C80+SUMPRODUCT(AE80:AP80,$AE$84:$AP$84)/SUM(AE80:AP80)*C80*bdp!$AX$2</f>
        <v>1635.1132742898376</v>
      </c>
      <c r="D84" s="191">
        <f>D80+SUMPRODUCT(BG80:BH80,$BG$84:$BH$84)/SUM(BG80:BH80)*D80*bdp!$AX$2</f>
        <v>485.11966519938534</v>
      </c>
      <c r="E84" s="191">
        <f>E80+$BN$84*E80*bdp!$AX$2</f>
        <v>748.71460787041997</v>
      </c>
      <c r="F84" s="191">
        <f t="shared" ref="F84:J84" si="5">F80</f>
        <v>373.18811665029995</v>
      </c>
      <c r="G84" s="191">
        <f t="shared" si="5"/>
        <v>102.11391184641728</v>
      </c>
      <c r="H84" s="191">
        <f t="shared" si="5"/>
        <v>16.145067591079993</v>
      </c>
      <c r="I84" s="191">
        <f t="shared" si="5"/>
        <v>-40.377633002899998</v>
      </c>
      <c r="J84" s="191">
        <f t="shared" si="5"/>
        <v>7.553304655647338</v>
      </c>
      <c r="K84" s="202">
        <v>0</v>
      </c>
      <c r="L84" s="191">
        <f t="shared" si="3"/>
        <v>614.31088203385116</v>
      </c>
      <c r="M84" s="191">
        <f>M80+SUMPRODUCT(W131:AN131,$C$135:$T$135)/SUM(W131:AN131)*M80*bdp!$AX$2</f>
        <v>4766.7997984062758</v>
      </c>
      <c r="N84" s="191">
        <f>N80+SUMPRODUCT(AR80:BC80,$AE$84:$AP$84)/SUM(AR80:BC80)*N80*bdp!$AX$2</f>
        <v>714.07448412322083</v>
      </c>
      <c r="O84" s="191">
        <f>O80+SUMPRODUCT(BJ80:BK80,$BJ$84:$BK$84)/SUM(BJ80:BK80)*O80*bdp!$AX$2</f>
        <v>951.1652434678515</v>
      </c>
      <c r="P84" s="191">
        <f>P80+$BP$84*P80*bdp!$AX$2</f>
        <v>243.29897742572399</v>
      </c>
      <c r="Q84" s="191">
        <f t="shared" ref="Q84:R84" si="6">Q80</f>
        <v>-19.402932970505873</v>
      </c>
      <c r="R84" s="191">
        <f t="shared" si="6"/>
        <v>990.4796297297321</v>
      </c>
      <c r="S84" s="201">
        <f t="shared" si="0"/>
        <v>-1358.2013739891063</v>
      </c>
      <c r="T84" s="201">
        <f t="shared" si="1"/>
        <v>-1256.3444209739373</v>
      </c>
      <c r="U84" s="371">
        <f>tecaj!E84</f>
        <v>7.6688281451040936</v>
      </c>
      <c r="V84" s="373">
        <f>SUMPRODUCT(S81:S84,U81:U84)/SUM(bdp!AR107:AR110)</f>
        <v>9.6375088172951408E-3</v>
      </c>
      <c r="X84" s="301" t="s">
        <v>9</v>
      </c>
      <c r="Y84" s="301" t="s">
        <v>1162</v>
      </c>
      <c r="Z84" s="301" t="s">
        <v>1164</v>
      </c>
      <c r="AA84" s="301" t="s">
        <v>1163</v>
      </c>
      <c r="AD84" s="203" t="s">
        <v>58</v>
      </c>
      <c r="AE84" s="104">
        <f>SUMPRODUCT(bdp!AI4:AI27,bdp!AJ4:AJ27)/SUM(bdp!AI4:AI27)</f>
        <v>-0.2478229848390735</v>
      </c>
      <c r="AF84" s="104">
        <f>SUMPRODUCT(bdp!AI4:AI27,bdp!AJ4:AJ27)/SUM(bdp!AI4:AI27)</f>
        <v>-0.2478229848390735</v>
      </c>
      <c r="AG84" s="104">
        <f>bdp!AJ32</f>
        <v>-0.54505006636843933</v>
      </c>
      <c r="AH84" s="104">
        <f>bdp!AJ33</f>
        <v>-0.82908055045047135</v>
      </c>
      <c r="AI84" s="104">
        <f>bdp!AJ30</f>
        <v>-0.3</v>
      </c>
      <c r="AJ84" s="104">
        <f>bdp!AJ35</f>
        <v>-0.1</v>
      </c>
      <c r="AK84" s="104">
        <f>bdp!AJ35</f>
        <v>-0.1</v>
      </c>
      <c r="AL84" s="104">
        <f>bdp!AJ37</f>
        <v>-0.31677438905694238</v>
      </c>
      <c r="AM84" s="104">
        <f>bdp!AJ34</f>
        <v>-4.1528142175114642E-2</v>
      </c>
      <c r="AN84" s="104">
        <f>SUMPRODUCT(bdp!AI36:AI38,bdp!AJ36:AJ38)/SUM(bdp!AI36:AI38)</f>
        <v>-0.46414612043970832</v>
      </c>
      <c r="AO84" s="104">
        <f>bdp!AJ42</f>
        <v>-0.8</v>
      </c>
      <c r="AP84" s="204">
        <v>0</v>
      </c>
      <c r="BF84" s="203" t="s">
        <v>58</v>
      </c>
      <c r="BG84" s="93">
        <v>-0.3</v>
      </c>
      <c r="BH84" s="93">
        <v>0</v>
      </c>
      <c r="BJ84" s="93">
        <v>-0.3</v>
      </c>
      <c r="BK84" s="93">
        <v>0</v>
      </c>
      <c r="BM84" s="203" t="s">
        <v>58</v>
      </c>
      <c r="BN84" s="93">
        <v>-0.3</v>
      </c>
      <c r="BP84" s="93">
        <v>-0.3</v>
      </c>
      <c r="BS84" s="189">
        <v>41547</v>
      </c>
      <c r="BT84" s="190">
        <v>11719.494578950431</v>
      </c>
      <c r="BU84" s="190">
        <v>-301.05856103936821</v>
      </c>
    </row>
    <row r="85" spans="1:73" ht="14.25" customHeight="1">
      <c r="A85" s="199">
        <v>44104</v>
      </c>
      <c r="B85" s="191">
        <f>B81+SUMPRODUCT(C132:T132,$C$135:$T$135)/SUM(C132:T132)*B81*bdp!$AY$2</f>
        <v>2952.9946075817334</v>
      </c>
      <c r="C85" s="191">
        <f>C81+SUMPRODUCT(AE81:AP81,$AE$84:$AP$84)/SUM(AE81:AP81)*C81*bdp!$AY$2</f>
        <v>4939.0821874744634</v>
      </c>
      <c r="D85" s="191">
        <f>D81+SUMPRODUCT(BG81:BH81,$BG$84:$BH$84)/SUM(BG81:BH81)*D81*bdp!$AY$2</f>
        <v>579.28838090299928</v>
      </c>
      <c r="E85" s="191">
        <f>E81+$BN$84*E81*bdp!$AY$2</f>
        <v>777.22329210521991</v>
      </c>
      <c r="F85" s="191">
        <f t="shared" ref="F85:J85" si="7">F81</f>
        <v>224.4945916588</v>
      </c>
      <c r="G85" s="191">
        <f t="shared" si="7"/>
        <v>130.40479640282845</v>
      </c>
      <c r="H85" s="191">
        <f t="shared" si="7"/>
        <v>470.81661231459492</v>
      </c>
      <c r="I85" s="191">
        <f t="shared" si="7"/>
        <v>-51.824871172399995</v>
      </c>
      <c r="J85" s="191">
        <f t="shared" si="7"/>
        <v>4351.5205678819639</v>
      </c>
      <c r="K85" s="202">
        <v>0</v>
      </c>
      <c r="L85" s="191">
        <f t="shared" si="3"/>
        <v>-1175.3602344360906</v>
      </c>
      <c r="M85" s="191">
        <f>M81+SUMPRODUCT(W132:AN132,$C$135:$T$135)/SUM(W132:AN132)*M81*bdp!$AY$2</f>
        <v>5008.8960504478673</v>
      </c>
      <c r="N85" s="191">
        <f>N81+SUMPRODUCT(AR81:BC81,$AE$84:$AP$84)/SUM(AR81:BC81)*N81*bdp!$AY$2</f>
        <v>972.31457980690175</v>
      </c>
      <c r="O85" s="191">
        <f>O81+SUMPRODUCT(BJ81:BK81,$BJ$84:$BK$84)/SUM(BJ81:BK81)*O81*bdp!$AY$2</f>
        <v>890.36538754599837</v>
      </c>
      <c r="P85" s="191">
        <f>P81+$BP$84*P81*bdp!$AY$2</f>
        <v>313.09049711817494</v>
      </c>
      <c r="Q85" s="191">
        <f t="shared" ref="Q85:R85" si="8">Q81</f>
        <v>471.87457618405392</v>
      </c>
      <c r="R85" s="191">
        <f t="shared" si="8"/>
        <v>1174.5453051175411</v>
      </c>
      <c r="S85" s="201">
        <f t="shared" si="0"/>
        <v>2063.9219531454728</v>
      </c>
      <c r="T85" s="201">
        <f t="shared" si="1"/>
        <v>4367.5535344935724</v>
      </c>
      <c r="U85" s="371">
        <f>tecaj!E85</f>
        <v>7.6405849123973288</v>
      </c>
      <c r="V85" s="373">
        <f>SUMPRODUCT(S82:S85,U82:U85)/SUM(bdp!AR108:AR111)</f>
        <v>-4.1437569441331978E-2</v>
      </c>
      <c r="X85" s="305">
        <v>43830</v>
      </c>
      <c r="Y85" s="485">
        <f>V82</f>
        <v>2.8890682965744145E-2</v>
      </c>
      <c r="Z85" s="352">
        <f>V82</f>
        <v>2.8890682965744145E-2</v>
      </c>
      <c r="AA85" s="352">
        <f>V82</f>
        <v>2.8890682965744145E-2</v>
      </c>
      <c r="BS85" s="189">
        <v>41639</v>
      </c>
      <c r="BT85" s="190">
        <v>12907.513660482675</v>
      </c>
      <c r="BU85" s="190">
        <v>1188.0190815322439</v>
      </c>
    </row>
    <row r="86" spans="1:73" ht="14.25" customHeight="1">
      <c r="A86" s="199">
        <v>44196</v>
      </c>
      <c r="B86" s="191">
        <f>B82+SUMPRODUCT(C133:T133,$C$135:$T$135)/SUM(C133:T133)*B82*bdp!$AZ$2</f>
        <v>2995.9723638761729</v>
      </c>
      <c r="C86" s="191">
        <f>C82+SUMPRODUCT(AE82:AP82,$AE$84:$AP$84)/SUM(AE82:AP82)*C82*bdp!$AZ$2</f>
        <v>1907.6355657055738</v>
      </c>
      <c r="D86" s="191">
        <f>D82+SUMPRODUCT(BG82:BH82,$BG$84:$BH$84)/SUM(BG82:BH82)*D82*bdp!$AZ$2</f>
        <v>511.3372413009771</v>
      </c>
      <c r="E86" s="191">
        <f>E82+$BN$84*E82*bdp!$AZ$2</f>
        <v>994.25467887281934</v>
      </c>
      <c r="F86" s="191">
        <f t="shared" ref="F86:J86" si="9">F82</f>
        <v>316.83123792890001</v>
      </c>
      <c r="G86" s="191">
        <f t="shared" si="9"/>
        <v>-0.89572813042521915</v>
      </c>
      <c r="H86" s="191">
        <f t="shared" si="9"/>
        <v>470.25472743504702</v>
      </c>
      <c r="I86" s="191">
        <f t="shared" si="9"/>
        <v>15.991184189699997</v>
      </c>
      <c r="J86" s="191">
        <f t="shared" si="9"/>
        <v>-272.0201955039571</v>
      </c>
      <c r="K86" s="202">
        <v>0</v>
      </c>
      <c r="L86" s="191">
        <f t="shared" si="3"/>
        <v>-123.71930847805208</v>
      </c>
      <c r="M86" s="191">
        <f>M82+SUMPRODUCT(W133:AN133,$C$135:$T$135)/SUM(W133:AN133)*M82*bdp!$AZ$2</f>
        <v>5172.8119630713636</v>
      </c>
      <c r="N86" s="191">
        <f>N82+SUMPRODUCT(AR82:BC82,$AE$84:$AP$84)/SUM(AR82:BC82)*N82*bdp!$AZ$2</f>
        <v>1046.8327644881495</v>
      </c>
      <c r="O86" s="191">
        <f>O82+SUMPRODUCT(BJ82:BK82,$BJ$84:$BK$84)/SUM(BJ82:BK82)*O82*bdp!$AZ$2</f>
        <v>609.82604375744461</v>
      </c>
      <c r="P86" s="191">
        <f>P82+$BP$84*P82*bdp!$AZ$2</f>
        <v>283.59970767046099</v>
      </c>
      <c r="Q86" s="191">
        <f t="shared" ref="Q86:R86" si="10">Q82</f>
        <v>291.08581414234806</v>
      </c>
      <c r="R86" s="191">
        <f t="shared" si="10"/>
        <v>-1312.092275606771</v>
      </c>
      <c r="S86" s="201">
        <f t="shared" si="0"/>
        <v>-703.87062923187386</v>
      </c>
      <c r="T86" s="201">
        <f t="shared" si="1"/>
        <v>723.5777496737619</v>
      </c>
      <c r="U86" s="371">
        <f>tecaj!E86</f>
        <v>7.5935518866204976</v>
      </c>
      <c r="V86" s="373">
        <f>SUMPRODUCT(S83:S86,U83:U86)/SUM(bdp!AR109:AR112)</f>
        <v>-4.5413218681595868E-2</v>
      </c>
      <c r="X86" s="314">
        <v>43921</v>
      </c>
      <c r="Y86" s="485">
        <f t="shared" ref="Y86:Y89" si="11">V83</f>
        <v>2.8855646994260839E-2</v>
      </c>
      <c r="Z86" s="345">
        <f>V88</f>
        <v>2.8855646994260839E-2</v>
      </c>
      <c r="AA86" s="345">
        <f>V93</f>
        <v>2.8855646994260839E-2</v>
      </c>
      <c r="BS86" s="189">
        <v>41729</v>
      </c>
      <c r="BT86" s="190">
        <v>12100.031645164447</v>
      </c>
      <c r="BU86" s="190">
        <v>-807.48201531822815</v>
      </c>
    </row>
    <row r="87" spans="1:73" ht="14.25" customHeight="1">
      <c r="A87" s="205" t="s">
        <v>6</v>
      </c>
      <c r="B87" s="102"/>
      <c r="C87" s="102"/>
      <c r="D87" s="102"/>
      <c r="E87" s="102"/>
      <c r="F87" s="102"/>
      <c r="G87" s="102"/>
      <c r="H87" s="102"/>
      <c r="I87" s="102"/>
      <c r="J87" s="102"/>
      <c r="K87" s="102"/>
      <c r="L87" s="102"/>
      <c r="M87" s="102"/>
      <c r="N87" s="102"/>
      <c r="O87" s="102"/>
      <c r="P87" s="102"/>
      <c r="Q87" s="102"/>
      <c r="R87" s="102"/>
      <c r="S87" s="102"/>
      <c r="T87" s="102"/>
      <c r="U87" s="368"/>
      <c r="V87" s="368"/>
      <c r="W87" s="102"/>
      <c r="X87" s="314">
        <v>44012</v>
      </c>
      <c r="Y87" s="485">
        <f t="shared" si="11"/>
        <v>9.6375088172951408E-3</v>
      </c>
      <c r="Z87" s="345">
        <f>V89</f>
        <v>9.4653695119644703E-3</v>
      </c>
      <c r="AA87" s="345">
        <f>V94</f>
        <v>9.4653695119644703E-3</v>
      </c>
      <c r="BS87" s="189">
        <v>41820</v>
      </c>
      <c r="BT87" s="190">
        <v>12334.734557565635</v>
      </c>
      <c r="BU87" s="190">
        <v>234.70291240118786</v>
      </c>
    </row>
    <row r="88" spans="1:73" ht="14.25" customHeight="1">
      <c r="A88" s="199">
        <v>43921</v>
      </c>
      <c r="B88" s="191">
        <f>B79+SUMPRODUCT(C130:T130,$C$135:$T$135)/SUM(C130:T130)*B79*bdp!$BA$2</f>
        <v>2946.5507994579534</v>
      </c>
      <c r="C88" s="191">
        <f>C79+SUMPRODUCT(AE79:AP79,$AE$84:$AP$84)/SUM(AE79:AP79)*C79*bdp!$BA$2</f>
        <v>1355.2896820991377</v>
      </c>
      <c r="D88" s="191">
        <f>D79+SUMPRODUCT(BG79:BH79,$BG$84:$BH$84)/SUM(BG79:BH79)*D79*bdp!$BA$2</f>
        <v>342.81794787354841</v>
      </c>
      <c r="E88" s="191">
        <f>E79+$BN$84*E79*bdp!$BA$2</f>
        <v>855.16863473399087</v>
      </c>
      <c r="F88" s="191">
        <f t="shared" ref="F88:J88" si="12">F79</f>
        <v>202.5482311216</v>
      </c>
      <c r="G88" s="191">
        <f t="shared" si="12"/>
        <v>-6.5986620603358652</v>
      </c>
      <c r="H88" s="191">
        <f t="shared" si="12"/>
        <v>220.15873226240294</v>
      </c>
      <c r="I88" s="191">
        <f t="shared" si="12"/>
        <v>-36.9631318956</v>
      </c>
      <c r="J88" s="191">
        <f t="shared" si="12"/>
        <v>-2060.3336927104747</v>
      </c>
      <c r="K88" s="200">
        <f>$BS$110</f>
        <v>-2417.2278335879091</v>
      </c>
      <c r="L88" s="191">
        <f t="shared" ref="L88:L91" si="13">L79</f>
        <v>413.93859691295893</v>
      </c>
      <c r="M88" s="191">
        <f>M79+SUMPRODUCT(W130:AN130,$C$135:$T$135)/SUM(W130:AN130)*M79*bdp!$BA$2</f>
        <v>5429.2250432373039</v>
      </c>
      <c r="N88" s="191">
        <f>N79+SUMPRODUCT(AR79:BC79,$AE$84:$AP$84)/SUM(AR79:BC79)*N79*bdp!$BA$2</f>
        <v>1149.1518119101006</v>
      </c>
      <c r="O88" s="191">
        <f>O79+SUMPRODUCT(BJ79:BK79,$BJ$84:$BK$84)/SUM(BJ79:BK79)*O79*bdp!$BA$2</f>
        <v>524.08820173121035</v>
      </c>
      <c r="P88" s="191">
        <f>P79+$BP$84*P79*bdp!$BA$2</f>
        <v>424.732542520793</v>
      </c>
      <c r="Q88" s="191">
        <f t="shared" ref="Q88:R88" si="14">Q79</f>
        <v>493.65714397867566</v>
      </c>
      <c r="R88" s="191">
        <f t="shared" si="14"/>
        <v>-201.55765900284612</v>
      </c>
      <c r="S88" s="201">
        <f t="shared" ref="S88:S91" si="15">SUM(B88:E88)-SUM(M88:P88)</f>
        <v>-2027.370535234777</v>
      </c>
      <c r="T88" s="201">
        <f t="shared" ref="T88:T91" si="16">SUM(B88:L88)-SUM(M88:R88)</f>
        <v>-6003.947780167965</v>
      </c>
      <c r="U88" s="370">
        <v>7.6092310000000003</v>
      </c>
      <c r="V88" s="373">
        <f>(SUMPRODUCT(S80:S82,U80:U82)+S88*U88)/SUM(bdp!AU106:AU109)</f>
        <v>2.8855646994260839E-2</v>
      </c>
      <c r="X88" s="314">
        <v>44104</v>
      </c>
      <c r="Y88" s="485">
        <f t="shared" si="11"/>
        <v>-4.1437569441331978E-2</v>
      </c>
      <c r="Z88" s="345">
        <f>V90</f>
        <v>-2.2404163183706118E-2</v>
      </c>
      <c r="AA88" s="345">
        <f>V95</f>
        <v>1.387275745182963E-2</v>
      </c>
      <c r="BS88" s="189">
        <v>41912</v>
      </c>
      <c r="BT88" s="190">
        <v>12115.590409673159</v>
      </c>
      <c r="BU88" s="190">
        <v>-219.1441478924753</v>
      </c>
    </row>
    <row r="89" spans="1:73" ht="14.25" customHeight="1">
      <c r="A89" s="199">
        <v>44012</v>
      </c>
      <c r="B89" s="191">
        <f>B80+SUMPRODUCT(C131:T131,$C$135:$T$135)/SUM(C131:T131)*B80*bdp!$BB$2</f>
        <v>2448.189582074323</v>
      </c>
      <c r="C89" s="191">
        <f>C80+SUMPRODUCT(AE80:AP80,$AE$84:$AP$84)/SUM(AE80:AP80)*C80*bdp!$BB$2</f>
        <v>1635.1132742898376</v>
      </c>
      <c r="D89" s="191">
        <f>D80+SUMPRODUCT(BG80:BH80,$BG$84:$BH$84)/SUM(BG80:BH80)*D80*bdp!$BB$2</f>
        <v>485.11966519938534</v>
      </c>
      <c r="E89" s="191">
        <f>E80+$BN$84*E80*bdp!$BB$2</f>
        <v>748.71460787041997</v>
      </c>
      <c r="F89" s="191">
        <f t="shared" ref="F89:J89" si="17">F80</f>
        <v>373.18811665029995</v>
      </c>
      <c r="G89" s="191">
        <f t="shared" si="17"/>
        <v>102.11391184641728</v>
      </c>
      <c r="H89" s="191">
        <f t="shared" si="17"/>
        <v>16.145067591079993</v>
      </c>
      <c r="I89" s="191">
        <f t="shared" si="17"/>
        <v>-40.377633002899998</v>
      </c>
      <c r="J89" s="191">
        <f t="shared" si="17"/>
        <v>7.553304655647338</v>
      </c>
      <c r="K89" s="202">
        <v>0</v>
      </c>
      <c r="L89" s="191">
        <f t="shared" si="13"/>
        <v>614.31088203385116</v>
      </c>
      <c r="M89" s="191">
        <f>M80+SUMPRODUCT(W131:AN131,$C$135:$T$135)/SUM(W131:AN131)*M80*bdp!$BB$2</f>
        <v>4766.7997984062758</v>
      </c>
      <c r="N89" s="191">
        <f>N80+SUMPRODUCT(AR80:BC80,$AE$84:$AP$84)/SUM(AR80:BC80)*N80*bdp!$BB$2</f>
        <v>714.07448412322083</v>
      </c>
      <c r="O89" s="191">
        <f>O80+SUMPRODUCT(BJ80:BK80,$BJ$84:$BK$84)/SUM(BJ80:BK80)*O80*bdp!$BB$2</f>
        <v>951.1652434678515</v>
      </c>
      <c r="P89" s="191">
        <f>P80+$BP$84*P80*bdp!$BB$2</f>
        <v>243.29897742572399</v>
      </c>
      <c r="Q89" s="191">
        <f t="shared" ref="Q89:R89" si="18">Q80</f>
        <v>-19.402932970505873</v>
      </c>
      <c r="R89" s="191">
        <f t="shared" si="18"/>
        <v>990.4796297297321</v>
      </c>
      <c r="S89" s="201">
        <f t="shared" si="15"/>
        <v>-1358.2013739891063</v>
      </c>
      <c r="T89" s="201">
        <f t="shared" si="16"/>
        <v>-1256.3444209739373</v>
      </c>
      <c r="U89" s="371">
        <f>tecaj!H84</f>
        <v>7.7160081110387715</v>
      </c>
      <c r="V89" s="373">
        <f>(SUMPRODUCT(S81:S82,U81:U82)+SUMPRODUCT(S88:S89,U88:U89))/SUM(bdp!AU107:AU110)</f>
        <v>9.4653695119644703E-3</v>
      </c>
      <c r="X89" s="314">
        <v>44196</v>
      </c>
      <c r="Y89" s="485">
        <f t="shared" si="11"/>
        <v>-4.5413218681595868E-2</v>
      </c>
      <c r="Z89" s="345">
        <f>V91</f>
        <v>-2.4251719656509067E-2</v>
      </c>
      <c r="AA89" s="345">
        <f>V96</f>
        <v>1.3590960924465429E-2</v>
      </c>
      <c r="BS89" s="189">
        <v>42004</v>
      </c>
      <c r="BT89" s="190">
        <v>12687.649405547039</v>
      </c>
      <c r="BU89" s="190">
        <v>572.05899587388012</v>
      </c>
    </row>
    <row r="90" spans="1:73" ht="14.25" customHeight="1">
      <c r="A90" s="199">
        <v>44104</v>
      </c>
      <c r="B90" s="191">
        <f>B81+SUMPRODUCT(C132:T132,$C$135:$T$135)/SUM(C132:T132)*B81*bdp!$BC$2</f>
        <v>3113.2709022141967</v>
      </c>
      <c r="C90" s="191">
        <f>C81+SUMPRODUCT(AE81:AP81,$AE$84:$AP$84)/SUM(AE81:AP81)*C81*bdp!$BC$2</f>
        <v>5960.9800024840879</v>
      </c>
      <c r="D90" s="191">
        <f>D81+SUMPRODUCT(BG81:BH81,$BG$84:$BH$84)/SUM(BG81:BH81)*D81*bdp!$BC$2</f>
        <v>602.47258593442359</v>
      </c>
      <c r="E90" s="191">
        <f>E81+$BN$84*E81*bdp!$BC$2</f>
        <v>823.85668963153307</v>
      </c>
      <c r="F90" s="191">
        <f t="shared" ref="F90:J90" si="19">F81</f>
        <v>224.4945916588</v>
      </c>
      <c r="G90" s="191">
        <f t="shared" si="19"/>
        <v>130.40479640282845</v>
      </c>
      <c r="H90" s="191">
        <f t="shared" si="19"/>
        <v>470.81661231459492</v>
      </c>
      <c r="I90" s="191">
        <f t="shared" si="19"/>
        <v>-51.824871172399995</v>
      </c>
      <c r="J90" s="191">
        <f t="shared" si="19"/>
        <v>4351.5205678819639</v>
      </c>
      <c r="K90" s="202">
        <v>0</v>
      </c>
      <c r="L90" s="191">
        <f t="shared" si="13"/>
        <v>-1175.3602344360906</v>
      </c>
      <c r="M90" s="191">
        <f>M81+SUMPRODUCT(W132:AN132,$C$135:$T$135)/SUM(W132:AN132)*M81*bdp!$BC$2</f>
        <v>5280.9667562582836</v>
      </c>
      <c r="N90" s="191">
        <f>N81+SUMPRODUCT(AR81:BC81,$AE$84:$AP$84)/SUM(AR81:BC81)*N81*bdp!$BC$2</f>
        <v>1080.4526702300811</v>
      </c>
      <c r="O90" s="191">
        <f>O81+SUMPRODUCT(BJ81:BK81,$BJ$84:$BK$84)/SUM(BJ81:BK81)*O81*bdp!$BC$2</f>
        <v>890.90290414928563</v>
      </c>
      <c r="P90" s="191">
        <f>P81+$BP$84*P81*bdp!$BC$2</f>
        <v>331.87592694526541</v>
      </c>
      <c r="Q90" s="191">
        <f t="shared" ref="Q90:R90" si="20">Q81</f>
        <v>471.87457618405392</v>
      </c>
      <c r="R90" s="191">
        <f t="shared" si="20"/>
        <v>1174.5453051175411</v>
      </c>
      <c r="S90" s="201">
        <f t="shared" si="15"/>
        <v>2916.3819226813257</v>
      </c>
      <c r="T90" s="201">
        <f t="shared" si="16"/>
        <v>5220.0135040294263</v>
      </c>
      <c r="U90" s="371">
        <f>tecaj!H85</f>
        <v>7.6629308401121445</v>
      </c>
      <c r="V90" s="373">
        <f>(SUMPRODUCT(S82,U82)+SUMPRODUCT(S88:S90,U88:U90))/SUM(bdp!AU108:AU111)</f>
        <v>-2.2404163183706118E-2</v>
      </c>
      <c r="BS90" s="189">
        <v>42094</v>
      </c>
      <c r="BT90" s="190">
        <v>14157.75204223921</v>
      </c>
      <c r="BU90" s="190">
        <v>1470.1026366921706</v>
      </c>
    </row>
    <row r="91" spans="1:73" ht="14.25" customHeight="1">
      <c r="A91" s="199">
        <v>44196</v>
      </c>
      <c r="B91" s="191">
        <f>B82+SUMPRODUCT(C133:T133,$C$135:$T$135)/SUM(C133:T133)*B82*bdp!$BD$2</f>
        <v>3121.6922882141871</v>
      </c>
      <c r="C91" s="191">
        <f>C82+SUMPRODUCT(AE82:AP82,$AE$84:$AP$84)/SUM(AE82:AP82)*C82*bdp!$BD$2</f>
        <v>2111.699100198437</v>
      </c>
      <c r="D91" s="191">
        <f>D82+SUMPRODUCT(BG82:BH82,$BG$84:$BH$84)/SUM(BG82:BH82)*D82*bdp!$BD$2</f>
        <v>530.84952322385811</v>
      </c>
      <c r="E91" s="191">
        <f>E82+$BN$84*E82*bdp!$BD$2</f>
        <v>1043.4211190368599</v>
      </c>
      <c r="F91" s="191">
        <f t="shared" ref="F91:J91" si="21">F82</f>
        <v>316.83123792890001</v>
      </c>
      <c r="G91" s="191">
        <f t="shared" si="21"/>
        <v>-0.89572813042521915</v>
      </c>
      <c r="H91" s="191">
        <f t="shared" si="21"/>
        <v>470.25472743504702</v>
      </c>
      <c r="I91" s="191">
        <f t="shared" si="21"/>
        <v>15.991184189699997</v>
      </c>
      <c r="J91" s="191">
        <f t="shared" si="21"/>
        <v>-272.0201955039571</v>
      </c>
      <c r="K91" s="202">
        <v>0</v>
      </c>
      <c r="L91" s="191">
        <f t="shared" si="13"/>
        <v>-123.71930847805208</v>
      </c>
      <c r="M91" s="191">
        <f>M82+SUMPRODUCT(W133:AN133,$C$135:$T$135)/SUM(W133:AN133)*M82*bdp!$BD$2</f>
        <v>5408.0532641734317</v>
      </c>
      <c r="N91" s="191">
        <f>N82+SUMPRODUCT(AR82:BC82,$AE$84:$AP$84)/SUM(AR82:BC82)*N82*bdp!$BD$2</f>
        <v>1139.5944287629748</v>
      </c>
      <c r="O91" s="191">
        <f>O82+SUMPRODUCT(BJ82:BK82,$BJ$84:$BK$84)/SUM(BJ82:BK82)*O82*bdp!$BD$2</f>
        <v>610.37551593712374</v>
      </c>
      <c r="P91" s="191">
        <f>P82+$BP$84*P82*bdp!$BD$2</f>
        <v>297.62386903878053</v>
      </c>
      <c r="Q91" s="191">
        <f t="shared" ref="Q91:R91" si="22">Q82</f>
        <v>291.08581414234806</v>
      </c>
      <c r="R91" s="191">
        <f t="shared" si="22"/>
        <v>-1312.092275606771</v>
      </c>
      <c r="S91" s="201">
        <f t="shared" si="15"/>
        <v>-647.98504723896895</v>
      </c>
      <c r="T91" s="201">
        <f t="shared" si="16"/>
        <v>779.46333166666682</v>
      </c>
      <c r="U91" s="371">
        <f>tecaj!H86</f>
        <v>7.5905716381504922</v>
      </c>
      <c r="V91" s="373">
        <f>(SUMPRODUCT(S88:S91,U88:U91))/SUM(bdp!AU109:AU112)</f>
        <v>-2.4251719656509067E-2</v>
      </c>
      <c r="BS91" s="189">
        <v>42185</v>
      </c>
      <c r="BT91" s="190">
        <v>13733.594673122348</v>
      </c>
      <c r="BU91" s="190">
        <v>-424.15736911686145</v>
      </c>
    </row>
    <row r="92" spans="1:73" ht="14.25" customHeight="1">
      <c r="A92" s="206" t="s">
        <v>7</v>
      </c>
      <c r="B92" s="102"/>
      <c r="C92" s="102"/>
      <c r="D92" s="102"/>
      <c r="E92" s="102"/>
      <c r="F92" s="102"/>
      <c r="G92" s="102"/>
      <c r="H92" s="102"/>
      <c r="I92" s="102"/>
      <c r="J92" s="102"/>
      <c r="K92" s="102"/>
      <c r="L92" s="102"/>
      <c r="M92" s="102"/>
      <c r="N92" s="102"/>
      <c r="O92" s="102"/>
      <c r="P92" s="102"/>
      <c r="Q92" s="102"/>
      <c r="R92" s="102"/>
      <c r="S92" s="102"/>
      <c r="T92" s="102"/>
      <c r="U92" s="368"/>
      <c r="V92" s="368"/>
      <c r="W92" s="102"/>
      <c r="BS92" s="189">
        <v>42277</v>
      </c>
      <c r="BT92" s="190">
        <v>13436.565896417</v>
      </c>
      <c r="BU92" s="190">
        <v>-297.02877670534872</v>
      </c>
    </row>
    <row r="93" spans="1:73" ht="14.25" customHeight="1">
      <c r="A93" s="199">
        <v>43921</v>
      </c>
      <c r="B93" s="191">
        <f>B79+SUMPRODUCT(C130:T130,$C$135:$T$135)/SUM(C130:T130)*B79*bdp!$BE$2</f>
        <v>2946.5507994579534</v>
      </c>
      <c r="C93" s="191">
        <f>C79+SUMPRODUCT(AE79:AP79,$AE$84:$AP$84)/SUM(AE79:AP79)*C79*bdp!$BE$2</f>
        <v>1355.2896820991377</v>
      </c>
      <c r="D93" s="191">
        <f>D79+SUMPRODUCT(BG79:BH79,$BG$84:$BH$84)/SUM(BG79:BH79)*D79*bdp!$BE$2</f>
        <v>342.81794787354841</v>
      </c>
      <c r="E93" s="191">
        <f>E79+$BN$84*E79*bdp!$BE$2</f>
        <v>855.16863473399087</v>
      </c>
      <c r="F93" s="191">
        <f t="shared" ref="F93:J93" si="23">F79</f>
        <v>202.5482311216</v>
      </c>
      <c r="G93" s="191">
        <f t="shared" si="23"/>
        <v>-6.5986620603358652</v>
      </c>
      <c r="H93" s="191">
        <f t="shared" si="23"/>
        <v>220.15873226240294</v>
      </c>
      <c r="I93" s="191">
        <f t="shared" si="23"/>
        <v>-36.9631318956</v>
      </c>
      <c r="J93" s="191">
        <f t="shared" si="23"/>
        <v>-2060.3336927104747</v>
      </c>
      <c r="K93" s="200">
        <f>$BS$110</f>
        <v>-2417.2278335879091</v>
      </c>
      <c r="L93" s="191">
        <f t="shared" ref="L93:L96" si="24">L79</f>
        <v>413.93859691295893</v>
      </c>
      <c r="M93" s="191">
        <f>M79+SUMPRODUCT(W130:AN130,$C$135:$T$135)/SUM(W130:AN130)*M79*bdp!$BE$2</f>
        <v>5429.2250432373039</v>
      </c>
      <c r="N93" s="191">
        <f>N79+SUMPRODUCT(AR79:BC79,$AE$84:$AP$84)/SUM(AR79:BC79)*N79*bdp!$BE$2</f>
        <v>1149.1518119101006</v>
      </c>
      <c r="O93" s="191">
        <f>O79+SUMPRODUCT(BJ79:BK79,$BJ$84:$BK$84)/SUM(BJ79:BK79)*O79*bdp!$BE$2</f>
        <v>524.08820173121035</v>
      </c>
      <c r="P93" s="191">
        <f>P79+$BP$84*P79*bdp!$BE$2</f>
        <v>424.732542520793</v>
      </c>
      <c r="Q93" s="191">
        <f t="shared" ref="Q93:R93" si="25">Q79</f>
        <v>493.65714397867566</v>
      </c>
      <c r="R93" s="191">
        <f t="shared" si="25"/>
        <v>-201.55765900284612</v>
      </c>
      <c r="S93" s="201">
        <f t="shared" ref="S93:S96" si="26">SUM(B93:E93)-SUM(M93:P93)</f>
        <v>-2027.370535234777</v>
      </c>
      <c r="T93" s="201">
        <f t="shared" ref="T93:T96" si="27">SUM(B93:L93)-SUM(M93:R93)</f>
        <v>-6003.947780167965</v>
      </c>
      <c r="U93" s="370">
        <v>7.6092310000000003</v>
      </c>
      <c r="V93" s="373">
        <f>(SUMPRODUCT(S80:S82,U80:U82)+S93*U93)/SUM(bdp!AX106:AX109)</f>
        <v>2.8855646994260839E-2</v>
      </c>
      <c r="BS93" s="189">
        <v>42369</v>
      </c>
      <c r="BT93" s="190">
        <v>13706.6055336727</v>
      </c>
      <c r="BU93" s="190">
        <v>270.03963725570065</v>
      </c>
    </row>
    <row r="94" spans="1:73" ht="14.25" customHeight="1">
      <c r="A94" s="199">
        <v>44012</v>
      </c>
      <c r="B94" s="191">
        <f>B80+SUMPRODUCT(C131:T131,$C$135:$T$135)/SUM(C131:T131)*B80*bdp!$BF$2</f>
        <v>2448.189582074323</v>
      </c>
      <c r="C94" s="191">
        <f>C80+SUMPRODUCT(AE80:AP80,$AE$84:$AP$84)/SUM(AE80:AP80)*C80*bdp!$BF$2</f>
        <v>1635.1132742898376</v>
      </c>
      <c r="D94" s="191">
        <f>D80+SUMPRODUCT(BG80:BH80,$BG$84:$BH$84)/SUM(BG80:BH80)*D80*bdp!$BF$2</f>
        <v>485.11966519938534</v>
      </c>
      <c r="E94" s="191">
        <f>E80+$BN$84*E80*bdp!$BF$2</f>
        <v>748.71460787041997</v>
      </c>
      <c r="F94" s="191">
        <f t="shared" ref="F94:J94" si="28">F80</f>
        <v>373.18811665029995</v>
      </c>
      <c r="G94" s="191">
        <f t="shared" si="28"/>
        <v>102.11391184641728</v>
      </c>
      <c r="H94" s="191">
        <f t="shared" si="28"/>
        <v>16.145067591079993</v>
      </c>
      <c r="I94" s="191">
        <f t="shared" si="28"/>
        <v>-40.377633002899998</v>
      </c>
      <c r="J94" s="191">
        <f t="shared" si="28"/>
        <v>7.553304655647338</v>
      </c>
      <c r="K94" s="202">
        <v>0</v>
      </c>
      <c r="L94" s="191">
        <f t="shared" si="24"/>
        <v>614.31088203385116</v>
      </c>
      <c r="M94" s="191">
        <f>M80+SUMPRODUCT(W131:AN131,$C$135:$T$135)/SUM(W131:AN131)*M80*bdp!$BF$2</f>
        <v>4766.7997984062758</v>
      </c>
      <c r="N94" s="191">
        <f>N80+SUMPRODUCT(AR80:BC80,$AE$84:$AP$84)/SUM(AR80:BC80)*N80*bdp!$BF$2</f>
        <v>714.07448412322083</v>
      </c>
      <c r="O94" s="191">
        <f>O80+SUMPRODUCT(BJ80:BK80,$BJ$84:$BK$84)/SUM(BJ80:BK80)*O80*bdp!$BF$2</f>
        <v>951.1652434678515</v>
      </c>
      <c r="P94" s="191">
        <f>P80+$BP$84*P80*bdp!$BF$2</f>
        <v>243.29897742572399</v>
      </c>
      <c r="Q94" s="191">
        <f t="shared" ref="Q94:R94" si="29">Q80</f>
        <v>-19.402932970505873</v>
      </c>
      <c r="R94" s="191">
        <f t="shared" si="29"/>
        <v>990.4796297297321</v>
      </c>
      <c r="S94" s="201">
        <f t="shared" si="26"/>
        <v>-1358.2013739891063</v>
      </c>
      <c r="T94" s="201">
        <f t="shared" si="27"/>
        <v>-1256.3444209739373</v>
      </c>
      <c r="U94" s="371">
        <f>tecaj!K84</f>
        <v>7.7160081110387715</v>
      </c>
      <c r="V94" s="373">
        <f>(SUMPRODUCT(S81:S82,U81:U82)+SUMPRODUCT(S93:S94,U93:U94))/SUM(bdp!AX107:AX110)</f>
        <v>9.4653695119644703E-3</v>
      </c>
      <c r="BS94" s="189">
        <v>42460</v>
      </c>
      <c r="BT94" s="190">
        <v>13198.832170046189</v>
      </c>
      <c r="BU94" s="190">
        <v>-507.77336362651113</v>
      </c>
    </row>
    <row r="95" spans="1:73" ht="14.25" customHeight="1">
      <c r="A95" s="199">
        <v>44104</v>
      </c>
      <c r="B95" s="191">
        <f>B81+SUMPRODUCT(C132:T132,$C$135:$T$135)/SUM(C132:T132)*B81*bdp!$BG$2</f>
        <v>3424.3954741478019</v>
      </c>
      <c r="C95" s="191">
        <f>C81+SUMPRODUCT(AE81:AP81,$AE$84:$AP$84)/SUM(AE81:AP81)*C81*bdp!$BG$2</f>
        <v>7944.6639963262996</v>
      </c>
      <c r="D95" s="191">
        <f>D81+SUMPRODUCT(BG81:BH81,$BG$84:$BH$84)/SUM(BG81:BH81)*D81*bdp!$BG$2</f>
        <v>647.47721923071776</v>
      </c>
      <c r="E95" s="191">
        <f>E81+$BN$84*E81*bdp!$BG$2</f>
        <v>914.38034365319993</v>
      </c>
      <c r="F95" s="191">
        <f t="shared" ref="F95:J95" si="30">F81</f>
        <v>224.4945916588</v>
      </c>
      <c r="G95" s="191">
        <f t="shared" si="30"/>
        <v>130.40479640282845</v>
      </c>
      <c r="H95" s="191">
        <f t="shared" si="30"/>
        <v>470.81661231459492</v>
      </c>
      <c r="I95" s="191">
        <f t="shared" si="30"/>
        <v>-51.824871172399995</v>
      </c>
      <c r="J95" s="191">
        <f t="shared" si="30"/>
        <v>4351.5205678819639</v>
      </c>
      <c r="K95" s="202">
        <v>0</v>
      </c>
      <c r="L95" s="191">
        <f t="shared" si="24"/>
        <v>-1175.3602344360906</v>
      </c>
      <c r="M95" s="191">
        <f>M81+SUMPRODUCT(W132:AN132,$C$135:$T$135)/SUM(W132:AN132)*M81*bdp!$BG$2</f>
        <v>5809.104008713799</v>
      </c>
      <c r="N95" s="191">
        <f>N81+SUMPRODUCT(AR81:BC81,$AE$84:$AP$84)/SUM(AR81:BC81)*N81*bdp!$BG$2</f>
        <v>1290.3677869338999</v>
      </c>
      <c r="O95" s="191">
        <f>O81+SUMPRODUCT(BJ81:BK81,$BJ$84:$BK$84)/SUM(BJ81:BK81)*O81*bdp!$BG$2</f>
        <v>891.94631873213734</v>
      </c>
      <c r="P95" s="191">
        <f>P81+$BP$84*P81*bdp!$BG$2</f>
        <v>368.34176131549992</v>
      </c>
      <c r="Q95" s="191">
        <f t="shared" ref="Q95:R95" si="31">Q81</f>
        <v>471.87457618405392</v>
      </c>
      <c r="R95" s="191">
        <f t="shared" si="31"/>
        <v>1174.5453051175411</v>
      </c>
      <c r="S95" s="201">
        <f t="shared" si="26"/>
        <v>4571.1571576626829</v>
      </c>
      <c r="T95" s="201">
        <f t="shared" si="27"/>
        <v>6874.7887390107826</v>
      </c>
      <c r="U95" s="371">
        <f>tecaj!K85</f>
        <v>7.7316933702265596</v>
      </c>
      <c r="V95" s="373">
        <f>(SUMPRODUCT(S82,U82)+SUMPRODUCT(S93:S95,U93:U95))/SUM(bdp!AX108:AX111)</f>
        <v>1.387275745182963E-2</v>
      </c>
      <c r="BS95" s="189">
        <v>42551</v>
      </c>
      <c r="BT95" s="190">
        <v>12936.461571948828</v>
      </c>
      <c r="BU95" s="190">
        <v>-262.37059809736093</v>
      </c>
    </row>
    <row r="96" spans="1:73" ht="14.25" customHeight="1">
      <c r="A96" s="199">
        <v>44196</v>
      </c>
      <c r="B96" s="191">
        <f>B82+SUMPRODUCT(C133:T133,$C$135:$T$135)/SUM(C133:T133)*B82*bdp!$BH$2</f>
        <v>3247.4122125522017</v>
      </c>
      <c r="C96" s="191">
        <f>C82+SUMPRODUCT(AE82:AP82,$AE$84:$AP$84)/SUM(AE82:AP82)*C82*bdp!$BH$2</f>
        <v>2315.7626346913003</v>
      </c>
      <c r="D96" s="191">
        <f>D82+SUMPRODUCT(BG82:BH82,$BG$84:$BH$84)/SUM(BG82:BH82)*D82*bdp!$BH$2</f>
        <v>550.36180514673913</v>
      </c>
      <c r="E96" s="191">
        <f>E82+$BN$84*E82*bdp!$BH$2</f>
        <v>1092.5875592009004</v>
      </c>
      <c r="F96" s="191">
        <f t="shared" ref="F96:J96" si="32">F82</f>
        <v>316.83123792890001</v>
      </c>
      <c r="G96" s="191">
        <f t="shared" si="32"/>
        <v>-0.89572813042521915</v>
      </c>
      <c r="H96" s="191">
        <f t="shared" si="32"/>
        <v>470.25472743504702</v>
      </c>
      <c r="I96" s="191">
        <f t="shared" si="32"/>
        <v>15.991184189699997</v>
      </c>
      <c r="J96" s="191">
        <f t="shared" si="32"/>
        <v>-272.0201955039571</v>
      </c>
      <c r="K96" s="202">
        <v>0</v>
      </c>
      <c r="L96" s="191">
        <f t="shared" si="24"/>
        <v>-123.71930847805208</v>
      </c>
      <c r="M96" s="191">
        <f>M82+SUMPRODUCT(W133:AN133,$C$135:$T$135)/SUM(W133:AN133)*M82*bdp!$BH$2</f>
        <v>5643.2945652754988</v>
      </c>
      <c r="N96" s="191">
        <f>N82+SUMPRODUCT(AR82:BC82,$AE$84:$AP$84)/SUM(AR82:BC82)*N82*bdp!$BH$2</f>
        <v>1232.3560930377998</v>
      </c>
      <c r="O96" s="191">
        <f>O82+SUMPRODUCT(BJ82:BK82,$BJ$84:$BK$84)/SUM(BJ82:BK82)*O82*bdp!$BH$2</f>
        <v>610.92498811680287</v>
      </c>
      <c r="P96" s="191">
        <f>P82+$BP$84*P82*bdp!$BH$2</f>
        <v>311.64803040710001</v>
      </c>
      <c r="Q96" s="191">
        <f t="shared" ref="Q96:R96" si="33">Q82</f>
        <v>291.08581414234806</v>
      </c>
      <c r="R96" s="191">
        <f t="shared" si="33"/>
        <v>-1312.092275606771</v>
      </c>
      <c r="S96" s="201">
        <f t="shared" si="26"/>
        <v>-592.09946524605948</v>
      </c>
      <c r="T96" s="201">
        <f t="shared" si="27"/>
        <v>835.34891365957628</v>
      </c>
      <c r="U96" s="371">
        <f>tecaj!K86</f>
        <v>7.6616564377390404</v>
      </c>
      <c r="V96" s="373">
        <f>(SUMPRODUCT(S93:S96,U93:U96))/SUM(bdp!AX109:AX112)</f>
        <v>1.3590960924465429E-2</v>
      </c>
      <c r="BS96" s="189">
        <v>42643</v>
      </c>
      <c r="BT96" s="190">
        <v>13038.93601932108</v>
      </c>
      <c r="BU96" s="190">
        <v>102.47444737225123</v>
      </c>
    </row>
    <row r="97" spans="1:76" ht="14.25" customHeight="1">
      <c r="A97" s="199"/>
      <c r="B97" s="201"/>
      <c r="C97" s="207"/>
      <c r="D97" s="207"/>
      <c r="E97" s="207"/>
      <c r="F97" s="207"/>
      <c r="G97" s="207"/>
      <c r="H97" s="207"/>
      <c r="I97" s="207"/>
      <c r="J97" s="207"/>
      <c r="K97" s="207"/>
      <c r="L97" s="207"/>
      <c r="M97" s="207"/>
      <c r="N97" s="207"/>
      <c r="O97" s="207"/>
      <c r="P97" s="207"/>
      <c r="Q97" s="207"/>
      <c r="R97" s="207"/>
      <c r="S97" s="201"/>
      <c r="T97" s="201"/>
      <c r="BQ97" s="189">
        <v>42735</v>
      </c>
      <c r="BR97" s="190">
        <v>13514.046362717902</v>
      </c>
      <c r="BS97" s="190">
        <v>475.11034339682192</v>
      </c>
    </row>
    <row r="98" spans="1:76" ht="14.25" customHeight="1">
      <c r="A98" s="199"/>
      <c r="B98" s="201"/>
      <c r="C98" s="207"/>
      <c r="D98" s="207"/>
      <c r="E98" s="207"/>
      <c r="F98" s="207"/>
      <c r="G98" s="207"/>
      <c r="H98" s="207"/>
      <c r="I98" s="207"/>
      <c r="J98" s="207"/>
      <c r="K98" s="207"/>
      <c r="L98" s="207"/>
      <c r="M98" s="207"/>
      <c r="N98" s="207"/>
      <c r="O98" s="207"/>
      <c r="P98" s="207"/>
      <c r="Q98" s="207"/>
      <c r="R98" s="207"/>
      <c r="S98" s="201"/>
      <c r="T98" s="201"/>
      <c r="BQ98" s="189">
        <v>42825</v>
      </c>
      <c r="BR98" s="190">
        <v>16071.907737114572</v>
      </c>
      <c r="BS98" s="190">
        <v>2557.8613743966707</v>
      </c>
    </row>
    <row r="99" spans="1:76" ht="14.25" customHeight="1">
      <c r="A99" s="199"/>
      <c r="B99" s="201"/>
      <c r="C99" s="207"/>
      <c r="D99" s="207"/>
      <c r="E99" s="207"/>
      <c r="F99" s="207"/>
      <c r="G99" s="207"/>
      <c r="H99" s="207"/>
      <c r="I99" s="207"/>
      <c r="J99" s="207"/>
      <c r="K99" s="207"/>
      <c r="L99" s="207"/>
      <c r="M99" s="207"/>
      <c r="N99" s="207"/>
      <c r="O99" s="207"/>
      <c r="P99" s="207"/>
      <c r="Q99" s="207"/>
      <c r="R99" s="207"/>
      <c r="S99" s="201"/>
      <c r="T99" s="201"/>
      <c r="BQ99" s="189">
        <v>42916</v>
      </c>
      <c r="BR99" s="190">
        <v>14027.777643360747</v>
      </c>
      <c r="BS99" s="190">
        <v>-2044.1300937538253</v>
      </c>
    </row>
    <row r="100" spans="1:76" ht="14.25" customHeight="1">
      <c r="B100" s="517" t="s">
        <v>262</v>
      </c>
      <c r="C100" s="208" t="s">
        <v>65</v>
      </c>
      <c r="D100" s="208" t="s">
        <v>69</v>
      </c>
      <c r="E100" s="208" t="s">
        <v>836</v>
      </c>
      <c r="F100" s="208" t="s">
        <v>837</v>
      </c>
      <c r="G100" s="208" t="s">
        <v>838</v>
      </c>
      <c r="H100" s="208" t="s">
        <v>839</v>
      </c>
      <c r="I100" s="208" t="s">
        <v>840</v>
      </c>
      <c r="J100" s="208" t="s">
        <v>841</v>
      </c>
      <c r="K100" s="208" t="s">
        <v>842</v>
      </c>
      <c r="L100" s="208" t="s">
        <v>843</v>
      </c>
      <c r="M100" s="208" t="s">
        <v>844</v>
      </c>
      <c r="N100" s="208" t="s">
        <v>845</v>
      </c>
      <c r="O100" s="208" t="s">
        <v>846</v>
      </c>
      <c r="P100" s="208" t="s">
        <v>847</v>
      </c>
      <c r="Q100" s="208" t="s">
        <v>848</v>
      </c>
      <c r="R100" s="208" t="s">
        <v>78</v>
      </c>
      <c r="S100" s="209" t="s">
        <v>849</v>
      </c>
      <c r="T100" s="209" t="s">
        <v>850</v>
      </c>
      <c r="U100" s="210" t="s">
        <v>851</v>
      </c>
      <c r="V100" s="209" t="s">
        <v>262</v>
      </c>
      <c r="W100" s="208" t="s">
        <v>65</v>
      </c>
      <c r="X100" s="208" t="s">
        <v>69</v>
      </c>
      <c r="Y100" s="208" t="s">
        <v>836</v>
      </c>
      <c r="Z100" s="208" t="s">
        <v>837</v>
      </c>
      <c r="AA100" s="208" t="s">
        <v>838</v>
      </c>
      <c r="AB100" s="208" t="s">
        <v>839</v>
      </c>
      <c r="AC100" s="208" t="s">
        <v>840</v>
      </c>
      <c r="AD100" s="208" t="s">
        <v>841</v>
      </c>
      <c r="AE100" s="208" t="s">
        <v>842</v>
      </c>
      <c r="AF100" s="208" t="s">
        <v>843</v>
      </c>
      <c r="AG100" s="208" t="s">
        <v>844</v>
      </c>
      <c r="AH100" s="208" t="s">
        <v>845</v>
      </c>
      <c r="AI100" s="208" t="s">
        <v>846</v>
      </c>
      <c r="AJ100" s="208" t="s">
        <v>847</v>
      </c>
      <c r="AK100" s="208" t="s">
        <v>848</v>
      </c>
      <c r="AL100" s="208" t="s">
        <v>78</v>
      </c>
      <c r="AM100" s="209" t="s">
        <v>849</v>
      </c>
      <c r="AN100" s="209" t="s">
        <v>850</v>
      </c>
      <c r="BQ100" s="189">
        <v>43008</v>
      </c>
      <c r="BR100" s="190">
        <v>14954.231919022443</v>
      </c>
      <c r="BS100" s="190">
        <v>926.45427566169565</v>
      </c>
    </row>
    <row r="101" spans="1:76" ht="14.25" customHeight="1">
      <c r="B101" s="518"/>
      <c r="C101" s="208" t="s">
        <v>60</v>
      </c>
      <c r="D101" s="208" t="s">
        <v>70</v>
      </c>
      <c r="E101" s="208" t="s">
        <v>852</v>
      </c>
      <c r="F101" s="208" t="s">
        <v>853</v>
      </c>
      <c r="G101" s="208" t="s">
        <v>854</v>
      </c>
      <c r="H101" s="208" t="s">
        <v>115</v>
      </c>
      <c r="I101" s="208" t="s">
        <v>855</v>
      </c>
      <c r="J101" s="208" t="s">
        <v>124</v>
      </c>
      <c r="K101" s="208" t="s">
        <v>856</v>
      </c>
      <c r="L101" s="208" t="s">
        <v>857</v>
      </c>
      <c r="M101" s="208" t="s">
        <v>858</v>
      </c>
      <c r="N101" s="208" t="s">
        <v>147</v>
      </c>
      <c r="O101" s="208" t="s">
        <v>859</v>
      </c>
      <c r="P101" s="208" t="s">
        <v>860</v>
      </c>
      <c r="Q101" s="208" t="s">
        <v>861</v>
      </c>
      <c r="R101" s="208" t="s">
        <v>79</v>
      </c>
      <c r="S101" s="209"/>
      <c r="T101" s="209"/>
      <c r="U101" s="210"/>
      <c r="V101" s="209"/>
      <c r="W101" s="208" t="s">
        <v>60</v>
      </c>
      <c r="X101" s="208" t="s">
        <v>70</v>
      </c>
      <c r="Y101" s="208" t="s">
        <v>852</v>
      </c>
      <c r="Z101" s="208" t="s">
        <v>853</v>
      </c>
      <c r="AA101" s="208" t="s">
        <v>854</v>
      </c>
      <c r="AB101" s="208" t="s">
        <v>862</v>
      </c>
      <c r="AC101" s="208" t="s">
        <v>855</v>
      </c>
      <c r="AD101" s="208" t="s">
        <v>124</v>
      </c>
      <c r="AE101" s="208" t="s">
        <v>856</v>
      </c>
      <c r="AF101" s="208" t="s">
        <v>857</v>
      </c>
      <c r="AG101" s="208" t="s">
        <v>858</v>
      </c>
      <c r="AH101" s="208" t="s">
        <v>147</v>
      </c>
      <c r="AI101" s="208" t="s">
        <v>859</v>
      </c>
      <c r="AJ101" s="208" t="s">
        <v>860</v>
      </c>
      <c r="AK101" s="208" t="s">
        <v>861</v>
      </c>
      <c r="AL101" s="208" t="s">
        <v>79</v>
      </c>
      <c r="AM101" s="209"/>
      <c r="AN101" s="209"/>
      <c r="BQ101" s="189">
        <v>43100</v>
      </c>
      <c r="BR101" s="190">
        <v>15706.159336697412</v>
      </c>
      <c r="BS101" s="190">
        <v>751.92741767496955</v>
      </c>
    </row>
    <row r="102" spans="1:76" ht="14.25" customHeight="1">
      <c r="A102" s="211">
        <v>40999</v>
      </c>
      <c r="B102" s="212">
        <v>2254210</v>
      </c>
      <c r="C102" s="212">
        <v>111583</v>
      </c>
      <c r="D102" s="212">
        <v>38521</v>
      </c>
      <c r="E102" s="212">
        <v>199045</v>
      </c>
      <c r="F102" s="212">
        <v>188815</v>
      </c>
      <c r="G102" s="212">
        <v>131350</v>
      </c>
      <c r="H102" s="212">
        <v>210593</v>
      </c>
      <c r="I102" s="212">
        <v>119491</v>
      </c>
      <c r="J102" s="212">
        <v>111752</v>
      </c>
      <c r="K102" s="212">
        <v>102624</v>
      </c>
      <c r="L102" s="212">
        <v>211029</v>
      </c>
      <c r="M102" s="212">
        <v>43157</v>
      </c>
      <c r="N102" s="212">
        <v>171907</v>
      </c>
      <c r="O102" s="212">
        <v>156272</v>
      </c>
      <c r="P102" s="212">
        <v>265631</v>
      </c>
      <c r="Q102" s="212">
        <v>74548</v>
      </c>
      <c r="R102" s="212">
        <v>14902</v>
      </c>
      <c r="S102" s="212">
        <v>102990</v>
      </c>
      <c r="T102" s="213">
        <v>0</v>
      </c>
      <c r="U102" s="214"/>
      <c r="V102" s="212">
        <v>3981140</v>
      </c>
      <c r="W102" s="212">
        <v>119274</v>
      </c>
      <c r="X102" s="212">
        <v>528230</v>
      </c>
      <c r="Y102" s="212">
        <v>287592</v>
      </c>
      <c r="Z102" s="212">
        <v>266385</v>
      </c>
      <c r="AA102" s="212">
        <v>133784</v>
      </c>
      <c r="AB102" s="212">
        <v>270275</v>
      </c>
      <c r="AC102" s="212">
        <v>332034</v>
      </c>
      <c r="AD102" s="212">
        <v>171312</v>
      </c>
      <c r="AE102" s="212">
        <v>205869</v>
      </c>
      <c r="AF102" s="212">
        <v>366518</v>
      </c>
      <c r="AG102" s="212">
        <v>182045</v>
      </c>
      <c r="AH102" s="212">
        <v>160953</v>
      </c>
      <c r="AI102" s="212">
        <v>294072</v>
      </c>
      <c r="AJ102" s="212">
        <v>380173</v>
      </c>
      <c r="AK102" s="212">
        <v>131127</v>
      </c>
      <c r="AL102" s="212">
        <v>131957</v>
      </c>
      <c r="AM102" s="212">
        <v>19543</v>
      </c>
      <c r="AN102" s="213">
        <v>0</v>
      </c>
      <c r="BQ102" s="189">
        <v>43190</v>
      </c>
      <c r="BR102" s="190">
        <v>16479.833174063126</v>
      </c>
      <c r="BS102" s="190">
        <v>773.67383736571355</v>
      </c>
    </row>
    <row r="103" spans="1:76" ht="14.25" customHeight="1">
      <c r="A103" s="215">
        <v>41090</v>
      </c>
      <c r="B103" s="212">
        <v>2325052</v>
      </c>
      <c r="C103" s="212">
        <v>60247</v>
      </c>
      <c r="D103" s="212">
        <v>27094</v>
      </c>
      <c r="E103" s="212">
        <v>209399</v>
      </c>
      <c r="F103" s="212">
        <v>193369</v>
      </c>
      <c r="G103" s="212">
        <v>136901</v>
      </c>
      <c r="H103" s="212">
        <v>326005</v>
      </c>
      <c r="I103" s="212">
        <v>145640</v>
      </c>
      <c r="J103" s="212">
        <v>83376</v>
      </c>
      <c r="K103" s="212">
        <v>138870</v>
      </c>
      <c r="L103" s="212">
        <v>235568</v>
      </c>
      <c r="M103" s="212">
        <v>73092</v>
      </c>
      <c r="N103" s="212">
        <v>166531</v>
      </c>
      <c r="O103" s="212">
        <v>187615</v>
      </c>
      <c r="P103" s="212">
        <v>141616</v>
      </c>
      <c r="Q103" s="212">
        <v>81931</v>
      </c>
      <c r="R103" s="212">
        <v>10754</v>
      </c>
      <c r="S103" s="212">
        <v>107043</v>
      </c>
      <c r="T103" s="212">
        <v>0</v>
      </c>
      <c r="U103" s="214"/>
      <c r="V103" s="212">
        <v>4165596</v>
      </c>
      <c r="W103" s="212">
        <v>113816</v>
      </c>
      <c r="X103" s="212">
        <v>494302</v>
      </c>
      <c r="Y103" s="212">
        <v>413269</v>
      </c>
      <c r="Z103" s="212">
        <v>253685</v>
      </c>
      <c r="AA103" s="212">
        <v>154217</v>
      </c>
      <c r="AB103" s="212">
        <v>323923</v>
      </c>
      <c r="AC103" s="212">
        <v>354519</v>
      </c>
      <c r="AD103" s="212">
        <v>166629</v>
      </c>
      <c r="AE103" s="212">
        <v>242665</v>
      </c>
      <c r="AF103" s="212">
        <v>380648</v>
      </c>
      <c r="AG103" s="212">
        <v>248898</v>
      </c>
      <c r="AH103" s="212">
        <v>162622</v>
      </c>
      <c r="AI103" s="212">
        <v>304553</v>
      </c>
      <c r="AJ103" s="212">
        <v>263870</v>
      </c>
      <c r="AK103" s="212">
        <v>134521</v>
      </c>
      <c r="AL103" s="212">
        <v>125576</v>
      </c>
      <c r="AM103" s="212">
        <v>27878</v>
      </c>
      <c r="AN103" s="213">
        <v>0</v>
      </c>
      <c r="BQ103" s="189">
        <v>43281</v>
      </c>
      <c r="BR103" s="190">
        <v>16694.266310438958</v>
      </c>
      <c r="BS103" s="190">
        <v>214.43313637583196</v>
      </c>
    </row>
    <row r="104" spans="1:76" ht="14.25" customHeight="1">
      <c r="A104" s="215">
        <v>41182</v>
      </c>
      <c r="B104" s="212">
        <v>2472511</v>
      </c>
      <c r="C104" s="212">
        <v>131915</v>
      </c>
      <c r="D104" s="212">
        <v>24996</v>
      </c>
      <c r="E104" s="212">
        <v>216348</v>
      </c>
      <c r="F104" s="212">
        <v>176058</v>
      </c>
      <c r="G104" s="212">
        <v>121587</v>
      </c>
      <c r="H104" s="212">
        <v>333324</v>
      </c>
      <c r="I104" s="212">
        <v>151137</v>
      </c>
      <c r="J104" s="212">
        <v>109727</v>
      </c>
      <c r="K104" s="212">
        <v>138879</v>
      </c>
      <c r="L104" s="212">
        <v>238645</v>
      </c>
      <c r="M104" s="212">
        <v>95167</v>
      </c>
      <c r="N104" s="212">
        <v>184707</v>
      </c>
      <c r="O104" s="212">
        <v>161188</v>
      </c>
      <c r="P104" s="212">
        <v>212248</v>
      </c>
      <c r="Q104" s="212">
        <v>66720</v>
      </c>
      <c r="R104" s="212">
        <v>19528</v>
      </c>
      <c r="S104" s="212">
        <v>90336</v>
      </c>
      <c r="T104" s="213">
        <v>0</v>
      </c>
      <c r="U104" s="214"/>
      <c r="V104" s="212">
        <v>4094530</v>
      </c>
      <c r="W104" s="212">
        <v>102760</v>
      </c>
      <c r="X104" s="212">
        <v>616726</v>
      </c>
      <c r="Y104" s="212">
        <v>429655</v>
      </c>
      <c r="Z104" s="212">
        <v>265424</v>
      </c>
      <c r="AA104" s="212">
        <v>142727</v>
      </c>
      <c r="AB104" s="212">
        <v>289375</v>
      </c>
      <c r="AC104" s="212">
        <v>335072</v>
      </c>
      <c r="AD104" s="212">
        <v>163685</v>
      </c>
      <c r="AE104" s="212">
        <v>233053</v>
      </c>
      <c r="AF104" s="212">
        <v>360493</v>
      </c>
      <c r="AG104" s="212">
        <v>194185</v>
      </c>
      <c r="AH104" s="212">
        <v>160663</v>
      </c>
      <c r="AI104" s="212">
        <v>309776</v>
      </c>
      <c r="AJ104" s="212">
        <v>198165</v>
      </c>
      <c r="AK104" s="212">
        <v>111586</v>
      </c>
      <c r="AL104" s="212">
        <v>151510</v>
      </c>
      <c r="AM104" s="212">
        <v>29678</v>
      </c>
      <c r="AN104" s="212">
        <v>0</v>
      </c>
      <c r="BQ104" s="189">
        <v>43373</v>
      </c>
      <c r="BR104" s="190">
        <v>16637.167494881629</v>
      </c>
      <c r="BS104" s="190">
        <v>-57.098815557328635</v>
      </c>
      <c r="BV104" s="3" t="s">
        <v>863</v>
      </c>
    </row>
    <row r="105" spans="1:76" ht="14.25" customHeight="1">
      <c r="A105" s="215">
        <v>41274</v>
      </c>
      <c r="B105" s="212">
        <v>2576695</v>
      </c>
      <c r="C105" s="212">
        <v>112368</v>
      </c>
      <c r="D105" s="212">
        <v>27605</v>
      </c>
      <c r="E105" s="212">
        <v>270757</v>
      </c>
      <c r="F105" s="212">
        <v>170382</v>
      </c>
      <c r="G105" s="212">
        <v>129743</v>
      </c>
      <c r="H105" s="212">
        <v>260220</v>
      </c>
      <c r="I105" s="212">
        <v>170510</v>
      </c>
      <c r="J105" s="212">
        <v>133042</v>
      </c>
      <c r="K105" s="212">
        <v>130762</v>
      </c>
      <c r="L105" s="212">
        <v>258533</v>
      </c>
      <c r="M105" s="212">
        <v>50481</v>
      </c>
      <c r="N105" s="212">
        <v>196268</v>
      </c>
      <c r="O105" s="212">
        <v>165837</v>
      </c>
      <c r="P105" s="212">
        <v>310882</v>
      </c>
      <c r="Q105" s="212">
        <v>67709</v>
      </c>
      <c r="R105" s="212">
        <v>26243</v>
      </c>
      <c r="S105" s="212">
        <v>95356</v>
      </c>
      <c r="T105" s="212">
        <v>0</v>
      </c>
      <c r="U105" s="214"/>
      <c r="V105" s="212">
        <v>3974630</v>
      </c>
      <c r="W105" s="212">
        <v>108627</v>
      </c>
      <c r="X105" s="212">
        <v>517454</v>
      </c>
      <c r="Y105" s="212">
        <v>417637</v>
      </c>
      <c r="Z105" s="212">
        <v>235540</v>
      </c>
      <c r="AA105" s="212">
        <v>134881</v>
      </c>
      <c r="AB105" s="212">
        <v>271817</v>
      </c>
      <c r="AC105" s="212">
        <v>321235</v>
      </c>
      <c r="AD105" s="212">
        <v>167011</v>
      </c>
      <c r="AE105" s="212">
        <v>218405</v>
      </c>
      <c r="AF105" s="212">
        <v>366534</v>
      </c>
      <c r="AG105" s="212">
        <v>239258</v>
      </c>
      <c r="AH105" s="212">
        <v>170426</v>
      </c>
      <c r="AI105" s="212">
        <v>298219</v>
      </c>
      <c r="AJ105" s="212">
        <v>272346</v>
      </c>
      <c r="AK105" s="212">
        <v>121067</v>
      </c>
      <c r="AL105" s="212">
        <v>92281</v>
      </c>
      <c r="AM105" s="212">
        <v>21890</v>
      </c>
      <c r="AN105" s="212">
        <v>0</v>
      </c>
      <c r="BQ105" s="189">
        <v>43465</v>
      </c>
      <c r="BR105" s="190">
        <v>17437.989458724347</v>
      </c>
      <c r="BS105" s="190">
        <v>800.82196384271811</v>
      </c>
      <c r="BV105" s="18">
        <v>43899</v>
      </c>
      <c r="BW105" s="216">
        <v>387</v>
      </c>
    </row>
    <row r="106" spans="1:76" ht="14.25" customHeight="1">
      <c r="A106" s="215">
        <v>41364</v>
      </c>
      <c r="B106" s="212">
        <v>2075721</v>
      </c>
      <c r="C106" s="212">
        <v>92389</v>
      </c>
      <c r="D106" s="212">
        <v>28386</v>
      </c>
      <c r="E106" s="212">
        <v>163594</v>
      </c>
      <c r="F106" s="212">
        <v>166786</v>
      </c>
      <c r="G106" s="212">
        <v>123477</v>
      </c>
      <c r="H106" s="212">
        <v>273039</v>
      </c>
      <c r="I106" s="212">
        <v>120908</v>
      </c>
      <c r="J106" s="212">
        <v>123211</v>
      </c>
      <c r="K106" s="212">
        <v>112641</v>
      </c>
      <c r="L106" s="212">
        <v>233087</v>
      </c>
      <c r="M106" s="212">
        <v>43802</v>
      </c>
      <c r="N106" s="212">
        <v>150448</v>
      </c>
      <c r="O106" s="212">
        <v>160711</v>
      </c>
      <c r="P106" s="212">
        <v>101336</v>
      </c>
      <c r="Q106" s="212">
        <v>72035</v>
      </c>
      <c r="R106" s="212">
        <v>30470</v>
      </c>
      <c r="S106" s="212">
        <v>79401</v>
      </c>
      <c r="T106" s="213">
        <v>0</v>
      </c>
      <c r="U106" s="214"/>
      <c r="V106" s="212">
        <v>3727156</v>
      </c>
      <c r="W106" s="212">
        <v>115444</v>
      </c>
      <c r="X106" s="212">
        <v>643657</v>
      </c>
      <c r="Y106" s="212">
        <v>318649</v>
      </c>
      <c r="Z106" s="212">
        <v>243101</v>
      </c>
      <c r="AA106" s="212">
        <v>134489</v>
      </c>
      <c r="AB106" s="212">
        <v>183669</v>
      </c>
      <c r="AC106" s="212">
        <v>324303</v>
      </c>
      <c r="AD106" s="212">
        <v>163148</v>
      </c>
      <c r="AE106" s="212">
        <v>197127</v>
      </c>
      <c r="AF106" s="212">
        <v>335301</v>
      </c>
      <c r="AG106" s="212">
        <v>205104</v>
      </c>
      <c r="AH106" s="212">
        <v>153437</v>
      </c>
      <c r="AI106" s="212">
        <v>292088</v>
      </c>
      <c r="AJ106" s="212">
        <v>212480</v>
      </c>
      <c r="AK106" s="212">
        <v>113201</v>
      </c>
      <c r="AL106" s="212">
        <v>70864</v>
      </c>
      <c r="AM106" s="212">
        <v>21096</v>
      </c>
      <c r="AN106" s="213">
        <v>0</v>
      </c>
      <c r="BQ106" s="189">
        <v>43555</v>
      </c>
      <c r="BR106" s="190">
        <v>18321.30398302574</v>
      </c>
      <c r="BS106" s="190">
        <v>883.31452430139325</v>
      </c>
      <c r="BV106" s="18">
        <v>43902</v>
      </c>
      <c r="BW106" s="216">
        <v>347.8</v>
      </c>
    </row>
    <row r="107" spans="1:76" ht="14.25" customHeight="1">
      <c r="A107" s="211">
        <v>41455</v>
      </c>
      <c r="B107" s="212">
        <v>2284398</v>
      </c>
      <c r="C107" s="212">
        <v>64455</v>
      </c>
      <c r="D107" s="212">
        <v>31808</v>
      </c>
      <c r="E107" s="212">
        <v>233720</v>
      </c>
      <c r="F107" s="212">
        <v>190278</v>
      </c>
      <c r="G107" s="212">
        <v>135962</v>
      </c>
      <c r="H107" s="212">
        <v>216728</v>
      </c>
      <c r="I107" s="212">
        <v>125801</v>
      </c>
      <c r="J107" s="212">
        <v>111104</v>
      </c>
      <c r="K107" s="212">
        <v>146584</v>
      </c>
      <c r="L107" s="212">
        <v>240129</v>
      </c>
      <c r="M107" s="212">
        <v>48984</v>
      </c>
      <c r="N107" s="212">
        <v>169456</v>
      </c>
      <c r="O107" s="212">
        <v>174085</v>
      </c>
      <c r="P107" s="212">
        <v>186208</v>
      </c>
      <c r="Q107" s="212">
        <v>76847</v>
      </c>
      <c r="R107" s="212">
        <v>46518</v>
      </c>
      <c r="S107" s="212">
        <v>85730</v>
      </c>
      <c r="T107" s="212">
        <v>0</v>
      </c>
      <c r="U107" s="214"/>
      <c r="V107" s="212">
        <v>4386155</v>
      </c>
      <c r="W107" s="212">
        <v>119435</v>
      </c>
      <c r="X107" s="212">
        <v>502341</v>
      </c>
      <c r="Y107" s="212">
        <v>417564</v>
      </c>
      <c r="Z107" s="212">
        <v>290486</v>
      </c>
      <c r="AA107" s="212">
        <v>159719</v>
      </c>
      <c r="AB107" s="212">
        <v>220876</v>
      </c>
      <c r="AC107" s="212">
        <v>382487</v>
      </c>
      <c r="AD107" s="212">
        <v>200970</v>
      </c>
      <c r="AE107" s="212">
        <v>245501</v>
      </c>
      <c r="AF107" s="212">
        <v>389654</v>
      </c>
      <c r="AG107" s="212">
        <v>353782</v>
      </c>
      <c r="AH107" s="212">
        <v>170310</v>
      </c>
      <c r="AI107" s="212">
        <v>397411</v>
      </c>
      <c r="AJ107" s="212">
        <v>310525</v>
      </c>
      <c r="AK107" s="212">
        <v>129626</v>
      </c>
      <c r="AL107" s="212">
        <v>70465</v>
      </c>
      <c r="AM107" s="212">
        <v>25002</v>
      </c>
      <c r="AN107" s="212">
        <v>0</v>
      </c>
      <c r="BQ107" s="189">
        <v>43646</v>
      </c>
      <c r="BR107" s="190">
        <v>19879.869055640029</v>
      </c>
      <c r="BS107" s="190">
        <v>1558.5650726142885</v>
      </c>
      <c r="BV107" s="18">
        <v>43906</v>
      </c>
      <c r="BW107" s="216">
        <v>411.05</v>
      </c>
    </row>
    <row r="108" spans="1:76" ht="14.25" customHeight="1">
      <c r="A108" s="215">
        <v>41547</v>
      </c>
      <c r="B108" s="212">
        <v>2606281</v>
      </c>
      <c r="C108" s="212">
        <v>116460</v>
      </c>
      <c r="D108" s="212">
        <v>53570</v>
      </c>
      <c r="E108" s="212">
        <v>213543</v>
      </c>
      <c r="F108" s="212">
        <v>196082</v>
      </c>
      <c r="G108" s="212">
        <v>151974</v>
      </c>
      <c r="H108" s="212">
        <v>296524</v>
      </c>
      <c r="I108" s="212">
        <v>180967</v>
      </c>
      <c r="J108" s="212">
        <v>90372</v>
      </c>
      <c r="K108" s="212">
        <v>168798</v>
      </c>
      <c r="L108" s="212">
        <v>257462</v>
      </c>
      <c r="M108" s="212">
        <v>150358</v>
      </c>
      <c r="N108" s="212">
        <v>188250</v>
      </c>
      <c r="O108" s="212">
        <v>189142</v>
      </c>
      <c r="P108" s="212">
        <v>92224</v>
      </c>
      <c r="Q108" s="212">
        <v>82903</v>
      </c>
      <c r="R108" s="212">
        <v>41423</v>
      </c>
      <c r="S108" s="212">
        <v>90149</v>
      </c>
      <c r="T108" s="212">
        <v>46082</v>
      </c>
      <c r="U108" s="214"/>
      <c r="V108" s="212">
        <v>4328743</v>
      </c>
      <c r="W108" s="212">
        <v>112310</v>
      </c>
      <c r="X108" s="212">
        <v>615822</v>
      </c>
      <c r="Y108" s="212">
        <v>494212</v>
      </c>
      <c r="Z108" s="212">
        <v>340528</v>
      </c>
      <c r="AA108" s="212">
        <v>147937</v>
      </c>
      <c r="AB108" s="212">
        <v>256178</v>
      </c>
      <c r="AC108" s="212">
        <v>367579</v>
      </c>
      <c r="AD108" s="212">
        <v>148501</v>
      </c>
      <c r="AE108" s="212">
        <v>251578</v>
      </c>
      <c r="AF108" s="212">
        <v>377235</v>
      </c>
      <c r="AG108" s="212">
        <v>215460</v>
      </c>
      <c r="AH108" s="212">
        <v>185201</v>
      </c>
      <c r="AI108" s="212">
        <v>270995</v>
      </c>
      <c r="AJ108" s="212">
        <v>219794</v>
      </c>
      <c r="AK108" s="212">
        <v>122879</v>
      </c>
      <c r="AL108" s="212">
        <v>167942</v>
      </c>
      <c r="AM108" s="212">
        <v>33060</v>
      </c>
      <c r="AN108" s="212">
        <v>1530</v>
      </c>
      <c r="BQ108" s="189">
        <v>43738</v>
      </c>
      <c r="BR108" s="190">
        <v>20424.750538960478</v>
      </c>
      <c r="BS108" s="190">
        <v>544.88148332044875</v>
      </c>
      <c r="BV108" s="18">
        <v>43921</v>
      </c>
      <c r="BW108" s="216">
        <v>618.15</v>
      </c>
    </row>
    <row r="109" spans="1:76" ht="14.25" customHeight="1">
      <c r="A109" s="211">
        <v>41639</v>
      </c>
      <c r="B109" s="212">
        <v>2623048</v>
      </c>
      <c r="C109" s="212">
        <v>153570</v>
      </c>
      <c r="D109" s="212">
        <v>52791</v>
      </c>
      <c r="E109" s="212">
        <v>235854</v>
      </c>
      <c r="F109" s="212">
        <v>192909</v>
      </c>
      <c r="G109" s="212">
        <v>172582</v>
      </c>
      <c r="H109" s="212">
        <v>215652</v>
      </c>
      <c r="I109" s="212">
        <v>173497</v>
      </c>
      <c r="J109" s="212">
        <v>96897</v>
      </c>
      <c r="K109" s="212">
        <v>155210</v>
      </c>
      <c r="L109" s="212">
        <v>276473</v>
      </c>
      <c r="M109" s="212">
        <v>93615</v>
      </c>
      <c r="N109" s="212">
        <v>176219</v>
      </c>
      <c r="O109" s="212">
        <v>201211</v>
      </c>
      <c r="P109" s="212">
        <v>159082</v>
      </c>
      <c r="Q109" s="212">
        <v>96513</v>
      </c>
      <c r="R109" s="212">
        <v>60045</v>
      </c>
      <c r="S109" s="212">
        <v>102688</v>
      </c>
      <c r="T109" s="212">
        <v>8240</v>
      </c>
      <c r="U109" s="214"/>
      <c r="V109" s="212">
        <v>4085846</v>
      </c>
      <c r="W109" s="212">
        <v>120755</v>
      </c>
      <c r="X109" s="212">
        <v>410871</v>
      </c>
      <c r="Y109" s="212">
        <v>419441</v>
      </c>
      <c r="Z109" s="212">
        <v>299551</v>
      </c>
      <c r="AA109" s="212">
        <v>137162</v>
      </c>
      <c r="AB109" s="212">
        <v>326452</v>
      </c>
      <c r="AC109" s="212">
        <v>307762</v>
      </c>
      <c r="AD109" s="212">
        <v>155155</v>
      </c>
      <c r="AE109" s="212">
        <v>227099</v>
      </c>
      <c r="AF109" s="212">
        <v>401753</v>
      </c>
      <c r="AG109" s="212">
        <v>264557</v>
      </c>
      <c r="AH109" s="212">
        <v>184466</v>
      </c>
      <c r="AI109" s="212">
        <v>292941</v>
      </c>
      <c r="AJ109" s="212">
        <v>213509</v>
      </c>
      <c r="AK109" s="212">
        <v>134704</v>
      </c>
      <c r="AL109" s="212">
        <v>160789</v>
      </c>
      <c r="AM109" s="212">
        <v>28090</v>
      </c>
      <c r="AN109" s="212">
        <v>789</v>
      </c>
      <c r="BQ109" s="189">
        <v>43830</v>
      </c>
      <c r="BR109" s="190">
        <v>18560.420839494636</v>
      </c>
      <c r="BS109" s="190">
        <v>-1864.3296994658413</v>
      </c>
    </row>
    <row r="110" spans="1:76" ht="14.25" customHeight="1">
      <c r="A110" s="215">
        <v>41729</v>
      </c>
      <c r="B110" s="213">
        <v>2355720</v>
      </c>
      <c r="C110" s="212">
        <v>121604</v>
      </c>
      <c r="D110" s="212">
        <v>34639</v>
      </c>
      <c r="E110" s="212">
        <v>193294</v>
      </c>
      <c r="F110" s="212">
        <v>239818</v>
      </c>
      <c r="G110" s="212">
        <v>172560</v>
      </c>
      <c r="H110" s="212">
        <v>193548</v>
      </c>
      <c r="I110" s="212">
        <v>152158</v>
      </c>
      <c r="J110" s="212">
        <v>103043</v>
      </c>
      <c r="K110" s="212">
        <v>144372</v>
      </c>
      <c r="L110" s="212">
        <v>241476</v>
      </c>
      <c r="M110" s="212">
        <v>62545</v>
      </c>
      <c r="N110" s="212">
        <v>144569</v>
      </c>
      <c r="O110" s="212">
        <v>196313</v>
      </c>
      <c r="P110" s="212">
        <v>81246</v>
      </c>
      <c r="Q110" s="212">
        <v>99462</v>
      </c>
      <c r="R110" s="212">
        <v>86968</v>
      </c>
      <c r="S110" s="212">
        <v>84448</v>
      </c>
      <c r="T110" s="213">
        <v>3657</v>
      </c>
      <c r="U110" s="214"/>
      <c r="V110" s="213">
        <v>3983214</v>
      </c>
      <c r="W110" s="212">
        <v>129206</v>
      </c>
      <c r="X110" s="212">
        <v>285485</v>
      </c>
      <c r="Y110" s="212">
        <v>394229</v>
      </c>
      <c r="Z110" s="212">
        <v>425465</v>
      </c>
      <c r="AA110" s="212">
        <v>151663</v>
      </c>
      <c r="AB110" s="212">
        <v>269663</v>
      </c>
      <c r="AC110" s="212">
        <v>344351</v>
      </c>
      <c r="AD110" s="212">
        <v>177807</v>
      </c>
      <c r="AE110" s="212">
        <v>218920</v>
      </c>
      <c r="AF110" s="212">
        <v>358483</v>
      </c>
      <c r="AG110" s="212">
        <v>221059</v>
      </c>
      <c r="AH110" s="212">
        <v>165943</v>
      </c>
      <c r="AI110" s="212">
        <v>282202</v>
      </c>
      <c r="AJ110" s="212">
        <v>284044</v>
      </c>
      <c r="AK110" s="212">
        <v>120021</v>
      </c>
      <c r="AL110" s="212">
        <v>121575</v>
      </c>
      <c r="AM110" s="212">
        <v>32621</v>
      </c>
      <c r="AN110" s="213">
        <v>478</v>
      </c>
      <c r="BQ110" s="217">
        <v>43921</v>
      </c>
      <c r="BR110" s="218">
        <f>BR109+BS110</f>
        <v>16143.193005906727</v>
      </c>
      <c r="BS110" s="218">
        <f>BX110+BX111-SUM(BW105:BW108)</f>
        <v>-2417.2278335879091</v>
      </c>
      <c r="BV110" s="189">
        <v>43861</v>
      </c>
      <c r="BW110" s="190">
        <v>19072.079933412362</v>
      </c>
      <c r="BX110" s="190">
        <v>-1595.5356309539129</v>
      </c>
    </row>
    <row r="111" spans="1:76" ht="14.25" customHeight="1">
      <c r="A111" s="215">
        <v>41820</v>
      </c>
      <c r="B111" s="213">
        <v>2542029</v>
      </c>
      <c r="C111" s="213">
        <v>85726</v>
      </c>
      <c r="D111" s="213">
        <v>30943</v>
      </c>
      <c r="E111" s="213">
        <v>236720</v>
      </c>
      <c r="F111" s="213">
        <v>263652</v>
      </c>
      <c r="G111" s="213">
        <v>176128</v>
      </c>
      <c r="H111" s="213">
        <v>263011</v>
      </c>
      <c r="I111" s="213">
        <v>145107</v>
      </c>
      <c r="J111" s="213">
        <v>93006</v>
      </c>
      <c r="K111" s="213">
        <v>171716</v>
      </c>
      <c r="L111" s="213">
        <v>266753</v>
      </c>
      <c r="M111" s="213">
        <v>73154</v>
      </c>
      <c r="N111" s="213">
        <v>164934</v>
      </c>
      <c r="O111" s="213">
        <v>212332</v>
      </c>
      <c r="P111" s="213">
        <v>86067</v>
      </c>
      <c r="Q111" s="213">
        <v>102920</v>
      </c>
      <c r="R111" s="213">
        <v>73393</v>
      </c>
      <c r="S111" s="213">
        <v>72625</v>
      </c>
      <c r="T111" s="213">
        <v>23841</v>
      </c>
      <c r="U111" s="214"/>
      <c r="V111" s="213">
        <v>4511601</v>
      </c>
      <c r="W111" s="213">
        <v>120777</v>
      </c>
      <c r="X111" s="213">
        <v>514624</v>
      </c>
      <c r="Y111" s="213">
        <v>456200</v>
      </c>
      <c r="Z111" s="213">
        <v>386299</v>
      </c>
      <c r="AA111" s="213">
        <v>173221</v>
      </c>
      <c r="AB111" s="213">
        <v>301267</v>
      </c>
      <c r="AC111" s="213">
        <v>359845</v>
      </c>
      <c r="AD111" s="213">
        <v>175351</v>
      </c>
      <c r="AE111" s="213">
        <v>260177</v>
      </c>
      <c r="AF111" s="213">
        <v>394596</v>
      </c>
      <c r="AG111" s="213">
        <v>243732</v>
      </c>
      <c r="AH111" s="213">
        <v>187829</v>
      </c>
      <c r="AI111" s="213">
        <v>319383</v>
      </c>
      <c r="AJ111" s="213">
        <v>333823</v>
      </c>
      <c r="AK111" s="213">
        <v>138515</v>
      </c>
      <c r="AL111" s="213">
        <v>116179</v>
      </c>
      <c r="AM111" s="213">
        <v>29041</v>
      </c>
      <c r="AN111" s="213">
        <v>741</v>
      </c>
      <c r="BV111" s="189">
        <v>43890</v>
      </c>
      <c r="BW111" s="190">
        <v>19464.870134902194</v>
      </c>
      <c r="BX111" s="190">
        <v>942.3077973660038</v>
      </c>
    </row>
    <row r="112" spans="1:76" ht="14.25" customHeight="1">
      <c r="A112" s="215">
        <v>41912</v>
      </c>
      <c r="B112" s="213">
        <v>2716046</v>
      </c>
      <c r="C112" s="213">
        <v>92793</v>
      </c>
      <c r="D112" s="213">
        <v>39214</v>
      </c>
      <c r="E112" s="213">
        <v>266292</v>
      </c>
      <c r="F112" s="213">
        <v>233008</v>
      </c>
      <c r="G112" s="213">
        <v>164077</v>
      </c>
      <c r="H112" s="213">
        <v>320155</v>
      </c>
      <c r="I112" s="213">
        <v>160905</v>
      </c>
      <c r="J112" s="213">
        <v>104311</v>
      </c>
      <c r="K112" s="213">
        <v>168270</v>
      </c>
      <c r="L112" s="213">
        <v>254082</v>
      </c>
      <c r="M112" s="213">
        <v>82014</v>
      </c>
      <c r="N112" s="213">
        <v>205236</v>
      </c>
      <c r="O112" s="213">
        <v>215528</v>
      </c>
      <c r="P112" s="213">
        <v>125359</v>
      </c>
      <c r="Q112" s="213">
        <v>94545</v>
      </c>
      <c r="R112" s="213">
        <v>77953</v>
      </c>
      <c r="S112" s="213">
        <v>82504</v>
      </c>
      <c r="T112" s="213">
        <v>29802</v>
      </c>
      <c r="U112" s="214"/>
      <c r="V112" s="213">
        <v>4511699</v>
      </c>
      <c r="W112" s="213">
        <v>125588</v>
      </c>
      <c r="X112" s="213">
        <v>427345</v>
      </c>
      <c r="Y112" s="213">
        <v>520918</v>
      </c>
      <c r="Z112" s="213">
        <v>442952</v>
      </c>
      <c r="AA112" s="213">
        <v>163044</v>
      </c>
      <c r="AB112" s="213">
        <v>373515</v>
      </c>
      <c r="AC112" s="213">
        <v>341720</v>
      </c>
      <c r="AD112" s="213">
        <v>167798</v>
      </c>
      <c r="AE112" s="213">
        <v>255746</v>
      </c>
      <c r="AF112" s="213">
        <v>363490</v>
      </c>
      <c r="AG112" s="213">
        <v>249198</v>
      </c>
      <c r="AH112" s="213">
        <v>190887</v>
      </c>
      <c r="AI112" s="213">
        <v>309155</v>
      </c>
      <c r="AJ112" s="213">
        <v>263677</v>
      </c>
      <c r="AK112" s="213">
        <v>142387</v>
      </c>
      <c r="AL112" s="213">
        <v>135349</v>
      </c>
      <c r="AM112" s="213">
        <v>36892</v>
      </c>
      <c r="AN112" s="213">
        <v>2037</v>
      </c>
      <c r="BT112" s="190"/>
      <c r="BV112" s="217">
        <v>43921</v>
      </c>
    </row>
    <row r="113" spans="1:69" ht="14.25" customHeight="1">
      <c r="A113" s="219">
        <v>42004</v>
      </c>
      <c r="B113" s="213">
        <v>2754987</v>
      </c>
      <c r="C113" s="213">
        <v>139838</v>
      </c>
      <c r="D113" s="213">
        <v>28601</v>
      </c>
      <c r="E113" s="213">
        <v>266771</v>
      </c>
      <c r="F113" s="213">
        <v>284622</v>
      </c>
      <c r="G113" s="213">
        <v>172827</v>
      </c>
      <c r="H113" s="213">
        <v>153360</v>
      </c>
      <c r="I113" s="213">
        <v>175376</v>
      </c>
      <c r="J113" s="213">
        <v>120427</v>
      </c>
      <c r="K113" s="213">
        <v>158749</v>
      </c>
      <c r="L113" s="213">
        <v>277842</v>
      </c>
      <c r="M113" s="213">
        <v>91228</v>
      </c>
      <c r="N113" s="213">
        <v>168437</v>
      </c>
      <c r="O113" s="213">
        <v>218509</v>
      </c>
      <c r="P113" s="213">
        <v>196500</v>
      </c>
      <c r="Q113" s="213">
        <v>102709</v>
      </c>
      <c r="R113" s="213">
        <v>102905</v>
      </c>
      <c r="S113" s="213">
        <v>89643</v>
      </c>
      <c r="T113" s="213">
        <v>6643</v>
      </c>
      <c r="U113" s="214"/>
      <c r="V113" s="213">
        <v>4122891</v>
      </c>
      <c r="W113" s="213">
        <v>119811</v>
      </c>
      <c r="X113" s="213">
        <v>239444</v>
      </c>
      <c r="Y113" s="213">
        <v>446223</v>
      </c>
      <c r="Z113" s="213">
        <v>401169</v>
      </c>
      <c r="AA113" s="213">
        <v>158835</v>
      </c>
      <c r="AB113" s="213">
        <v>289654</v>
      </c>
      <c r="AC113" s="213">
        <v>323770</v>
      </c>
      <c r="AD113" s="213">
        <v>189050</v>
      </c>
      <c r="AE113" s="213">
        <v>238386</v>
      </c>
      <c r="AF113" s="213">
        <v>354272</v>
      </c>
      <c r="AG113" s="213">
        <v>302988</v>
      </c>
      <c r="AH113" s="213">
        <v>194618</v>
      </c>
      <c r="AI113" s="213">
        <v>301317</v>
      </c>
      <c r="AJ113" s="213">
        <v>245830</v>
      </c>
      <c r="AK113" s="213">
        <v>145882</v>
      </c>
      <c r="AL113" s="213">
        <v>144254</v>
      </c>
      <c r="AM113" s="213">
        <v>25489</v>
      </c>
      <c r="AN113" s="213">
        <v>1896</v>
      </c>
      <c r="BQ113" s="189"/>
    </row>
    <row r="114" spans="1:69" ht="14.25" customHeight="1">
      <c r="A114" s="220">
        <v>42094</v>
      </c>
      <c r="B114" s="212">
        <v>2573058</v>
      </c>
      <c r="C114" s="212">
        <v>146612</v>
      </c>
      <c r="D114" s="212">
        <v>29834</v>
      </c>
      <c r="E114" s="212">
        <v>229323</v>
      </c>
      <c r="F114" s="212">
        <v>273774</v>
      </c>
      <c r="G114" s="212">
        <v>175126</v>
      </c>
      <c r="H114" s="212">
        <v>105974</v>
      </c>
      <c r="I114" s="212">
        <v>162823</v>
      </c>
      <c r="J114" s="212">
        <v>113553</v>
      </c>
      <c r="K114" s="212">
        <v>153001</v>
      </c>
      <c r="L114" s="212">
        <v>254030</v>
      </c>
      <c r="M114" s="212">
        <v>79656</v>
      </c>
      <c r="N114" s="212">
        <v>157507</v>
      </c>
      <c r="O114" s="212">
        <v>195223</v>
      </c>
      <c r="P114" s="212">
        <v>192893</v>
      </c>
      <c r="Q114" s="212">
        <v>109102</v>
      </c>
      <c r="R114" s="212">
        <v>107884</v>
      </c>
      <c r="S114" s="212">
        <v>84466</v>
      </c>
      <c r="T114" s="212">
        <v>2278</v>
      </c>
      <c r="U114" s="214"/>
      <c r="V114" s="212">
        <v>4261953</v>
      </c>
      <c r="W114" s="212">
        <v>146254</v>
      </c>
      <c r="X114" s="212">
        <v>253719</v>
      </c>
      <c r="Y114" s="212">
        <v>405658</v>
      </c>
      <c r="Z114" s="212">
        <v>472940</v>
      </c>
      <c r="AA114" s="212">
        <v>169201</v>
      </c>
      <c r="AB114" s="212">
        <v>245795</v>
      </c>
      <c r="AC114" s="212">
        <v>367271</v>
      </c>
      <c r="AD114" s="212">
        <v>216777</v>
      </c>
      <c r="AE114" s="212">
        <v>250176</v>
      </c>
      <c r="AF114" s="212">
        <v>353508</v>
      </c>
      <c r="AG114" s="212">
        <v>252782</v>
      </c>
      <c r="AH114" s="212">
        <v>190054</v>
      </c>
      <c r="AI114" s="212">
        <v>299044</v>
      </c>
      <c r="AJ114" s="212">
        <v>319336</v>
      </c>
      <c r="AK114" s="212">
        <v>153032</v>
      </c>
      <c r="AL114" s="212">
        <v>142659</v>
      </c>
      <c r="AM114" s="212">
        <v>23065</v>
      </c>
      <c r="AN114" s="212">
        <v>683</v>
      </c>
    </row>
    <row r="115" spans="1:69" ht="14.25" customHeight="1">
      <c r="A115" s="215">
        <v>42185</v>
      </c>
      <c r="B115" s="212">
        <v>2932885</v>
      </c>
      <c r="C115" s="212">
        <v>107573</v>
      </c>
      <c r="D115" s="212">
        <v>25181</v>
      </c>
      <c r="E115" s="212">
        <v>269588</v>
      </c>
      <c r="F115" s="212">
        <v>296467</v>
      </c>
      <c r="G115" s="212">
        <v>198743</v>
      </c>
      <c r="H115" s="212">
        <v>285060</v>
      </c>
      <c r="I115" s="212">
        <v>172242</v>
      </c>
      <c r="J115" s="212">
        <v>138376</v>
      </c>
      <c r="K115" s="212">
        <v>196861</v>
      </c>
      <c r="L115" s="212">
        <v>279294</v>
      </c>
      <c r="M115" s="212">
        <v>82843</v>
      </c>
      <c r="N115" s="212">
        <v>187827</v>
      </c>
      <c r="O115" s="212">
        <v>235332</v>
      </c>
      <c r="P115" s="212">
        <v>166642</v>
      </c>
      <c r="Q115" s="212">
        <v>115076</v>
      </c>
      <c r="R115" s="212">
        <v>78664</v>
      </c>
      <c r="S115" s="212">
        <v>84009</v>
      </c>
      <c r="T115" s="212">
        <v>13105</v>
      </c>
      <c r="U115" s="214"/>
      <c r="V115" s="212">
        <v>4784753</v>
      </c>
      <c r="W115" s="212">
        <v>139636</v>
      </c>
      <c r="X115" s="212">
        <v>373036</v>
      </c>
      <c r="Y115" s="212">
        <v>495104</v>
      </c>
      <c r="Z115" s="212">
        <v>438665</v>
      </c>
      <c r="AA115" s="212">
        <v>189682</v>
      </c>
      <c r="AB115" s="212">
        <v>254879</v>
      </c>
      <c r="AC115" s="212">
        <v>402900</v>
      </c>
      <c r="AD115" s="212">
        <v>190984</v>
      </c>
      <c r="AE115" s="212">
        <v>290887</v>
      </c>
      <c r="AF115" s="212">
        <v>425920</v>
      </c>
      <c r="AG115" s="212">
        <v>269382</v>
      </c>
      <c r="AH115" s="212">
        <v>209692</v>
      </c>
      <c r="AI115" s="212">
        <v>379617</v>
      </c>
      <c r="AJ115" s="212">
        <v>381735</v>
      </c>
      <c r="AK115" s="212">
        <v>164384</v>
      </c>
      <c r="AL115" s="212">
        <v>147642</v>
      </c>
      <c r="AM115" s="212">
        <v>29726</v>
      </c>
      <c r="AN115" s="212">
        <v>880</v>
      </c>
    </row>
    <row r="116" spans="1:69" ht="14.25" customHeight="1">
      <c r="A116" s="215">
        <v>42277</v>
      </c>
      <c r="B116" s="212">
        <v>2966753</v>
      </c>
      <c r="C116" s="212">
        <v>111954</v>
      </c>
      <c r="D116" s="212">
        <v>26161</v>
      </c>
      <c r="E116" s="212">
        <v>293677</v>
      </c>
      <c r="F116" s="212">
        <v>264561</v>
      </c>
      <c r="G116" s="212">
        <v>186370</v>
      </c>
      <c r="H116" s="212">
        <v>246959</v>
      </c>
      <c r="I116" s="212">
        <v>184502</v>
      </c>
      <c r="J116" s="212">
        <v>140390</v>
      </c>
      <c r="K116" s="212">
        <v>185969</v>
      </c>
      <c r="L116" s="212">
        <v>266433</v>
      </c>
      <c r="M116" s="212">
        <v>89278</v>
      </c>
      <c r="N116" s="212">
        <v>187727</v>
      </c>
      <c r="O116" s="212">
        <v>213609</v>
      </c>
      <c r="P116" s="212">
        <v>257370</v>
      </c>
      <c r="Q116" s="212">
        <v>113681</v>
      </c>
      <c r="R116" s="212">
        <v>89757</v>
      </c>
      <c r="S116" s="212">
        <v>86925</v>
      </c>
      <c r="T116" s="212">
        <v>21430</v>
      </c>
      <c r="U116" s="214"/>
      <c r="V116" s="212">
        <v>4815208</v>
      </c>
      <c r="W116" s="212">
        <v>134101</v>
      </c>
      <c r="X116" s="212">
        <v>362378</v>
      </c>
      <c r="Y116" s="212">
        <v>578800</v>
      </c>
      <c r="Z116" s="212">
        <v>511422</v>
      </c>
      <c r="AA116" s="212">
        <v>177086</v>
      </c>
      <c r="AB116" s="212">
        <v>240666</v>
      </c>
      <c r="AC116" s="212">
        <v>394140</v>
      </c>
      <c r="AD116" s="212">
        <v>198914</v>
      </c>
      <c r="AE116" s="212">
        <v>279897</v>
      </c>
      <c r="AF116" s="212">
        <v>396339</v>
      </c>
      <c r="AG116" s="212">
        <v>277050</v>
      </c>
      <c r="AH116" s="212">
        <v>211728</v>
      </c>
      <c r="AI116" s="212">
        <v>327471</v>
      </c>
      <c r="AJ116" s="212">
        <v>322867</v>
      </c>
      <c r="AK116" s="212">
        <v>153001</v>
      </c>
      <c r="AL116" s="212">
        <v>211094</v>
      </c>
      <c r="AM116" s="212">
        <v>36468</v>
      </c>
      <c r="AN116" s="212">
        <v>1788</v>
      </c>
    </row>
    <row r="117" spans="1:69" ht="14.25" customHeight="1">
      <c r="A117" s="220">
        <v>42369</v>
      </c>
      <c r="B117" s="212">
        <v>3055156</v>
      </c>
      <c r="C117" s="212">
        <v>167418</v>
      </c>
      <c r="D117" s="212">
        <v>27973</v>
      </c>
      <c r="E117" s="212">
        <v>313438</v>
      </c>
      <c r="F117" s="212">
        <v>322063</v>
      </c>
      <c r="G117" s="212">
        <v>198279</v>
      </c>
      <c r="H117" s="212">
        <v>152169</v>
      </c>
      <c r="I117" s="212">
        <v>186272</v>
      </c>
      <c r="J117" s="212">
        <v>180267</v>
      </c>
      <c r="K117" s="212">
        <v>179721</v>
      </c>
      <c r="L117" s="212">
        <v>263891</v>
      </c>
      <c r="M117" s="212">
        <v>131552</v>
      </c>
      <c r="N117" s="212">
        <v>187073</v>
      </c>
      <c r="O117" s="212">
        <v>224035</v>
      </c>
      <c r="P117" s="212">
        <v>220841</v>
      </c>
      <c r="Q117" s="212">
        <v>116681</v>
      </c>
      <c r="R117" s="212">
        <v>97406</v>
      </c>
      <c r="S117" s="212">
        <v>81673</v>
      </c>
      <c r="T117" s="212">
        <v>4405</v>
      </c>
      <c r="U117" s="214"/>
      <c r="V117" s="212">
        <v>4620947</v>
      </c>
      <c r="W117" s="212">
        <v>129158</v>
      </c>
      <c r="X117" s="212">
        <v>248244</v>
      </c>
      <c r="Y117" s="212">
        <v>510159</v>
      </c>
      <c r="Z117" s="212">
        <v>446332</v>
      </c>
      <c r="AA117" s="212">
        <v>173091</v>
      </c>
      <c r="AB117" s="212">
        <v>203226</v>
      </c>
      <c r="AC117" s="212">
        <v>380971</v>
      </c>
      <c r="AD117" s="212">
        <v>229061</v>
      </c>
      <c r="AE117" s="212">
        <v>267435</v>
      </c>
      <c r="AF117" s="212">
        <v>401717</v>
      </c>
      <c r="AG117" s="212">
        <v>365053</v>
      </c>
      <c r="AH117" s="212">
        <v>221863</v>
      </c>
      <c r="AI117" s="212">
        <v>353198</v>
      </c>
      <c r="AJ117" s="212">
        <v>316934</v>
      </c>
      <c r="AK117" s="212">
        <v>179287</v>
      </c>
      <c r="AL117" s="212">
        <v>169320</v>
      </c>
      <c r="AM117" s="212">
        <v>24383</v>
      </c>
      <c r="AN117" s="212">
        <v>1514</v>
      </c>
    </row>
    <row r="118" spans="1:69" ht="14.25" customHeight="1">
      <c r="A118" s="220">
        <v>42460</v>
      </c>
      <c r="B118" s="221">
        <v>2691846</v>
      </c>
      <c r="C118" s="221">
        <v>129393</v>
      </c>
      <c r="D118" s="221">
        <v>21225</v>
      </c>
      <c r="E118" s="221">
        <v>278278</v>
      </c>
      <c r="F118" s="221">
        <v>282349</v>
      </c>
      <c r="G118" s="221">
        <v>200094</v>
      </c>
      <c r="H118" s="221">
        <v>79423</v>
      </c>
      <c r="I118" s="221">
        <v>154811</v>
      </c>
      <c r="J118" s="221">
        <v>189006</v>
      </c>
      <c r="K118" s="221">
        <v>180014</v>
      </c>
      <c r="L118" s="221">
        <v>268273</v>
      </c>
      <c r="M118" s="221">
        <v>100373</v>
      </c>
      <c r="N118" s="221">
        <v>194661</v>
      </c>
      <c r="O118" s="221">
        <v>199483</v>
      </c>
      <c r="P118" s="221">
        <v>140920</v>
      </c>
      <c r="Q118" s="221">
        <v>110198</v>
      </c>
      <c r="R118" s="221">
        <v>94418</v>
      </c>
      <c r="S118" s="221">
        <v>60464</v>
      </c>
      <c r="T118" s="221">
        <v>8462</v>
      </c>
      <c r="U118" s="222"/>
      <c r="V118" s="221">
        <v>4465471</v>
      </c>
      <c r="W118" s="221">
        <v>143604</v>
      </c>
      <c r="X118" s="221">
        <v>135774</v>
      </c>
      <c r="Y118" s="221">
        <v>446515</v>
      </c>
      <c r="Z118" s="221">
        <v>519039</v>
      </c>
      <c r="AA118" s="221">
        <v>174344</v>
      </c>
      <c r="AB118" s="221">
        <v>183352</v>
      </c>
      <c r="AC118" s="221">
        <v>402250</v>
      </c>
      <c r="AD118" s="221">
        <v>234133</v>
      </c>
      <c r="AE118" s="221">
        <v>278933</v>
      </c>
      <c r="AF118" s="221">
        <v>426805</v>
      </c>
      <c r="AG118" s="221">
        <v>284663</v>
      </c>
      <c r="AH118" s="221">
        <v>195866</v>
      </c>
      <c r="AI118" s="221">
        <v>341555</v>
      </c>
      <c r="AJ118" s="221">
        <v>372196</v>
      </c>
      <c r="AK118" s="221">
        <v>172497</v>
      </c>
      <c r="AL118" s="221">
        <v>130039</v>
      </c>
      <c r="AM118" s="221">
        <v>23241</v>
      </c>
      <c r="AN118" s="221">
        <v>663</v>
      </c>
    </row>
    <row r="119" spans="1:69" ht="14.25" customHeight="1">
      <c r="A119" s="220">
        <v>42551</v>
      </c>
      <c r="B119" s="221">
        <v>3071972</v>
      </c>
      <c r="C119" s="221">
        <v>110229</v>
      </c>
      <c r="D119" s="221">
        <v>23685</v>
      </c>
      <c r="E119" s="221">
        <v>316017</v>
      </c>
      <c r="F119" s="221">
        <v>309079</v>
      </c>
      <c r="G119" s="221">
        <v>216299</v>
      </c>
      <c r="H119" s="221">
        <v>168607</v>
      </c>
      <c r="I119" s="221">
        <v>162390</v>
      </c>
      <c r="J119" s="221">
        <v>199937</v>
      </c>
      <c r="K119" s="221">
        <v>212641</v>
      </c>
      <c r="L119" s="221">
        <v>338284</v>
      </c>
      <c r="M119" s="221">
        <v>103912</v>
      </c>
      <c r="N119" s="221">
        <v>219523</v>
      </c>
      <c r="O119" s="221">
        <v>233733</v>
      </c>
      <c r="P119" s="221">
        <v>180428</v>
      </c>
      <c r="Q119" s="221">
        <v>121313</v>
      </c>
      <c r="R119" s="221">
        <v>78631</v>
      </c>
      <c r="S119" s="221">
        <v>71803</v>
      </c>
      <c r="T119" s="221">
        <v>5462</v>
      </c>
      <c r="U119" s="222"/>
      <c r="V119" s="221">
        <v>5119221</v>
      </c>
      <c r="W119" s="221">
        <v>140348</v>
      </c>
      <c r="X119" s="221">
        <v>308092</v>
      </c>
      <c r="Y119" s="221">
        <v>535384</v>
      </c>
      <c r="Z119" s="221">
        <v>457121</v>
      </c>
      <c r="AA119" s="221">
        <v>196680</v>
      </c>
      <c r="AB119" s="221">
        <v>168866</v>
      </c>
      <c r="AC119" s="221">
        <v>391673</v>
      </c>
      <c r="AD119" s="221">
        <v>248847</v>
      </c>
      <c r="AE119" s="221">
        <v>317303</v>
      </c>
      <c r="AF119" s="221">
        <v>487174</v>
      </c>
      <c r="AG119" s="221">
        <v>294292</v>
      </c>
      <c r="AH119" s="221">
        <v>235589</v>
      </c>
      <c r="AI119" s="221">
        <v>464706</v>
      </c>
      <c r="AJ119" s="221">
        <v>522342</v>
      </c>
      <c r="AK119" s="221">
        <v>185090</v>
      </c>
      <c r="AL119" s="221">
        <v>134752</v>
      </c>
      <c r="AM119" s="221">
        <v>30356</v>
      </c>
      <c r="AN119" s="221">
        <v>607</v>
      </c>
    </row>
    <row r="120" spans="1:69" ht="14.25" customHeight="1">
      <c r="A120" s="220">
        <v>42643</v>
      </c>
      <c r="B120" s="221">
        <v>3064912</v>
      </c>
      <c r="C120" s="221">
        <v>141166</v>
      </c>
      <c r="D120" s="221">
        <v>21963</v>
      </c>
      <c r="E120" s="221">
        <v>336261</v>
      </c>
      <c r="F120" s="221">
        <v>271307</v>
      </c>
      <c r="G120" s="221">
        <v>185891</v>
      </c>
      <c r="H120" s="221">
        <v>217510</v>
      </c>
      <c r="I120" s="221">
        <v>156871</v>
      </c>
      <c r="J120" s="221">
        <v>186091</v>
      </c>
      <c r="K120" s="221">
        <v>202025</v>
      </c>
      <c r="L120" s="221">
        <v>299792</v>
      </c>
      <c r="M120" s="221">
        <v>98366</v>
      </c>
      <c r="N120" s="221">
        <v>226602</v>
      </c>
      <c r="O120" s="221">
        <v>224231</v>
      </c>
      <c r="P120" s="221">
        <v>211826</v>
      </c>
      <c r="Q120" s="221">
        <v>116098</v>
      </c>
      <c r="R120" s="221">
        <v>89808</v>
      </c>
      <c r="S120" s="221">
        <v>68757</v>
      </c>
      <c r="T120" s="221">
        <v>10346</v>
      </c>
      <c r="U120" s="222"/>
      <c r="V120" s="221">
        <v>4976195</v>
      </c>
      <c r="W120" s="221">
        <v>133195</v>
      </c>
      <c r="X120" s="221">
        <v>315441</v>
      </c>
      <c r="Y120" s="221">
        <v>602326</v>
      </c>
      <c r="Z120" s="221">
        <v>523741</v>
      </c>
      <c r="AA120" s="221">
        <v>172697</v>
      </c>
      <c r="AB120" s="221">
        <v>207169</v>
      </c>
      <c r="AC120" s="221">
        <v>361843</v>
      </c>
      <c r="AD120" s="221">
        <v>293543</v>
      </c>
      <c r="AE120" s="221">
        <v>296948</v>
      </c>
      <c r="AF120" s="221">
        <v>433500</v>
      </c>
      <c r="AG120" s="221">
        <v>275464</v>
      </c>
      <c r="AH120" s="221">
        <v>237531</v>
      </c>
      <c r="AI120" s="221">
        <v>403878</v>
      </c>
      <c r="AJ120" s="221">
        <v>337725</v>
      </c>
      <c r="AK120" s="221">
        <v>180188</v>
      </c>
      <c r="AL120" s="221">
        <v>164839</v>
      </c>
      <c r="AM120" s="221">
        <v>33147</v>
      </c>
      <c r="AN120" s="221">
        <v>3020</v>
      </c>
    </row>
    <row r="121" spans="1:69" ht="14.25" customHeight="1">
      <c r="A121" s="220">
        <v>42735</v>
      </c>
      <c r="B121" s="221">
        <v>3487839</v>
      </c>
      <c r="C121" s="221">
        <v>210967</v>
      </c>
      <c r="D121" s="221">
        <v>25533</v>
      </c>
      <c r="E121" s="221">
        <v>337986</v>
      </c>
      <c r="F121" s="221">
        <v>330386</v>
      </c>
      <c r="G121" s="221">
        <v>197359</v>
      </c>
      <c r="H121" s="221">
        <v>256782</v>
      </c>
      <c r="I121" s="221">
        <v>169050</v>
      </c>
      <c r="J121" s="221">
        <v>322488</v>
      </c>
      <c r="K121" s="221">
        <v>189008</v>
      </c>
      <c r="L121" s="221">
        <v>308798</v>
      </c>
      <c r="M121" s="221">
        <v>136373</v>
      </c>
      <c r="N121" s="221">
        <v>225099</v>
      </c>
      <c r="O121" s="221">
        <v>238731</v>
      </c>
      <c r="P121" s="221">
        <v>213865</v>
      </c>
      <c r="Q121" s="221">
        <v>130043</v>
      </c>
      <c r="R121" s="221">
        <v>108659</v>
      </c>
      <c r="S121" s="221">
        <v>83906</v>
      </c>
      <c r="T121" s="221">
        <v>2807</v>
      </c>
      <c r="U121" s="222"/>
      <c r="V121" s="221">
        <v>5150979</v>
      </c>
      <c r="W121" s="221">
        <v>133027</v>
      </c>
      <c r="X121" s="221">
        <v>356372</v>
      </c>
      <c r="Y121" s="221">
        <v>512759</v>
      </c>
      <c r="Z121" s="221">
        <v>458963</v>
      </c>
      <c r="AA121" s="221">
        <v>173884</v>
      </c>
      <c r="AB121" s="221">
        <v>189068</v>
      </c>
      <c r="AC121" s="221">
        <v>364423</v>
      </c>
      <c r="AD121" s="221">
        <v>468931</v>
      </c>
      <c r="AE121" s="221">
        <v>274425</v>
      </c>
      <c r="AF121" s="221">
        <v>432430</v>
      </c>
      <c r="AG121" s="221">
        <v>352060</v>
      </c>
      <c r="AH121" s="221">
        <v>240747</v>
      </c>
      <c r="AI121" s="221">
        <v>414093</v>
      </c>
      <c r="AJ121" s="221">
        <v>378113</v>
      </c>
      <c r="AK121" s="221">
        <v>192348</v>
      </c>
      <c r="AL121" s="221">
        <v>175685</v>
      </c>
      <c r="AM121" s="221">
        <v>33099</v>
      </c>
      <c r="AN121" s="221">
        <v>553</v>
      </c>
    </row>
    <row r="122" spans="1:69" ht="14.25" customHeight="1">
      <c r="A122" s="223">
        <v>42825</v>
      </c>
      <c r="B122" s="221">
        <v>3384986</v>
      </c>
      <c r="C122" s="221">
        <v>167501</v>
      </c>
      <c r="D122" s="221">
        <v>21172</v>
      </c>
      <c r="E122" s="221">
        <v>280406</v>
      </c>
      <c r="F122" s="221">
        <v>315024</v>
      </c>
      <c r="G122" s="221">
        <v>215092</v>
      </c>
      <c r="H122" s="221">
        <v>179985</v>
      </c>
      <c r="I122" s="221">
        <v>182735</v>
      </c>
      <c r="J122" s="221">
        <v>323022</v>
      </c>
      <c r="K122" s="221">
        <v>196958</v>
      </c>
      <c r="L122" s="221">
        <v>312008</v>
      </c>
      <c r="M122" s="221">
        <v>104904</v>
      </c>
      <c r="N122" s="221">
        <v>217796</v>
      </c>
      <c r="O122" s="221">
        <v>228713</v>
      </c>
      <c r="P122" s="221">
        <v>254341</v>
      </c>
      <c r="Q122" s="221">
        <v>131651</v>
      </c>
      <c r="R122" s="221">
        <v>167325</v>
      </c>
      <c r="S122" s="221">
        <v>84516</v>
      </c>
      <c r="T122" s="221">
        <v>1837</v>
      </c>
      <c r="U122" s="224"/>
      <c r="V122" s="221">
        <v>5233801</v>
      </c>
      <c r="W122" s="221">
        <v>165552</v>
      </c>
      <c r="X122" s="221">
        <v>311236</v>
      </c>
      <c r="Y122" s="221">
        <v>462912</v>
      </c>
      <c r="Z122" s="221">
        <v>557083</v>
      </c>
      <c r="AA122" s="221">
        <v>181210</v>
      </c>
      <c r="AB122" s="221">
        <v>230661</v>
      </c>
      <c r="AC122" s="221">
        <v>419873</v>
      </c>
      <c r="AD122" s="221">
        <v>258705</v>
      </c>
      <c r="AE122" s="221">
        <v>313925</v>
      </c>
      <c r="AF122" s="221">
        <v>467743</v>
      </c>
      <c r="AG122" s="221">
        <v>317846</v>
      </c>
      <c r="AH122" s="221">
        <v>232313</v>
      </c>
      <c r="AI122" s="221">
        <v>414243</v>
      </c>
      <c r="AJ122" s="221">
        <v>459278</v>
      </c>
      <c r="AK122" s="221">
        <v>204481</v>
      </c>
      <c r="AL122" s="221">
        <v>209141</v>
      </c>
      <c r="AM122" s="221">
        <v>27161</v>
      </c>
      <c r="AN122" s="221">
        <v>438</v>
      </c>
    </row>
    <row r="123" spans="1:69" ht="14.25" customHeight="1">
      <c r="A123" s="223">
        <v>42916</v>
      </c>
      <c r="B123" s="221">
        <v>3353616</v>
      </c>
      <c r="C123" s="221">
        <v>122958</v>
      </c>
      <c r="D123" s="221">
        <v>23875</v>
      </c>
      <c r="E123" s="221">
        <v>338832</v>
      </c>
      <c r="F123" s="221">
        <v>336436</v>
      </c>
      <c r="G123" s="221">
        <v>229304</v>
      </c>
      <c r="H123" s="221">
        <v>257650</v>
      </c>
      <c r="I123" s="221">
        <v>173743</v>
      </c>
      <c r="J123" s="221">
        <v>219882</v>
      </c>
      <c r="K123" s="221">
        <v>223261</v>
      </c>
      <c r="L123" s="221">
        <v>333866</v>
      </c>
      <c r="M123" s="221">
        <v>108239</v>
      </c>
      <c r="N123" s="221">
        <v>235045</v>
      </c>
      <c r="O123" s="221">
        <v>250444</v>
      </c>
      <c r="P123" s="221">
        <v>218544</v>
      </c>
      <c r="Q123" s="221">
        <v>131647</v>
      </c>
      <c r="R123" s="221">
        <v>62730</v>
      </c>
      <c r="S123" s="221">
        <v>79812</v>
      </c>
      <c r="T123" s="221">
        <v>7348</v>
      </c>
      <c r="U123" s="225"/>
      <c r="V123" s="221">
        <v>5672520</v>
      </c>
      <c r="W123" s="221">
        <v>164085</v>
      </c>
      <c r="X123" s="221">
        <v>373829</v>
      </c>
      <c r="Y123" s="221">
        <v>609140</v>
      </c>
      <c r="Z123" s="221">
        <v>501021</v>
      </c>
      <c r="AA123" s="221">
        <v>206498</v>
      </c>
      <c r="AB123" s="221">
        <v>217587</v>
      </c>
      <c r="AC123" s="221">
        <v>408812</v>
      </c>
      <c r="AD123" s="221">
        <v>267839</v>
      </c>
      <c r="AE123" s="221">
        <v>336325</v>
      </c>
      <c r="AF123" s="221">
        <v>524755</v>
      </c>
      <c r="AG123" s="221">
        <v>304868</v>
      </c>
      <c r="AH123" s="221">
        <v>259849</v>
      </c>
      <c r="AI123" s="221">
        <v>509723</v>
      </c>
      <c r="AJ123" s="221">
        <v>587965</v>
      </c>
      <c r="AK123" s="221">
        <v>233698</v>
      </c>
      <c r="AL123" s="221">
        <v>133378</v>
      </c>
      <c r="AM123" s="221">
        <v>32371</v>
      </c>
      <c r="AN123" s="221">
        <v>776</v>
      </c>
    </row>
    <row r="124" spans="1:69" ht="14.25" customHeight="1">
      <c r="A124" s="223">
        <v>43008</v>
      </c>
      <c r="B124" s="221">
        <v>3466046</v>
      </c>
      <c r="C124" s="221">
        <v>173911</v>
      </c>
      <c r="D124" s="221">
        <v>22058</v>
      </c>
      <c r="E124" s="221">
        <v>356147</v>
      </c>
      <c r="F124" s="221">
        <v>287681</v>
      </c>
      <c r="G124" s="221">
        <v>208271</v>
      </c>
      <c r="H124" s="221">
        <v>247222</v>
      </c>
      <c r="I124" s="221">
        <v>184656</v>
      </c>
      <c r="J124" s="221">
        <v>286457</v>
      </c>
      <c r="K124" s="221">
        <v>220432</v>
      </c>
      <c r="L124" s="221">
        <v>365499</v>
      </c>
      <c r="M124" s="221">
        <v>115749</v>
      </c>
      <c r="N124" s="221">
        <v>252425</v>
      </c>
      <c r="O124" s="221">
        <v>247868</v>
      </c>
      <c r="P124" s="221">
        <v>178442</v>
      </c>
      <c r="Q124" s="221">
        <v>132585</v>
      </c>
      <c r="R124" s="221">
        <v>83265</v>
      </c>
      <c r="S124" s="221">
        <v>90490</v>
      </c>
      <c r="T124" s="221">
        <v>12890</v>
      </c>
      <c r="U124" s="226"/>
      <c r="V124" s="221">
        <v>5593945</v>
      </c>
      <c r="W124" s="221">
        <v>150630</v>
      </c>
      <c r="X124" s="221">
        <v>343986</v>
      </c>
      <c r="Y124" s="221">
        <v>691707</v>
      </c>
      <c r="Z124" s="221">
        <v>532364</v>
      </c>
      <c r="AA124" s="221">
        <v>197592</v>
      </c>
      <c r="AB124" s="221">
        <v>258708</v>
      </c>
      <c r="AC124" s="221">
        <v>416686</v>
      </c>
      <c r="AD124" s="221">
        <v>318386</v>
      </c>
      <c r="AE124" s="221">
        <v>320933</v>
      </c>
      <c r="AF124" s="221">
        <v>521773</v>
      </c>
      <c r="AG124" s="221">
        <v>314258</v>
      </c>
      <c r="AH124" s="221">
        <v>258681</v>
      </c>
      <c r="AI124" s="221">
        <v>450849</v>
      </c>
      <c r="AJ124" s="221">
        <v>365664</v>
      </c>
      <c r="AK124" s="221">
        <v>245706</v>
      </c>
      <c r="AL124" s="221">
        <v>161684</v>
      </c>
      <c r="AM124" s="221">
        <v>43175</v>
      </c>
      <c r="AN124" s="221">
        <v>1166</v>
      </c>
    </row>
    <row r="125" spans="1:69" ht="14.25" customHeight="1">
      <c r="A125" s="223">
        <v>43100</v>
      </c>
      <c r="B125" s="221">
        <v>3812297</v>
      </c>
      <c r="C125" s="221">
        <v>199818</v>
      </c>
      <c r="D125" s="221">
        <v>22515</v>
      </c>
      <c r="E125" s="221">
        <v>348068</v>
      </c>
      <c r="F125" s="221">
        <v>349884</v>
      </c>
      <c r="G125" s="221">
        <v>235802</v>
      </c>
      <c r="H125" s="221">
        <v>335413</v>
      </c>
      <c r="I125" s="221">
        <v>187343</v>
      </c>
      <c r="J125" s="221">
        <v>320705</v>
      </c>
      <c r="K125" s="221">
        <v>208640</v>
      </c>
      <c r="L125" s="221">
        <v>338733</v>
      </c>
      <c r="M125" s="221">
        <v>133583</v>
      </c>
      <c r="N125" s="221">
        <v>250689</v>
      </c>
      <c r="O125" s="221">
        <v>253841</v>
      </c>
      <c r="P125" s="221">
        <v>279114</v>
      </c>
      <c r="Q125" s="221">
        <v>150434</v>
      </c>
      <c r="R125" s="221">
        <v>102843</v>
      </c>
      <c r="S125" s="221">
        <v>91176</v>
      </c>
      <c r="T125" s="221">
        <v>3695</v>
      </c>
      <c r="U125" s="226"/>
      <c r="V125" s="221">
        <v>5391383</v>
      </c>
      <c r="W125" s="221">
        <v>150873</v>
      </c>
      <c r="X125" s="221">
        <v>372589</v>
      </c>
      <c r="Y125" s="221">
        <v>550162</v>
      </c>
      <c r="Z125" s="221">
        <v>487276</v>
      </c>
      <c r="AA125" s="221">
        <v>205578</v>
      </c>
      <c r="AB125" s="221">
        <v>193438</v>
      </c>
      <c r="AC125" s="221">
        <v>410545</v>
      </c>
      <c r="AD125" s="221">
        <v>277076</v>
      </c>
      <c r="AE125" s="221">
        <v>316515</v>
      </c>
      <c r="AF125" s="221">
        <v>521870</v>
      </c>
      <c r="AG125" s="221">
        <v>383076</v>
      </c>
      <c r="AH125" s="221">
        <v>270539</v>
      </c>
      <c r="AI125" s="221">
        <v>412848</v>
      </c>
      <c r="AJ125" s="221">
        <v>411628</v>
      </c>
      <c r="AK125" s="221">
        <v>256055</v>
      </c>
      <c r="AL125" s="221">
        <v>130297</v>
      </c>
      <c r="AM125" s="221">
        <v>40288</v>
      </c>
      <c r="AN125" s="221">
        <v>726</v>
      </c>
    </row>
    <row r="126" spans="1:69" ht="14.25" customHeight="1">
      <c r="A126" s="223">
        <v>43190</v>
      </c>
      <c r="B126" s="227">
        <v>3301080</v>
      </c>
      <c r="C126" s="227">
        <v>126466</v>
      </c>
      <c r="D126" s="227">
        <v>20390</v>
      </c>
      <c r="E126" s="227">
        <v>309691</v>
      </c>
      <c r="F126" s="227">
        <v>319295</v>
      </c>
      <c r="G126" s="227">
        <v>245116</v>
      </c>
      <c r="H126" s="227">
        <v>179933</v>
      </c>
      <c r="I126" s="227">
        <v>192782</v>
      </c>
      <c r="J126" s="227">
        <v>230185</v>
      </c>
      <c r="K126" s="227">
        <v>210042</v>
      </c>
      <c r="L126" s="227">
        <v>324090</v>
      </c>
      <c r="M126" s="227">
        <v>107025</v>
      </c>
      <c r="N126" s="227">
        <v>224055</v>
      </c>
      <c r="O126" s="227">
        <v>237806</v>
      </c>
      <c r="P126" s="227">
        <v>252109</v>
      </c>
      <c r="Q126" s="227">
        <v>137254</v>
      </c>
      <c r="R126" s="227">
        <v>92882</v>
      </c>
      <c r="S126" s="227">
        <v>89910</v>
      </c>
      <c r="T126" s="227">
        <v>2050</v>
      </c>
      <c r="U126" s="228"/>
      <c r="V126" s="227">
        <v>5670307</v>
      </c>
      <c r="W126" s="227">
        <v>174066</v>
      </c>
      <c r="X126" s="227">
        <v>303855</v>
      </c>
      <c r="Y126" s="227">
        <v>509101</v>
      </c>
      <c r="Z126" s="227">
        <v>564820</v>
      </c>
      <c r="AA126" s="227">
        <v>210458</v>
      </c>
      <c r="AB126" s="227">
        <v>286484</v>
      </c>
      <c r="AC126" s="227">
        <v>465491</v>
      </c>
      <c r="AD126" s="227">
        <v>298241</v>
      </c>
      <c r="AE126" s="227">
        <v>338396</v>
      </c>
      <c r="AF126" s="227">
        <v>535142</v>
      </c>
      <c r="AG126" s="227">
        <v>329615</v>
      </c>
      <c r="AH126" s="227">
        <v>271412</v>
      </c>
      <c r="AI126" s="227">
        <v>409354</v>
      </c>
      <c r="AJ126" s="227">
        <v>553294</v>
      </c>
      <c r="AK126" s="227">
        <v>268289</v>
      </c>
      <c r="AL126" s="227">
        <v>114738</v>
      </c>
      <c r="AM126" s="227">
        <v>37102</v>
      </c>
      <c r="AN126" s="227">
        <v>450</v>
      </c>
    </row>
    <row r="127" spans="1:69" ht="14.25" customHeight="1">
      <c r="A127" s="223">
        <v>43281</v>
      </c>
      <c r="B127" s="227">
        <v>3667804</v>
      </c>
      <c r="C127" s="227">
        <v>134767</v>
      </c>
      <c r="D127" s="227">
        <v>30703</v>
      </c>
      <c r="E127" s="227">
        <v>367955</v>
      </c>
      <c r="F127" s="227">
        <v>329953</v>
      </c>
      <c r="G127" s="227">
        <v>253945</v>
      </c>
      <c r="H127" s="227">
        <v>362797</v>
      </c>
      <c r="I127" s="227">
        <v>197269</v>
      </c>
      <c r="J127" s="227">
        <v>248937</v>
      </c>
      <c r="K127" s="227">
        <v>243466</v>
      </c>
      <c r="L127" s="227">
        <v>379118</v>
      </c>
      <c r="M127" s="227">
        <v>112583</v>
      </c>
      <c r="N127" s="227">
        <v>233601</v>
      </c>
      <c r="O127" s="227">
        <v>263985</v>
      </c>
      <c r="P127" s="227">
        <v>221699</v>
      </c>
      <c r="Q127" s="227">
        <v>136943</v>
      </c>
      <c r="R127" s="227">
        <v>53775</v>
      </c>
      <c r="S127" s="227">
        <v>85505</v>
      </c>
      <c r="T127" s="227">
        <v>10802</v>
      </c>
      <c r="U127" s="229"/>
      <c r="V127" s="227">
        <v>6035366</v>
      </c>
      <c r="W127" s="227">
        <v>175153</v>
      </c>
      <c r="X127" s="227">
        <v>384352</v>
      </c>
      <c r="Y127" s="227">
        <v>632233</v>
      </c>
      <c r="Z127" s="227">
        <v>527288</v>
      </c>
      <c r="AA127" s="227">
        <v>227246</v>
      </c>
      <c r="AB127" s="227">
        <v>213198</v>
      </c>
      <c r="AC127" s="227">
        <v>466064</v>
      </c>
      <c r="AD127" s="227">
        <v>297064</v>
      </c>
      <c r="AE127" s="227">
        <v>372167</v>
      </c>
      <c r="AF127" s="227">
        <v>537926</v>
      </c>
      <c r="AG127" s="227">
        <v>330615</v>
      </c>
      <c r="AH127" s="227">
        <v>290403</v>
      </c>
      <c r="AI127" s="227">
        <v>484046</v>
      </c>
      <c r="AJ127" s="227">
        <v>668589</v>
      </c>
      <c r="AK127" s="227">
        <v>266744</v>
      </c>
      <c r="AL127" s="227">
        <v>122668</v>
      </c>
      <c r="AM127" s="227">
        <v>38826</v>
      </c>
      <c r="AN127" s="227">
        <v>783</v>
      </c>
    </row>
    <row r="128" spans="1:69" ht="14.25" customHeight="1">
      <c r="A128" s="223">
        <v>43373</v>
      </c>
      <c r="B128" s="221">
        <v>3708656</v>
      </c>
      <c r="C128" s="221">
        <v>193952</v>
      </c>
      <c r="D128" s="221">
        <v>22530</v>
      </c>
      <c r="E128" s="221">
        <v>369820</v>
      </c>
      <c r="F128" s="221">
        <v>294810</v>
      </c>
      <c r="G128" s="221">
        <v>235927</v>
      </c>
      <c r="H128" s="221">
        <v>331956</v>
      </c>
      <c r="I128" s="221">
        <v>188244</v>
      </c>
      <c r="J128" s="221">
        <v>194659</v>
      </c>
      <c r="K128" s="221">
        <v>241878</v>
      </c>
      <c r="L128" s="221">
        <v>363057</v>
      </c>
      <c r="M128" s="221">
        <v>120667</v>
      </c>
      <c r="N128" s="221">
        <v>250554</v>
      </c>
      <c r="O128" s="221">
        <v>253723</v>
      </c>
      <c r="P128" s="221">
        <v>335102</v>
      </c>
      <c r="Q128" s="221">
        <v>132290</v>
      </c>
      <c r="R128" s="221">
        <v>49801</v>
      </c>
      <c r="S128" s="221">
        <v>92537</v>
      </c>
      <c r="T128" s="221">
        <v>37148</v>
      </c>
      <c r="U128" s="226"/>
      <c r="V128" s="221">
        <v>5962398</v>
      </c>
      <c r="W128" s="221">
        <v>159509</v>
      </c>
      <c r="X128" s="221">
        <v>525311</v>
      </c>
      <c r="Y128" s="221">
        <v>676805</v>
      </c>
      <c r="Z128" s="221">
        <v>535840</v>
      </c>
      <c r="AA128" s="221">
        <v>214425</v>
      </c>
      <c r="AB128" s="221">
        <v>239200</v>
      </c>
      <c r="AC128" s="221">
        <v>472740</v>
      </c>
      <c r="AD128" s="221">
        <v>287245</v>
      </c>
      <c r="AE128" s="221">
        <v>356364</v>
      </c>
      <c r="AF128" s="221">
        <v>529557</v>
      </c>
      <c r="AG128" s="221">
        <v>322047</v>
      </c>
      <c r="AH128" s="221">
        <v>304894</v>
      </c>
      <c r="AI128" s="221">
        <v>442824</v>
      </c>
      <c r="AJ128" s="221">
        <v>456330</v>
      </c>
      <c r="AK128" s="221">
        <v>224445</v>
      </c>
      <c r="AL128" s="221">
        <v>167767</v>
      </c>
      <c r="AM128" s="221">
        <v>45752</v>
      </c>
      <c r="AN128" s="221">
        <v>1342</v>
      </c>
    </row>
    <row r="129" spans="1:40" ht="14.25" customHeight="1">
      <c r="A129" s="223">
        <v>43465</v>
      </c>
      <c r="B129" s="221">
        <v>3865887</v>
      </c>
      <c r="C129" s="221">
        <v>241336</v>
      </c>
      <c r="D129" s="221">
        <v>22303</v>
      </c>
      <c r="E129" s="221">
        <v>382488</v>
      </c>
      <c r="F129" s="221">
        <v>364163</v>
      </c>
      <c r="G129" s="221">
        <v>236666</v>
      </c>
      <c r="H129" s="221">
        <v>333884</v>
      </c>
      <c r="I129" s="221">
        <v>217255</v>
      </c>
      <c r="J129" s="221">
        <v>258017</v>
      </c>
      <c r="K129" s="221">
        <v>241643</v>
      </c>
      <c r="L129" s="221">
        <v>393186</v>
      </c>
      <c r="M129" s="221">
        <v>136111</v>
      </c>
      <c r="N129" s="221">
        <v>248210</v>
      </c>
      <c r="O129" s="221">
        <v>264764</v>
      </c>
      <c r="P129" s="221">
        <v>243416</v>
      </c>
      <c r="Q129" s="221">
        <v>109078</v>
      </c>
      <c r="R129" s="221">
        <v>63575</v>
      </c>
      <c r="S129" s="221">
        <v>101630</v>
      </c>
      <c r="T129" s="221">
        <v>8164</v>
      </c>
      <c r="U129" s="226"/>
      <c r="V129" s="221">
        <v>6079486</v>
      </c>
      <c r="W129" s="221">
        <v>166099</v>
      </c>
      <c r="X129" s="221">
        <v>496345</v>
      </c>
      <c r="Y129" s="221">
        <v>578428</v>
      </c>
      <c r="Z129" s="221">
        <v>509852</v>
      </c>
      <c r="AA129" s="221">
        <v>211257</v>
      </c>
      <c r="AB129" s="221">
        <v>222171</v>
      </c>
      <c r="AC129" s="221">
        <v>475074</v>
      </c>
      <c r="AD129" s="221">
        <v>319357</v>
      </c>
      <c r="AE129" s="221">
        <v>352662</v>
      </c>
      <c r="AF129" s="221">
        <v>558002</v>
      </c>
      <c r="AG129" s="221">
        <v>416775</v>
      </c>
      <c r="AH129" s="221">
        <v>351659</v>
      </c>
      <c r="AI129" s="221">
        <v>502633</v>
      </c>
      <c r="AJ129" s="221">
        <v>500311</v>
      </c>
      <c r="AK129" s="221">
        <v>222504</v>
      </c>
      <c r="AL129" s="221">
        <v>147203</v>
      </c>
      <c r="AM129" s="221">
        <v>48612</v>
      </c>
      <c r="AN129" s="221">
        <v>543</v>
      </c>
    </row>
    <row r="130" spans="1:40" ht="14.25" customHeight="1">
      <c r="A130" s="223">
        <v>43555</v>
      </c>
      <c r="B130" s="221">
        <v>3617376</v>
      </c>
      <c r="C130" s="221">
        <v>187563</v>
      </c>
      <c r="D130" s="221">
        <v>14120</v>
      </c>
      <c r="E130" s="221">
        <v>349665</v>
      </c>
      <c r="F130" s="221">
        <v>324320</v>
      </c>
      <c r="G130" s="221">
        <v>259110</v>
      </c>
      <c r="H130" s="221">
        <v>203145</v>
      </c>
      <c r="I130" s="221">
        <v>208063</v>
      </c>
      <c r="J130" s="221">
        <v>260999</v>
      </c>
      <c r="K130" s="221">
        <v>238382</v>
      </c>
      <c r="L130" s="221">
        <v>395793</v>
      </c>
      <c r="M130" s="221">
        <v>109436</v>
      </c>
      <c r="N130" s="221">
        <v>252147</v>
      </c>
      <c r="O130" s="221">
        <v>247803</v>
      </c>
      <c r="P130" s="221">
        <v>289002</v>
      </c>
      <c r="Q130" s="221">
        <v>101683</v>
      </c>
      <c r="R130" s="221">
        <v>93314</v>
      </c>
      <c r="S130" s="221">
        <v>78944</v>
      </c>
      <c r="T130" s="221">
        <v>3887</v>
      </c>
      <c r="U130" s="230"/>
      <c r="V130" s="221">
        <v>6047762</v>
      </c>
      <c r="W130" s="221">
        <v>194566</v>
      </c>
      <c r="X130" s="221">
        <v>124579</v>
      </c>
      <c r="Y130" s="221">
        <v>584418</v>
      </c>
      <c r="Z130" s="221">
        <v>550687</v>
      </c>
      <c r="AA130" s="221">
        <v>219200</v>
      </c>
      <c r="AB130" s="221">
        <v>362905</v>
      </c>
      <c r="AC130" s="221">
        <v>498401</v>
      </c>
      <c r="AD130" s="221">
        <v>377246</v>
      </c>
      <c r="AE130" s="221">
        <v>371208</v>
      </c>
      <c r="AF130" s="221">
        <v>636727</v>
      </c>
      <c r="AG130" s="221">
        <v>354922</v>
      </c>
      <c r="AH130" s="221">
        <v>289999</v>
      </c>
      <c r="AI130" s="221">
        <v>485474</v>
      </c>
      <c r="AJ130" s="221">
        <v>578374</v>
      </c>
      <c r="AK130" s="221">
        <v>222299</v>
      </c>
      <c r="AL130" s="221">
        <v>163419</v>
      </c>
      <c r="AM130" s="221">
        <v>32967</v>
      </c>
      <c r="AN130" s="221">
        <v>371</v>
      </c>
    </row>
    <row r="131" spans="1:40" ht="14.25" customHeight="1">
      <c r="A131" s="223">
        <v>43646</v>
      </c>
      <c r="B131" s="221">
        <v>3752899</v>
      </c>
      <c r="C131" s="221">
        <v>126964</v>
      </c>
      <c r="D131" s="221">
        <v>20706</v>
      </c>
      <c r="E131" s="221">
        <v>393291</v>
      </c>
      <c r="F131" s="221">
        <v>331191</v>
      </c>
      <c r="G131" s="221">
        <v>265850</v>
      </c>
      <c r="H131" s="221">
        <v>262599</v>
      </c>
      <c r="I131" s="221">
        <v>206534</v>
      </c>
      <c r="J131" s="221">
        <v>259255</v>
      </c>
      <c r="K131" s="221">
        <v>259905</v>
      </c>
      <c r="L131" s="221">
        <v>389106</v>
      </c>
      <c r="M131" s="221">
        <v>121376</v>
      </c>
      <c r="N131" s="221">
        <v>275974</v>
      </c>
      <c r="O131" s="221">
        <v>275210</v>
      </c>
      <c r="P131" s="221">
        <v>306704</v>
      </c>
      <c r="Q131" s="221">
        <v>102753</v>
      </c>
      <c r="R131" s="221">
        <v>53072</v>
      </c>
      <c r="S131" s="221">
        <v>85366</v>
      </c>
      <c r="T131" s="221">
        <v>17045</v>
      </c>
      <c r="U131" s="231"/>
      <c r="V131" s="221">
        <v>6545933</v>
      </c>
      <c r="W131" s="221">
        <v>180178</v>
      </c>
      <c r="X131" s="221">
        <v>323124</v>
      </c>
      <c r="Y131" s="221">
        <v>723269</v>
      </c>
      <c r="Z131" s="221">
        <v>507301</v>
      </c>
      <c r="AA131" s="221">
        <v>242841</v>
      </c>
      <c r="AB131" s="221">
        <v>398747</v>
      </c>
      <c r="AC131" s="221">
        <v>497581</v>
      </c>
      <c r="AD131" s="221">
        <v>324536</v>
      </c>
      <c r="AE131" s="221">
        <v>386915</v>
      </c>
      <c r="AF131" s="221">
        <v>585195</v>
      </c>
      <c r="AG131" s="221">
        <v>365557</v>
      </c>
      <c r="AH131" s="221">
        <v>304854</v>
      </c>
      <c r="AI131" s="221">
        <v>529874</v>
      </c>
      <c r="AJ131" s="221">
        <v>771906</v>
      </c>
      <c r="AK131" s="221">
        <v>241872</v>
      </c>
      <c r="AL131" s="221">
        <v>127097</v>
      </c>
      <c r="AM131" s="221">
        <v>34353</v>
      </c>
      <c r="AN131" s="221">
        <v>731</v>
      </c>
    </row>
    <row r="132" spans="1:40" ht="14.25" customHeight="1">
      <c r="A132" s="223">
        <v>43738</v>
      </c>
      <c r="B132" s="221">
        <v>3968711</v>
      </c>
      <c r="C132" s="221">
        <v>185699</v>
      </c>
      <c r="D132" s="221">
        <v>19139</v>
      </c>
      <c r="E132" s="221">
        <v>402720</v>
      </c>
      <c r="F132" s="221">
        <v>305173</v>
      </c>
      <c r="G132" s="221">
        <v>245776</v>
      </c>
      <c r="H132" s="221">
        <v>314936</v>
      </c>
      <c r="I132" s="221">
        <v>216341</v>
      </c>
      <c r="J132" s="221">
        <v>282122</v>
      </c>
      <c r="K132" s="221">
        <v>261261</v>
      </c>
      <c r="L132" s="221">
        <v>376974</v>
      </c>
      <c r="M132" s="221">
        <v>128319</v>
      </c>
      <c r="N132" s="221">
        <v>254082</v>
      </c>
      <c r="O132" s="221">
        <v>235040</v>
      </c>
      <c r="P132" s="221">
        <v>487198</v>
      </c>
      <c r="Q132" s="221">
        <v>98677</v>
      </c>
      <c r="R132" s="221">
        <v>49590</v>
      </c>
      <c r="S132" s="221">
        <v>80443</v>
      </c>
      <c r="T132" s="221">
        <v>25220</v>
      </c>
      <c r="U132" s="231"/>
      <c r="V132" s="221">
        <v>6239266</v>
      </c>
      <c r="W132" s="221">
        <v>168529</v>
      </c>
      <c r="X132" s="221">
        <v>413133</v>
      </c>
      <c r="Y132" s="221">
        <v>765624</v>
      </c>
      <c r="Z132" s="221">
        <v>579592</v>
      </c>
      <c r="AA132" s="221">
        <v>217637</v>
      </c>
      <c r="AB132" s="221">
        <v>244109</v>
      </c>
      <c r="AC132" s="221">
        <v>494022</v>
      </c>
      <c r="AD132" s="221">
        <v>324559</v>
      </c>
      <c r="AE132" s="221">
        <v>367826</v>
      </c>
      <c r="AF132" s="221">
        <v>541789</v>
      </c>
      <c r="AG132" s="221">
        <v>335455</v>
      </c>
      <c r="AH132" s="221">
        <v>296668</v>
      </c>
      <c r="AI132" s="221">
        <v>450071</v>
      </c>
      <c r="AJ132" s="221">
        <v>598025</v>
      </c>
      <c r="AK132" s="221">
        <v>226879</v>
      </c>
      <c r="AL132" s="221">
        <v>173267</v>
      </c>
      <c r="AM132" s="221">
        <v>40933</v>
      </c>
      <c r="AN132" s="221">
        <v>1152</v>
      </c>
    </row>
    <row r="133" spans="1:40" ht="14.25" customHeight="1">
      <c r="A133" s="223">
        <v>43830</v>
      </c>
      <c r="B133" s="221">
        <v>4067478</v>
      </c>
      <c r="C133" s="221">
        <v>206840</v>
      </c>
      <c r="D133" s="221">
        <v>83779</v>
      </c>
      <c r="E133" s="221">
        <v>402570</v>
      </c>
      <c r="F133" s="221">
        <v>365780</v>
      </c>
      <c r="G133" s="221">
        <v>245988</v>
      </c>
      <c r="H133" s="221">
        <v>303787</v>
      </c>
      <c r="I133" s="221">
        <v>223813</v>
      </c>
      <c r="J133" s="221">
        <v>459397</v>
      </c>
      <c r="K133" s="221">
        <v>248558</v>
      </c>
      <c r="L133" s="221">
        <v>367263</v>
      </c>
      <c r="M133" s="221">
        <v>132908</v>
      </c>
      <c r="N133" s="221">
        <v>253098</v>
      </c>
      <c r="O133" s="221">
        <v>237988</v>
      </c>
      <c r="P133" s="221">
        <v>278046</v>
      </c>
      <c r="Q133" s="221">
        <v>111550</v>
      </c>
      <c r="R133" s="221">
        <v>63020</v>
      </c>
      <c r="S133" s="221">
        <v>74215</v>
      </c>
      <c r="T133" s="221">
        <v>8876</v>
      </c>
      <c r="U133" s="232"/>
      <c r="V133" s="221">
        <v>6023351</v>
      </c>
      <c r="W133" s="221">
        <v>159823</v>
      </c>
      <c r="X133" s="221">
        <v>399014</v>
      </c>
      <c r="Y133" s="221">
        <v>653406</v>
      </c>
      <c r="Z133" s="221">
        <v>518957</v>
      </c>
      <c r="AA133" s="221">
        <v>215332</v>
      </c>
      <c r="AB133" s="221">
        <v>196390</v>
      </c>
      <c r="AC133" s="221">
        <v>466936</v>
      </c>
      <c r="AD133" s="221">
        <v>337843</v>
      </c>
      <c r="AE133" s="221">
        <v>348403</v>
      </c>
      <c r="AF133" s="221">
        <v>541551</v>
      </c>
      <c r="AG133" s="221">
        <v>440332</v>
      </c>
      <c r="AH133" s="221">
        <v>326128</v>
      </c>
      <c r="AI133" s="221">
        <v>493320</v>
      </c>
      <c r="AJ133" s="221">
        <v>518859</v>
      </c>
      <c r="AK133" s="221">
        <v>247116</v>
      </c>
      <c r="AL133" s="221">
        <v>124284</v>
      </c>
      <c r="AM133" s="221">
        <v>34830</v>
      </c>
      <c r="AN133" s="221">
        <v>825</v>
      </c>
    </row>
    <row r="134" spans="1:40" ht="14.25" customHeight="1"/>
    <row r="135" spans="1:40" ht="14.25" customHeight="1">
      <c r="A135" s="203" t="s">
        <v>58</v>
      </c>
      <c r="C135" s="104">
        <f>bdp!AJ2</f>
        <v>0.03</v>
      </c>
      <c r="D135" s="104">
        <f>bdp!AJ3</f>
        <v>-0.2</v>
      </c>
      <c r="E135" s="104">
        <f>SUMPRODUCT(bdp!AI4:AI6,bdp!AJ4:AJ6)/SUM(bdp!AI4:AI6)</f>
        <v>0</v>
      </c>
      <c r="F135" s="104">
        <f>SUMPRODUCT(bdp!AI7:AI9,bdp!AJ7:AJ9)/SUM(bdp!AI7:AI9)</f>
        <v>-0.64519908664927539</v>
      </c>
      <c r="G135" s="104">
        <f>SUMPRODUCT(bdp!AI10:AI12,bdp!AJ10:AJ12)/SUM(bdp!AI10:AI12)</f>
        <v>-0.30183525513490572</v>
      </c>
      <c r="H135" s="104">
        <f>bdp!AJ13</f>
        <v>-0.3</v>
      </c>
      <c r="I135" s="104">
        <f>bdp!AJ14</f>
        <v>-0.3</v>
      </c>
      <c r="J135" s="104">
        <f>bdp!AJ15</f>
        <v>0</v>
      </c>
      <c r="K135" s="104">
        <f>SUMPRODUCT(bdp!AI16:AI17,bdp!AJ16:AJ17)/SUM(bdp!AI16:AI17)</f>
        <v>-0.30000000000000004</v>
      </c>
      <c r="L135" s="104">
        <f>SUMPRODUCT(bdp!AI18:AI19,bdp!AJ18:AJ19)/SUM(bdp!AI18:AI19)</f>
        <v>-0.30000000000000004</v>
      </c>
      <c r="M135" s="104">
        <f>bdp!AJ20</f>
        <v>-0.3</v>
      </c>
      <c r="N135" s="104">
        <f>bdp!AJ21</f>
        <v>-0.3</v>
      </c>
      <c r="O135" s="104">
        <f>bdp!AJ22</f>
        <v>-0.3</v>
      </c>
      <c r="P135" s="104">
        <f>SUMPRODUCT(bdp!AI23:AI24,bdp!AJ23:AJ24)/SUM(bdp!AI23:AI24)</f>
        <v>-0.44183649667362385</v>
      </c>
      <c r="Q135" s="104">
        <f>SUMPRODUCT(bdp!AI26:AI27,bdp!AJ26:AJ27)/SUM(bdp!AI26:AI27)</f>
        <v>-0.46345633110486778</v>
      </c>
      <c r="R135" s="104">
        <f>bdp!AJ28</f>
        <v>0</v>
      </c>
      <c r="S135" s="104">
        <f>SUMPRODUCT(bdp!AI29:AI44,bdp!AJ29:AJ44)/SUM(bdp!AI29:AI44)</f>
        <v>-0.32623955245104336</v>
      </c>
      <c r="T135" s="104">
        <v>0</v>
      </c>
    </row>
    <row r="136" spans="1:40" ht="14.25" customHeight="1"/>
    <row r="137" spans="1:40" ht="14.25" customHeight="1"/>
    <row r="138" spans="1:40" ht="14.25" customHeight="1"/>
    <row r="139" spans="1:40" ht="14.25" customHeight="1"/>
    <row r="140" spans="1:40" ht="14.25" customHeight="1"/>
    <row r="141" spans="1:40" ht="14.25" customHeight="1"/>
    <row r="142" spans="1:40" ht="14.25" customHeight="1"/>
    <row r="143" spans="1:40" ht="14.25" customHeight="1"/>
    <row r="144" spans="1:40"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BF1:BH1"/>
    <mergeCell ref="BI1:BK1"/>
    <mergeCell ref="B100:B101"/>
  </mergeCells>
  <conditionalFormatting sqref="E3:L82 P3:R82 L3:L86 L93:L96 L88:L91 Q3:R86 Q88:R91 Q93:R96">
    <cfRule type="colorScale" priority="1">
      <colorScale>
        <cfvo type="min"/>
        <cfvo type="percentile" val="50"/>
        <cfvo type="max"/>
        <color rgb="FFF8696B"/>
        <color rgb="FFFFEB84"/>
        <color rgb="FF63BE7B"/>
      </colorScale>
    </cfRule>
  </conditionalFormatting>
  <conditionalFormatting sqref="C135:T135">
    <cfRule type="colorScale" priority="2">
      <colorScale>
        <cfvo type="min"/>
        <cfvo type="percentile" val="50"/>
        <cfvo type="max"/>
        <color rgb="FFF8696B"/>
        <color rgb="FFFFEB84"/>
        <color rgb="FF63BE7B"/>
      </colorScale>
    </cfRule>
  </conditionalFormatting>
  <conditionalFormatting sqref="B3:B96">
    <cfRule type="colorScale" priority="3">
      <colorScale>
        <cfvo type="min"/>
        <cfvo type="percentile" val="50"/>
        <cfvo type="max"/>
        <color rgb="FFF8696B"/>
        <color rgb="FFFFEB84"/>
        <color rgb="FF63BE7B"/>
      </colorScale>
    </cfRule>
  </conditionalFormatting>
  <conditionalFormatting sqref="M3:M96">
    <cfRule type="colorScale" priority="4">
      <colorScale>
        <cfvo type="min"/>
        <cfvo type="percentile" val="50"/>
        <cfvo type="max"/>
        <color rgb="FFF8696B"/>
        <color rgb="FFFFEB84"/>
        <color rgb="FF63BE7B"/>
      </colorScale>
    </cfRule>
  </conditionalFormatting>
  <conditionalFormatting sqref="AE84:AP84">
    <cfRule type="colorScale" priority="5">
      <colorScale>
        <cfvo type="min"/>
        <cfvo type="percentile" val="50"/>
        <cfvo type="max"/>
        <color rgb="FFF8696B"/>
        <color rgb="FFFFEB84"/>
        <color rgb="FF63BE7B"/>
      </colorScale>
    </cfRule>
  </conditionalFormatting>
  <conditionalFormatting sqref="BG84:BK84">
    <cfRule type="colorScale" priority="6">
      <colorScale>
        <cfvo type="min"/>
        <cfvo type="percentile" val="50"/>
        <cfvo type="max"/>
        <color rgb="FFF8696B"/>
        <color rgb="FFFFEB84"/>
        <color rgb="FF63BE7B"/>
      </colorScale>
    </cfRule>
  </conditionalFormatting>
  <conditionalFormatting sqref="N3:N96">
    <cfRule type="colorScale" priority="7">
      <colorScale>
        <cfvo type="min"/>
        <cfvo type="percentile" val="50"/>
        <cfvo type="max"/>
        <color rgb="FFF8696B"/>
        <color rgb="FFFFEB84"/>
        <color rgb="FF63BE7B"/>
      </colorScale>
    </cfRule>
  </conditionalFormatting>
  <conditionalFormatting sqref="C3:C96">
    <cfRule type="colorScale" priority="8">
      <colorScale>
        <cfvo type="min"/>
        <cfvo type="percentile" val="50"/>
        <cfvo type="max"/>
        <color rgb="FFF8696B"/>
        <color rgb="FFFFEB84"/>
        <color rgb="FF63BE7B"/>
      </colorScale>
    </cfRule>
  </conditionalFormatting>
  <conditionalFormatting sqref="D3:D96">
    <cfRule type="colorScale" priority="9">
      <colorScale>
        <cfvo type="min"/>
        <cfvo type="percentile" val="50"/>
        <cfvo type="max"/>
        <color rgb="FFF8696B"/>
        <color rgb="FFFFEB84"/>
        <color rgb="FF63BE7B"/>
      </colorScale>
    </cfRule>
  </conditionalFormatting>
  <conditionalFormatting sqref="O3:O96">
    <cfRule type="colorScale" priority="10">
      <colorScale>
        <cfvo type="min"/>
        <cfvo type="percentile" val="50"/>
        <cfvo type="max"/>
        <color rgb="FFF8696B"/>
        <color rgb="FFFFEB84"/>
        <color rgb="FF63BE7B"/>
      </colorScale>
    </cfRule>
  </conditionalFormatting>
  <conditionalFormatting sqref="BN84">
    <cfRule type="colorScale" priority="11">
      <colorScale>
        <cfvo type="min"/>
        <cfvo type="percentile" val="50"/>
        <cfvo type="max"/>
        <color rgb="FFF8696B"/>
        <color rgb="FFFFEB84"/>
        <color rgb="FF63BE7B"/>
      </colorScale>
    </cfRule>
  </conditionalFormatting>
  <conditionalFormatting sqref="BP84">
    <cfRule type="colorScale" priority="12">
      <colorScale>
        <cfvo type="min"/>
        <cfvo type="percentile" val="50"/>
        <cfvo type="max"/>
        <color rgb="FFF8696B"/>
        <color rgb="FFFFEB84"/>
        <color rgb="FF63BE7B"/>
      </colorScale>
    </cfRule>
  </conditionalFormatting>
  <conditionalFormatting sqref="E83:E86">
    <cfRule type="colorScale" priority="13">
      <colorScale>
        <cfvo type="min"/>
        <cfvo type="percentile" val="50"/>
        <cfvo type="max"/>
        <color rgb="FFF8696B"/>
        <color rgb="FFFFEB84"/>
        <color rgb="FF63BE7B"/>
      </colorScale>
    </cfRule>
  </conditionalFormatting>
  <conditionalFormatting sqref="E88:E91">
    <cfRule type="colorScale" priority="14">
      <colorScale>
        <cfvo type="min"/>
        <cfvo type="percentile" val="50"/>
        <cfvo type="max"/>
        <color rgb="FFF8696B"/>
        <color rgb="FFFFEB84"/>
        <color rgb="FF63BE7B"/>
      </colorScale>
    </cfRule>
  </conditionalFormatting>
  <conditionalFormatting sqref="E93:E96">
    <cfRule type="colorScale" priority="15">
      <colorScale>
        <cfvo type="min"/>
        <cfvo type="percentile" val="50"/>
        <cfvo type="max"/>
        <color rgb="FFF8696B"/>
        <color rgb="FFFFEB84"/>
        <color rgb="FF63BE7B"/>
      </colorScale>
    </cfRule>
  </conditionalFormatting>
  <conditionalFormatting sqref="P83:P86">
    <cfRule type="colorScale" priority="16">
      <colorScale>
        <cfvo type="min"/>
        <cfvo type="percentile" val="50"/>
        <cfvo type="max"/>
        <color rgb="FFF8696B"/>
        <color rgb="FFFFEB84"/>
        <color rgb="FF63BE7B"/>
      </colorScale>
    </cfRule>
  </conditionalFormatting>
  <conditionalFormatting sqref="P88:P91">
    <cfRule type="colorScale" priority="17">
      <colorScale>
        <cfvo type="min"/>
        <cfvo type="percentile" val="50"/>
        <cfvo type="max"/>
        <color rgb="FFF8696B"/>
        <color rgb="FFFFEB84"/>
        <color rgb="FF63BE7B"/>
      </colorScale>
    </cfRule>
  </conditionalFormatting>
  <conditionalFormatting sqref="P93:P96">
    <cfRule type="colorScale" priority="18">
      <colorScale>
        <cfvo type="min"/>
        <cfvo type="percentile" val="50"/>
        <cfvo type="max"/>
        <color rgb="FFF8696B"/>
        <color rgb="FFFFEB84"/>
        <color rgb="FF63BE7B"/>
      </colorScale>
    </cfRule>
  </conditionalFormatting>
  <conditionalFormatting sqref="F83:J86">
    <cfRule type="colorScale" priority="19">
      <colorScale>
        <cfvo type="min"/>
        <cfvo type="percentile" val="50"/>
        <cfvo type="max"/>
        <color rgb="FFF8696B"/>
        <color rgb="FFFFEB84"/>
        <color rgb="FF63BE7B"/>
      </colorScale>
    </cfRule>
  </conditionalFormatting>
  <conditionalFormatting sqref="F88:J91">
    <cfRule type="colorScale" priority="20">
      <colorScale>
        <cfvo type="min"/>
        <cfvo type="percentile" val="50"/>
        <cfvo type="max"/>
        <color rgb="FFF8696B"/>
        <color rgb="FFFFEB84"/>
        <color rgb="FF63BE7B"/>
      </colorScale>
    </cfRule>
  </conditionalFormatting>
  <conditionalFormatting sqref="F93:J96">
    <cfRule type="colorScale" priority="21">
      <colorScale>
        <cfvo type="min"/>
        <cfvo type="percentile" val="50"/>
        <cfvo type="max"/>
        <color rgb="FFF8696B"/>
        <color rgb="FFFFEB84"/>
        <color rgb="FF63BE7B"/>
      </colorScale>
    </cfRule>
  </conditionalFormatting>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001"/>
  <sheetViews>
    <sheetView workbookViewId="0">
      <pane xSplit="1" ySplit="2" topLeftCell="Q80" activePane="bottomRight" state="frozen"/>
      <selection pane="topRight" activeCell="B1" sqref="B1"/>
      <selection pane="bottomLeft" activeCell="A3" sqref="A3"/>
      <selection pane="bottomRight" activeCell="AI105" sqref="AI105"/>
    </sheetView>
  </sheetViews>
  <sheetFormatPr defaultColWidth="12.59765625" defaultRowHeight="15" customHeight="1"/>
  <cols>
    <col min="1" max="1" width="8.8984375" customWidth="1"/>
    <col min="2" max="2" width="8.09765625" customWidth="1"/>
    <col min="3" max="3" width="9" customWidth="1"/>
    <col min="4" max="6" width="7.59765625" customWidth="1"/>
    <col min="7" max="7" width="9.09765625" customWidth="1"/>
    <col min="8" max="30" width="7.59765625" customWidth="1"/>
  </cols>
  <sheetData>
    <row r="1" spans="1:35" ht="15" customHeight="1">
      <c r="H1" s="519" t="s">
        <v>864</v>
      </c>
      <c r="I1" s="507"/>
      <c r="J1" s="508"/>
      <c r="L1" s="137"/>
      <c r="M1" s="520" t="s">
        <v>22</v>
      </c>
      <c r="N1" s="515"/>
      <c r="O1" s="515"/>
      <c r="P1" s="515"/>
      <c r="Q1" s="515"/>
      <c r="R1" s="521"/>
      <c r="S1" s="522" t="s">
        <v>23</v>
      </c>
      <c r="T1" s="515"/>
      <c r="U1" s="515"/>
      <c r="V1" s="515"/>
      <c r="W1" s="515"/>
      <c r="X1" s="521"/>
      <c r="Y1" s="523" t="s">
        <v>24</v>
      </c>
      <c r="Z1" s="515"/>
      <c r="AA1" s="515"/>
      <c r="AB1" s="515"/>
      <c r="AC1" s="515"/>
      <c r="AD1" s="521"/>
    </row>
    <row r="2" spans="1:35" ht="52.5" customHeight="1">
      <c r="A2" s="3" t="s">
        <v>9</v>
      </c>
      <c r="B2" s="3" t="s">
        <v>11</v>
      </c>
      <c r="C2" s="3" t="s">
        <v>865</v>
      </c>
      <c r="D2" s="3" t="s">
        <v>12</v>
      </c>
      <c r="E2" s="3" t="s">
        <v>866</v>
      </c>
      <c r="G2" s="3" t="s">
        <v>9</v>
      </c>
      <c r="H2" s="11" t="s">
        <v>22</v>
      </c>
      <c r="I2" s="12" t="s">
        <v>23</v>
      </c>
      <c r="J2" s="13" t="s">
        <v>24</v>
      </c>
      <c r="L2" s="233"/>
      <c r="M2" s="234" t="s">
        <v>867</v>
      </c>
      <c r="N2" s="235" t="s">
        <v>868</v>
      </c>
      <c r="O2" s="236" t="s">
        <v>869</v>
      </c>
      <c r="P2" s="235" t="s">
        <v>867</v>
      </c>
      <c r="Q2" s="235" t="s">
        <v>868</v>
      </c>
      <c r="R2" s="236" t="s">
        <v>869</v>
      </c>
      <c r="S2" s="235" t="s">
        <v>867</v>
      </c>
      <c r="T2" s="235" t="s">
        <v>868</v>
      </c>
      <c r="U2" s="236" t="s">
        <v>869</v>
      </c>
      <c r="V2" s="235" t="s">
        <v>867</v>
      </c>
      <c r="W2" s="235" t="s">
        <v>868</v>
      </c>
      <c r="X2" s="236" t="s">
        <v>869</v>
      </c>
      <c r="Y2" s="235" t="s">
        <v>867</v>
      </c>
      <c r="Z2" s="235" t="s">
        <v>868</v>
      </c>
      <c r="AA2" s="236" t="s">
        <v>869</v>
      </c>
      <c r="AB2" s="235" t="s">
        <v>867</v>
      </c>
      <c r="AC2" s="235" t="s">
        <v>868</v>
      </c>
      <c r="AD2" s="236" t="s">
        <v>869</v>
      </c>
      <c r="AF2" s="233" t="s">
        <v>9</v>
      </c>
      <c r="AG2" s="235" t="s">
        <v>1162</v>
      </c>
      <c r="AH2" s="235" t="s">
        <v>1164</v>
      </c>
      <c r="AI2" s="235" t="s">
        <v>1163</v>
      </c>
    </row>
    <row r="3" spans="1:35" ht="14.25" customHeight="1">
      <c r="A3" s="18">
        <v>36981</v>
      </c>
      <c r="B3" s="237">
        <v>3.1835925459392485</v>
      </c>
      <c r="C3" s="237">
        <v>15.339758068527187</v>
      </c>
      <c r="D3" s="237">
        <v>21.919237490831904</v>
      </c>
      <c r="E3" s="238">
        <v>0.88571488722695202</v>
      </c>
      <c r="F3" s="18"/>
      <c r="G3" s="18">
        <v>36981</v>
      </c>
      <c r="H3" s="237">
        <v>15.339758068527187</v>
      </c>
      <c r="I3" s="237">
        <v>15.339758068527187</v>
      </c>
      <c r="J3" s="237">
        <v>15.339758068527187</v>
      </c>
      <c r="L3" s="138" t="s">
        <v>870</v>
      </c>
      <c r="M3" s="239">
        <v>16615</v>
      </c>
      <c r="N3" s="240">
        <v>1902</v>
      </c>
      <c r="O3" s="241">
        <v>14713</v>
      </c>
      <c r="P3" s="233"/>
      <c r="Q3" s="233"/>
      <c r="R3" s="242"/>
      <c r="S3" s="240">
        <v>16615</v>
      </c>
      <c r="T3" s="240">
        <v>1902</v>
      </c>
      <c r="U3" s="241">
        <v>14713</v>
      </c>
      <c r="V3" s="233"/>
      <c r="W3" s="233"/>
      <c r="X3" s="242"/>
      <c r="Y3" s="240">
        <v>16615</v>
      </c>
      <c r="Z3" s="240">
        <v>1902</v>
      </c>
      <c r="AA3" s="241">
        <v>14713</v>
      </c>
      <c r="AB3" s="233"/>
      <c r="AC3" s="233"/>
      <c r="AD3" s="242"/>
      <c r="AF3" s="488">
        <v>34880</v>
      </c>
      <c r="AG3" s="378">
        <v>22</v>
      </c>
      <c r="AH3" s="378">
        <v>22</v>
      </c>
      <c r="AI3" s="378">
        <v>22</v>
      </c>
    </row>
    <row r="4" spans="1:35" ht="14.25" customHeight="1">
      <c r="A4" s="18">
        <v>37072</v>
      </c>
      <c r="B4" s="237">
        <v>4.6646066112930384</v>
      </c>
      <c r="C4" s="237">
        <v>19.628209963809763</v>
      </c>
      <c r="D4" s="237">
        <v>21.853602628401145</v>
      </c>
      <c r="E4" s="238">
        <v>0.99951859965371004</v>
      </c>
      <c r="F4" s="18"/>
      <c r="G4" s="18">
        <v>37072</v>
      </c>
      <c r="H4" s="237">
        <v>19.628209963809763</v>
      </c>
      <c r="I4" s="237">
        <v>19.628209963809763</v>
      </c>
      <c r="J4" s="237">
        <v>19.628209963809763</v>
      </c>
      <c r="L4" s="138" t="s">
        <v>871</v>
      </c>
      <c r="M4" s="239">
        <v>18481</v>
      </c>
      <c r="N4" s="240">
        <v>2605</v>
      </c>
      <c r="O4" s="241">
        <v>15876</v>
      </c>
      <c r="P4" s="233"/>
      <c r="Q4" s="233"/>
      <c r="R4" s="242"/>
      <c r="S4" s="240">
        <v>18481</v>
      </c>
      <c r="T4" s="240">
        <v>2605</v>
      </c>
      <c r="U4" s="241">
        <v>15876</v>
      </c>
      <c r="V4" s="233"/>
      <c r="W4" s="233"/>
      <c r="X4" s="242"/>
      <c r="Y4" s="240">
        <v>18481</v>
      </c>
      <c r="Z4" s="240">
        <v>2605</v>
      </c>
      <c r="AA4" s="241">
        <v>15876</v>
      </c>
      <c r="AB4" s="233"/>
      <c r="AC4" s="233"/>
      <c r="AD4" s="242"/>
      <c r="AF4" s="488">
        <v>34972</v>
      </c>
      <c r="AG4" s="378">
        <v>21</v>
      </c>
      <c r="AH4" s="378">
        <v>21</v>
      </c>
      <c r="AI4" s="378">
        <v>21</v>
      </c>
    </row>
    <row r="5" spans="1:35" ht="14.25" customHeight="1">
      <c r="A5" s="18">
        <v>37164</v>
      </c>
      <c r="B5" s="237">
        <v>3.1866120072348281</v>
      </c>
      <c r="C5" s="237">
        <v>23.684996858984153</v>
      </c>
      <c r="D5" s="237">
        <v>22.128893009291254</v>
      </c>
      <c r="E5" s="238">
        <v>1.4542121268058401</v>
      </c>
      <c r="F5" s="18"/>
      <c r="G5" s="18">
        <v>37164</v>
      </c>
      <c r="H5" s="237">
        <v>23.684996858984153</v>
      </c>
      <c r="I5" s="237">
        <v>23.684996858984153</v>
      </c>
      <c r="J5" s="237">
        <v>23.684996858984153</v>
      </c>
      <c r="L5" s="138" t="s">
        <v>872</v>
      </c>
      <c r="M5" s="239">
        <v>20381</v>
      </c>
      <c r="N5" s="240">
        <v>3039</v>
      </c>
      <c r="O5" s="241">
        <v>17342</v>
      </c>
      <c r="P5" s="233"/>
      <c r="Q5" s="233"/>
      <c r="R5" s="242"/>
      <c r="S5" s="240">
        <v>20381</v>
      </c>
      <c r="T5" s="240">
        <v>3039</v>
      </c>
      <c r="U5" s="241">
        <v>17342</v>
      </c>
      <c r="V5" s="233"/>
      <c r="W5" s="233"/>
      <c r="X5" s="242"/>
      <c r="Y5" s="240">
        <v>20381</v>
      </c>
      <c r="Z5" s="240">
        <v>3039</v>
      </c>
      <c r="AA5" s="241">
        <v>17342</v>
      </c>
      <c r="AB5" s="233"/>
      <c r="AC5" s="233"/>
      <c r="AD5" s="242"/>
      <c r="AF5" s="488">
        <v>35064</v>
      </c>
      <c r="AG5" s="378">
        <v>23</v>
      </c>
      <c r="AH5" s="378">
        <v>23</v>
      </c>
      <c r="AI5" s="378">
        <v>23</v>
      </c>
    </row>
    <row r="6" spans="1:35" ht="14.25" customHeight="1">
      <c r="A6" s="18">
        <v>37256</v>
      </c>
      <c r="B6" s="237">
        <v>2.3662516308528154</v>
      </c>
      <c r="C6" s="237">
        <v>23.144081180534858</v>
      </c>
      <c r="D6" s="237">
        <v>22.423856018141066</v>
      </c>
      <c r="E6" s="238">
        <v>1.9284674439827201</v>
      </c>
      <c r="F6" s="18"/>
      <c r="G6" s="18">
        <v>37256</v>
      </c>
      <c r="H6" s="237">
        <v>23.144081180534858</v>
      </c>
      <c r="I6" s="237">
        <v>23.144081180534858</v>
      </c>
      <c r="J6" s="237">
        <v>23.144081180534858</v>
      </c>
      <c r="L6" s="138" t="s">
        <v>873</v>
      </c>
      <c r="M6" s="239">
        <v>22051</v>
      </c>
      <c r="N6" s="240">
        <v>3503</v>
      </c>
      <c r="O6" s="241">
        <v>18548</v>
      </c>
      <c r="P6" s="233"/>
      <c r="Q6" s="233"/>
      <c r="R6" s="242"/>
      <c r="S6" s="240">
        <v>22051</v>
      </c>
      <c r="T6" s="240">
        <v>3503</v>
      </c>
      <c r="U6" s="241">
        <v>18548</v>
      </c>
      <c r="V6" s="233"/>
      <c r="W6" s="233"/>
      <c r="X6" s="242"/>
      <c r="Y6" s="240">
        <v>22051</v>
      </c>
      <c r="Z6" s="240">
        <v>3503</v>
      </c>
      <c r="AA6" s="241">
        <v>18548</v>
      </c>
      <c r="AB6" s="233"/>
      <c r="AC6" s="233"/>
      <c r="AD6" s="242"/>
      <c r="AF6" s="488">
        <v>35155</v>
      </c>
      <c r="AG6" s="378">
        <v>31</v>
      </c>
      <c r="AH6" s="378">
        <v>31</v>
      </c>
      <c r="AI6" s="378">
        <v>31</v>
      </c>
    </row>
    <row r="7" spans="1:35" ht="14.25" customHeight="1">
      <c r="A7" s="18">
        <v>37346</v>
      </c>
      <c r="B7" s="237">
        <v>5.7611197003427463</v>
      </c>
      <c r="C7" s="237">
        <v>23.382538845302768</v>
      </c>
      <c r="D7" s="237">
        <v>22.874574363120143</v>
      </c>
      <c r="E7" s="238">
        <v>2.55823368152936</v>
      </c>
      <c r="F7" s="18"/>
      <c r="G7" s="18">
        <v>37346</v>
      </c>
      <c r="H7" s="237">
        <v>23.382538845302768</v>
      </c>
      <c r="I7" s="237">
        <v>23.382538845302768</v>
      </c>
      <c r="J7" s="237">
        <v>23.382538845302768</v>
      </c>
      <c r="L7" s="138" t="s">
        <v>874</v>
      </c>
      <c r="M7" s="239">
        <v>22048</v>
      </c>
      <c r="N7" s="240">
        <v>3685</v>
      </c>
      <c r="O7" s="241">
        <v>18363</v>
      </c>
      <c r="P7" s="233"/>
      <c r="Q7" s="233"/>
      <c r="R7" s="242"/>
      <c r="S7" s="240">
        <v>22048</v>
      </c>
      <c r="T7" s="240">
        <v>3685</v>
      </c>
      <c r="U7" s="241">
        <v>18363</v>
      </c>
      <c r="V7" s="233"/>
      <c r="W7" s="233"/>
      <c r="X7" s="242"/>
      <c r="Y7" s="240">
        <v>22048</v>
      </c>
      <c r="Z7" s="240">
        <v>3685</v>
      </c>
      <c r="AA7" s="241">
        <v>18363</v>
      </c>
      <c r="AB7" s="233"/>
      <c r="AC7" s="233"/>
      <c r="AD7" s="242"/>
      <c r="AF7" s="488">
        <v>35246</v>
      </c>
      <c r="AG7" s="378">
        <v>32</v>
      </c>
      <c r="AH7" s="378">
        <v>32</v>
      </c>
      <c r="AI7" s="378">
        <v>32</v>
      </c>
    </row>
    <row r="8" spans="1:35" ht="14.25" customHeight="1">
      <c r="A8" s="18">
        <v>37437</v>
      </c>
      <c r="B8" s="237">
        <v>4.9715071116023637</v>
      </c>
      <c r="C8" s="237">
        <v>25.828519614663037</v>
      </c>
      <c r="D8" s="237">
        <v>22.634245467963829</v>
      </c>
      <c r="E8" s="238">
        <v>2.4964975466587802</v>
      </c>
      <c r="F8" s="18"/>
      <c r="G8" s="18">
        <v>37437</v>
      </c>
      <c r="H8" s="237">
        <v>25.828519614663037</v>
      </c>
      <c r="I8" s="237">
        <v>25.828519614663037</v>
      </c>
      <c r="J8" s="237">
        <v>25.828519614663037</v>
      </c>
      <c r="L8" s="138" t="s">
        <v>875</v>
      </c>
      <c r="M8" s="239">
        <v>22545</v>
      </c>
      <c r="N8" s="240">
        <v>4053</v>
      </c>
      <c r="O8" s="241">
        <v>18492</v>
      </c>
      <c r="P8" s="378">
        <v>22</v>
      </c>
      <c r="Q8" s="378">
        <v>56</v>
      </c>
      <c r="R8" s="379">
        <v>16</v>
      </c>
      <c r="S8" s="240">
        <v>22545</v>
      </c>
      <c r="T8" s="240">
        <v>4053</v>
      </c>
      <c r="U8" s="241">
        <v>18492</v>
      </c>
      <c r="V8" s="378">
        <v>22</v>
      </c>
      <c r="W8" s="378">
        <v>56</v>
      </c>
      <c r="X8" s="379">
        <v>16</v>
      </c>
      <c r="Y8" s="240">
        <v>22545</v>
      </c>
      <c r="Z8" s="240">
        <v>4053</v>
      </c>
      <c r="AA8" s="241">
        <v>18492</v>
      </c>
      <c r="AB8" s="378">
        <v>22</v>
      </c>
      <c r="AC8" s="378">
        <v>56</v>
      </c>
      <c r="AD8" s="379">
        <v>16</v>
      </c>
      <c r="AF8" s="488">
        <v>35338</v>
      </c>
      <c r="AG8" s="378">
        <v>26</v>
      </c>
      <c r="AH8" s="378">
        <v>26</v>
      </c>
      <c r="AI8" s="378">
        <v>26</v>
      </c>
    </row>
    <row r="9" spans="1:35" ht="14.25" customHeight="1">
      <c r="A9" s="18">
        <v>37529</v>
      </c>
      <c r="B9" s="237">
        <v>6.0401295047224579</v>
      </c>
      <c r="C9" s="237">
        <v>27.52086417033599</v>
      </c>
      <c r="D9" s="237">
        <v>21.999101980451766</v>
      </c>
      <c r="E9" s="238">
        <v>2.0391786412810902</v>
      </c>
      <c r="F9" s="18"/>
      <c r="G9" s="18">
        <v>37529</v>
      </c>
      <c r="H9" s="237">
        <v>27.52086417033599</v>
      </c>
      <c r="I9" s="237">
        <v>27.52086417033599</v>
      </c>
      <c r="J9" s="237">
        <v>27.52086417033599</v>
      </c>
      <c r="L9" s="138" t="s">
        <v>876</v>
      </c>
      <c r="M9" s="239">
        <v>24603</v>
      </c>
      <c r="N9" s="240">
        <v>4474</v>
      </c>
      <c r="O9" s="241">
        <v>20129</v>
      </c>
      <c r="P9" s="378">
        <v>21</v>
      </c>
      <c r="Q9" s="378">
        <v>47</v>
      </c>
      <c r="R9" s="379">
        <v>16</v>
      </c>
      <c r="S9" s="240">
        <v>24603</v>
      </c>
      <c r="T9" s="240">
        <v>4474</v>
      </c>
      <c r="U9" s="241">
        <v>20129</v>
      </c>
      <c r="V9" s="378">
        <v>21</v>
      </c>
      <c r="W9" s="378">
        <v>47</v>
      </c>
      <c r="X9" s="379">
        <v>16</v>
      </c>
      <c r="Y9" s="240">
        <v>24603</v>
      </c>
      <c r="Z9" s="240">
        <v>4474</v>
      </c>
      <c r="AA9" s="241">
        <v>20129</v>
      </c>
      <c r="AB9" s="378">
        <v>21</v>
      </c>
      <c r="AC9" s="378">
        <v>47</v>
      </c>
      <c r="AD9" s="379">
        <v>16</v>
      </c>
      <c r="AF9" s="488">
        <v>35430</v>
      </c>
      <c r="AG9" s="378">
        <v>9</v>
      </c>
      <c r="AH9" s="378">
        <v>9</v>
      </c>
      <c r="AI9" s="378">
        <v>9</v>
      </c>
    </row>
    <row r="10" spans="1:35" ht="14.25" customHeight="1">
      <c r="A10" s="18">
        <v>37621</v>
      </c>
      <c r="B10" s="237">
        <v>3.6724267690282772</v>
      </c>
      <c r="C10" s="237">
        <v>30.117466156454586</v>
      </c>
      <c r="D10" s="237">
        <v>20.946958928266469</v>
      </c>
      <c r="E10" s="238">
        <v>1.1636790873073399</v>
      </c>
      <c r="F10" s="18"/>
      <c r="G10" s="18">
        <v>37621</v>
      </c>
      <c r="H10" s="237">
        <v>30.117466156454586</v>
      </c>
      <c r="I10" s="237">
        <v>30.117466156454586</v>
      </c>
      <c r="J10" s="237">
        <v>30.117466156454586</v>
      </c>
      <c r="L10" s="138" t="s">
        <v>877</v>
      </c>
      <c r="M10" s="239">
        <v>27231</v>
      </c>
      <c r="N10" s="240">
        <v>4743</v>
      </c>
      <c r="O10" s="241">
        <v>22488</v>
      </c>
      <c r="P10" s="378">
        <v>23</v>
      </c>
      <c r="Q10" s="378">
        <v>35</v>
      </c>
      <c r="R10" s="379">
        <v>21</v>
      </c>
      <c r="S10" s="240">
        <v>27231</v>
      </c>
      <c r="T10" s="240">
        <v>4743</v>
      </c>
      <c r="U10" s="241">
        <v>22488</v>
      </c>
      <c r="V10" s="378">
        <v>23</v>
      </c>
      <c r="W10" s="378">
        <v>35</v>
      </c>
      <c r="X10" s="379">
        <v>21</v>
      </c>
      <c r="Y10" s="240">
        <v>27231</v>
      </c>
      <c r="Z10" s="240">
        <v>4743</v>
      </c>
      <c r="AA10" s="241">
        <v>22488</v>
      </c>
      <c r="AB10" s="378">
        <v>23</v>
      </c>
      <c r="AC10" s="378">
        <v>35</v>
      </c>
      <c r="AD10" s="379">
        <v>21</v>
      </c>
      <c r="AF10" s="488">
        <v>35520</v>
      </c>
      <c r="AG10" s="378">
        <v>13</v>
      </c>
      <c r="AH10" s="378">
        <v>13</v>
      </c>
      <c r="AI10" s="378">
        <v>13</v>
      </c>
    </row>
    <row r="11" spans="1:35" ht="14.25" customHeight="1">
      <c r="A11" s="18">
        <v>37711</v>
      </c>
      <c r="B11" s="237">
        <v>5.9757585437295404</v>
      </c>
      <c r="C11" s="237">
        <v>28.706081426335817</v>
      </c>
      <c r="D11" s="237">
        <v>19.806284273233931</v>
      </c>
      <c r="E11" s="238">
        <v>0.197972373646425</v>
      </c>
      <c r="F11" s="18"/>
      <c r="G11" s="18">
        <v>37711</v>
      </c>
      <c r="H11" s="237">
        <v>28.706081426335817</v>
      </c>
      <c r="I11" s="237">
        <v>28.706081426335817</v>
      </c>
      <c r="J11" s="237">
        <v>28.706081426335817</v>
      </c>
      <c r="L11" s="138" t="s">
        <v>878</v>
      </c>
      <c r="M11" s="239">
        <v>28773</v>
      </c>
      <c r="N11" s="240">
        <v>5082</v>
      </c>
      <c r="O11" s="241">
        <v>23691</v>
      </c>
      <c r="P11" s="378">
        <v>31</v>
      </c>
      <c r="Q11" s="378">
        <v>38</v>
      </c>
      <c r="R11" s="379">
        <v>29</v>
      </c>
      <c r="S11" s="240">
        <v>28773</v>
      </c>
      <c r="T11" s="240">
        <v>5082</v>
      </c>
      <c r="U11" s="241">
        <v>23691</v>
      </c>
      <c r="V11" s="378">
        <v>31</v>
      </c>
      <c r="W11" s="378">
        <v>38</v>
      </c>
      <c r="X11" s="379">
        <v>29</v>
      </c>
      <c r="Y11" s="240">
        <v>28773</v>
      </c>
      <c r="Z11" s="240">
        <v>5082</v>
      </c>
      <c r="AA11" s="241">
        <v>23691</v>
      </c>
      <c r="AB11" s="378">
        <v>31</v>
      </c>
      <c r="AC11" s="378">
        <v>38</v>
      </c>
      <c r="AD11" s="379">
        <v>29</v>
      </c>
      <c r="AF11" s="488">
        <v>35611</v>
      </c>
      <c r="AG11" s="378">
        <v>22</v>
      </c>
      <c r="AH11" s="378">
        <v>22</v>
      </c>
      <c r="AI11" s="378">
        <v>22</v>
      </c>
    </row>
    <row r="12" spans="1:35" ht="14.25" customHeight="1">
      <c r="A12" s="18">
        <v>37802</v>
      </c>
      <c r="B12" s="237">
        <v>6.6723426279648947</v>
      </c>
      <c r="C12" s="237">
        <v>22.507895967338442</v>
      </c>
      <c r="D12" s="237">
        <v>19.207453565613989</v>
      </c>
      <c r="E12" s="238">
        <v>-0.228106969522098</v>
      </c>
      <c r="F12" s="18"/>
      <c r="G12" s="18">
        <v>37802</v>
      </c>
      <c r="H12" s="237">
        <v>22.507895967338442</v>
      </c>
      <c r="I12" s="237">
        <v>22.507895967338442</v>
      </c>
      <c r="J12" s="237">
        <v>22.507895967338442</v>
      </c>
      <c r="L12" s="138" t="s">
        <v>879</v>
      </c>
      <c r="M12" s="239">
        <v>29724</v>
      </c>
      <c r="N12" s="240">
        <v>5376</v>
      </c>
      <c r="O12" s="241">
        <v>24348</v>
      </c>
      <c r="P12" s="378">
        <v>32</v>
      </c>
      <c r="Q12" s="378">
        <v>33</v>
      </c>
      <c r="R12" s="379">
        <v>32</v>
      </c>
      <c r="S12" s="240">
        <v>29724</v>
      </c>
      <c r="T12" s="240">
        <v>5376</v>
      </c>
      <c r="U12" s="241">
        <v>24348</v>
      </c>
      <c r="V12" s="378">
        <v>32</v>
      </c>
      <c r="W12" s="378">
        <v>33</v>
      </c>
      <c r="X12" s="379">
        <v>32</v>
      </c>
      <c r="Y12" s="240">
        <v>29724</v>
      </c>
      <c r="Z12" s="240">
        <v>5376</v>
      </c>
      <c r="AA12" s="241">
        <v>24348</v>
      </c>
      <c r="AB12" s="378">
        <v>32</v>
      </c>
      <c r="AC12" s="378">
        <v>33</v>
      </c>
      <c r="AD12" s="379">
        <v>32</v>
      </c>
      <c r="AF12" s="488">
        <v>35703</v>
      </c>
      <c r="AG12" s="378">
        <v>27</v>
      </c>
      <c r="AH12" s="378">
        <v>27</v>
      </c>
      <c r="AI12" s="378">
        <v>27</v>
      </c>
    </row>
    <row r="13" spans="1:35" ht="14.25" customHeight="1">
      <c r="A13" s="18">
        <v>37894</v>
      </c>
      <c r="B13" s="237">
        <v>5.0627962071036876</v>
      </c>
      <c r="C13" s="237">
        <v>17.651335654884505</v>
      </c>
      <c r="D13" s="237">
        <v>18.487452080598576</v>
      </c>
      <c r="E13" s="238">
        <v>-0.77812260598203797</v>
      </c>
      <c r="F13" s="18"/>
      <c r="G13" s="18">
        <v>37894</v>
      </c>
      <c r="H13" s="237">
        <v>17.651335654884505</v>
      </c>
      <c r="I13" s="237">
        <v>17.651335654884505</v>
      </c>
      <c r="J13" s="237">
        <v>17.651335654884505</v>
      </c>
      <c r="L13" s="138" t="s">
        <v>880</v>
      </c>
      <c r="M13" s="239">
        <v>31010</v>
      </c>
      <c r="N13" s="240">
        <v>5789</v>
      </c>
      <c r="O13" s="241">
        <v>25222</v>
      </c>
      <c r="P13" s="378">
        <v>26</v>
      </c>
      <c r="Q13" s="378">
        <v>29</v>
      </c>
      <c r="R13" s="379">
        <v>25</v>
      </c>
      <c r="S13" s="240">
        <v>31010</v>
      </c>
      <c r="T13" s="240">
        <v>5789</v>
      </c>
      <c r="U13" s="241">
        <v>25222</v>
      </c>
      <c r="V13" s="378">
        <v>26</v>
      </c>
      <c r="W13" s="378">
        <v>29</v>
      </c>
      <c r="X13" s="379">
        <v>25</v>
      </c>
      <c r="Y13" s="240">
        <v>31010</v>
      </c>
      <c r="Z13" s="240">
        <v>5789</v>
      </c>
      <c r="AA13" s="241">
        <v>25222</v>
      </c>
      <c r="AB13" s="378">
        <v>26</v>
      </c>
      <c r="AC13" s="378">
        <v>29</v>
      </c>
      <c r="AD13" s="379">
        <v>25</v>
      </c>
      <c r="AF13" s="488">
        <v>35795</v>
      </c>
      <c r="AG13" s="378">
        <v>49</v>
      </c>
      <c r="AH13" s="378">
        <v>49</v>
      </c>
      <c r="AI13" s="378">
        <v>49</v>
      </c>
    </row>
    <row r="14" spans="1:35" ht="14.25" customHeight="1">
      <c r="A14" s="18">
        <v>37986</v>
      </c>
      <c r="B14" s="237">
        <v>4.8994155622266362</v>
      </c>
      <c r="C14" s="237">
        <v>14.649778309674577</v>
      </c>
      <c r="D14" s="237">
        <v>18.254025122637149</v>
      </c>
      <c r="E14" s="238">
        <v>-0.84486904598072599</v>
      </c>
      <c r="F14" s="18"/>
      <c r="G14" s="18">
        <v>37986</v>
      </c>
      <c r="H14" s="237">
        <v>14.649778309674577</v>
      </c>
      <c r="I14" s="237">
        <v>14.649778309674577</v>
      </c>
      <c r="J14" s="237">
        <v>14.649778309674577</v>
      </c>
      <c r="L14" s="138" t="s">
        <v>881</v>
      </c>
      <c r="M14" s="239">
        <v>29700</v>
      </c>
      <c r="N14" s="240">
        <v>6616</v>
      </c>
      <c r="O14" s="241">
        <v>23084</v>
      </c>
      <c r="P14" s="378">
        <v>9</v>
      </c>
      <c r="Q14" s="378">
        <v>39</v>
      </c>
      <c r="R14" s="379">
        <v>3</v>
      </c>
      <c r="S14" s="240">
        <v>29700</v>
      </c>
      <c r="T14" s="240">
        <v>6616</v>
      </c>
      <c r="U14" s="241">
        <v>23084</v>
      </c>
      <c r="V14" s="378">
        <v>9</v>
      </c>
      <c r="W14" s="378">
        <v>39</v>
      </c>
      <c r="X14" s="379">
        <v>3</v>
      </c>
      <c r="Y14" s="240">
        <v>29700</v>
      </c>
      <c r="Z14" s="240">
        <v>6616</v>
      </c>
      <c r="AA14" s="241">
        <v>23084</v>
      </c>
      <c r="AB14" s="378">
        <v>9</v>
      </c>
      <c r="AC14" s="378">
        <v>39</v>
      </c>
      <c r="AD14" s="379">
        <v>3</v>
      </c>
      <c r="AF14" s="488">
        <v>35885</v>
      </c>
      <c r="AG14" s="378">
        <v>45</v>
      </c>
      <c r="AH14" s="378">
        <v>45</v>
      </c>
      <c r="AI14" s="378">
        <v>45</v>
      </c>
    </row>
    <row r="15" spans="1:35" ht="14.25" customHeight="1">
      <c r="A15" s="18">
        <v>38077</v>
      </c>
      <c r="B15" s="237">
        <v>4.810697890281773</v>
      </c>
      <c r="C15" s="237">
        <v>10.384637360180605</v>
      </c>
      <c r="D15" s="237">
        <v>18.056915580642976</v>
      </c>
      <c r="E15" s="238">
        <v>-0.87911209039738603</v>
      </c>
      <c r="F15" s="18"/>
      <c r="G15" s="18">
        <v>38077</v>
      </c>
      <c r="H15" s="237">
        <v>10.384637360180605</v>
      </c>
      <c r="I15" s="237">
        <v>10.384637360180605</v>
      </c>
      <c r="J15" s="237">
        <v>10.384637360180605</v>
      </c>
      <c r="L15" s="138" t="s">
        <v>882</v>
      </c>
      <c r="M15" s="239">
        <v>32653</v>
      </c>
      <c r="N15" s="240">
        <v>7459</v>
      </c>
      <c r="O15" s="241">
        <v>25193</v>
      </c>
      <c r="P15" s="378">
        <v>13</v>
      </c>
      <c r="Q15" s="378">
        <v>47</v>
      </c>
      <c r="R15" s="379">
        <v>6</v>
      </c>
      <c r="S15" s="240">
        <v>32653</v>
      </c>
      <c r="T15" s="240">
        <v>7459</v>
      </c>
      <c r="U15" s="241">
        <v>25193</v>
      </c>
      <c r="V15" s="378">
        <v>13</v>
      </c>
      <c r="W15" s="378">
        <v>47</v>
      </c>
      <c r="X15" s="379">
        <v>6</v>
      </c>
      <c r="Y15" s="240">
        <v>32653</v>
      </c>
      <c r="Z15" s="240">
        <v>7459</v>
      </c>
      <c r="AA15" s="241">
        <v>25193</v>
      </c>
      <c r="AB15" s="378">
        <v>13</v>
      </c>
      <c r="AC15" s="378">
        <v>47</v>
      </c>
      <c r="AD15" s="379">
        <v>6</v>
      </c>
      <c r="AF15" s="488">
        <v>35976</v>
      </c>
      <c r="AG15" s="378">
        <v>39</v>
      </c>
      <c r="AH15" s="378">
        <v>39</v>
      </c>
      <c r="AI15" s="378">
        <v>39</v>
      </c>
    </row>
    <row r="16" spans="1:35" ht="14.25" customHeight="1">
      <c r="A16" s="18">
        <v>38168</v>
      </c>
      <c r="B16" s="237">
        <v>3.5633158386821009</v>
      </c>
      <c r="C16" s="237">
        <v>12.316470325074613</v>
      </c>
      <c r="D16" s="237">
        <v>17.948147201702518</v>
      </c>
      <c r="E16" s="238">
        <v>-0.82930288717627698</v>
      </c>
      <c r="F16" s="18"/>
      <c r="G16" s="18">
        <v>38168</v>
      </c>
      <c r="H16" s="237">
        <v>12.316470325074613</v>
      </c>
      <c r="I16" s="237">
        <v>12.316470325074613</v>
      </c>
      <c r="J16" s="237">
        <v>12.316470325074613</v>
      </c>
      <c r="L16" s="138" t="s">
        <v>883</v>
      </c>
      <c r="M16" s="239">
        <v>36192</v>
      </c>
      <c r="N16" s="240">
        <v>8847</v>
      </c>
      <c r="O16" s="241">
        <v>27346</v>
      </c>
      <c r="P16" s="378">
        <v>22</v>
      </c>
      <c r="Q16" s="378">
        <v>65</v>
      </c>
      <c r="R16" s="379">
        <v>12</v>
      </c>
      <c r="S16" s="240">
        <v>36192</v>
      </c>
      <c r="T16" s="240">
        <v>8847</v>
      </c>
      <c r="U16" s="241">
        <v>27346</v>
      </c>
      <c r="V16" s="378">
        <v>22</v>
      </c>
      <c r="W16" s="378">
        <v>65</v>
      </c>
      <c r="X16" s="379">
        <v>12</v>
      </c>
      <c r="Y16" s="240">
        <v>36192</v>
      </c>
      <c r="Z16" s="240">
        <v>8847</v>
      </c>
      <c r="AA16" s="241">
        <v>27346</v>
      </c>
      <c r="AB16" s="378">
        <v>22</v>
      </c>
      <c r="AC16" s="378">
        <v>65</v>
      </c>
      <c r="AD16" s="379">
        <v>12</v>
      </c>
      <c r="AF16" s="488">
        <v>36068</v>
      </c>
      <c r="AG16" s="378">
        <v>33</v>
      </c>
      <c r="AH16" s="378">
        <v>33</v>
      </c>
      <c r="AI16" s="378">
        <v>33</v>
      </c>
    </row>
    <row r="17" spans="1:35" ht="14.25" customHeight="1">
      <c r="A17" s="18">
        <v>38260</v>
      </c>
      <c r="B17" s="237">
        <v>3.4414640494622404</v>
      </c>
      <c r="C17" s="237">
        <v>12.664669131773598</v>
      </c>
      <c r="D17" s="237">
        <v>18.016393071770217</v>
      </c>
      <c r="E17" s="238">
        <v>-0.60720808090994105</v>
      </c>
      <c r="F17" s="18"/>
      <c r="G17" s="18">
        <v>38260</v>
      </c>
      <c r="H17" s="237">
        <v>12.664669131773598</v>
      </c>
      <c r="I17" s="237">
        <v>12.664669131773598</v>
      </c>
      <c r="J17" s="237">
        <v>12.664669131773598</v>
      </c>
      <c r="L17" s="138" t="s">
        <v>884</v>
      </c>
      <c r="M17" s="239">
        <v>39379</v>
      </c>
      <c r="N17" s="240">
        <v>10444</v>
      </c>
      <c r="O17" s="241">
        <v>28935</v>
      </c>
      <c r="P17" s="378">
        <v>27</v>
      </c>
      <c r="Q17" s="378">
        <v>80</v>
      </c>
      <c r="R17" s="379">
        <v>15</v>
      </c>
      <c r="S17" s="240">
        <v>39379</v>
      </c>
      <c r="T17" s="240">
        <v>10444</v>
      </c>
      <c r="U17" s="241">
        <v>28935</v>
      </c>
      <c r="V17" s="378">
        <v>27</v>
      </c>
      <c r="W17" s="378">
        <v>80</v>
      </c>
      <c r="X17" s="379">
        <v>15</v>
      </c>
      <c r="Y17" s="240">
        <v>39379</v>
      </c>
      <c r="Z17" s="240">
        <v>10444</v>
      </c>
      <c r="AA17" s="241">
        <v>28935</v>
      </c>
      <c r="AB17" s="378">
        <v>27</v>
      </c>
      <c r="AC17" s="378">
        <v>80</v>
      </c>
      <c r="AD17" s="379">
        <v>15</v>
      </c>
      <c r="AF17" s="488">
        <v>36160</v>
      </c>
      <c r="AG17" s="378">
        <v>23</v>
      </c>
      <c r="AH17" s="378">
        <v>23</v>
      </c>
      <c r="AI17" s="378">
        <v>23</v>
      </c>
    </row>
    <row r="18" spans="1:35" ht="14.25" customHeight="1">
      <c r="A18" s="18">
        <v>38352</v>
      </c>
      <c r="B18" s="237">
        <v>4.9468876416354277</v>
      </c>
      <c r="C18" s="237">
        <v>14.155481335172325</v>
      </c>
      <c r="D18" s="237">
        <v>18.054078227773822</v>
      </c>
      <c r="E18" s="238">
        <v>-0.42080919310221598</v>
      </c>
      <c r="F18" s="18"/>
      <c r="G18" s="18">
        <v>38352</v>
      </c>
      <c r="H18" s="237">
        <v>14.155481335172325</v>
      </c>
      <c r="I18" s="237">
        <v>14.155481335172325</v>
      </c>
      <c r="J18" s="237">
        <v>14.155481335172325</v>
      </c>
      <c r="L18" s="138" t="s">
        <v>885</v>
      </c>
      <c r="M18" s="239">
        <v>44107</v>
      </c>
      <c r="N18" s="240">
        <v>12798</v>
      </c>
      <c r="O18" s="241">
        <v>31309</v>
      </c>
      <c r="P18" s="378">
        <v>49</v>
      </c>
      <c r="Q18" s="378">
        <v>93</v>
      </c>
      <c r="R18" s="379">
        <v>36</v>
      </c>
      <c r="S18" s="240">
        <v>44107</v>
      </c>
      <c r="T18" s="240">
        <v>12798</v>
      </c>
      <c r="U18" s="241">
        <v>31309</v>
      </c>
      <c r="V18" s="378">
        <v>49</v>
      </c>
      <c r="W18" s="378">
        <v>93</v>
      </c>
      <c r="X18" s="379">
        <v>36</v>
      </c>
      <c r="Y18" s="240">
        <v>44107</v>
      </c>
      <c r="Z18" s="240">
        <v>12798</v>
      </c>
      <c r="AA18" s="241">
        <v>31309</v>
      </c>
      <c r="AB18" s="378">
        <v>49</v>
      </c>
      <c r="AC18" s="378">
        <v>93</v>
      </c>
      <c r="AD18" s="379">
        <v>36</v>
      </c>
      <c r="AF18" s="488">
        <v>36250</v>
      </c>
      <c r="AG18" s="378">
        <v>16</v>
      </c>
      <c r="AH18" s="378">
        <v>16</v>
      </c>
      <c r="AI18" s="378">
        <v>16</v>
      </c>
    </row>
    <row r="19" spans="1:35" ht="14.25" customHeight="1">
      <c r="A19" s="18">
        <v>38442</v>
      </c>
      <c r="B19" s="237">
        <v>1.3320108326992681</v>
      </c>
      <c r="C19" s="237">
        <v>13.32149727629437</v>
      </c>
      <c r="D19" s="237">
        <v>18.172802167268411</v>
      </c>
      <c r="E19" s="238">
        <v>-0.158888996306251</v>
      </c>
      <c r="F19" s="18"/>
      <c r="G19" s="18">
        <v>38442</v>
      </c>
      <c r="H19" s="237">
        <v>13.32149727629437</v>
      </c>
      <c r="I19" s="237">
        <v>13.32149727629437</v>
      </c>
      <c r="J19" s="237">
        <v>13.32149727629437</v>
      </c>
      <c r="L19" s="138" t="s">
        <v>886</v>
      </c>
      <c r="M19" s="239">
        <v>47468</v>
      </c>
      <c r="N19" s="240">
        <v>14247</v>
      </c>
      <c r="O19" s="241">
        <v>33221</v>
      </c>
      <c r="P19" s="378">
        <v>45</v>
      </c>
      <c r="Q19" s="378">
        <v>91</v>
      </c>
      <c r="R19" s="379">
        <v>32</v>
      </c>
      <c r="S19" s="240">
        <v>47468</v>
      </c>
      <c r="T19" s="240">
        <v>14247</v>
      </c>
      <c r="U19" s="241">
        <v>33221</v>
      </c>
      <c r="V19" s="378">
        <v>45</v>
      </c>
      <c r="W19" s="378">
        <v>91</v>
      </c>
      <c r="X19" s="379">
        <v>32</v>
      </c>
      <c r="Y19" s="240">
        <v>47468</v>
      </c>
      <c r="Z19" s="240">
        <v>14247</v>
      </c>
      <c r="AA19" s="241">
        <v>33221</v>
      </c>
      <c r="AB19" s="378">
        <v>45</v>
      </c>
      <c r="AC19" s="378">
        <v>91</v>
      </c>
      <c r="AD19" s="379">
        <v>32</v>
      </c>
      <c r="AF19" s="488">
        <v>36341</v>
      </c>
      <c r="AG19" s="378">
        <v>-3</v>
      </c>
      <c r="AH19" s="378">
        <v>-3</v>
      </c>
      <c r="AI19" s="378">
        <v>-3</v>
      </c>
    </row>
    <row r="20" spans="1:35" ht="14.25" customHeight="1">
      <c r="A20" s="18">
        <v>38533</v>
      </c>
      <c r="B20" s="237">
        <v>5.0810752886051063</v>
      </c>
      <c r="C20" s="237">
        <v>14.731427300288447</v>
      </c>
      <c r="D20" s="237">
        <v>17.996458473542468</v>
      </c>
      <c r="E20" s="238">
        <v>-0.19791934497426</v>
      </c>
      <c r="F20" s="18"/>
      <c r="G20" s="18">
        <v>38533</v>
      </c>
      <c r="H20" s="237">
        <v>14.731427300288447</v>
      </c>
      <c r="I20" s="237">
        <v>14.731427300288447</v>
      </c>
      <c r="J20" s="237">
        <v>14.731427300288447</v>
      </c>
      <c r="L20" s="138" t="s">
        <v>887</v>
      </c>
      <c r="M20" s="239">
        <v>50357</v>
      </c>
      <c r="N20" s="240">
        <v>15632</v>
      </c>
      <c r="O20" s="241">
        <v>34725</v>
      </c>
      <c r="P20" s="378">
        <v>39</v>
      </c>
      <c r="Q20" s="378">
        <v>77</v>
      </c>
      <c r="R20" s="379">
        <v>27</v>
      </c>
      <c r="S20" s="240">
        <v>50357</v>
      </c>
      <c r="T20" s="240">
        <v>15632</v>
      </c>
      <c r="U20" s="241">
        <v>34725</v>
      </c>
      <c r="V20" s="378">
        <v>39</v>
      </c>
      <c r="W20" s="378">
        <v>77</v>
      </c>
      <c r="X20" s="379">
        <v>27</v>
      </c>
      <c r="Y20" s="240">
        <v>50357</v>
      </c>
      <c r="Z20" s="240">
        <v>15632</v>
      </c>
      <c r="AA20" s="241">
        <v>34725</v>
      </c>
      <c r="AB20" s="378">
        <v>39</v>
      </c>
      <c r="AC20" s="378">
        <v>77</v>
      </c>
      <c r="AD20" s="379">
        <v>27</v>
      </c>
      <c r="AF20" s="488">
        <v>36433</v>
      </c>
      <c r="AG20" s="378">
        <v>1</v>
      </c>
      <c r="AH20" s="378">
        <v>1</v>
      </c>
      <c r="AI20" s="378">
        <v>1</v>
      </c>
    </row>
    <row r="21" spans="1:35" ht="14.25" customHeight="1">
      <c r="A21" s="18">
        <v>38625</v>
      </c>
      <c r="B21" s="237">
        <v>5.4673647442487976</v>
      </c>
      <c r="C21" s="237">
        <v>16.93765887210763</v>
      </c>
      <c r="D21" s="237">
        <v>17.640247345595956</v>
      </c>
      <c r="E21" s="238">
        <v>-0.42305912228714698</v>
      </c>
      <c r="F21" s="18"/>
      <c r="G21" s="18">
        <v>38625</v>
      </c>
      <c r="H21" s="237">
        <v>16.93765887210763</v>
      </c>
      <c r="I21" s="237">
        <v>16.93765887210763</v>
      </c>
      <c r="J21" s="237">
        <v>16.93765887210763</v>
      </c>
      <c r="L21" s="138" t="s">
        <v>888</v>
      </c>
      <c r="M21" s="239">
        <v>52304</v>
      </c>
      <c r="N21" s="240">
        <v>16841</v>
      </c>
      <c r="O21" s="241">
        <v>35463</v>
      </c>
      <c r="P21" s="378">
        <v>33</v>
      </c>
      <c r="Q21" s="378">
        <v>61</v>
      </c>
      <c r="R21" s="379">
        <v>23</v>
      </c>
      <c r="S21" s="240">
        <v>52304</v>
      </c>
      <c r="T21" s="240">
        <v>16841</v>
      </c>
      <c r="U21" s="241">
        <v>35463</v>
      </c>
      <c r="V21" s="378">
        <v>33</v>
      </c>
      <c r="W21" s="378">
        <v>61</v>
      </c>
      <c r="X21" s="379">
        <v>23</v>
      </c>
      <c r="Y21" s="240">
        <v>52304</v>
      </c>
      <c r="Z21" s="240">
        <v>16841</v>
      </c>
      <c r="AA21" s="241">
        <v>35463</v>
      </c>
      <c r="AB21" s="378">
        <v>33</v>
      </c>
      <c r="AC21" s="378">
        <v>61</v>
      </c>
      <c r="AD21" s="379">
        <v>23</v>
      </c>
      <c r="AF21" s="488">
        <v>36525</v>
      </c>
      <c r="AG21" s="378">
        <v>-7</v>
      </c>
      <c r="AH21" s="378">
        <v>-7</v>
      </c>
      <c r="AI21" s="378">
        <v>-7</v>
      </c>
    </row>
    <row r="22" spans="1:35" ht="14.25" customHeight="1">
      <c r="A22" s="18">
        <v>38717</v>
      </c>
      <c r="B22" s="237">
        <v>5.1321934870718309</v>
      </c>
      <c r="C22" s="237">
        <v>17.278977973044761</v>
      </c>
      <c r="D22" s="237">
        <v>17.35101723584404</v>
      </c>
      <c r="E22" s="238">
        <v>-0.58781104123641104</v>
      </c>
      <c r="F22" s="18"/>
      <c r="G22" s="18">
        <v>38717</v>
      </c>
      <c r="H22" s="237">
        <v>17.278977973044761</v>
      </c>
      <c r="I22" s="237">
        <v>17.278977973044761</v>
      </c>
      <c r="J22" s="237">
        <v>17.278977973044761</v>
      </c>
      <c r="L22" s="138" t="s">
        <v>889</v>
      </c>
      <c r="M22" s="239">
        <v>54388</v>
      </c>
      <c r="N22" s="240">
        <v>17718</v>
      </c>
      <c r="O22" s="241">
        <v>36670</v>
      </c>
      <c r="P22" s="378">
        <v>23</v>
      </c>
      <c r="Q22" s="378">
        <v>38</v>
      </c>
      <c r="R22" s="379">
        <v>17</v>
      </c>
      <c r="S22" s="240">
        <v>54388</v>
      </c>
      <c r="T22" s="240">
        <v>17718</v>
      </c>
      <c r="U22" s="241">
        <v>36670</v>
      </c>
      <c r="V22" s="378">
        <v>23</v>
      </c>
      <c r="W22" s="378">
        <v>38</v>
      </c>
      <c r="X22" s="379">
        <v>17</v>
      </c>
      <c r="Y22" s="240">
        <v>54388</v>
      </c>
      <c r="Z22" s="240">
        <v>17718</v>
      </c>
      <c r="AA22" s="241">
        <v>36670</v>
      </c>
      <c r="AB22" s="378">
        <v>23</v>
      </c>
      <c r="AC22" s="378">
        <v>38</v>
      </c>
      <c r="AD22" s="379">
        <v>17</v>
      </c>
      <c r="AF22" s="488">
        <v>36616</v>
      </c>
      <c r="AG22" s="378">
        <v>-7</v>
      </c>
      <c r="AH22" s="378">
        <v>-7</v>
      </c>
      <c r="AI22" s="378">
        <v>-7</v>
      </c>
    </row>
    <row r="23" spans="1:35" ht="14.25" customHeight="1">
      <c r="A23" s="18">
        <v>38807</v>
      </c>
      <c r="B23" s="237">
        <v>6.5762501279509991</v>
      </c>
      <c r="C23" s="237">
        <v>22.299405752243008</v>
      </c>
      <c r="D23" s="237">
        <v>16.856863583235793</v>
      </c>
      <c r="E23" s="238">
        <v>-0.96441390591542198</v>
      </c>
      <c r="F23" s="18"/>
      <c r="G23" s="18">
        <v>38807</v>
      </c>
      <c r="H23" s="237">
        <v>22.299405752243008</v>
      </c>
      <c r="I23" s="237">
        <v>22.299405752243008</v>
      </c>
      <c r="J23" s="237">
        <v>22.299405752243008</v>
      </c>
      <c r="L23" s="138" t="s">
        <v>890</v>
      </c>
      <c r="M23" s="239">
        <v>54832</v>
      </c>
      <c r="N23" s="240">
        <v>18393</v>
      </c>
      <c r="O23" s="241">
        <v>36439</v>
      </c>
      <c r="P23" s="378">
        <v>16</v>
      </c>
      <c r="Q23" s="378">
        <v>29</v>
      </c>
      <c r="R23" s="379">
        <v>10</v>
      </c>
      <c r="S23" s="240">
        <v>54832</v>
      </c>
      <c r="T23" s="240">
        <v>18393</v>
      </c>
      <c r="U23" s="241">
        <v>36439</v>
      </c>
      <c r="V23" s="378">
        <v>16</v>
      </c>
      <c r="W23" s="378">
        <v>29</v>
      </c>
      <c r="X23" s="379">
        <v>10</v>
      </c>
      <c r="Y23" s="240">
        <v>54832</v>
      </c>
      <c r="Z23" s="240">
        <v>18393</v>
      </c>
      <c r="AA23" s="241">
        <v>36439</v>
      </c>
      <c r="AB23" s="378">
        <v>16</v>
      </c>
      <c r="AC23" s="378">
        <v>29</v>
      </c>
      <c r="AD23" s="379">
        <v>10</v>
      </c>
      <c r="AF23" s="488">
        <v>36707</v>
      </c>
      <c r="AG23" s="378">
        <v>5</v>
      </c>
      <c r="AH23" s="378">
        <v>5</v>
      </c>
      <c r="AI23" s="378">
        <v>5</v>
      </c>
    </row>
    <row r="24" spans="1:35" ht="14.25" customHeight="1">
      <c r="A24" s="18">
        <v>38898</v>
      </c>
      <c r="B24" s="237">
        <v>4.1979744499520706</v>
      </c>
      <c r="C24" s="237">
        <v>23.300449534493083</v>
      </c>
      <c r="D24" s="237">
        <v>16.447038032342665</v>
      </c>
      <c r="E24" s="238">
        <v>-1.26392680235288</v>
      </c>
      <c r="F24" s="18"/>
      <c r="G24" s="18">
        <v>38898</v>
      </c>
      <c r="H24" s="237">
        <v>23.300449534493083</v>
      </c>
      <c r="I24" s="237">
        <v>23.300449534493083</v>
      </c>
      <c r="J24" s="237">
        <v>23.300449534493083</v>
      </c>
      <c r="L24" s="138" t="s">
        <v>891</v>
      </c>
      <c r="M24" s="239">
        <v>48942</v>
      </c>
      <c r="N24" s="240">
        <v>18056</v>
      </c>
      <c r="O24" s="241">
        <v>30886</v>
      </c>
      <c r="P24" s="378">
        <v>-3</v>
      </c>
      <c r="Q24" s="378">
        <v>16</v>
      </c>
      <c r="R24" s="379">
        <v>-11</v>
      </c>
      <c r="S24" s="240">
        <v>48942</v>
      </c>
      <c r="T24" s="240">
        <v>18056</v>
      </c>
      <c r="U24" s="241">
        <v>30886</v>
      </c>
      <c r="V24" s="378">
        <v>-3</v>
      </c>
      <c r="W24" s="378">
        <v>16</v>
      </c>
      <c r="X24" s="379">
        <v>-11</v>
      </c>
      <c r="Y24" s="240">
        <v>48942</v>
      </c>
      <c r="Z24" s="240">
        <v>18056</v>
      </c>
      <c r="AA24" s="241">
        <v>30886</v>
      </c>
      <c r="AB24" s="378">
        <v>-3</v>
      </c>
      <c r="AC24" s="378">
        <v>16</v>
      </c>
      <c r="AD24" s="379">
        <v>-11</v>
      </c>
      <c r="AF24" s="488">
        <v>36799</v>
      </c>
      <c r="AG24" s="378">
        <v>0</v>
      </c>
      <c r="AH24" s="378">
        <v>0</v>
      </c>
      <c r="AI24" s="378">
        <v>0</v>
      </c>
    </row>
    <row r="25" spans="1:35" ht="14.25" customHeight="1">
      <c r="A25" s="18">
        <v>38990</v>
      </c>
      <c r="B25" s="237">
        <v>4.1993772477144802</v>
      </c>
      <c r="C25" s="237">
        <v>22.631795556214552</v>
      </c>
      <c r="D25" s="237">
        <v>16.414263312616935</v>
      </c>
      <c r="E25" s="238">
        <v>-1.19389915514078</v>
      </c>
      <c r="F25" s="18"/>
      <c r="G25" s="18">
        <v>38990</v>
      </c>
      <c r="H25" s="237">
        <v>22.631795556214552</v>
      </c>
      <c r="I25" s="237">
        <v>22.631795556214552</v>
      </c>
      <c r="J25" s="237">
        <v>22.631795556214552</v>
      </c>
      <c r="L25" s="138" t="s">
        <v>892</v>
      </c>
      <c r="M25" s="239">
        <v>52615</v>
      </c>
      <c r="N25" s="240">
        <v>18911</v>
      </c>
      <c r="O25" s="241">
        <v>33704</v>
      </c>
      <c r="P25" s="378">
        <v>1</v>
      </c>
      <c r="Q25" s="378">
        <v>12</v>
      </c>
      <c r="R25" s="379">
        <v>-5</v>
      </c>
      <c r="S25" s="240">
        <v>52615</v>
      </c>
      <c r="T25" s="240">
        <v>18911</v>
      </c>
      <c r="U25" s="241">
        <v>33704</v>
      </c>
      <c r="V25" s="378">
        <v>1</v>
      </c>
      <c r="W25" s="378">
        <v>12</v>
      </c>
      <c r="X25" s="379">
        <v>-5</v>
      </c>
      <c r="Y25" s="240">
        <v>52615</v>
      </c>
      <c r="Z25" s="240">
        <v>18911</v>
      </c>
      <c r="AA25" s="241">
        <v>33704</v>
      </c>
      <c r="AB25" s="378">
        <v>1</v>
      </c>
      <c r="AC25" s="378">
        <v>12</v>
      </c>
      <c r="AD25" s="379">
        <v>-5</v>
      </c>
      <c r="AF25" s="488">
        <v>36891</v>
      </c>
      <c r="AG25" s="378">
        <v>9</v>
      </c>
      <c r="AH25" s="378">
        <v>9</v>
      </c>
      <c r="AI25" s="378">
        <v>9</v>
      </c>
    </row>
    <row r="26" spans="1:35" ht="14.25" customHeight="1">
      <c r="A26" s="18">
        <v>39082</v>
      </c>
      <c r="B26" s="237">
        <v>5.2420919651346765</v>
      </c>
      <c r="C26" s="237">
        <v>23.327638624370529</v>
      </c>
      <c r="D26" s="237">
        <v>16.162297666474061</v>
      </c>
      <c r="E26" s="238">
        <v>-1.3507943188358</v>
      </c>
      <c r="F26" s="18"/>
      <c r="G26" s="18">
        <v>39082</v>
      </c>
      <c r="H26" s="237">
        <v>23.327638624370529</v>
      </c>
      <c r="I26" s="237">
        <v>23.327638624370529</v>
      </c>
      <c r="J26" s="237">
        <v>23.327638624370529</v>
      </c>
      <c r="L26" s="138" t="s">
        <v>893</v>
      </c>
      <c r="M26" s="239">
        <v>50589</v>
      </c>
      <c r="N26" s="240">
        <v>19250</v>
      </c>
      <c r="O26" s="241">
        <v>31339</v>
      </c>
      <c r="P26" s="378">
        <v>-7</v>
      </c>
      <c r="Q26" s="378">
        <v>9</v>
      </c>
      <c r="R26" s="379">
        <v>-15</v>
      </c>
      <c r="S26" s="240">
        <v>50589</v>
      </c>
      <c r="T26" s="240">
        <v>19250</v>
      </c>
      <c r="U26" s="241">
        <v>31339</v>
      </c>
      <c r="V26" s="378">
        <v>-7</v>
      </c>
      <c r="W26" s="378">
        <v>9</v>
      </c>
      <c r="X26" s="379">
        <v>-15</v>
      </c>
      <c r="Y26" s="240">
        <v>50589</v>
      </c>
      <c r="Z26" s="240">
        <v>19250</v>
      </c>
      <c r="AA26" s="241">
        <v>31339</v>
      </c>
      <c r="AB26" s="378">
        <v>-7</v>
      </c>
      <c r="AC26" s="378">
        <v>9</v>
      </c>
      <c r="AD26" s="379">
        <v>-15</v>
      </c>
      <c r="AF26" s="488">
        <v>36981</v>
      </c>
      <c r="AG26" s="378">
        <v>16</v>
      </c>
      <c r="AH26" s="378">
        <v>16</v>
      </c>
      <c r="AI26" s="378">
        <v>16</v>
      </c>
    </row>
    <row r="27" spans="1:35" ht="14.25" customHeight="1">
      <c r="A27" s="18">
        <v>39172</v>
      </c>
      <c r="B27" s="237">
        <v>6.3900088341466699</v>
      </c>
      <c r="C27" s="237">
        <v>22.744249383353999</v>
      </c>
      <c r="D27" s="237">
        <v>15.439301448019101</v>
      </c>
      <c r="E27" s="238">
        <v>-1.9866257803387</v>
      </c>
      <c r="F27" s="18"/>
      <c r="G27" s="18">
        <v>39172</v>
      </c>
      <c r="H27" s="237">
        <v>22.744249383353999</v>
      </c>
      <c r="I27" s="237">
        <v>22.744249383353999</v>
      </c>
      <c r="J27" s="237">
        <v>22.744249383353999</v>
      </c>
      <c r="L27" s="138" t="s">
        <v>894</v>
      </c>
      <c r="M27" s="239">
        <v>51207</v>
      </c>
      <c r="N27" s="240">
        <v>19578</v>
      </c>
      <c r="O27" s="241">
        <v>31629</v>
      </c>
      <c r="P27" s="378">
        <v>-7</v>
      </c>
      <c r="Q27" s="378">
        <v>6</v>
      </c>
      <c r="R27" s="379">
        <v>-13</v>
      </c>
      <c r="S27" s="240">
        <v>51207</v>
      </c>
      <c r="T27" s="240">
        <v>19578</v>
      </c>
      <c r="U27" s="241">
        <v>31629</v>
      </c>
      <c r="V27" s="378">
        <v>-7</v>
      </c>
      <c r="W27" s="378">
        <v>6</v>
      </c>
      <c r="X27" s="379">
        <v>-13</v>
      </c>
      <c r="Y27" s="240">
        <v>51207</v>
      </c>
      <c r="Z27" s="240">
        <v>19578</v>
      </c>
      <c r="AA27" s="241">
        <v>31629</v>
      </c>
      <c r="AB27" s="378">
        <v>-7</v>
      </c>
      <c r="AC27" s="378">
        <v>6</v>
      </c>
      <c r="AD27" s="379">
        <v>-13</v>
      </c>
      <c r="AF27" s="488">
        <v>37072</v>
      </c>
      <c r="AG27" s="378">
        <v>20</v>
      </c>
      <c r="AH27" s="378">
        <v>20</v>
      </c>
      <c r="AI27" s="378">
        <v>20</v>
      </c>
    </row>
    <row r="28" spans="1:35" ht="14.25" customHeight="1">
      <c r="A28" s="18">
        <v>39263</v>
      </c>
      <c r="B28" s="237">
        <v>5.9151569736022083</v>
      </c>
      <c r="C28" s="237">
        <v>21.600186313204329</v>
      </c>
      <c r="D28" s="237">
        <v>14.852021997673672</v>
      </c>
      <c r="E28" s="238">
        <v>-2.4947660084610201</v>
      </c>
      <c r="F28" s="18"/>
      <c r="G28" s="18">
        <v>39263</v>
      </c>
      <c r="H28" s="237">
        <v>21.600186313204329</v>
      </c>
      <c r="I28" s="237">
        <v>21.600186313204329</v>
      </c>
      <c r="J28" s="237">
        <v>21.600186313204329</v>
      </c>
      <c r="L28" s="138" t="s">
        <v>895</v>
      </c>
      <c r="M28" s="239">
        <v>51481</v>
      </c>
      <c r="N28" s="240">
        <v>20338</v>
      </c>
      <c r="O28" s="241">
        <v>31144</v>
      </c>
      <c r="P28" s="378">
        <v>5</v>
      </c>
      <c r="Q28" s="378">
        <v>13</v>
      </c>
      <c r="R28" s="379">
        <v>1</v>
      </c>
      <c r="S28" s="240">
        <v>51481</v>
      </c>
      <c r="T28" s="240">
        <v>20338</v>
      </c>
      <c r="U28" s="241">
        <v>31144</v>
      </c>
      <c r="V28" s="378">
        <v>5</v>
      </c>
      <c r="W28" s="378">
        <v>13</v>
      </c>
      <c r="X28" s="379">
        <v>1</v>
      </c>
      <c r="Y28" s="240">
        <v>51481</v>
      </c>
      <c r="Z28" s="240">
        <v>20338</v>
      </c>
      <c r="AA28" s="241">
        <v>31144</v>
      </c>
      <c r="AB28" s="378">
        <v>5</v>
      </c>
      <c r="AC28" s="378">
        <v>13</v>
      </c>
      <c r="AD28" s="379">
        <v>1</v>
      </c>
      <c r="AF28" s="488">
        <v>37164</v>
      </c>
      <c r="AG28" s="378">
        <v>25</v>
      </c>
      <c r="AH28" s="378">
        <v>25</v>
      </c>
      <c r="AI28" s="378">
        <v>25</v>
      </c>
    </row>
    <row r="29" spans="1:35" ht="14.25" customHeight="1">
      <c r="A29" s="18">
        <v>39355</v>
      </c>
      <c r="B29" s="237">
        <v>4.7434249558204016</v>
      </c>
      <c r="C29" s="237">
        <v>17.762938152163123</v>
      </c>
      <c r="D29" s="237">
        <v>14.46366011500802</v>
      </c>
      <c r="E29" s="238">
        <v>-2.8120545478340899</v>
      </c>
      <c r="F29" s="18"/>
      <c r="G29" s="18">
        <v>39355</v>
      </c>
      <c r="H29" s="237">
        <v>17.762938152163123</v>
      </c>
      <c r="I29" s="237">
        <v>17.762938152163123</v>
      </c>
      <c r="J29" s="237">
        <v>17.762938152163123</v>
      </c>
      <c r="L29" s="138" t="s">
        <v>896</v>
      </c>
      <c r="M29" s="239">
        <v>52645</v>
      </c>
      <c r="N29" s="240">
        <v>21386</v>
      </c>
      <c r="O29" s="241">
        <v>31259</v>
      </c>
      <c r="P29" s="378">
        <v>0</v>
      </c>
      <c r="Q29" s="378">
        <v>13</v>
      </c>
      <c r="R29" s="379">
        <v>-7</v>
      </c>
      <c r="S29" s="240">
        <v>52645</v>
      </c>
      <c r="T29" s="240">
        <v>21386</v>
      </c>
      <c r="U29" s="241">
        <v>31259</v>
      </c>
      <c r="V29" s="378">
        <v>0</v>
      </c>
      <c r="W29" s="378">
        <v>13</v>
      </c>
      <c r="X29" s="379">
        <v>-7</v>
      </c>
      <c r="Y29" s="240">
        <v>52645</v>
      </c>
      <c r="Z29" s="240">
        <v>21386</v>
      </c>
      <c r="AA29" s="241">
        <v>31259</v>
      </c>
      <c r="AB29" s="378">
        <v>0</v>
      </c>
      <c r="AC29" s="378">
        <v>13</v>
      </c>
      <c r="AD29" s="379">
        <v>-7</v>
      </c>
      <c r="AF29" s="488">
        <v>37256</v>
      </c>
      <c r="AG29" s="378">
        <v>25</v>
      </c>
      <c r="AH29" s="378">
        <v>25</v>
      </c>
      <c r="AI29" s="378">
        <v>25</v>
      </c>
    </row>
    <row r="30" spans="1:35" ht="14.25" customHeight="1">
      <c r="A30" s="18">
        <v>39447</v>
      </c>
      <c r="B30" s="237">
        <v>4.1200517556200396</v>
      </c>
      <c r="C30" s="237">
        <v>15.363870394136892</v>
      </c>
      <c r="D30" s="237">
        <v>13.923872138358433</v>
      </c>
      <c r="E30" s="238">
        <v>-3.2887756136833199</v>
      </c>
      <c r="F30" s="18"/>
      <c r="G30" s="18">
        <v>39447</v>
      </c>
      <c r="H30" s="237">
        <v>15.363870394136892</v>
      </c>
      <c r="I30" s="237">
        <v>15.363870394136892</v>
      </c>
      <c r="J30" s="237">
        <v>15.363870394136892</v>
      </c>
      <c r="L30" s="138" t="s">
        <v>897</v>
      </c>
      <c r="M30" s="239">
        <v>54911</v>
      </c>
      <c r="N30" s="240">
        <v>23299</v>
      </c>
      <c r="O30" s="241">
        <v>31612</v>
      </c>
      <c r="P30" s="378">
        <v>9</v>
      </c>
      <c r="Q30" s="378">
        <v>21</v>
      </c>
      <c r="R30" s="379">
        <v>1</v>
      </c>
      <c r="S30" s="240">
        <v>54911</v>
      </c>
      <c r="T30" s="240">
        <v>23299</v>
      </c>
      <c r="U30" s="241">
        <v>31612</v>
      </c>
      <c r="V30" s="378">
        <v>9</v>
      </c>
      <c r="W30" s="378">
        <v>21</v>
      </c>
      <c r="X30" s="379">
        <v>1</v>
      </c>
      <c r="Y30" s="240">
        <v>54911</v>
      </c>
      <c r="Z30" s="240">
        <v>23299</v>
      </c>
      <c r="AA30" s="241">
        <v>31612</v>
      </c>
      <c r="AB30" s="378">
        <v>9</v>
      </c>
      <c r="AC30" s="378">
        <v>21</v>
      </c>
      <c r="AD30" s="379">
        <v>1</v>
      </c>
      <c r="AF30" s="488">
        <v>37346</v>
      </c>
      <c r="AG30" s="378">
        <v>24</v>
      </c>
      <c r="AH30" s="378">
        <v>24</v>
      </c>
      <c r="AI30" s="378">
        <v>24</v>
      </c>
    </row>
    <row r="31" spans="1:35" ht="14.25" customHeight="1">
      <c r="A31" s="18">
        <v>39538</v>
      </c>
      <c r="B31" s="237">
        <v>2.901486866103582</v>
      </c>
      <c r="C31" s="243">
        <v>13.390549315164208</v>
      </c>
      <c r="D31" s="237">
        <v>13.300571388306553</v>
      </c>
      <c r="E31" s="238">
        <v>-3.8568439568069999</v>
      </c>
      <c r="F31" s="18"/>
      <c r="G31" s="18">
        <v>39538</v>
      </c>
      <c r="H31" s="243">
        <v>13.390549315164208</v>
      </c>
      <c r="I31" s="243">
        <v>13.390549315164208</v>
      </c>
      <c r="J31" s="243">
        <v>13.390549315164208</v>
      </c>
      <c r="L31" s="138" t="s">
        <v>898</v>
      </c>
      <c r="M31" s="239">
        <v>59220</v>
      </c>
      <c r="N31" s="240">
        <v>25133</v>
      </c>
      <c r="O31" s="241">
        <v>34087</v>
      </c>
      <c r="P31" s="378">
        <v>16</v>
      </c>
      <c r="Q31" s="378">
        <v>28</v>
      </c>
      <c r="R31" s="379">
        <v>8</v>
      </c>
      <c r="S31" s="240">
        <v>59220</v>
      </c>
      <c r="T31" s="240">
        <v>25133</v>
      </c>
      <c r="U31" s="241">
        <v>34087</v>
      </c>
      <c r="V31" s="378">
        <v>16</v>
      </c>
      <c r="W31" s="378">
        <v>28</v>
      </c>
      <c r="X31" s="379">
        <v>8</v>
      </c>
      <c r="Y31" s="240">
        <v>59220</v>
      </c>
      <c r="Z31" s="240">
        <v>25133</v>
      </c>
      <c r="AA31" s="241">
        <v>34087</v>
      </c>
      <c r="AB31" s="378">
        <v>16</v>
      </c>
      <c r="AC31" s="378">
        <v>28</v>
      </c>
      <c r="AD31" s="379">
        <v>8</v>
      </c>
      <c r="AF31" s="488">
        <v>37437</v>
      </c>
      <c r="AG31" s="378">
        <v>26</v>
      </c>
      <c r="AH31" s="378">
        <v>26</v>
      </c>
      <c r="AI31" s="378">
        <v>26</v>
      </c>
    </row>
    <row r="32" spans="1:35" ht="14.25" customHeight="1">
      <c r="A32" s="18">
        <v>39629</v>
      </c>
      <c r="B32" s="237">
        <v>3.092621264257005</v>
      </c>
      <c r="C32" s="243">
        <v>10.872020773374217</v>
      </c>
      <c r="D32" s="237">
        <v>13.22933494979319</v>
      </c>
      <c r="E32" s="238">
        <v>-3.8803790126191702</v>
      </c>
      <c r="F32" s="18"/>
      <c r="G32" s="18">
        <v>39629</v>
      </c>
      <c r="H32" s="243">
        <v>10.872020773374217</v>
      </c>
      <c r="I32" s="243">
        <v>10.872020773374217</v>
      </c>
      <c r="J32" s="243">
        <v>10.872020773374217</v>
      </c>
      <c r="L32" s="138" t="s">
        <v>899</v>
      </c>
      <c r="M32" s="239">
        <v>61832</v>
      </c>
      <c r="N32" s="240">
        <v>26827</v>
      </c>
      <c r="O32" s="241">
        <v>35005</v>
      </c>
      <c r="P32" s="378">
        <v>20</v>
      </c>
      <c r="Q32" s="378">
        <v>32</v>
      </c>
      <c r="R32" s="379">
        <v>12</v>
      </c>
      <c r="S32" s="240">
        <v>61832</v>
      </c>
      <c r="T32" s="240">
        <v>26827</v>
      </c>
      <c r="U32" s="241">
        <v>35005</v>
      </c>
      <c r="V32" s="378">
        <v>20</v>
      </c>
      <c r="W32" s="378">
        <v>32</v>
      </c>
      <c r="X32" s="379">
        <v>12</v>
      </c>
      <c r="Y32" s="240">
        <v>61832</v>
      </c>
      <c r="Z32" s="240">
        <v>26827</v>
      </c>
      <c r="AA32" s="241">
        <v>35005</v>
      </c>
      <c r="AB32" s="378">
        <v>20</v>
      </c>
      <c r="AC32" s="378">
        <v>32</v>
      </c>
      <c r="AD32" s="379">
        <v>12</v>
      </c>
      <c r="AF32" s="488">
        <v>37529</v>
      </c>
      <c r="AG32" s="378">
        <v>28</v>
      </c>
      <c r="AH32" s="378">
        <v>28</v>
      </c>
      <c r="AI32" s="378">
        <v>28</v>
      </c>
    </row>
    <row r="33" spans="1:35" ht="14.25" customHeight="1">
      <c r="A33" s="18">
        <v>39721</v>
      </c>
      <c r="B33" s="237">
        <v>1.7035991173792269</v>
      </c>
      <c r="C33" s="243">
        <v>12.041973135024406</v>
      </c>
      <c r="D33" s="237">
        <v>13.135480921932745</v>
      </c>
      <c r="E33" s="238">
        <v>-3.93360492860235</v>
      </c>
      <c r="F33" s="18"/>
      <c r="G33" s="18">
        <v>39721</v>
      </c>
      <c r="H33" s="243">
        <v>12.041973135024406</v>
      </c>
      <c r="I33" s="243">
        <v>12.041973135024406</v>
      </c>
      <c r="J33" s="243">
        <v>12.041973135024406</v>
      </c>
      <c r="L33" s="138" t="s">
        <v>900</v>
      </c>
      <c r="M33" s="239">
        <v>65673</v>
      </c>
      <c r="N33" s="240">
        <v>29061</v>
      </c>
      <c r="O33" s="241">
        <v>36612</v>
      </c>
      <c r="P33" s="378">
        <v>25</v>
      </c>
      <c r="Q33" s="378">
        <v>36</v>
      </c>
      <c r="R33" s="379">
        <v>17</v>
      </c>
      <c r="S33" s="240">
        <v>65673</v>
      </c>
      <c r="T33" s="240">
        <v>29061</v>
      </c>
      <c r="U33" s="241">
        <v>36612</v>
      </c>
      <c r="V33" s="378">
        <v>25</v>
      </c>
      <c r="W33" s="378">
        <v>36</v>
      </c>
      <c r="X33" s="379">
        <v>17</v>
      </c>
      <c r="Y33" s="240">
        <v>65673</v>
      </c>
      <c r="Z33" s="240">
        <v>29061</v>
      </c>
      <c r="AA33" s="241">
        <v>36612</v>
      </c>
      <c r="AB33" s="378">
        <v>25</v>
      </c>
      <c r="AC33" s="378">
        <v>36</v>
      </c>
      <c r="AD33" s="379">
        <v>17</v>
      </c>
      <c r="AF33" s="488">
        <v>37621</v>
      </c>
      <c r="AG33" s="378">
        <v>32</v>
      </c>
      <c r="AH33" s="378">
        <v>32</v>
      </c>
      <c r="AI33" s="378">
        <v>32</v>
      </c>
    </row>
    <row r="34" spans="1:35" ht="14.25" customHeight="1">
      <c r="A34" s="18">
        <v>39813</v>
      </c>
      <c r="B34" s="237">
        <v>-0.64648472106203769</v>
      </c>
      <c r="C34" s="243">
        <v>8.7039305515353931</v>
      </c>
      <c r="D34" s="237">
        <v>13.042909457336448</v>
      </c>
      <c r="E34" s="238">
        <v>-3.9920085835817098</v>
      </c>
      <c r="F34" s="18"/>
      <c r="G34" s="18">
        <v>39813</v>
      </c>
      <c r="H34" s="243">
        <v>8.7039305515353931</v>
      </c>
      <c r="I34" s="243">
        <v>8.7039305515353931</v>
      </c>
      <c r="J34" s="243">
        <v>8.7039305515353931</v>
      </c>
      <c r="L34" s="138" t="s">
        <v>901</v>
      </c>
      <c r="M34" s="239">
        <v>68474</v>
      </c>
      <c r="N34" s="240">
        <v>30133</v>
      </c>
      <c r="O34" s="241">
        <v>38341</v>
      </c>
      <c r="P34" s="378">
        <v>25</v>
      </c>
      <c r="Q34" s="378">
        <v>29</v>
      </c>
      <c r="R34" s="379">
        <v>21</v>
      </c>
      <c r="S34" s="240">
        <v>68474</v>
      </c>
      <c r="T34" s="240">
        <v>30133</v>
      </c>
      <c r="U34" s="241">
        <v>38341</v>
      </c>
      <c r="V34" s="378">
        <v>25</v>
      </c>
      <c r="W34" s="378">
        <v>29</v>
      </c>
      <c r="X34" s="379">
        <v>21</v>
      </c>
      <c r="Y34" s="240">
        <v>68474</v>
      </c>
      <c r="Z34" s="240">
        <v>30133</v>
      </c>
      <c r="AA34" s="241">
        <v>38341</v>
      </c>
      <c r="AB34" s="378">
        <v>25</v>
      </c>
      <c r="AC34" s="378">
        <v>29</v>
      </c>
      <c r="AD34" s="379">
        <v>21</v>
      </c>
      <c r="AF34" s="488">
        <v>37711</v>
      </c>
      <c r="AG34" s="378">
        <v>30</v>
      </c>
      <c r="AH34" s="378">
        <v>30</v>
      </c>
      <c r="AI34" s="378">
        <v>30</v>
      </c>
    </row>
    <row r="35" spans="1:35" ht="14.25" customHeight="1">
      <c r="A35" s="18">
        <v>39903</v>
      </c>
      <c r="B35" s="237">
        <v>-8.8169943967401565</v>
      </c>
      <c r="C35" s="243">
        <v>6.5478294595665005</v>
      </c>
      <c r="D35" s="237">
        <v>13.997141567094763</v>
      </c>
      <c r="E35" s="238">
        <v>-3.0092986537059101</v>
      </c>
      <c r="F35" s="18"/>
      <c r="G35" s="18">
        <v>39903</v>
      </c>
      <c r="H35" s="243">
        <v>6.5478294595665005</v>
      </c>
      <c r="I35" s="243">
        <v>6.5478294595665005</v>
      </c>
      <c r="J35" s="243">
        <v>6.5478294595665005</v>
      </c>
      <c r="L35" s="138" t="s">
        <v>902</v>
      </c>
      <c r="M35" s="239">
        <v>73335</v>
      </c>
      <c r="N35" s="240">
        <v>32588</v>
      </c>
      <c r="O35" s="241">
        <v>40747</v>
      </c>
      <c r="P35" s="378">
        <v>24</v>
      </c>
      <c r="Q35" s="378">
        <v>30</v>
      </c>
      <c r="R35" s="379">
        <v>20</v>
      </c>
      <c r="S35" s="240">
        <v>73335</v>
      </c>
      <c r="T35" s="240">
        <v>32588</v>
      </c>
      <c r="U35" s="241">
        <v>40747</v>
      </c>
      <c r="V35" s="378">
        <v>24</v>
      </c>
      <c r="W35" s="378">
        <v>30</v>
      </c>
      <c r="X35" s="379">
        <v>20</v>
      </c>
      <c r="Y35" s="240">
        <v>73335</v>
      </c>
      <c r="Z35" s="240">
        <v>32588</v>
      </c>
      <c r="AA35" s="241">
        <v>40747</v>
      </c>
      <c r="AB35" s="378">
        <v>24</v>
      </c>
      <c r="AC35" s="378">
        <v>30</v>
      </c>
      <c r="AD35" s="379">
        <v>20</v>
      </c>
      <c r="AF35" s="488">
        <v>37802</v>
      </c>
      <c r="AG35" s="378">
        <v>24</v>
      </c>
      <c r="AH35" s="378">
        <v>24</v>
      </c>
      <c r="AI35" s="378">
        <v>24</v>
      </c>
    </row>
    <row r="36" spans="1:35" ht="14.25" customHeight="1">
      <c r="A36" s="18">
        <v>39994</v>
      </c>
      <c r="B36" s="237">
        <v>-8.5892060228062235</v>
      </c>
      <c r="C36" s="243">
        <v>3.4683884842165185</v>
      </c>
      <c r="D36" s="237">
        <v>14.911772067616077</v>
      </c>
      <c r="E36" s="238">
        <v>-2.0709503294624101</v>
      </c>
      <c r="F36" s="18"/>
      <c r="G36" s="18">
        <v>39994</v>
      </c>
      <c r="H36" s="243">
        <v>3.4683884842165185</v>
      </c>
      <c r="I36" s="243">
        <v>3.4683884842165185</v>
      </c>
      <c r="J36" s="243">
        <v>3.4683884842165185</v>
      </c>
      <c r="L36" s="138" t="s">
        <v>903</v>
      </c>
      <c r="M36" s="239">
        <v>77966</v>
      </c>
      <c r="N36" s="240">
        <v>36033</v>
      </c>
      <c r="O36" s="241">
        <v>41933</v>
      </c>
      <c r="P36" s="378">
        <v>26</v>
      </c>
      <c r="Q36" s="378">
        <v>34</v>
      </c>
      <c r="R36" s="379">
        <v>20</v>
      </c>
      <c r="S36" s="240">
        <v>77966</v>
      </c>
      <c r="T36" s="240">
        <v>36033</v>
      </c>
      <c r="U36" s="241">
        <v>41933</v>
      </c>
      <c r="V36" s="378">
        <v>26</v>
      </c>
      <c r="W36" s="378">
        <v>34</v>
      </c>
      <c r="X36" s="379">
        <v>20</v>
      </c>
      <c r="Y36" s="240">
        <v>77966</v>
      </c>
      <c r="Z36" s="240">
        <v>36033</v>
      </c>
      <c r="AA36" s="241">
        <v>41933</v>
      </c>
      <c r="AB36" s="378">
        <v>26</v>
      </c>
      <c r="AC36" s="378">
        <v>34</v>
      </c>
      <c r="AD36" s="379">
        <v>20</v>
      </c>
      <c r="AF36" s="488">
        <v>37894</v>
      </c>
      <c r="AG36" s="378">
        <v>19</v>
      </c>
      <c r="AH36" s="378">
        <v>19</v>
      </c>
      <c r="AI36" s="378">
        <v>19</v>
      </c>
    </row>
    <row r="37" spans="1:35" ht="14.25" customHeight="1">
      <c r="A37" s="18">
        <v>40086</v>
      </c>
      <c r="B37" s="237">
        <v>-7.613715980090987</v>
      </c>
      <c r="C37" s="243">
        <v>-0.28058039842994731</v>
      </c>
      <c r="D37" s="237">
        <v>15.700013470837447</v>
      </c>
      <c r="E37" s="238">
        <v>-1.2627007338638101</v>
      </c>
      <c r="F37" s="18"/>
      <c r="G37" s="18">
        <v>40086</v>
      </c>
      <c r="H37" s="243">
        <v>-0.28058039842994731</v>
      </c>
      <c r="I37" s="243">
        <v>-0.28058039842994731</v>
      </c>
      <c r="J37" s="243">
        <v>-0.28058039842994731</v>
      </c>
      <c r="L37" s="138" t="s">
        <v>904</v>
      </c>
      <c r="M37" s="239">
        <v>83792</v>
      </c>
      <c r="N37" s="240">
        <v>39437</v>
      </c>
      <c r="O37" s="241">
        <v>44355</v>
      </c>
      <c r="P37" s="378">
        <v>28</v>
      </c>
      <c r="Q37" s="378">
        <v>36</v>
      </c>
      <c r="R37" s="379">
        <v>21</v>
      </c>
      <c r="S37" s="240">
        <v>83792</v>
      </c>
      <c r="T37" s="240">
        <v>39437</v>
      </c>
      <c r="U37" s="241">
        <v>44355</v>
      </c>
      <c r="V37" s="378">
        <v>28</v>
      </c>
      <c r="W37" s="378">
        <v>36</v>
      </c>
      <c r="X37" s="379">
        <v>21</v>
      </c>
      <c r="Y37" s="240">
        <v>83792</v>
      </c>
      <c r="Z37" s="240">
        <v>39437</v>
      </c>
      <c r="AA37" s="241">
        <v>44355</v>
      </c>
      <c r="AB37" s="378">
        <v>28</v>
      </c>
      <c r="AC37" s="378">
        <v>36</v>
      </c>
      <c r="AD37" s="379">
        <v>21</v>
      </c>
      <c r="AF37" s="488">
        <v>37986</v>
      </c>
      <c r="AG37" s="378">
        <v>16</v>
      </c>
      <c r="AH37" s="378">
        <v>16</v>
      </c>
      <c r="AI37" s="378">
        <v>16</v>
      </c>
    </row>
    <row r="38" spans="1:35" ht="14.25" customHeight="1">
      <c r="A38" s="18">
        <v>40178</v>
      </c>
      <c r="B38" s="237">
        <v>-4.3203717322743387</v>
      </c>
      <c r="C38" s="243">
        <v>-0.33655687572895943</v>
      </c>
      <c r="D38" s="237">
        <v>16.247612098112754</v>
      </c>
      <c r="E38" s="238">
        <v>-0.69767034249272597</v>
      </c>
      <c r="F38" s="18"/>
      <c r="G38" s="18">
        <v>40178</v>
      </c>
      <c r="H38" s="243">
        <v>-0.33655687572895943</v>
      </c>
      <c r="I38" s="243">
        <v>-0.33655687572895943</v>
      </c>
      <c r="J38" s="243">
        <v>-0.33655687572895943</v>
      </c>
      <c r="L38" s="138" t="s">
        <v>905</v>
      </c>
      <c r="M38" s="239">
        <v>90180</v>
      </c>
      <c r="N38" s="240">
        <v>43164</v>
      </c>
      <c r="O38" s="241">
        <v>47016</v>
      </c>
      <c r="P38" s="378">
        <v>32</v>
      </c>
      <c r="Q38" s="378">
        <v>43</v>
      </c>
      <c r="R38" s="379">
        <v>23</v>
      </c>
      <c r="S38" s="240">
        <v>90180</v>
      </c>
      <c r="T38" s="240">
        <v>43164</v>
      </c>
      <c r="U38" s="241">
        <v>47016</v>
      </c>
      <c r="V38" s="378">
        <v>32</v>
      </c>
      <c r="W38" s="378">
        <v>43</v>
      </c>
      <c r="X38" s="379">
        <v>23</v>
      </c>
      <c r="Y38" s="240">
        <v>90180</v>
      </c>
      <c r="Z38" s="240">
        <v>43164</v>
      </c>
      <c r="AA38" s="241">
        <v>47016</v>
      </c>
      <c r="AB38" s="378">
        <v>32</v>
      </c>
      <c r="AC38" s="378">
        <v>43</v>
      </c>
      <c r="AD38" s="379">
        <v>23</v>
      </c>
      <c r="AF38" s="488">
        <v>38077</v>
      </c>
      <c r="AG38" s="378">
        <v>11</v>
      </c>
      <c r="AH38" s="378">
        <v>11</v>
      </c>
      <c r="AI38" s="378">
        <v>11</v>
      </c>
    </row>
    <row r="39" spans="1:35" ht="14.25" customHeight="1">
      <c r="A39" s="18">
        <v>40268</v>
      </c>
      <c r="B39" s="237">
        <v>-2.511213415242679</v>
      </c>
      <c r="C39" s="243">
        <v>0.63999509884550321</v>
      </c>
      <c r="D39" s="237">
        <v>17.017538562852806</v>
      </c>
      <c r="E39" s="238">
        <v>8.8295169154431905E-2</v>
      </c>
      <c r="F39" s="18"/>
      <c r="G39" s="18">
        <v>40268</v>
      </c>
      <c r="H39" s="243">
        <v>0.63999509884550321</v>
      </c>
      <c r="I39" s="243">
        <v>0.63999509884550321</v>
      </c>
      <c r="J39" s="243">
        <v>0.63999509884550321</v>
      </c>
      <c r="L39" s="138" t="s">
        <v>906</v>
      </c>
      <c r="M39" s="239">
        <v>95087</v>
      </c>
      <c r="N39" s="240">
        <v>46801</v>
      </c>
      <c r="O39" s="241">
        <v>48286</v>
      </c>
      <c r="P39" s="378">
        <v>30</v>
      </c>
      <c r="Q39" s="378">
        <v>44</v>
      </c>
      <c r="R39" s="379">
        <v>19</v>
      </c>
      <c r="S39" s="240">
        <v>95087</v>
      </c>
      <c r="T39" s="240">
        <v>46801</v>
      </c>
      <c r="U39" s="241">
        <v>48286</v>
      </c>
      <c r="V39" s="378">
        <v>30</v>
      </c>
      <c r="W39" s="378">
        <v>44</v>
      </c>
      <c r="X39" s="379">
        <v>19</v>
      </c>
      <c r="Y39" s="240">
        <v>95087</v>
      </c>
      <c r="Z39" s="240">
        <v>46801</v>
      </c>
      <c r="AA39" s="241">
        <v>48286</v>
      </c>
      <c r="AB39" s="378">
        <v>30</v>
      </c>
      <c r="AC39" s="378">
        <v>44</v>
      </c>
      <c r="AD39" s="379">
        <v>19</v>
      </c>
      <c r="AF39" s="488">
        <v>38168</v>
      </c>
      <c r="AG39" s="378">
        <v>12</v>
      </c>
      <c r="AH39" s="378">
        <v>12</v>
      </c>
      <c r="AI39" s="378">
        <v>12</v>
      </c>
    </row>
    <row r="40" spans="1:35" ht="14.25" customHeight="1">
      <c r="A40" s="18">
        <v>40359</v>
      </c>
      <c r="B40" s="237">
        <v>-2.939447085478136</v>
      </c>
      <c r="C40" s="243">
        <v>2.0169068936327363</v>
      </c>
      <c r="D40" s="237">
        <v>17.471147589560481</v>
      </c>
      <c r="E40" s="238">
        <v>0.55776214348708897</v>
      </c>
      <c r="F40" s="18"/>
      <c r="G40" s="18">
        <v>40359</v>
      </c>
      <c r="H40" s="243">
        <v>2.0169068936327363</v>
      </c>
      <c r="I40" s="243">
        <v>2.0169068936327363</v>
      </c>
      <c r="J40" s="243">
        <v>2.0169068936327363</v>
      </c>
      <c r="L40" s="138" t="s">
        <v>907</v>
      </c>
      <c r="M40" s="239">
        <v>96702</v>
      </c>
      <c r="N40" s="240">
        <v>49449</v>
      </c>
      <c r="O40" s="241">
        <v>47253</v>
      </c>
      <c r="P40" s="378">
        <v>24</v>
      </c>
      <c r="Q40" s="378">
        <v>37</v>
      </c>
      <c r="R40" s="379">
        <v>13</v>
      </c>
      <c r="S40" s="240">
        <v>96702</v>
      </c>
      <c r="T40" s="240">
        <v>49449</v>
      </c>
      <c r="U40" s="241">
        <v>47253</v>
      </c>
      <c r="V40" s="378">
        <v>24</v>
      </c>
      <c r="W40" s="378">
        <v>37</v>
      </c>
      <c r="X40" s="379">
        <v>13</v>
      </c>
      <c r="Y40" s="240">
        <v>96702</v>
      </c>
      <c r="Z40" s="240">
        <v>49449</v>
      </c>
      <c r="AA40" s="241">
        <v>47253</v>
      </c>
      <c r="AB40" s="378">
        <v>24</v>
      </c>
      <c r="AC40" s="378">
        <v>37</v>
      </c>
      <c r="AD40" s="379">
        <v>13</v>
      </c>
      <c r="AF40" s="488">
        <v>38260</v>
      </c>
      <c r="AG40" s="378">
        <v>13</v>
      </c>
      <c r="AH40" s="378">
        <v>13</v>
      </c>
      <c r="AI40" s="378">
        <v>13</v>
      </c>
    </row>
    <row r="41" spans="1:35" ht="14.25" customHeight="1">
      <c r="A41" s="18">
        <v>40451</v>
      </c>
      <c r="B41" s="237">
        <v>1.013481423639135</v>
      </c>
      <c r="C41" s="243">
        <v>3.4382928180565813</v>
      </c>
      <c r="D41" s="237">
        <v>17.822467154531747</v>
      </c>
      <c r="E41" s="238">
        <v>0.92596664290096997</v>
      </c>
      <c r="F41" s="18"/>
      <c r="G41" s="18">
        <v>40451</v>
      </c>
      <c r="H41" s="243">
        <v>3.4382928180565813</v>
      </c>
      <c r="I41" s="243">
        <v>3.4382928180565813</v>
      </c>
      <c r="J41" s="243">
        <v>3.4382928180565813</v>
      </c>
      <c r="L41" s="138" t="s">
        <v>908</v>
      </c>
      <c r="M41" s="239">
        <v>99887</v>
      </c>
      <c r="N41" s="240">
        <v>52406</v>
      </c>
      <c r="O41" s="241">
        <v>47482</v>
      </c>
      <c r="P41" s="378">
        <v>19</v>
      </c>
      <c r="Q41" s="378">
        <v>33</v>
      </c>
      <c r="R41" s="379">
        <v>7</v>
      </c>
      <c r="S41" s="240">
        <v>99887</v>
      </c>
      <c r="T41" s="240">
        <v>52406</v>
      </c>
      <c r="U41" s="241">
        <v>47482</v>
      </c>
      <c r="V41" s="378">
        <v>19</v>
      </c>
      <c r="W41" s="378">
        <v>33</v>
      </c>
      <c r="X41" s="379">
        <v>7</v>
      </c>
      <c r="Y41" s="240">
        <v>99887</v>
      </c>
      <c r="Z41" s="240">
        <v>52406</v>
      </c>
      <c r="AA41" s="241">
        <v>47482</v>
      </c>
      <c r="AB41" s="378">
        <v>19</v>
      </c>
      <c r="AC41" s="378">
        <v>33</v>
      </c>
      <c r="AD41" s="379">
        <v>7</v>
      </c>
      <c r="AF41" s="488">
        <v>38352</v>
      </c>
      <c r="AG41" s="378">
        <v>14</v>
      </c>
      <c r="AH41" s="378">
        <v>14</v>
      </c>
      <c r="AI41" s="378">
        <v>14</v>
      </c>
    </row>
    <row r="42" spans="1:35" ht="14.25" customHeight="1">
      <c r="A42" s="18">
        <v>40543</v>
      </c>
      <c r="B42" s="237">
        <v>-1.7422109868578985</v>
      </c>
      <c r="C42" s="243">
        <v>2.263464407623573</v>
      </c>
      <c r="D42" s="237">
        <v>18.033735238627166</v>
      </c>
      <c r="E42" s="238">
        <v>1.15633242387073</v>
      </c>
      <c r="F42" s="18"/>
      <c r="G42" s="18">
        <v>40543</v>
      </c>
      <c r="H42" s="243">
        <v>2.263464407623573</v>
      </c>
      <c r="I42" s="243">
        <v>2.263464407623573</v>
      </c>
      <c r="J42" s="243">
        <v>2.263464407623573</v>
      </c>
      <c r="L42" s="138" t="s">
        <v>909</v>
      </c>
      <c r="M42" s="239">
        <v>104616</v>
      </c>
      <c r="N42" s="240">
        <v>55189</v>
      </c>
      <c r="O42" s="241">
        <v>49427</v>
      </c>
      <c r="P42" s="378">
        <v>16</v>
      </c>
      <c r="Q42" s="378">
        <v>28</v>
      </c>
      <c r="R42" s="379">
        <v>5</v>
      </c>
      <c r="S42" s="240">
        <v>104616</v>
      </c>
      <c r="T42" s="240">
        <v>55189</v>
      </c>
      <c r="U42" s="241">
        <v>49427</v>
      </c>
      <c r="V42" s="378">
        <v>16</v>
      </c>
      <c r="W42" s="378">
        <v>28</v>
      </c>
      <c r="X42" s="379">
        <v>5</v>
      </c>
      <c r="Y42" s="240">
        <v>104616</v>
      </c>
      <c r="Z42" s="240">
        <v>55189</v>
      </c>
      <c r="AA42" s="241">
        <v>49427</v>
      </c>
      <c r="AB42" s="378">
        <v>16</v>
      </c>
      <c r="AC42" s="378">
        <v>28</v>
      </c>
      <c r="AD42" s="379">
        <v>5</v>
      </c>
      <c r="AF42" s="488">
        <v>38442</v>
      </c>
      <c r="AG42" s="378">
        <v>14</v>
      </c>
      <c r="AH42" s="378">
        <v>14</v>
      </c>
      <c r="AI42" s="378">
        <v>14</v>
      </c>
    </row>
    <row r="43" spans="1:35" ht="14.25" customHeight="1">
      <c r="A43" s="18">
        <v>40633</v>
      </c>
      <c r="B43" s="237">
        <v>-2.3465731362899902</v>
      </c>
      <c r="C43" s="243">
        <v>2.0821402429715334</v>
      </c>
      <c r="D43" s="237">
        <v>17.768909337948777</v>
      </c>
      <c r="E43" s="238">
        <v>0.91396571944666205</v>
      </c>
      <c r="F43" s="18"/>
      <c r="G43" s="18">
        <v>40633</v>
      </c>
      <c r="H43" s="243">
        <v>2.0821402429715334</v>
      </c>
      <c r="I43" s="243">
        <v>2.0821402429715334</v>
      </c>
      <c r="J43" s="243">
        <v>2.0821402429715334</v>
      </c>
      <c r="L43" s="138" t="s">
        <v>910</v>
      </c>
      <c r="M43" s="239">
        <v>105701</v>
      </c>
      <c r="N43" s="240">
        <v>55753</v>
      </c>
      <c r="O43" s="241">
        <v>49947</v>
      </c>
      <c r="P43" s="378">
        <v>11</v>
      </c>
      <c r="Q43" s="378">
        <v>19</v>
      </c>
      <c r="R43" s="379">
        <v>3</v>
      </c>
      <c r="S43" s="240">
        <v>105701</v>
      </c>
      <c r="T43" s="240">
        <v>55753</v>
      </c>
      <c r="U43" s="241">
        <v>49947</v>
      </c>
      <c r="V43" s="378">
        <v>11</v>
      </c>
      <c r="W43" s="378">
        <v>19</v>
      </c>
      <c r="X43" s="379">
        <v>3</v>
      </c>
      <c r="Y43" s="240">
        <v>105701</v>
      </c>
      <c r="Z43" s="240">
        <v>55753</v>
      </c>
      <c r="AA43" s="241">
        <v>49947</v>
      </c>
      <c r="AB43" s="378">
        <v>11</v>
      </c>
      <c r="AC43" s="378">
        <v>19</v>
      </c>
      <c r="AD43" s="379">
        <v>3</v>
      </c>
      <c r="AF43" s="488">
        <v>38533</v>
      </c>
      <c r="AG43" s="378">
        <v>17</v>
      </c>
      <c r="AH43" s="378">
        <v>17</v>
      </c>
      <c r="AI43" s="378">
        <v>17</v>
      </c>
    </row>
    <row r="44" spans="1:35" ht="14.25" customHeight="1">
      <c r="A44" s="18">
        <v>40724</v>
      </c>
      <c r="B44" s="237">
        <v>1.132389929248717</v>
      </c>
      <c r="C44" s="243">
        <v>1.8813782447935523</v>
      </c>
      <c r="D44" s="237">
        <v>17.870186063390573</v>
      </c>
      <c r="E44" s="238">
        <v>1.0421656241741499</v>
      </c>
      <c r="F44" s="18"/>
      <c r="G44" s="18">
        <v>40724</v>
      </c>
      <c r="H44" s="243">
        <v>1.8813782447935523</v>
      </c>
      <c r="I44" s="243">
        <v>1.8813782447935523</v>
      </c>
      <c r="J44" s="243">
        <v>1.8813782447935523</v>
      </c>
      <c r="L44" s="138" t="s">
        <v>922</v>
      </c>
      <c r="M44" s="239">
        <v>107925</v>
      </c>
      <c r="N44" s="240">
        <v>58025</v>
      </c>
      <c r="O44" s="241">
        <v>49900</v>
      </c>
      <c r="P44" s="378">
        <v>12</v>
      </c>
      <c r="Q44" s="378">
        <v>17</v>
      </c>
      <c r="R44" s="379">
        <v>6</v>
      </c>
      <c r="S44" s="240">
        <v>107925</v>
      </c>
      <c r="T44" s="240">
        <v>58025</v>
      </c>
      <c r="U44" s="241">
        <v>49900</v>
      </c>
      <c r="V44" s="378">
        <v>12</v>
      </c>
      <c r="W44" s="378">
        <v>17</v>
      </c>
      <c r="X44" s="379">
        <v>6</v>
      </c>
      <c r="Y44" s="240">
        <v>107925</v>
      </c>
      <c r="Z44" s="240">
        <v>58025</v>
      </c>
      <c r="AA44" s="241">
        <v>49900</v>
      </c>
      <c r="AB44" s="378">
        <v>12</v>
      </c>
      <c r="AC44" s="378">
        <v>17</v>
      </c>
      <c r="AD44" s="379">
        <v>6</v>
      </c>
      <c r="AF44" s="488">
        <v>38625</v>
      </c>
      <c r="AG44" s="378">
        <v>19</v>
      </c>
      <c r="AH44" s="378">
        <v>19</v>
      </c>
      <c r="AI44" s="378">
        <v>19</v>
      </c>
    </row>
    <row r="45" spans="1:35" ht="14.25" customHeight="1">
      <c r="A45" s="18">
        <v>40816</v>
      </c>
      <c r="B45" s="237">
        <v>2.1107123695230712E-2</v>
      </c>
      <c r="C45" s="243">
        <v>1.9485258562609289</v>
      </c>
      <c r="D45" s="237">
        <v>17.796638235779845</v>
      </c>
      <c r="E45" s="238">
        <v>1.0010708839029301</v>
      </c>
      <c r="F45" s="18"/>
      <c r="G45" s="18">
        <v>40816</v>
      </c>
      <c r="H45" s="243">
        <v>1.9485258562609289</v>
      </c>
      <c r="I45" s="243">
        <v>1.9485258562609289</v>
      </c>
      <c r="J45" s="243">
        <v>1.9485258562609289</v>
      </c>
      <c r="L45" s="138" t="s">
        <v>923</v>
      </c>
      <c r="M45" s="239">
        <v>112611</v>
      </c>
      <c r="N45" s="240">
        <v>61599</v>
      </c>
      <c r="O45" s="241">
        <v>51012</v>
      </c>
      <c r="P45" s="378">
        <v>13</v>
      </c>
      <c r="Q45" s="378">
        <v>18</v>
      </c>
      <c r="R45" s="379">
        <v>7</v>
      </c>
      <c r="S45" s="240">
        <v>112611</v>
      </c>
      <c r="T45" s="240">
        <v>61599</v>
      </c>
      <c r="U45" s="241">
        <v>51012</v>
      </c>
      <c r="V45" s="378">
        <v>13</v>
      </c>
      <c r="W45" s="378">
        <v>18</v>
      </c>
      <c r="X45" s="379">
        <v>7</v>
      </c>
      <c r="Y45" s="240">
        <v>112611</v>
      </c>
      <c r="Z45" s="240">
        <v>61599</v>
      </c>
      <c r="AA45" s="241">
        <v>51012</v>
      </c>
      <c r="AB45" s="378">
        <v>13</v>
      </c>
      <c r="AC45" s="378">
        <v>18</v>
      </c>
      <c r="AD45" s="379">
        <v>7</v>
      </c>
      <c r="AF45" s="488">
        <v>38717</v>
      </c>
      <c r="AG45" s="378">
        <v>19</v>
      </c>
      <c r="AH45" s="378">
        <v>19</v>
      </c>
      <c r="AI45" s="378">
        <v>19</v>
      </c>
    </row>
    <row r="46" spans="1:35" ht="14.25" customHeight="1">
      <c r="A46" s="18">
        <v>40908</v>
      </c>
      <c r="B46" s="237">
        <v>-0.22934433360873641</v>
      </c>
      <c r="C46" s="243">
        <v>3.4904656111675081</v>
      </c>
      <c r="D46" s="237">
        <v>17.814191796193963</v>
      </c>
      <c r="E46" s="238">
        <v>1.05763167810818</v>
      </c>
      <c r="F46" s="18"/>
      <c r="G46" s="18">
        <v>40908</v>
      </c>
      <c r="H46" s="243">
        <v>3.4904656111675081</v>
      </c>
      <c r="I46" s="243">
        <v>3.4904656111675081</v>
      </c>
      <c r="J46" s="243">
        <v>3.4904656111675081</v>
      </c>
      <c r="L46" s="138" t="s">
        <v>924</v>
      </c>
      <c r="M46" s="239">
        <v>119022</v>
      </c>
      <c r="N46" s="240">
        <v>65650</v>
      </c>
      <c r="O46" s="241">
        <v>53372</v>
      </c>
      <c r="P46" s="378">
        <v>14</v>
      </c>
      <c r="Q46" s="378">
        <v>19</v>
      </c>
      <c r="R46" s="379">
        <v>8</v>
      </c>
      <c r="S46" s="240">
        <v>119022</v>
      </c>
      <c r="T46" s="240">
        <v>65650</v>
      </c>
      <c r="U46" s="241">
        <v>53372</v>
      </c>
      <c r="V46" s="378">
        <v>14</v>
      </c>
      <c r="W46" s="378">
        <v>19</v>
      </c>
      <c r="X46" s="379">
        <v>8</v>
      </c>
      <c r="Y46" s="240">
        <v>119022</v>
      </c>
      <c r="Z46" s="240">
        <v>65650</v>
      </c>
      <c r="AA46" s="241">
        <v>53372</v>
      </c>
      <c r="AB46" s="378">
        <v>14</v>
      </c>
      <c r="AC46" s="378">
        <v>19</v>
      </c>
      <c r="AD46" s="379">
        <v>8</v>
      </c>
      <c r="AF46" s="488">
        <v>38807</v>
      </c>
      <c r="AG46" s="378">
        <v>23</v>
      </c>
      <c r="AH46" s="378">
        <v>23</v>
      </c>
      <c r="AI46" s="378">
        <v>23</v>
      </c>
    </row>
    <row r="47" spans="1:35" ht="14.25" customHeight="1">
      <c r="A47" s="18">
        <v>40999</v>
      </c>
      <c r="B47" s="237">
        <v>-1.2048722074554803</v>
      </c>
      <c r="C47" s="243">
        <v>3.5858524652855976</v>
      </c>
      <c r="D47" s="237">
        <v>18.23902174838415</v>
      </c>
      <c r="E47" s="238">
        <v>1.5290072061034501</v>
      </c>
      <c r="F47" s="18"/>
      <c r="G47" s="18">
        <v>40999</v>
      </c>
      <c r="H47" s="243">
        <v>3.5858524652855976</v>
      </c>
      <c r="I47" s="243">
        <v>3.5858524652855976</v>
      </c>
      <c r="J47" s="243">
        <v>3.5858524652855976</v>
      </c>
      <c r="L47" s="138" t="s">
        <v>925</v>
      </c>
      <c r="M47" s="239">
        <v>120568</v>
      </c>
      <c r="N47" s="240">
        <v>66731</v>
      </c>
      <c r="O47" s="241">
        <v>53837</v>
      </c>
      <c r="P47" s="378">
        <v>14</v>
      </c>
      <c r="Q47" s="378">
        <v>20</v>
      </c>
      <c r="R47" s="379">
        <v>8</v>
      </c>
      <c r="S47" s="240">
        <v>120568</v>
      </c>
      <c r="T47" s="240">
        <v>66731</v>
      </c>
      <c r="U47" s="241">
        <v>53837</v>
      </c>
      <c r="V47" s="378">
        <v>14</v>
      </c>
      <c r="W47" s="378">
        <v>20</v>
      </c>
      <c r="X47" s="379">
        <v>8</v>
      </c>
      <c r="Y47" s="240">
        <v>120568</v>
      </c>
      <c r="Z47" s="240">
        <v>66731</v>
      </c>
      <c r="AA47" s="241">
        <v>53837</v>
      </c>
      <c r="AB47" s="378">
        <v>14</v>
      </c>
      <c r="AC47" s="378">
        <v>20</v>
      </c>
      <c r="AD47" s="379">
        <v>8</v>
      </c>
      <c r="AF47" s="488">
        <v>38898</v>
      </c>
      <c r="AG47" s="378">
        <v>24</v>
      </c>
      <c r="AH47" s="378">
        <v>24</v>
      </c>
      <c r="AI47" s="378">
        <v>24</v>
      </c>
    </row>
    <row r="48" spans="1:35" ht="14.25" customHeight="1">
      <c r="A48" s="18">
        <v>41090</v>
      </c>
      <c r="B48" s="237">
        <v>-2.9945914921394916</v>
      </c>
      <c r="C48" s="243">
        <v>2.1212537292004043</v>
      </c>
      <c r="D48" s="237">
        <v>18.457329438886795</v>
      </c>
      <c r="E48" s="238">
        <v>1.80234070472</v>
      </c>
      <c r="F48" s="18"/>
      <c r="G48" s="18">
        <v>41090</v>
      </c>
      <c r="H48" s="243">
        <v>2.1212537292004043</v>
      </c>
      <c r="I48" s="243">
        <v>2.1212537292004043</v>
      </c>
      <c r="J48" s="243">
        <v>2.1212537292004043</v>
      </c>
      <c r="L48" s="138" t="s">
        <v>926</v>
      </c>
      <c r="M48" s="239">
        <v>126345</v>
      </c>
      <c r="N48" s="240">
        <v>70221</v>
      </c>
      <c r="O48" s="241">
        <v>56124</v>
      </c>
      <c r="P48" s="378">
        <v>17</v>
      </c>
      <c r="Q48" s="378">
        <v>21</v>
      </c>
      <c r="R48" s="379">
        <v>12</v>
      </c>
      <c r="S48" s="240">
        <v>126345</v>
      </c>
      <c r="T48" s="240">
        <v>70221</v>
      </c>
      <c r="U48" s="241">
        <v>56124</v>
      </c>
      <c r="V48" s="378">
        <v>17</v>
      </c>
      <c r="W48" s="378">
        <v>21</v>
      </c>
      <c r="X48" s="379">
        <v>12</v>
      </c>
      <c r="Y48" s="240">
        <v>126345</v>
      </c>
      <c r="Z48" s="240">
        <v>70221</v>
      </c>
      <c r="AA48" s="241">
        <v>56124</v>
      </c>
      <c r="AB48" s="378">
        <v>17</v>
      </c>
      <c r="AC48" s="378">
        <v>21</v>
      </c>
      <c r="AD48" s="379">
        <v>12</v>
      </c>
      <c r="AF48" s="488">
        <v>38990</v>
      </c>
      <c r="AG48" s="378">
        <v>24</v>
      </c>
      <c r="AH48" s="378">
        <v>24</v>
      </c>
      <c r="AI48" s="378">
        <v>24</v>
      </c>
    </row>
    <row r="49" spans="1:35" ht="14.25" customHeight="1">
      <c r="A49" s="18">
        <v>41182</v>
      </c>
      <c r="B49" s="237">
        <v>-1.8047831917015174</v>
      </c>
      <c r="C49" s="243">
        <v>0.92266626850106093</v>
      </c>
      <c r="D49" s="237">
        <v>19.396733635784773</v>
      </c>
      <c r="E49" s="238">
        <v>2.8061316720477301</v>
      </c>
      <c r="F49" s="18"/>
      <c r="G49" s="18">
        <v>41182</v>
      </c>
      <c r="H49" s="243">
        <v>0.92266626850106093</v>
      </c>
      <c r="I49" s="243">
        <v>0.92266626850106093</v>
      </c>
      <c r="J49" s="243">
        <v>0.92266626850106093</v>
      </c>
      <c r="L49" s="138" t="s">
        <v>927</v>
      </c>
      <c r="M49" s="239">
        <v>133522</v>
      </c>
      <c r="N49" s="240">
        <v>75489</v>
      </c>
      <c r="O49" s="241">
        <v>58034</v>
      </c>
      <c r="P49" s="378">
        <v>19</v>
      </c>
      <c r="Q49" s="378">
        <v>23</v>
      </c>
      <c r="R49" s="379">
        <v>14</v>
      </c>
      <c r="S49" s="240">
        <v>133522</v>
      </c>
      <c r="T49" s="240">
        <v>75489</v>
      </c>
      <c r="U49" s="241">
        <v>58034</v>
      </c>
      <c r="V49" s="378">
        <v>19</v>
      </c>
      <c r="W49" s="378">
        <v>23</v>
      </c>
      <c r="X49" s="379">
        <v>14</v>
      </c>
      <c r="Y49" s="240">
        <v>133522</v>
      </c>
      <c r="Z49" s="240">
        <v>75489</v>
      </c>
      <c r="AA49" s="241">
        <v>58034</v>
      </c>
      <c r="AB49" s="378">
        <v>19</v>
      </c>
      <c r="AC49" s="378">
        <v>23</v>
      </c>
      <c r="AD49" s="379">
        <v>14</v>
      </c>
      <c r="AF49" s="488">
        <v>39082</v>
      </c>
      <c r="AG49" s="378">
        <v>24</v>
      </c>
      <c r="AH49" s="378">
        <v>24</v>
      </c>
      <c r="AI49" s="378">
        <v>24</v>
      </c>
    </row>
    <row r="50" spans="1:35" ht="14.25" customHeight="1">
      <c r="A50" s="18">
        <v>41274</v>
      </c>
      <c r="B50" s="237">
        <v>-2.8823899790260725</v>
      </c>
      <c r="C50" s="243">
        <v>-1.1882587997532141</v>
      </c>
      <c r="D50" s="237">
        <v>20.045407025599296</v>
      </c>
      <c r="E50" s="238">
        <v>3.5293614309867798</v>
      </c>
      <c r="F50" s="18"/>
      <c r="G50" s="18">
        <v>41274</v>
      </c>
      <c r="H50" s="243">
        <v>-1.1882587997532141</v>
      </c>
      <c r="I50" s="243">
        <v>-1.1882587997532141</v>
      </c>
      <c r="J50" s="243">
        <v>-1.1882587997532141</v>
      </c>
      <c r="L50" s="138" t="s">
        <v>928</v>
      </c>
      <c r="M50" s="239">
        <v>141211</v>
      </c>
      <c r="N50" s="240">
        <v>79131</v>
      </c>
      <c r="O50" s="241">
        <v>62079</v>
      </c>
      <c r="P50" s="378">
        <v>19</v>
      </c>
      <c r="Q50" s="378">
        <v>21</v>
      </c>
      <c r="R50" s="379">
        <v>16</v>
      </c>
      <c r="S50" s="240">
        <v>141211</v>
      </c>
      <c r="T50" s="240">
        <v>79131</v>
      </c>
      <c r="U50" s="241">
        <v>62079</v>
      </c>
      <c r="V50" s="378">
        <v>19</v>
      </c>
      <c r="W50" s="378">
        <v>21</v>
      </c>
      <c r="X50" s="379">
        <v>16</v>
      </c>
      <c r="Y50" s="240">
        <v>141211</v>
      </c>
      <c r="Z50" s="240">
        <v>79131</v>
      </c>
      <c r="AA50" s="241">
        <v>62079</v>
      </c>
      <c r="AB50" s="378">
        <v>19</v>
      </c>
      <c r="AC50" s="378">
        <v>21</v>
      </c>
      <c r="AD50" s="379">
        <v>16</v>
      </c>
      <c r="AF50" s="488">
        <v>39172</v>
      </c>
      <c r="AG50" s="378">
        <v>24</v>
      </c>
      <c r="AH50" s="378">
        <v>24</v>
      </c>
      <c r="AI50" s="378">
        <v>24</v>
      </c>
    </row>
    <row r="51" spans="1:35" ht="14.25" customHeight="1">
      <c r="A51" s="18">
        <v>41364</v>
      </c>
      <c r="B51" s="237">
        <v>-1.1781758447468604</v>
      </c>
      <c r="C51" s="243">
        <v>-1.5941280272353424</v>
      </c>
      <c r="D51" s="237">
        <v>20.007090008163228</v>
      </c>
      <c r="E51" s="238">
        <v>3.5764667724815302</v>
      </c>
      <c r="F51" s="18"/>
      <c r="G51" s="18">
        <v>41364</v>
      </c>
      <c r="H51" s="243">
        <v>-1.5941280272353424</v>
      </c>
      <c r="I51" s="243">
        <v>-1.5941280272353424</v>
      </c>
      <c r="J51" s="243">
        <v>-1.5941280272353424</v>
      </c>
      <c r="L51" s="138" t="s">
        <v>929</v>
      </c>
      <c r="M51" s="239">
        <v>148222</v>
      </c>
      <c r="N51" s="240">
        <v>82108</v>
      </c>
      <c r="O51" s="241">
        <v>66115</v>
      </c>
      <c r="P51" s="378">
        <v>23</v>
      </c>
      <c r="Q51" s="378">
        <v>23</v>
      </c>
      <c r="R51" s="379">
        <v>23</v>
      </c>
      <c r="S51" s="240">
        <v>148222</v>
      </c>
      <c r="T51" s="240">
        <v>82108</v>
      </c>
      <c r="U51" s="241">
        <v>66115</v>
      </c>
      <c r="V51" s="378">
        <v>23</v>
      </c>
      <c r="W51" s="378">
        <v>23</v>
      </c>
      <c r="X51" s="379">
        <v>23</v>
      </c>
      <c r="Y51" s="240">
        <v>148222</v>
      </c>
      <c r="Z51" s="240">
        <v>82108</v>
      </c>
      <c r="AA51" s="241">
        <v>66115</v>
      </c>
      <c r="AB51" s="378">
        <v>23</v>
      </c>
      <c r="AC51" s="378">
        <v>23</v>
      </c>
      <c r="AD51" s="379">
        <v>23</v>
      </c>
      <c r="AF51" s="488">
        <v>39263</v>
      </c>
      <c r="AG51" s="378">
        <v>22</v>
      </c>
      <c r="AH51" s="378">
        <v>22</v>
      </c>
      <c r="AI51" s="378">
        <v>22</v>
      </c>
    </row>
    <row r="52" spans="1:35" ht="14.25" customHeight="1">
      <c r="A52" s="18">
        <v>41455</v>
      </c>
      <c r="B52" s="237">
        <v>7.5961415204247373E-2</v>
      </c>
      <c r="C52" s="243">
        <v>-0.13619033831960792</v>
      </c>
      <c r="D52" s="237">
        <v>20.091930313516063</v>
      </c>
      <c r="E52" s="238">
        <v>3.7581506432262501</v>
      </c>
      <c r="F52" s="18"/>
      <c r="G52" s="18">
        <v>41455</v>
      </c>
      <c r="H52" s="243">
        <v>-0.13619033831960792</v>
      </c>
      <c r="I52" s="243">
        <v>-0.13619033831960792</v>
      </c>
      <c r="J52" s="243">
        <v>-0.13619033831960792</v>
      </c>
      <c r="L52" s="138" t="s">
        <v>930</v>
      </c>
      <c r="M52" s="239">
        <v>157183</v>
      </c>
      <c r="N52" s="240">
        <v>87327</v>
      </c>
      <c r="O52" s="241">
        <v>69856</v>
      </c>
      <c r="P52" s="378">
        <v>24</v>
      </c>
      <c r="Q52" s="378">
        <v>24</v>
      </c>
      <c r="R52" s="379">
        <v>24</v>
      </c>
      <c r="S52" s="240">
        <v>157183</v>
      </c>
      <c r="T52" s="240">
        <v>87327</v>
      </c>
      <c r="U52" s="241">
        <v>69856</v>
      </c>
      <c r="V52" s="378">
        <v>24</v>
      </c>
      <c r="W52" s="378">
        <v>24</v>
      </c>
      <c r="X52" s="379">
        <v>24</v>
      </c>
      <c r="Y52" s="240">
        <v>157183</v>
      </c>
      <c r="Z52" s="240">
        <v>87327</v>
      </c>
      <c r="AA52" s="241">
        <v>69856</v>
      </c>
      <c r="AB52" s="378">
        <v>24</v>
      </c>
      <c r="AC52" s="378">
        <v>24</v>
      </c>
      <c r="AD52" s="379">
        <v>24</v>
      </c>
      <c r="AF52" s="488">
        <v>39355</v>
      </c>
      <c r="AG52" s="378">
        <v>18</v>
      </c>
      <c r="AH52" s="378">
        <v>18</v>
      </c>
      <c r="AI52" s="378">
        <v>18</v>
      </c>
    </row>
    <row r="53" spans="1:35" ht="14.25" customHeight="1">
      <c r="A53" s="18">
        <v>41547</v>
      </c>
      <c r="B53" s="237">
        <v>-0.75772440304913857</v>
      </c>
      <c r="C53" s="243">
        <v>-0.33567215663687477</v>
      </c>
      <c r="D53" s="237">
        <v>20.34368597591773</v>
      </c>
      <c r="E53" s="238">
        <v>4.1185832354644001</v>
      </c>
      <c r="F53" s="18"/>
      <c r="G53" s="18">
        <v>41547</v>
      </c>
      <c r="H53" s="243">
        <v>-0.33567215663687477</v>
      </c>
      <c r="I53" s="243">
        <v>-0.33567215663687477</v>
      </c>
      <c r="J53" s="243">
        <v>-0.33567215663687477</v>
      </c>
      <c r="L53" s="138" t="s">
        <v>931</v>
      </c>
      <c r="M53" s="239">
        <v>165253</v>
      </c>
      <c r="N53" s="240">
        <v>92989</v>
      </c>
      <c r="O53" s="241">
        <v>72264</v>
      </c>
      <c r="P53" s="378">
        <v>24</v>
      </c>
      <c r="Q53" s="378">
        <v>23</v>
      </c>
      <c r="R53" s="379">
        <v>25</v>
      </c>
      <c r="S53" s="240">
        <v>165253</v>
      </c>
      <c r="T53" s="240">
        <v>92989</v>
      </c>
      <c r="U53" s="241">
        <v>72264</v>
      </c>
      <c r="V53" s="378">
        <v>24</v>
      </c>
      <c r="W53" s="378">
        <v>23</v>
      </c>
      <c r="X53" s="379">
        <v>25</v>
      </c>
      <c r="Y53" s="240">
        <v>165253</v>
      </c>
      <c r="Z53" s="240">
        <v>92989</v>
      </c>
      <c r="AA53" s="241">
        <v>72264</v>
      </c>
      <c r="AB53" s="378">
        <v>24</v>
      </c>
      <c r="AC53" s="378">
        <v>23</v>
      </c>
      <c r="AD53" s="379">
        <v>25</v>
      </c>
      <c r="AF53" s="488">
        <v>39447</v>
      </c>
      <c r="AG53" s="378">
        <v>15</v>
      </c>
      <c r="AH53" s="378">
        <v>15</v>
      </c>
      <c r="AI53" s="378">
        <v>15</v>
      </c>
    </row>
    <row r="54" spans="1:35" ht="14.25" customHeight="1">
      <c r="A54" s="18">
        <v>41639</v>
      </c>
      <c r="B54" s="237">
        <v>-0.36963614954868262</v>
      </c>
      <c r="C54" s="243">
        <v>0.80127183753349129</v>
      </c>
      <c r="D54" s="237">
        <v>20.575633792381264</v>
      </c>
      <c r="E54" s="238">
        <v>4.4713031781670702</v>
      </c>
      <c r="F54" s="18"/>
      <c r="G54" s="18">
        <v>41639</v>
      </c>
      <c r="H54" s="243">
        <v>0.80127183753349129</v>
      </c>
      <c r="I54" s="243">
        <v>0.80127183753349129</v>
      </c>
      <c r="J54" s="243">
        <v>0.80127183753349129</v>
      </c>
      <c r="L54" s="138" t="s">
        <v>932</v>
      </c>
      <c r="M54" s="239">
        <v>175250</v>
      </c>
      <c r="N54" s="240">
        <v>96985</v>
      </c>
      <c r="O54" s="241">
        <v>78265</v>
      </c>
      <c r="P54" s="378">
        <v>24</v>
      </c>
      <c r="Q54" s="378">
        <v>23</v>
      </c>
      <c r="R54" s="379">
        <v>26</v>
      </c>
      <c r="S54" s="240">
        <v>175250</v>
      </c>
      <c r="T54" s="240">
        <v>96985</v>
      </c>
      <c r="U54" s="241">
        <v>78265</v>
      </c>
      <c r="V54" s="378">
        <v>24</v>
      </c>
      <c r="W54" s="378">
        <v>23</v>
      </c>
      <c r="X54" s="379">
        <v>26</v>
      </c>
      <c r="Y54" s="240">
        <v>175250</v>
      </c>
      <c r="Z54" s="240">
        <v>96985</v>
      </c>
      <c r="AA54" s="241">
        <v>78265</v>
      </c>
      <c r="AB54" s="378">
        <v>24</v>
      </c>
      <c r="AC54" s="378">
        <v>23</v>
      </c>
      <c r="AD54" s="379">
        <v>26</v>
      </c>
      <c r="AF54" s="488">
        <v>39538</v>
      </c>
      <c r="AG54" s="378">
        <v>13</v>
      </c>
      <c r="AH54" s="378">
        <v>13</v>
      </c>
      <c r="AI54" s="378">
        <v>13</v>
      </c>
    </row>
    <row r="55" spans="1:35" ht="14.25" customHeight="1">
      <c r="A55" s="18">
        <v>41729</v>
      </c>
      <c r="B55" s="237">
        <v>-1.0781897487394616</v>
      </c>
      <c r="C55" s="243">
        <v>0.3024998421784062</v>
      </c>
      <c r="D55" s="237">
        <v>20.720375686425157</v>
      </c>
      <c r="E55" s="238">
        <v>4.7490094834812604</v>
      </c>
      <c r="F55" s="18"/>
      <c r="G55" s="18">
        <v>41729</v>
      </c>
      <c r="H55" s="243">
        <v>0.3024998421784062</v>
      </c>
      <c r="I55" s="243">
        <v>0.3024998421784062</v>
      </c>
      <c r="J55" s="243">
        <v>0.3024998421784062</v>
      </c>
      <c r="L55" s="138" t="s">
        <v>933</v>
      </c>
      <c r="M55" s="239">
        <v>184127</v>
      </c>
      <c r="N55" s="240">
        <v>102073</v>
      </c>
      <c r="O55" s="241">
        <v>82054</v>
      </c>
      <c r="P55" s="378">
        <v>24</v>
      </c>
      <c r="Q55" s="378">
        <v>24</v>
      </c>
      <c r="R55" s="379">
        <v>24</v>
      </c>
      <c r="S55" s="240">
        <v>184127</v>
      </c>
      <c r="T55" s="240">
        <v>102073</v>
      </c>
      <c r="U55" s="241">
        <v>82054</v>
      </c>
      <c r="V55" s="378">
        <v>24</v>
      </c>
      <c r="W55" s="378">
        <v>24</v>
      </c>
      <c r="X55" s="379">
        <v>24</v>
      </c>
      <c r="Y55" s="240">
        <v>184127</v>
      </c>
      <c r="Z55" s="240">
        <v>102073</v>
      </c>
      <c r="AA55" s="241">
        <v>82054</v>
      </c>
      <c r="AB55" s="378">
        <v>24</v>
      </c>
      <c r="AC55" s="378">
        <v>24</v>
      </c>
      <c r="AD55" s="379">
        <v>24</v>
      </c>
      <c r="AF55" s="488">
        <v>39629</v>
      </c>
      <c r="AG55" s="378">
        <v>11</v>
      </c>
      <c r="AH55" s="378">
        <v>11</v>
      </c>
      <c r="AI55" s="378">
        <v>11</v>
      </c>
    </row>
    <row r="56" spans="1:35" ht="14.25" customHeight="1">
      <c r="A56" s="18">
        <v>41820</v>
      </c>
      <c r="B56" s="237">
        <v>-0.37078182194473186</v>
      </c>
      <c r="C56" s="243">
        <v>-0.99523758808408047</v>
      </c>
      <c r="D56" s="237">
        <v>19.75896996429692</v>
      </c>
      <c r="E56" s="238">
        <v>3.9326786941559302</v>
      </c>
      <c r="F56" s="18"/>
      <c r="G56" s="18">
        <v>41820</v>
      </c>
      <c r="H56" s="243">
        <v>-0.99523758808408047</v>
      </c>
      <c r="I56" s="243">
        <v>-0.99523758808408047</v>
      </c>
      <c r="J56" s="243">
        <v>-0.99523758808408047</v>
      </c>
      <c r="L56" s="138" t="s">
        <v>934</v>
      </c>
      <c r="M56" s="239">
        <v>192341</v>
      </c>
      <c r="N56" s="240">
        <v>106343</v>
      </c>
      <c r="O56" s="241">
        <v>85998</v>
      </c>
      <c r="P56" s="378">
        <v>22</v>
      </c>
      <c r="Q56" s="378">
        <v>22</v>
      </c>
      <c r="R56" s="379">
        <v>23</v>
      </c>
      <c r="S56" s="240">
        <v>192341</v>
      </c>
      <c r="T56" s="240">
        <v>106343</v>
      </c>
      <c r="U56" s="241">
        <v>85998</v>
      </c>
      <c r="V56" s="378">
        <v>22</v>
      </c>
      <c r="W56" s="378">
        <v>22</v>
      </c>
      <c r="X56" s="379">
        <v>23</v>
      </c>
      <c r="Y56" s="240">
        <v>192341</v>
      </c>
      <c r="Z56" s="240">
        <v>106343</v>
      </c>
      <c r="AA56" s="241">
        <v>85998</v>
      </c>
      <c r="AB56" s="378">
        <v>22</v>
      </c>
      <c r="AC56" s="378">
        <v>22</v>
      </c>
      <c r="AD56" s="379">
        <v>23</v>
      </c>
      <c r="AF56" s="488">
        <v>39721</v>
      </c>
      <c r="AG56" s="378">
        <v>11</v>
      </c>
      <c r="AH56" s="378">
        <v>11</v>
      </c>
      <c r="AI56" s="378">
        <v>11</v>
      </c>
    </row>
    <row r="57" spans="1:35" ht="14.25" customHeight="1">
      <c r="A57" s="18">
        <v>41912</v>
      </c>
      <c r="B57" s="237">
        <v>0.18597434456131623</v>
      </c>
      <c r="C57" s="243">
        <v>-0.89402284902550377</v>
      </c>
      <c r="D57" s="237">
        <v>18.929195433406449</v>
      </c>
      <c r="E57" s="238">
        <v>3.2598178937229201</v>
      </c>
      <c r="F57" s="18"/>
      <c r="G57" s="18">
        <v>41912</v>
      </c>
      <c r="H57" s="243">
        <v>-0.89402284902550377</v>
      </c>
      <c r="I57" s="243">
        <v>-0.89402284902550377</v>
      </c>
      <c r="J57" s="243">
        <v>-0.89402284902550377</v>
      </c>
      <c r="L57" s="138" t="s">
        <v>935</v>
      </c>
      <c r="M57" s="239">
        <v>195658</v>
      </c>
      <c r="N57" s="240">
        <v>111690</v>
      </c>
      <c r="O57" s="241">
        <v>83967</v>
      </c>
      <c r="P57" s="378">
        <v>18</v>
      </c>
      <c r="Q57" s="378">
        <v>20</v>
      </c>
      <c r="R57" s="379">
        <v>16</v>
      </c>
      <c r="S57" s="240">
        <v>195658</v>
      </c>
      <c r="T57" s="240">
        <v>111690</v>
      </c>
      <c r="U57" s="241">
        <v>83967</v>
      </c>
      <c r="V57" s="378">
        <v>18</v>
      </c>
      <c r="W57" s="378">
        <v>20</v>
      </c>
      <c r="X57" s="379">
        <v>16</v>
      </c>
      <c r="Y57" s="240">
        <v>195658</v>
      </c>
      <c r="Z57" s="240">
        <v>111690</v>
      </c>
      <c r="AA57" s="241">
        <v>83967</v>
      </c>
      <c r="AB57" s="378">
        <v>18</v>
      </c>
      <c r="AC57" s="378">
        <v>20</v>
      </c>
      <c r="AD57" s="379">
        <v>16</v>
      </c>
      <c r="AF57" s="488">
        <v>39813</v>
      </c>
      <c r="AG57" s="378">
        <v>12</v>
      </c>
      <c r="AH57" s="378">
        <v>12</v>
      </c>
      <c r="AI57" s="378">
        <v>12</v>
      </c>
    </row>
    <row r="58" spans="1:35" ht="14.25" customHeight="1">
      <c r="A58" s="18">
        <v>42004</v>
      </c>
      <c r="B58" s="237">
        <v>0.74835852896796951</v>
      </c>
      <c r="C58" s="243">
        <v>-1.49794183246469</v>
      </c>
      <c r="D58" s="237">
        <v>18.431590603837957</v>
      </c>
      <c r="E58" s="238">
        <v>2.9305365612408298</v>
      </c>
      <c r="F58" s="18"/>
      <c r="G58" s="18">
        <v>42004</v>
      </c>
      <c r="H58" s="243">
        <v>-1.49794183246469</v>
      </c>
      <c r="I58" s="243">
        <v>-1.49794183246469</v>
      </c>
      <c r="J58" s="243">
        <v>-1.49794183246469</v>
      </c>
      <c r="L58" s="138" t="s">
        <v>936</v>
      </c>
      <c r="M58" s="239">
        <v>201412</v>
      </c>
      <c r="N58" s="240">
        <v>115145</v>
      </c>
      <c r="O58" s="241">
        <v>86266</v>
      </c>
      <c r="P58" s="378">
        <v>15</v>
      </c>
      <c r="Q58" s="378">
        <v>19</v>
      </c>
      <c r="R58" s="379">
        <v>10</v>
      </c>
      <c r="S58" s="240">
        <v>201412</v>
      </c>
      <c r="T58" s="240">
        <v>115145</v>
      </c>
      <c r="U58" s="241">
        <v>86266</v>
      </c>
      <c r="V58" s="378">
        <v>15</v>
      </c>
      <c r="W58" s="378">
        <v>19</v>
      </c>
      <c r="X58" s="379">
        <v>10</v>
      </c>
      <c r="Y58" s="240">
        <v>201412</v>
      </c>
      <c r="Z58" s="240">
        <v>115145</v>
      </c>
      <c r="AA58" s="241">
        <v>86266</v>
      </c>
      <c r="AB58" s="378">
        <v>15</v>
      </c>
      <c r="AC58" s="378">
        <v>19</v>
      </c>
      <c r="AD58" s="379">
        <v>10</v>
      </c>
      <c r="AF58" s="488">
        <v>39903</v>
      </c>
      <c r="AG58" s="378">
        <v>10</v>
      </c>
      <c r="AH58" s="378">
        <v>10</v>
      </c>
      <c r="AI58" s="378">
        <v>10</v>
      </c>
    </row>
    <row r="59" spans="1:35" ht="14.25" customHeight="1">
      <c r="A59" s="18">
        <v>42094</v>
      </c>
      <c r="B59" s="237">
        <v>1.401207133152667</v>
      </c>
      <c r="C59" s="243">
        <v>-1.6046080166230041</v>
      </c>
      <c r="D59" s="237">
        <v>17.675800852047086</v>
      </c>
      <c r="E59" s="238">
        <v>2.3539206494237899</v>
      </c>
      <c r="F59" s="18"/>
      <c r="G59" s="18">
        <v>42094</v>
      </c>
      <c r="H59" s="243">
        <v>-1.6046080166230041</v>
      </c>
      <c r="I59" s="243">
        <v>-1.6046080166230041</v>
      </c>
      <c r="J59" s="243">
        <v>-1.6046080166230041</v>
      </c>
      <c r="L59" s="138" t="s">
        <v>937</v>
      </c>
      <c r="M59" s="239">
        <v>207499</v>
      </c>
      <c r="N59" s="240">
        <v>119396</v>
      </c>
      <c r="O59" s="241">
        <v>88103</v>
      </c>
      <c r="P59" s="378">
        <v>13</v>
      </c>
      <c r="Q59" s="378">
        <v>17</v>
      </c>
      <c r="R59" s="379">
        <v>7</v>
      </c>
      <c r="S59" s="240">
        <v>207499</v>
      </c>
      <c r="T59" s="240">
        <v>119396</v>
      </c>
      <c r="U59" s="241">
        <v>88103</v>
      </c>
      <c r="V59" s="378">
        <v>13</v>
      </c>
      <c r="W59" s="378">
        <v>17</v>
      </c>
      <c r="X59" s="379">
        <v>7</v>
      </c>
      <c r="Y59" s="240">
        <v>207499</v>
      </c>
      <c r="Z59" s="240">
        <v>119396</v>
      </c>
      <c r="AA59" s="241">
        <v>88103</v>
      </c>
      <c r="AB59" s="378">
        <v>13</v>
      </c>
      <c r="AC59" s="378">
        <v>17</v>
      </c>
      <c r="AD59" s="379">
        <v>7</v>
      </c>
      <c r="AF59" s="488">
        <v>39994</v>
      </c>
      <c r="AG59" s="378">
        <v>5</v>
      </c>
      <c r="AH59" s="378">
        <v>5</v>
      </c>
      <c r="AI59" s="378">
        <v>5</v>
      </c>
    </row>
    <row r="60" spans="1:35" ht="14.25" customHeight="1">
      <c r="A60" s="18">
        <v>42185</v>
      </c>
      <c r="B60" s="237">
        <v>1.8522390958709138</v>
      </c>
      <c r="C60" s="243">
        <v>-1.9168879288737202</v>
      </c>
      <c r="D60" s="237">
        <v>17.115445353087427</v>
      </c>
      <c r="E60" s="238">
        <v>1.98291268812146</v>
      </c>
      <c r="F60" s="18"/>
      <c r="G60" s="18">
        <v>42185</v>
      </c>
      <c r="H60" s="243">
        <v>-1.9168879288737202</v>
      </c>
      <c r="I60" s="243">
        <v>-1.9168879288737202</v>
      </c>
      <c r="J60" s="243">
        <v>-1.9168879288737202</v>
      </c>
      <c r="L60" s="138" t="s">
        <v>938</v>
      </c>
      <c r="M60" s="239">
        <v>212921</v>
      </c>
      <c r="N60" s="240">
        <v>122642</v>
      </c>
      <c r="O60" s="241">
        <v>90279</v>
      </c>
      <c r="P60" s="378">
        <v>11</v>
      </c>
      <c r="Q60" s="378">
        <v>15</v>
      </c>
      <c r="R60" s="379">
        <v>5</v>
      </c>
      <c r="S60" s="240">
        <v>212921</v>
      </c>
      <c r="T60" s="240">
        <v>122642</v>
      </c>
      <c r="U60" s="241">
        <v>90279</v>
      </c>
      <c r="V60" s="378">
        <v>11</v>
      </c>
      <c r="W60" s="378">
        <v>15</v>
      </c>
      <c r="X60" s="379">
        <v>5</v>
      </c>
      <c r="Y60" s="240">
        <v>212921</v>
      </c>
      <c r="Z60" s="240">
        <v>122642</v>
      </c>
      <c r="AA60" s="241">
        <v>90279</v>
      </c>
      <c r="AB60" s="378">
        <v>11</v>
      </c>
      <c r="AC60" s="378">
        <v>15</v>
      </c>
      <c r="AD60" s="379">
        <v>5</v>
      </c>
      <c r="AF60" s="488">
        <v>40086</v>
      </c>
      <c r="AG60" s="378">
        <v>2</v>
      </c>
      <c r="AH60" s="378">
        <v>2</v>
      </c>
      <c r="AI60" s="378">
        <v>2</v>
      </c>
    </row>
    <row r="61" spans="1:35" ht="14.25" customHeight="1">
      <c r="A61" s="18">
        <v>42277</v>
      </c>
      <c r="B61" s="237">
        <v>3.9435859255217309</v>
      </c>
      <c r="C61" s="243">
        <v>-1.9763381704152465</v>
      </c>
      <c r="D61" s="237">
        <v>16.711840793915869</v>
      </c>
      <c r="E61" s="238">
        <v>1.7780585622610701</v>
      </c>
      <c r="F61" s="18"/>
      <c r="G61" s="18">
        <v>42277</v>
      </c>
      <c r="H61" s="243">
        <v>-1.9763381704152465</v>
      </c>
      <c r="I61" s="243">
        <v>-1.9763381704152465</v>
      </c>
      <c r="J61" s="243">
        <v>-1.9763381704152465</v>
      </c>
      <c r="L61" s="138" t="s">
        <v>939</v>
      </c>
      <c r="M61" s="239">
        <v>217337</v>
      </c>
      <c r="N61" s="240">
        <v>124382</v>
      </c>
      <c r="O61" s="241">
        <v>92956</v>
      </c>
      <c r="P61" s="378">
        <v>11</v>
      </c>
      <c r="Q61" s="378">
        <v>11</v>
      </c>
      <c r="R61" s="379">
        <v>11</v>
      </c>
      <c r="S61" s="240">
        <v>217337</v>
      </c>
      <c r="T61" s="240">
        <v>124382</v>
      </c>
      <c r="U61" s="241">
        <v>92956</v>
      </c>
      <c r="V61" s="378">
        <v>11</v>
      </c>
      <c r="W61" s="378">
        <v>11</v>
      </c>
      <c r="X61" s="379">
        <v>11</v>
      </c>
      <c r="Y61" s="240">
        <v>217337</v>
      </c>
      <c r="Z61" s="240">
        <v>124382</v>
      </c>
      <c r="AA61" s="241">
        <v>92956</v>
      </c>
      <c r="AB61" s="378">
        <v>11</v>
      </c>
      <c r="AC61" s="378">
        <v>11</v>
      </c>
      <c r="AD61" s="379">
        <v>11</v>
      </c>
      <c r="AF61" s="488">
        <v>40178</v>
      </c>
      <c r="AG61" s="378">
        <v>-1</v>
      </c>
      <c r="AH61" s="378">
        <v>-1</v>
      </c>
      <c r="AI61" s="378">
        <v>-1</v>
      </c>
    </row>
    <row r="62" spans="1:35" ht="14.25" customHeight="1">
      <c r="A62" s="18">
        <v>42369</v>
      </c>
      <c r="B62" s="237">
        <v>2.3104276376878516</v>
      </c>
      <c r="C62" s="243">
        <v>-2.2821843390586309</v>
      </c>
      <c r="D62" s="237">
        <v>16.247162421313476</v>
      </c>
      <c r="E62" s="238">
        <v>1.5206834000861</v>
      </c>
      <c r="F62" s="18"/>
      <c r="G62" s="18">
        <v>42369</v>
      </c>
      <c r="H62" s="243">
        <v>-2.2821843390586309</v>
      </c>
      <c r="I62" s="243">
        <v>-2.2821843390586309</v>
      </c>
      <c r="J62" s="243">
        <v>-2.2821843390586309</v>
      </c>
      <c r="L62" s="138" t="s">
        <v>940</v>
      </c>
      <c r="M62" s="239">
        <v>226258</v>
      </c>
      <c r="N62" s="240">
        <v>129409</v>
      </c>
      <c r="O62" s="241">
        <v>96849</v>
      </c>
      <c r="P62" s="378">
        <v>12</v>
      </c>
      <c r="Q62" s="378">
        <v>12</v>
      </c>
      <c r="R62" s="379">
        <v>12</v>
      </c>
      <c r="S62" s="240">
        <v>226258</v>
      </c>
      <c r="T62" s="240">
        <v>129409</v>
      </c>
      <c r="U62" s="241">
        <v>96849</v>
      </c>
      <c r="V62" s="378">
        <v>12</v>
      </c>
      <c r="W62" s="378">
        <v>12</v>
      </c>
      <c r="X62" s="379">
        <v>12</v>
      </c>
      <c r="Y62" s="240">
        <v>226258</v>
      </c>
      <c r="Z62" s="240">
        <v>129409</v>
      </c>
      <c r="AA62" s="241">
        <v>96849</v>
      </c>
      <c r="AB62" s="378">
        <v>12</v>
      </c>
      <c r="AC62" s="378">
        <v>12</v>
      </c>
      <c r="AD62" s="379">
        <v>12</v>
      </c>
      <c r="AF62" s="488">
        <v>40268</v>
      </c>
      <c r="AG62" s="378">
        <v>-1</v>
      </c>
      <c r="AH62" s="378">
        <v>-1</v>
      </c>
      <c r="AI62" s="378">
        <v>-1</v>
      </c>
    </row>
    <row r="63" spans="1:35" ht="14.25" customHeight="1">
      <c r="A63" s="18">
        <v>42460</v>
      </c>
      <c r="B63" s="237">
        <v>3.2795887168851152</v>
      </c>
      <c r="C63" s="243">
        <v>-0.87373908172831705</v>
      </c>
      <c r="D63" s="237">
        <v>15.189113141939446</v>
      </c>
      <c r="E63" s="238">
        <v>0.67756886737604805</v>
      </c>
      <c r="F63" s="18"/>
      <c r="G63" s="18">
        <v>42460</v>
      </c>
      <c r="H63" s="243">
        <v>-0.87373908172831705</v>
      </c>
      <c r="I63" s="243">
        <v>-0.87373908172831705</v>
      </c>
      <c r="J63" s="243">
        <v>-0.87373908172831705</v>
      </c>
      <c r="L63" s="138" t="s">
        <v>941</v>
      </c>
      <c r="M63" s="239">
        <v>228321</v>
      </c>
      <c r="N63" s="240">
        <v>129721</v>
      </c>
      <c r="O63" s="241">
        <v>98600</v>
      </c>
      <c r="P63" s="378">
        <v>10</v>
      </c>
      <c r="Q63" s="378">
        <v>9</v>
      </c>
      <c r="R63" s="379">
        <v>12</v>
      </c>
      <c r="S63" s="240">
        <v>228321</v>
      </c>
      <c r="T63" s="240">
        <v>129721</v>
      </c>
      <c r="U63" s="241">
        <v>98600</v>
      </c>
      <c r="V63" s="378">
        <v>10</v>
      </c>
      <c r="W63" s="378">
        <v>9</v>
      </c>
      <c r="X63" s="379">
        <v>12</v>
      </c>
      <c r="Y63" s="240">
        <v>228321</v>
      </c>
      <c r="Z63" s="240">
        <v>129721</v>
      </c>
      <c r="AA63" s="241">
        <v>98600</v>
      </c>
      <c r="AB63" s="378">
        <v>10</v>
      </c>
      <c r="AC63" s="378">
        <v>9</v>
      </c>
      <c r="AD63" s="379">
        <v>12</v>
      </c>
      <c r="AF63" s="488">
        <v>40359</v>
      </c>
      <c r="AG63" s="378">
        <v>3</v>
      </c>
      <c r="AH63" s="378">
        <v>3</v>
      </c>
      <c r="AI63" s="378">
        <v>3</v>
      </c>
    </row>
    <row r="64" spans="1:35" ht="14.25" customHeight="1">
      <c r="A64" s="18">
        <v>42551</v>
      </c>
      <c r="B64" s="237">
        <v>3.0665060429969628</v>
      </c>
      <c r="C64" s="243">
        <v>-0.19383711145928828</v>
      </c>
      <c r="D64" s="237">
        <v>14.52084183802414</v>
      </c>
      <c r="E64" s="238">
        <v>0.23088177814524899</v>
      </c>
      <c r="F64" s="18"/>
      <c r="G64" s="18">
        <v>42551</v>
      </c>
      <c r="H64" s="243">
        <v>-0.19383711145928828</v>
      </c>
      <c r="I64" s="243">
        <v>-0.19383711145928828</v>
      </c>
      <c r="J64" s="243">
        <v>-0.19383711145928828</v>
      </c>
      <c r="L64" s="138" t="s">
        <v>942</v>
      </c>
      <c r="M64" s="239">
        <v>224008</v>
      </c>
      <c r="N64" s="240">
        <v>126723</v>
      </c>
      <c r="O64" s="241">
        <v>97285</v>
      </c>
      <c r="P64" s="378">
        <v>5</v>
      </c>
      <c r="Q64" s="378">
        <v>3</v>
      </c>
      <c r="R64" s="379">
        <v>8</v>
      </c>
      <c r="S64" s="240">
        <v>224008</v>
      </c>
      <c r="T64" s="240">
        <v>126723</v>
      </c>
      <c r="U64" s="241">
        <v>97285</v>
      </c>
      <c r="V64" s="378">
        <v>5</v>
      </c>
      <c r="W64" s="378">
        <v>3</v>
      </c>
      <c r="X64" s="379">
        <v>8</v>
      </c>
      <c r="Y64" s="240">
        <v>224008</v>
      </c>
      <c r="Z64" s="240">
        <v>126723</v>
      </c>
      <c r="AA64" s="241">
        <v>97285</v>
      </c>
      <c r="AB64" s="378">
        <v>5</v>
      </c>
      <c r="AC64" s="378">
        <v>3</v>
      </c>
      <c r="AD64" s="379">
        <v>8</v>
      </c>
      <c r="AF64" s="488">
        <v>40451</v>
      </c>
      <c r="AG64" s="378">
        <v>5</v>
      </c>
      <c r="AH64" s="378">
        <v>5</v>
      </c>
      <c r="AI64" s="378">
        <v>5</v>
      </c>
    </row>
    <row r="65" spans="1:35" ht="14.25" customHeight="1">
      <c r="A65" s="18">
        <v>42643</v>
      </c>
      <c r="B65" s="237">
        <v>3.574323815567368</v>
      </c>
      <c r="C65" s="243">
        <v>0.43816731632175276</v>
      </c>
      <c r="D65" s="237">
        <v>13.724619719031995</v>
      </c>
      <c r="E65" s="238">
        <v>-0.33811582911239202</v>
      </c>
      <c r="F65" s="18"/>
      <c r="G65" s="18">
        <v>42643</v>
      </c>
      <c r="H65" s="243">
        <v>0.43816731632175276</v>
      </c>
      <c r="I65" s="243">
        <v>0.43816731632175276</v>
      </c>
      <c r="J65" s="243">
        <v>0.43816731632175276</v>
      </c>
      <c r="L65" s="138" t="s">
        <v>943</v>
      </c>
      <c r="M65" s="239">
        <v>222394</v>
      </c>
      <c r="N65" s="240">
        <v>125676</v>
      </c>
      <c r="O65" s="241">
        <v>96718</v>
      </c>
      <c r="P65" s="378">
        <v>2</v>
      </c>
      <c r="Q65" s="378">
        <v>1</v>
      </c>
      <c r="R65" s="379">
        <v>4</v>
      </c>
      <c r="S65" s="240">
        <v>222394</v>
      </c>
      <c r="T65" s="240">
        <v>125676</v>
      </c>
      <c r="U65" s="241">
        <v>96718</v>
      </c>
      <c r="V65" s="378">
        <v>2</v>
      </c>
      <c r="W65" s="378">
        <v>1</v>
      </c>
      <c r="X65" s="379">
        <v>4</v>
      </c>
      <c r="Y65" s="240">
        <v>222394</v>
      </c>
      <c r="Z65" s="240">
        <v>125676</v>
      </c>
      <c r="AA65" s="241">
        <v>96718</v>
      </c>
      <c r="AB65" s="378">
        <v>2</v>
      </c>
      <c r="AC65" s="378">
        <v>1</v>
      </c>
      <c r="AD65" s="379">
        <v>4</v>
      </c>
      <c r="AF65" s="488">
        <v>40543</v>
      </c>
      <c r="AG65" s="378">
        <v>4</v>
      </c>
      <c r="AH65" s="378">
        <v>4</v>
      </c>
      <c r="AI65" s="378">
        <v>4</v>
      </c>
    </row>
    <row r="66" spans="1:35" ht="14.25" customHeight="1">
      <c r="A66" s="18">
        <v>42735</v>
      </c>
      <c r="B66" s="237">
        <v>3.9873547192121634</v>
      </c>
      <c r="C66" s="243">
        <v>1.1071854037444098</v>
      </c>
      <c r="D66" s="237">
        <v>13.151949161815939</v>
      </c>
      <c r="E66" s="238">
        <v>-0.678939983785672</v>
      </c>
      <c r="F66" s="18"/>
      <c r="G66" s="18">
        <v>42735</v>
      </c>
      <c r="H66" s="243">
        <v>1.1071854037444098</v>
      </c>
      <c r="I66" s="243">
        <v>1.1071854037444098</v>
      </c>
      <c r="J66" s="243">
        <v>1.1071854037444098</v>
      </c>
      <c r="L66" s="138" t="s">
        <v>944</v>
      </c>
      <c r="M66" s="239">
        <v>224612</v>
      </c>
      <c r="N66" s="240">
        <v>125873</v>
      </c>
      <c r="O66" s="241">
        <v>98739</v>
      </c>
      <c r="P66" s="378">
        <v>-1</v>
      </c>
      <c r="Q66" s="378">
        <v>-3</v>
      </c>
      <c r="R66" s="379">
        <v>2</v>
      </c>
      <c r="S66" s="240">
        <v>224612</v>
      </c>
      <c r="T66" s="240">
        <v>125873</v>
      </c>
      <c r="U66" s="241">
        <v>98739</v>
      </c>
      <c r="V66" s="378">
        <v>-1</v>
      </c>
      <c r="W66" s="378">
        <v>-3</v>
      </c>
      <c r="X66" s="379">
        <v>2</v>
      </c>
      <c r="Y66" s="240">
        <v>224612</v>
      </c>
      <c r="Z66" s="240">
        <v>125873</v>
      </c>
      <c r="AA66" s="241">
        <v>98739</v>
      </c>
      <c r="AB66" s="378">
        <v>-1</v>
      </c>
      <c r="AC66" s="378">
        <v>-3</v>
      </c>
      <c r="AD66" s="379">
        <v>2</v>
      </c>
      <c r="AF66" s="488">
        <v>40633</v>
      </c>
      <c r="AG66" s="378">
        <v>3</v>
      </c>
      <c r="AH66" s="378">
        <v>3</v>
      </c>
      <c r="AI66" s="378">
        <v>3</v>
      </c>
    </row>
    <row r="67" spans="1:35" ht="14.25" customHeight="1">
      <c r="A67" s="18">
        <v>42825</v>
      </c>
      <c r="B67" s="237">
        <v>3.0209334143764153</v>
      </c>
      <c r="C67" s="243">
        <v>0.83939530992257971</v>
      </c>
      <c r="D67" s="237">
        <v>12.408474148585846</v>
      </c>
      <c r="E67" s="238">
        <v>-1.1869515852733701</v>
      </c>
      <c r="F67" s="18"/>
      <c r="G67" s="18">
        <v>42825</v>
      </c>
      <c r="H67" s="243">
        <v>0.83939530992257971</v>
      </c>
      <c r="I67" s="243">
        <v>0.83939530992257971</v>
      </c>
      <c r="J67" s="243">
        <v>0.83939530992257971</v>
      </c>
      <c r="L67" s="138" t="s">
        <v>945</v>
      </c>
      <c r="M67" s="239">
        <v>227050</v>
      </c>
      <c r="N67" s="240">
        <v>125673</v>
      </c>
      <c r="O67" s="241">
        <v>101377</v>
      </c>
      <c r="P67" s="378">
        <v>-1</v>
      </c>
      <c r="Q67" s="378">
        <v>-3</v>
      </c>
      <c r="R67" s="379">
        <v>3</v>
      </c>
      <c r="S67" s="240">
        <v>227050</v>
      </c>
      <c r="T67" s="240">
        <v>125673</v>
      </c>
      <c r="U67" s="241">
        <v>101377</v>
      </c>
      <c r="V67" s="378">
        <v>-1</v>
      </c>
      <c r="W67" s="378">
        <v>-3</v>
      </c>
      <c r="X67" s="379">
        <v>3</v>
      </c>
      <c r="Y67" s="240">
        <v>227050</v>
      </c>
      <c r="Z67" s="240">
        <v>125673</v>
      </c>
      <c r="AA67" s="241">
        <v>101377</v>
      </c>
      <c r="AB67" s="378">
        <v>-1</v>
      </c>
      <c r="AC67" s="378">
        <v>-3</v>
      </c>
      <c r="AD67" s="379">
        <v>3</v>
      </c>
      <c r="AF67" s="488">
        <v>40724</v>
      </c>
      <c r="AG67" s="378">
        <v>3</v>
      </c>
      <c r="AH67" s="378">
        <v>3</v>
      </c>
      <c r="AI67" s="378">
        <v>3</v>
      </c>
    </row>
    <row r="68" spans="1:35" ht="14.25" customHeight="1">
      <c r="A68" s="18">
        <v>42916</v>
      </c>
      <c r="B68" s="237">
        <v>3.3901414600493069</v>
      </c>
      <c r="C68" s="243">
        <v>1.7238004938552933</v>
      </c>
      <c r="D68" s="237">
        <v>11.541942416095328</v>
      </c>
      <c r="E68" s="238">
        <v>-1.81538062083096</v>
      </c>
      <c r="F68" s="18"/>
      <c r="G68" s="18">
        <v>42916</v>
      </c>
      <c r="H68" s="243">
        <v>1.7238004938552933</v>
      </c>
      <c r="I68" s="243">
        <v>1.7238004938552933</v>
      </c>
      <c r="J68" s="243">
        <v>1.7238004938552933</v>
      </c>
      <c r="L68" s="138" t="s">
        <v>946</v>
      </c>
      <c r="M68" s="239">
        <v>230974</v>
      </c>
      <c r="N68" s="240">
        <v>127023</v>
      </c>
      <c r="O68" s="241">
        <v>103950</v>
      </c>
      <c r="P68" s="378">
        <v>3</v>
      </c>
      <c r="Q68" s="378">
        <v>0</v>
      </c>
      <c r="R68" s="379">
        <v>7</v>
      </c>
      <c r="S68" s="240">
        <v>230974</v>
      </c>
      <c r="T68" s="240">
        <v>127023</v>
      </c>
      <c r="U68" s="241">
        <v>103950</v>
      </c>
      <c r="V68" s="378">
        <v>3</v>
      </c>
      <c r="W68" s="378">
        <v>0</v>
      </c>
      <c r="X68" s="379">
        <v>7</v>
      </c>
      <c r="Y68" s="240">
        <v>230974</v>
      </c>
      <c r="Z68" s="240">
        <v>127023</v>
      </c>
      <c r="AA68" s="241">
        <v>103950</v>
      </c>
      <c r="AB68" s="378">
        <v>3</v>
      </c>
      <c r="AC68" s="378">
        <v>0</v>
      </c>
      <c r="AD68" s="379">
        <v>7</v>
      </c>
      <c r="AF68" s="488">
        <v>40816</v>
      </c>
      <c r="AG68" s="378">
        <v>3</v>
      </c>
      <c r="AH68" s="378">
        <v>3</v>
      </c>
      <c r="AI68" s="378">
        <v>3</v>
      </c>
    </row>
    <row r="69" spans="1:35" ht="14.25" customHeight="1">
      <c r="A69" s="18">
        <v>43008</v>
      </c>
      <c r="B69" s="237">
        <v>3.5717153805701969</v>
      </c>
      <c r="C69" s="243">
        <v>1.8781511318490089</v>
      </c>
      <c r="D69" s="237">
        <v>11.108354660609557</v>
      </c>
      <c r="E69" s="238">
        <v>-2.0091566401390701</v>
      </c>
      <c r="F69" s="18"/>
      <c r="G69" s="18">
        <v>43008</v>
      </c>
      <c r="H69" s="243">
        <v>1.8781511318490089</v>
      </c>
      <c r="I69" s="243">
        <v>1.8781511318490089</v>
      </c>
      <c r="J69" s="243">
        <v>1.8781511318490089</v>
      </c>
      <c r="L69" s="138" t="s">
        <v>947</v>
      </c>
      <c r="M69" s="239">
        <v>233040</v>
      </c>
      <c r="N69" s="240">
        <v>127795</v>
      </c>
      <c r="O69" s="241">
        <v>105246</v>
      </c>
      <c r="P69" s="378">
        <v>5</v>
      </c>
      <c r="Q69" s="378">
        <v>2</v>
      </c>
      <c r="R69" s="379">
        <v>9</v>
      </c>
      <c r="S69" s="240">
        <v>233040</v>
      </c>
      <c r="T69" s="240">
        <v>127795</v>
      </c>
      <c r="U69" s="241">
        <v>105246</v>
      </c>
      <c r="V69" s="378">
        <v>5</v>
      </c>
      <c r="W69" s="378">
        <v>2</v>
      </c>
      <c r="X69" s="379">
        <v>9</v>
      </c>
      <c r="Y69" s="240">
        <v>233040</v>
      </c>
      <c r="Z69" s="240">
        <v>127795</v>
      </c>
      <c r="AA69" s="241">
        <v>105246</v>
      </c>
      <c r="AB69" s="378">
        <v>5</v>
      </c>
      <c r="AC69" s="378">
        <v>2</v>
      </c>
      <c r="AD69" s="379">
        <v>9</v>
      </c>
      <c r="AF69" s="488">
        <v>40908</v>
      </c>
      <c r="AG69" s="378">
        <v>4</v>
      </c>
      <c r="AH69" s="378">
        <v>4</v>
      </c>
      <c r="AI69" s="378">
        <v>4</v>
      </c>
    </row>
    <row r="70" spans="1:35" ht="14.25" customHeight="1">
      <c r="A70" s="18">
        <v>43100</v>
      </c>
      <c r="B70" s="237">
        <v>2.5103533828245475</v>
      </c>
      <c r="C70" s="243">
        <v>2.8526205813892602</v>
      </c>
      <c r="D70" s="237">
        <v>10.334122696964837</v>
      </c>
      <c r="E70" s="238">
        <v>-2.5427254590823201</v>
      </c>
      <c r="F70" s="18"/>
      <c r="G70" s="18">
        <v>43100</v>
      </c>
      <c r="H70" s="243">
        <v>2.8526205813892602</v>
      </c>
      <c r="I70" s="243">
        <v>2.8526205813892602</v>
      </c>
      <c r="J70" s="243">
        <v>2.8526205813892602</v>
      </c>
      <c r="L70" s="138" t="s">
        <v>948</v>
      </c>
      <c r="M70" s="239">
        <v>233335</v>
      </c>
      <c r="N70" s="240">
        <v>130192</v>
      </c>
      <c r="O70" s="241">
        <v>103143</v>
      </c>
      <c r="P70" s="378">
        <v>4</v>
      </c>
      <c r="Q70" s="378">
        <v>3</v>
      </c>
      <c r="R70" s="379">
        <v>4</v>
      </c>
      <c r="S70" s="240">
        <v>233335</v>
      </c>
      <c r="T70" s="240">
        <v>130192</v>
      </c>
      <c r="U70" s="241">
        <v>103143</v>
      </c>
      <c r="V70" s="378">
        <v>4</v>
      </c>
      <c r="W70" s="378">
        <v>3</v>
      </c>
      <c r="X70" s="379">
        <v>4</v>
      </c>
      <c r="Y70" s="240">
        <v>233335</v>
      </c>
      <c r="Z70" s="240">
        <v>130192</v>
      </c>
      <c r="AA70" s="241">
        <v>103143</v>
      </c>
      <c r="AB70" s="378">
        <v>4</v>
      </c>
      <c r="AC70" s="378">
        <v>3</v>
      </c>
      <c r="AD70" s="379">
        <v>4</v>
      </c>
      <c r="AF70" s="488">
        <v>40999</v>
      </c>
      <c r="AG70" s="378">
        <v>5</v>
      </c>
      <c r="AH70" s="378">
        <v>5</v>
      </c>
      <c r="AI70" s="378">
        <v>5</v>
      </c>
    </row>
    <row r="71" spans="1:35" ht="14.25" customHeight="1">
      <c r="A71" s="18">
        <v>43190</v>
      </c>
      <c r="B71" s="237">
        <v>2.2466302999344094</v>
      </c>
      <c r="C71" s="243">
        <v>3.0508764767163967</v>
      </c>
      <c r="D71" s="237">
        <v>9.7159960626202988</v>
      </c>
      <c r="E71" s="238">
        <v>-2.9201148046569498</v>
      </c>
      <c r="F71" s="18"/>
      <c r="G71" s="18">
        <v>43190</v>
      </c>
      <c r="H71" s="243">
        <v>3.0508764767163967</v>
      </c>
      <c r="I71" s="243">
        <v>3.0508764767163967</v>
      </c>
      <c r="J71" s="243">
        <v>3.0508764767163967</v>
      </c>
      <c r="L71" s="138" t="s">
        <v>949</v>
      </c>
      <c r="M71" s="239">
        <v>233273</v>
      </c>
      <c r="N71" s="240">
        <v>128505</v>
      </c>
      <c r="O71" s="241">
        <v>104768</v>
      </c>
      <c r="P71" s="378">
        <v>3</v>
      </c>
      <c r="Q71" s="378">
        <v>2</v>
      </c>
      <c r="R71" s="379">
        <v>3</v>
      </c>
      <c r="S71" s="240">
        <v>233273</v>
      </c>
      <c r="T71" s="240">
        <v>128505</v>
      </c>
      <c r="U71" s="241">
        <v>104768</v>
      </c>
      <c r="V71" s="378">
        <v>3</v>
      </c>
      <c r="W71" s="378">
        <v>2</v>
      </c>
      <c r="X71" s="379">
        <v>3</v>
      </c>
      <c r="Y71" s="240">
        <v>233273</v>
      </c>
      <c r="Z71" s="240">
        <v>128505</v>
      </c>
      <c r="AA71" s="241">
        <v>104768</v>
      </c>
      <c r="AB71" s="378">
        <v>3</v>
      </c>
      <c r="AC71" s="378">
        <v>2</v>
      </c>
      <c r="AD71" s="379">
        <v>3</v>
      </c>
      <c r="AF71" s="488">
        <v>41090</v>
      </c>
      <c r="AG71" s="378">
        <v>0</v>
      </c>
      <c r="AH71" s="378">
        <v>0</v>
      </c>
      <c r="AI71" s="378">
        <v>0</v>
      </c>
    </row>
    <row r="72" spans="1:35" ht="14.25" customHeight="1">
      <c r="A72" s="18">
        <v>43281</v>
      </c>
      <c r="B72" s="237">
        <v>3.1954440371533082</v>
      </c>
      <c r="C72" s="243">
        <v>4.1054483670102542</v>
      </c>
      <c r="D72" s="237">
        <v>9.537429292499132</v>
      </c>
      <c r="E72" s="238">
        <v>-2.8585456973767598</v>
      </c>
      <c r="F72" s="18"/>
      <c r="G72" s="18">
        <v>43281</v>
      </c>
      <c r="H72" s="243">
        <v>4.1054483670102542</v>
      </c>
      <c r="I72" s="243">
        <v>4.1054483670102542</v>
      </c>
      <c r="J72" s="243">
        <v>4.1054483670102542</v>
      </c>
      <c r="L72" s="138" t="s">
        <v>950</v>
      </c>
      <c r="M72" s="239">
        <v>237267</v>
      </c>
      <c r="N72" s="240">
        <v>130719</v>
      </c>
      <c r="O72" s="241">
        <v>106547</v>
      </c>
      <c r="P72" s="378">
        <v>3</v>
      </c>
      <c r="Q72" s="378">
        <v>3</v>
      </c>
      <c r="R72" s="379">
        <v>2</v>
      </c>
      <c r="S72" s="240">
        <v>237267</v>
      </c>
      <c r="T72" s="240">
        <v>130719</v>
      </c>
      <c r="U72" s="241">
        <v>106547</v>
      </c>
      <c r="V72" s="378">
        <v>3</v>
      </c>
      <c r="W72" s="378">
        <v>3</v>
      </c>
      <c r="X72" s="379">
        <v>2</v>
      </c>
      <c r="Y72" s="240">
        <v>237267</v>
      </c>
      <c r="Z72" s="240">
        <v>130719</v>
      </c>
      <c r="AA72" s="241">
        <v>106547</v>
      </c>
      <c r="AB72" s="378">
        <v>3</v>
      </c>
      <c r="AC72" s="378">
        <v>3</v>
      </c>
      <c r="AD72" s="379">
        <v>2</v>
      </c>
      <c r="AF72" s="488">
        <v>41182</v>
      </c>
      <c r="AG72" s="378">
        <v>-3</v>
      </c>
      <c r="AH72" s="378">
        <v>-3</v>
      </c>
      <c r="AI72" s="378">
        <v>-3</v>
      </c>
    </row>
    <row r="73" spans="1:35" ht="14.25" customHeight="1">
      <c r="A73" s="18">
        <v>43373</v>
      </c>
      <c r="B73" s="237">
        <v>3.0187317397612645</v>
      </c>
      <c r="C73" s="243">
        <v>4.5564374132871279</v>
      </c>
      <c r="D73" s="237">
        <v>8.741767372263384</v>
      </c>
      <c r="E73" s="238">
        <v>-3.4152319024244702</v>
      </c>
      <c r="F73" s="18"/>
      <c r="G73" s="18">
        <v>43373</v>
      </c>
      <c r="H73" s="243">
        <v>4.5564374132871279</v>
      </c>
      <c r="I73" s="243">
        <v>4.5564374132871279</v>
      </c>
      <c r="J73" s="243">
        <v>4.5564374132871279</v>
      </c>
      <c r="L73" s="138" t="s">
        <v>951</v>
      </c>
      <c r="M73" s="239">
        <v>240234</v>
      </c>
      <c r="N73" s="240">
        <v>131819</v>
      </c>
      <c r="O73" s="241">
        <v>108415</v>
      </c>
      <c r="P73" s="378">
        <v>3</v>
      </c>
      <c r="Q73" s="378">
        <v>3</v>
      </c>
      <c r="R73" s="379">
        <v>3</v>
      </c>
      <c r="S73" s="240">
        <v>240234</v>
      </c>
      <c r="T73" s="240">
        <v>131819</v>
      </c>
      <c r="U73" s="241">
        <v>108415</v>
      </c>
      <c r="V73" s="378">
        <v>3</v>
      </c>
      <c r="W73" s="378">
        <v>3</v>
      </c>
      <c r="X73" s="379">
        <v>3</v>
      </c>
      <c r="Y73" s="240">
        <v>240234</v>
      </c>
      <c r="Z73" s="240">
        <v>131819</v>
      </c>
      <c r="AA73" s="241">
        <v>108415</v>
      </c>
      <c r="AB73" s="378">
        <v>3</v>
      </c>
      <c r="AC73" s="378">
        <v>3</v>
      </c>
      <c r="AD73" s="379">
        <v>3</v>
      </c>
      <c r="AF73" s="488">
        <v>41274</v>
      </c>
      <c r="AG73" s="378">
        <v>-7</v>
      </c>
      <c r="AH73" s="378">
        <v>-7</v>
      </c>
      <c r="AI73" s="378">
        <v>-7</v>
      </c>
    </row>
    <row r="74" spans="1:35" ht="14.25" customHeight="1">
      <c r="A74" s="18">
        <v>43465</v>
      </c>
      <c r="B74" s="237">
        <v>2.2246762643534908</v>
      </c>
      <c r="C74" s="243">
        <v>4.3974496686121682</v>
      </c>
      <c r="D74" s="237">
        <v>8.122957497622382</v>
      </c>
      <c r="E74" s="238">
        <v>-3.7966706331076701</v>
      </c>
      <c r="F74" s="18"/>
      <c r="G74" s="18">
        <v>43465</v>
      </c>
      <c r="H74" s="243">
        <v>4.3974496686121682</v>
      </c>
      <c r="I74" s="243">
        <v>4.3974496686121682</v>
      </c>
      <c r="J74" s="243">
        <v>4.3974496686121682</v>
      </c>
      <c r="L74" s="138" t="s">
        <v>952</v>
      </c>
      <c r="M74" s="239">
        <v>243171</v>
      </c>
      <c r="N74" s="240">
        <v>131529</v>
      </c>
      <c r="O74" s="241">
        <v>111642</v>
      </c>
      <c r="P74" s="378">
        <v>4</v>
      </c>
      <c r="Q74" s="378">
        <v>1</v>
      </c>
      <c r="R74" s="379">
        <v>8</v>
      </c>
      <c r="S74" s="240">
        <v>243171</v>
      </c>
      <c r="T74" s="240">
        <v>131529</v>
      </c>
      <c r="U74" s="241">
        <v>111642</v>
      </c>
      <c r="V74" s="378">
        <v>4</v>
      </c>
      <c r="W74" s="378">
        <v>1</v>
      </c>
      <c r="X74" s="379">
        <v>8</v>
      </c>
      <c r="Y74" s="240">
        <v>243171</v>
      </c>
      <c r="Z74" s="240">
        <v>131529</v>
      </c>
      <c r="AA74" s="241">
        <v>111642</v>
      </c>
      <c r="AB74" s="378">
        <v>4</v>
      </c>
      <c r="AC74" s="378">
        <v>1</v>
      </c>
      <c r="AD74" s="379">
        <v>8</v>
      </c>
      <c r="AF74" s="488">
        <v>41364</v>
      </c>
      <c r="AG74" s="378">
        <v>-7</v>
      </c>
      <c r="AH74" s="378">
        <v>-7</v>
      </c>
      <c r="AI74" s="378">
        <v>-7</v>
      </c>
    </row>
    <row r="75" spans="1:35" ht="14.25" customHeight="1">
      <c r="A75" s="18">
        <v>43555</v>
      </c>
      <c r="B75" s="237">
        <v>4.0705329672531008</v>
      </c>
      <c r="C75" s="243">
        <v>4.5609377229903316</v>
      </c>
      <c r="D75" s="237">
        <v>7.8784356463696268</v>
      </c>
      <c r="E75" s="238">
        <v>-3.8057337113737102</v>
      </c>
      <c r="F75" s="18"/>
      <c r="G75" s="18">
        <v>43555</v>
      </c>
      <c r="H75" s="243">
        <v>4.5609377229903316</v>
      </c>
      <c r="I75" s="243">
        <v>4.5609377229903316</v>
      </c>
      <c r="J75" s="243">
        <v>4.5609377229903316</v>
      </c>
      <c r="L75" s="138" t="s">
        <v>953</v>
      </c>
      <c r="M75" s="239">
        <v>243791</v>
      </c>
      <c r="N75" s="240">
        <v>131046</v>
      </c>
      <c r="O75" s="241">
        <v>112745</v>
      </c>
      <c r="P75" s="378">
        <v>5</v>
      </c>
      <c r="Q75" s="378">
        <v>2</v>
      </c>
      <c r="R75" s="379">
        <v>8</v>
      </c>
      <c r="S75" s="240">
        <v>243791</v>
      </c>
      <c r="T75" s="240">
        <v>131046</v>
      </c>
      <c r="U75" s="241">
        <v>112745</v>
      </c>
      <c r="V75" s="378">
        <v>5</v>
      </c>
      <c r="W75" s="378">
        <v>2</v>
      </c>
      <c r="X75" s="379">
        <v>8</v>
      </c>
      <c r="Y75" s="240">
        <v>243791</v>
      </c>
      <c r="Z75" s="240">
        <v>131046</v>
      </c>
      <c r="AA75" s="241">
        <v>112745</v>
      </c>
      <c r="AB75" s="378">
        <v>5</v>
      </c>
      <c r="AC75" s="378">
        <v>2</v>
      </c>
      <c r="AD75" s="379">
        <v>8</v>
      </c>
      <c r="AF75" s="488">
        <v>41455</v>
      </c>
      <c r="AG75" s="378">
        <v>-5</v>
      </c>
      <c r="AH75" s="378">
        <v>-5</v>
      </c>
      <c r="AI75" s="378">
        <v>-5</v>
      </c>
    </row>
    <row r="76" spans="1:35" ht="14.25" customHeight="1">
      <c r="A76" s="18">
        <v>43646</v>
      </c>
      <c r="B76" s="237">
        <v>2.4152267073920939</v>
      </c>
      <c r="C76" s="243">
        <v>3.5782051666062098</v>
      </c>
      <c r="D76" s="237">
        <v>7.9497838517455675</v>
      </c>
      <c r="E76" s="238">
        <v>-3.50099503689755</v>
      </c>
      <c r="F76" s="18"/>
      <c r="G76" s="18">
        <v>43646</v>
      </c>
      <c r="H76" s="243">
        <v>3.5782051666062098</v>
      </c>
      <c r="I76" s="243">
        <v>3.5782051666062098</v>
      </c>
      <c r="J76" s="243">
        <v>3.5782051666062098</v>
      </c>
      <c r="L76" s="138" t="s">
        <v>954</v>
      </c>
      <c r="M76" s="239">
        <v>237061</v>
      </c>
      <c r="N76" s="240">
        <v>130975</v>
      </c>
      <c r="O76" s="241">
        <v>106086</v>
      </c>
      <c r="P76" s="378">
        <v>0</v>
      </c>
      <c r="Q76" s="378">
        <v>0</v>
      </c>
      <c r="R76" s="379">
        <v>0</v>
      </c>
      <c r="S76" s="240">
        <v>237061</v>
      </c>
      <c r="T76" s="240">
        <v>130975</v>
      </c>
      <c r="U76" s="241">
        <v>106086</v>
      </c>
      <c r="V76" s="378">
        <v>0</v>
      </c>
      <c r="W76" s="378">
        <v>0</v>
      </c>
      <c r="X76" s="379">
        <v>0</v>
      </c>
      <c r="Y76" s="240">
        <v>237061</v>
      </c>
      <c r="Z76" s="240">
        <v>130975</v>
      </c>
      <c r="AA76" s="241">
        <v>106086</v>
      </c>
      <c r="AB76" s="378">
        <v>0</v>
      </c>
      <c r="AC76" s="378">
        <v>0</v>
      </c>
      <c r="AD76" s="379">
        <v>0</v>
      </c>
      <c r="AF76" s="488">
        <v>41547</v>
      </c>
      <c r="AG76" s="378">
        <v>-2</v>
      </c>
      <c r="AH76" s="378">
        <v>-2</v>
      </c>
      <c r="AI76" s="378">
        <v>-2</v>
      </c>
    </row>
    <row r="77" spans="1:35" ht="14.25" customHeight="1">
      <c r="A77" s="18">
        <v>43738</v>
      </c>
      <c r="B77" s="237">
        <v>2.9208867078742315</v>
      </c>
      <c r="C77" s="243">
        <v>2.9502087381398918</v>
      </c>
      <c r="D77" s="237">
        <v>7.607520072909888</v>
      </c>
      <c r="E77" s="238">
        <v>-3.61194035408657</v>
      </c>
      <c r="F77" s="18"/>
      <c r="G77" s="18">
        <v>43738</v>
      </c>
      <c r="H77" s="243">
        <v>2.9502087381398918</v>
      </c>
      <c r="I77" s="243">
        <v>2.9502087381398918</v>
      </c>
      <c r="J77" s="243">
        <v>2.9502087381398918</v>
      </c>
      <c r="L77" s="138" t="s">
        <v>955</v>
      </c>
      <c r="M77" s="239">
        <v>233020</v>
      </c>
      <c r="N77" s="240">
        <v>129215</v>
      </c>
      <c r="O77" s="241">
        <v>103805</v>
      </c>
      <c r="P77" s="378">
        <v>-3</v>
      </c>
      <c r="Q77" s="378">
        <v>-2</v>
      </c>
      <c r="R77" s="379">
        <v>-4</v>
      </c>
      <c r="S77" s="240">
        <v>233020</v>
      </c>
      <c r="T77" s="240">
        <v>129215</v>
      </c>
      <c r="U77" s="241">
        <v>103805</v>
      </c>
      <c r="V77" s="378">
        <v>-3</v>
      </c>
      <c r="W77" s="378">
        <v>-2</v>
      </c>
      <c r="X77" s="379">
        <v>-4</v>
      </c>
      <c r="Y77" s="240">
        <v>233020</v>
      </c>
      <c r="Z77" s="240">
        <v>129215</v>
      </c>
      <c r="AA77" s="241">
        <v>103805</v>
      </c>
      <c r="AB77" s="378">
        <v>-3</v>
      </c>
      <c r="AC77" s="378">
        <v>-2</v>
      </c>
      <c r="AD77" s="379">
        <v>-4</v>
      </c>
      <c r="AF77" s="488">
        <v>41639</v>
      </c>
      <c r="AG77" s="378">
        <v>-1</v>
      </c>
      <c r="AH77" s="378">
        <v>-1</v>
      </c>
      <c r="AI77" s="378">
        <v>-1</v>
      </c>
    </row>
    <row r="78" spans="1:35" ht="14.25" customHeight="1">
      <c r="A78" s="18">
        <v>43830</v>
      </c>
      <c r="B78" s="237">
        <v>2.4684831745114195</v>
      </c>
      <c r="C78" s="243">
        <v>4.1832089500657466</v>
      </c>
      <c r="D78" s="237">
        <v>7.1668411358915645</v>
      </c>
      <c r="E78" s="238">
        <v>-3.8232365006773898</v>
      </c>
      <c r="F78" s="18"/>
      <c r="G78" s="18">
        <v>43830</v>
      </c>
      <c r="H78" s="243">
        <v>4.1832089500657466</v>
      </c>
      <c r="I78" s="243">
        <v>4.1832089500657466</v>
      </c>
      <c r="J78" s="243">
        <v>4.1832089500657466</v>
      </c>
      <c r="L78" s="138" t="s">
        <v>956</v>
      </c>
      <c r="M78" s="239">
        <v>226296</v>
      </c>
      <c r="N78" s="240">
        <v>129714</v>
      </c>
      <c r="O78" s="241">
        <v>96582</v>
      </c>
      <c r="P78" s="378">
        <v>-7</v>
      </c>
      <c r="Q78" s="378">
        <v>-1</v>
      </c>
      <c r="R78" s="379">
        <v>-13</v>
      </c>
      <c r="S78" s="240">
        <v>226296</v>
      </c>
      <c r="T78" s="240">
        <v>129714</v>
      </c>
      <c r="U78" s="241">
        <v>96582</v>
      </c>
      <c r="V78" s="378">
        <v>-7</v>
      </c>
      <c r="W78" s="378">
        <v>-1</v>
      </c>
      <c r="X78" s="379">
        <v>-13</v>
      </c>
      <c r="Y78" s="240">
        <v>226296</v>
      </c>
      <c r="Z78" s="240">
        <v>129714</v>
      </c>
      <c r="AA78" s="241">
        <v>96582</v>
      </c>
      <c r="AB78" s="378">
        <v>-7</v>
      </c>
      <c r="AC78" s="378">
        <v>-1</v>
      </c>
      <c r="AD78" s="379">
        <v>-13</v>
      </c>
      <c r="AF78" s="488">
        <v>41729</v>
      </c>
      <c r="AG78" s="378">
        <v>-2</v>
      </c>
      <c r="AH78" s="378">
        <v>-2</v>
      </c>
      <c r="AI78" s="378">
        <v>-2</v>
      </c>
    </row>
    <row r="79" spans="1:35" ht="14.25" customHeight="1">
      <c r="A79" s="199">
        <v>43921</v>
      </c>
      <c r="B79" s="247">
        <f>bdp!BF109*100</f>
        <v>2.5974934635772273</v>
      </c>
      <c r="C79" s="247">
        <f t="shared" ref="C79:C82" si="0">$B$85+$B$86*E79+$B$87*B79</f>
        <v>6.0769417838374444</v>
      </c>
      <c r="D79" s="248">
        <f>nezaposlenost!V84</f>
        <v>8.6493411751229132</v>
      </c>
      <c r="E79" s="248">
        <v>-2.4478506602775001</v>
      </c>
      <c r="F79" s="18"/>
      <c r="G79" s="199">
        <v>43921</v>
      </c>
      <c r="H79" s="247">
        <v>1</v>
      </c>
      <c r="I79" s="247">
        <v>2</v>
      </c>
      <c r="J79" s="247">
        <v>3</v>
      </c>
      <c r="L79" s="138" t="s">
        <v>957</v>
      </c>
      <c r="M79" s="239">
        <v>227287</v>
      </c>
      <c r="N79" s="240">
        <v>129473</v>
      </c>
      <c r="O79" s="241">
        <v>97814</v>
      </c>
      <c r="P79" s="378">
        <v>-7</v>
      </c>
      <c r="Q79" s="378">
        <v>-1</v>
      </c>
      <c r="R79" s="379">
        <v>-13</v>
      </c>
      <c r="S79" s="240">
        <v>227287</v>
      </c>
      <c r="T79" s="240">
        <v>129473</v>
      </c>
      <c r="U79" s="241">
        <v>97814</v>
      </c>
      <c r="V79" s="378">
        <v>-7</v>
      </c>
      <c r="W79" s="378">
        <v>-1</v>
      </c>
      <c r="X79" s="379">
        <v>-13</v>
      </c>
      <c r="Y79" s="240">
        <v>227287</v>
      </c>
      <c r="Z79" s="240">
        <v>129473</v>
      </c>
      <c r="AA79" s="241">
        <v>97814</v>
      </c>
      <c r="AB79" s="378">
        <v>-7</v>
      </c>
      <c r="AC79" s="378">
        <v>-1</v>
      </c>
      <c r="AD79" s="379">
        <v>-13</v>
      </c>
      <c r="AF79" s="488">
        <v>41820</v>
      </c>
      <c r="AG79" s="378">
        <v>-3</v>
      </c>
      <c r="AH79" s="378">
        <v>-3</v>
      </c>
      <c r="AI79" s="378">
        <v>-3</v>
      </c>
    </row>
    <row r="80" spans="1:35" ht="14.25" customHeight="1">
      <c r="A80" s="199">
        <v>44012</v>
      </c>
      <c r="B80" s="247">
        <f>bdp!BF110*100</f>
        <v>-4.8911827395474949</v>
      </c>
      <c r="C80" s="247">
        <f t="shared" si="0"/>
        <v>-4.6634172645025824</v>
      </c>
      <c r="D80" s="248">
        <f>nezaposlenost!V85</f>
        <v>10.31508493011683</v>
      </c>
      <c r="E80" s="248">
        <v>2.0779321032673201</v>
      </c>
      <c r="F80" s="18"/>
      <c r="G80" s="199">
        <v>44012</v>
      </c>
      <c r="H80" s="247">
        <v>1</v>
      </c>
      <c r="I80" s="247">
        <v>2</v>
      </c>
      <c r="J80" s="247">
        <v>3</v>
      </c>
      <c r="L80" s="138" t="s">
        <v>958</v>
      </c>
      <c r="M80" s="239">
        <v>225882</v>
      </c>
      <c r="N80" s="240">
        <v>127314</v>
      </c>
      <c r="O80" s="241">
        <v>98568</v>
      </c>
      <c r="P80" s="378">
        <v>-5</v>
      </c>
      <c r="Q80" s="378">
        <v>-3</v>
      </c>
      <c r="R80" s="379">
        <v>-7</v>
      </c>
      <c r="S80" s="240">
        <v>225882</v>
      </c>
      <c r="T80" s="240">
        <v>127314</v>
      </c>
      <c r="U80" s="241">
        <v>98568</v>
      </c>
      <c r="V80" s="378">
        <v>-5</v>
      </c>
      <c r="W80" s="378">
        <v>-3</v>
      </c>
      <c r="X80" s="379">
        <v>-7</v>
      </c>
      <c r="Y80" s="240">
        <v>225882</v>
      </c>
      <c r="Z80" s="240">
        <v>127314</v>
      </c>
      <c r="AA80" s="241">
        <v>98568</v>
      </c>
      <c r="AB80" s="378">
        <v>-5</v>
      </c>
      <c r="AC80" s="378">
        <v>-3</v>
      </c>
      <c r="AD80" s="379">
        <v>-7</v>
      </c>
      <c r="AF80" s="488">
        <v>41912</v>
      </c>
      <c r="AG80" s="378">
        <v>-4</v>
      </c>
      <c r="AH80" s="378">
        <v>-4</v>
      </c>
      <c r="AI80" s="378">
        <v>-4</v>
      </c>
    </row>
    <row r="81" spans="1:35" ht="14.25" customHeight="1">
      <c r="A81" s="199">
        <v>44104</v>
      </c>
      <c r="B81" s="247">
        <f>bdp!BF111*100</f>
        <v>-11.77223104478805</v>
      </c>
      <c r="C81" s="247">
        <f t="shared" si="0"/>
        <v>-13.447176189803569</v>
      </c>
      <c r="D81" s="248">
        <f>nezaposlenost!V86</f>
        <v>14.089210063870754</v>
      </c>
      <c r="E81" s="248">
        <v>5.1905843763379798</v>
      </c>
      <c r="F81" s="18"/>
      <c r="G81" s="199">
        <v>44104</v>
      </c>
      <c r="H81" s="247">
        <v>1</v>
      </c>
      <c r="I81" s="247">
        <v>2</v>
      </c>
      <c r="J81" s="247">
        <v>3</v>
      </c>
      <c r="L81" s="138" t="s">
        <v>959</v>
      </c>
      <c r="M81" s="239">
        <v>227264</v>
      </c>
      <c r="N81" s="240">
        <v>128659</v>
      </c>
      <c r="O81" s="241">
        <v>98605</v>
      </c>
      <c r="P81" s="378">
        <v>-2</v>
      </c>
      <c r="Q81" s="378">
        <v>0</v>
      </c>
      <c r="R81" s="379">
        <v>-5</v>
      </c>
      <c r="S81" s="240">
        <v>227264</v>
      </c>
      <c r="T81" s="240">
        <v>128659</v>
      </c>
      <c r="U81" s="241">
        <v>98605</v>
      </c>
      <c r="V81" s="378">
        <v>-2</v>
      </c>
      <c r="W81" s="378">
        <v>0</v>
      </c>
      <c r="X81" s="379">
        <v>-5</v>
      </c>
      <c r="Y81" s="240">
        <v>227264</v>
      </c>
      <c r="Z81" s="240">
        <v>128659</v>
      </c>
      <c r="AA81" s="241">
        <v>98605</v>
      </c>
      <c r="AB81" s="378">
        <v>-2</v>
      </c>
      <c r="AC81" s="378">
        <v>0</v>
      </c>
      <c r="AD81" s="379">
        <v>-5</v>
      </c>
      <c r="AF81" s="488">
        <v>42004</v>
      </c>
      <c r="AG81" s="378">
        <v>-2</v>
      </c>
      <c r="AH81" s="378">
        <v>-2</v>
      </c>
      <c r="AI81" s="378">
        <v>-2</v>
      </c>
    </row>
    <row r="82" spans="1:35" ht="14.25" customHeight="1">
      <c r="A82" s="199">
        <v>44196</v>
      </c>
      <c r="B82" s="247">
        <f>bdp!BF112*100</f>
        <v>-15.146418833110664</v>
      </c>
      <c r="C82" s="247">
        <f t="shared" si="0"/>
        <v>-17.034365562433628</v>
      </c>
      <c r="D82" s="248">
        <f>nezaposlenost!V87</f>
        <v>14.614332901839912</v>
      </c>
      <c r="E82" s="248">
        <v>6.0229168967197104</v>
      </c>
      <c r="F82" s="18"/>
      <c r="G82" s="199">
        <v>44196</v>
      </c>
      <c r="H82" s="247">
        <v>1</v>
      </c>
      <c r="I82" s="247">
        <v>2</v>
      </c>
      <c r="J82" s="247">
        <v>3</v>
      </c>
      <c r="L82" s="138" t="s">
        <v>960</v>
      </c>
      <c r="M82" s="239">
        <v>223002</v>
      </c>
      <c r="N82" s="240">
        <v>127425</v>
      </c>
      <c r="O82" s="241">
        <v>95577</v>
      </c>
      <c r="P82" s="378">
        <v>-1</v>
      </c>
      <c r="Q82" s="378">
        <v>-2</v>
      </c>
      <c r="R82" s="379">
        <v>-1</v>
      </c>
      <c r="S82" s="240">
        <v>223002</v>
      </c>
      <c r="T82" s="240">
        <v>127425</v>
      </c>
      <c r="U82" s="241">
        <v>95577</v>
      </c>
      <c r="V82" s="378">
        <v>-1</v>
      </c>
      <c r="W82" s="378">
        <v>-2</v>
      </c>
      <c r="X82" s="379">
        <v>-1</v>
      </c>
      <c r="Y82" s="240">
        <v>223002</v>
      </c>
      <c r="Z82" s="240">
        <v>127425</v>
      </c>
      <c r="AA82" s="241">
        <v>95577</v>
      </c>
      <c r="AB82" s="378">
        <v>-1</v>
      </c>
      <c r="AC82" s="378">
        <v>-2</v>
      </c>
      <c r="AD82" s="379">
        <v>-1</v>
      </c>
      <c r="AF82" s="488">
        <v>42094</v>
      </c>
      <c r="AG82" s="378">
        <v>0</v>
      </c>
      <c r="AH82" s="378">
        <v>0</v>
      </c>
      <c r="AI82" s="378">
        <v>0</v>
      </c>
    </row>
    <row r="83" spans="1:35" ht="14.25" customHeight="1">
      <c r="L83" s="138" t="s">
        <v>961</v>
      </c>
      <c r="M83" s="239">
        <v>222755</v>
      </c>
      <c r="N83" s="240">
        <v>127516</v>
      </c>
      <c r="O83" s="241">
        <v>95239</v>
      </c>
      <c r="P83" s="378">
        <v>-2</v>
      </c>
      <c r="Q83" s="378">
        <v>-2</v>
      </c>
      <c r="R83" s="379">
        <v>-3</v>
      </c>
      <c r="S83" s="240">
        <v>222755</v>
      </c>
      <c r="T83" s="240">
        <v>127516</v>
      </c>
      <c r="U83" s="241">
        <v>95239</v>
      </c>
      <c r="V83" s="378">
        <v>-2</v>
      </c>
      <c r="W83" s="378">
        <v>-2</v>
      </c>
      <c r="X83" s="379">
        <v>-3</v>
      </c>
      <c r="Y83" s="240">
        <v>222755</v>
      </c>
      <c r="Z83" s="240">
        <v>127516</v>
      </c>
      <c r="AA83" s="241">
        <v>95239</v>
      </c>
      <c r="AB83" s="378">
        <v>-2</v>
      </c>
      <c r="AC83" s="378">
        <v>-2</v>
      </c>
      <c r="AD83" s="379">
        <v>-3</v>
      </c>
      <c r="AF83" s="488">
        <v>42185</v>
      </c>
      <c r="AG83" s="378">
        <v>-1</v>
      </c>
      <c r="AH83" s="378">
        <v>-1</v>
      </c>
      <c r="AI83" s="378">
        <v>-1</v>
      </c>
    </row>
    <row r="84" spans="1:35" ht="14.25" customHeight="1">
      <c r="A84" s="249"/>
      <c r="B84" s="105" t="s">
        <v>189</v>
      </c>
      <c r="C84" s="105" t="s">
        <v>190</v>
      </c>
      <c r="D84" s="105" t="s">
        <v>191</v>
      </c>
      <c r="E84" s="105" t="s">
        <v>192</v>
      </c>
      <c r="F84" s="105"/>
      <c r="L84" s="138" t="s">
        <v>962</v>
      </c>
      <c r="M84" s="239">
        <v>220133</v>
      </c>
      <c r="N84" s="240">
        <v>126525</v>
      </c>
      <c r="O84" s="241">
        <v>93607</v>
      </c>
      <c r="P84" s="378">
        <v>-3</v>
      </c>
      <c r="Q84" s="378">
        <v>-1</v>
      </c>
      <c r="R84" s="379">
        <v>-5</v>
      </c>
      <c r="S84" s="240">
        <v>220133</v>
      </c>
      <c r="T84" s="240">
        <v>126525</v>
      </c>
      <c r="U84" s="241">
        <v>93607</v>
      </c>
      <c r="V84" s="378">
        <v>-3</v>
      </c>
      <c r="W84" s="378">
        <v>-1</v>
      </c>
      <c r="X84" s="379">
        <v>-5</v>
      </c>
      <c r="Y84" s="240">
        <v>220133</v>
      </c>
      <c r="Z84" s="240">
        <v>126525</v>
      </c>
      <c r="AA84" s="241">
        <v>93607</v>
      </c>
      <c r="AB84" s="378">
        <v>-3</v>
      </c>
      <c r="AC84" s="378">
        <v>-1</v>
      </c>
      <c r="AD84" s="379">
        <v>-5</v>
      </c>
      <c r="AF84" s="488">
        <v>42277</v>
      </c>
      <c r="AG84" s="378">
        <v>-2</v>
      </c>
      <c r="AH84" s="378">
        <v>-2</v>
      </c>
      <c r="AI84" s="378">
        <v>-2</v>
      </c>
    </row>
    <row r="85" spans="1:35" ht="14.25" customHeight="1">
      <c r="A85" s="105" t="s">
        <v>193</v>
      </c>
      <c r="B85" s="250">
        <v>1.4406000000000001</v>
      </c>
      <c r="C85" s="250">
        <v>0.59689999999999999</v>
      </c>
      <c r="D85" s="250">
        <v>2.4129999999999998</v>
      </c>
      <c r="E85" s="250">
        <v>1.9599999999999999E-2</v>
      </c>
      <c r="F85" s="250" t="s">
        <v>963</v>
      </c>
      <c r="L85" s="138" t="s">
        <v>964</v>
      </c>
      <c r="M85" s="239">
        <v>219139</v>
      </c>
      <c r="N85" s="240">
        <v>126722</v>
      </c>
      <c r="O85" s="241">
        <v>92417</v>
      </c>
      <c r="P85" s="378">
        <v>-4</v>
      </c>
      <c r="Q85" s="378">
        <v>-2</v>
      </c>
      <c r="R85" s="379">
        <v>-6</v>
      </c>
      <c r="S85" s="240">
        <v>219139</v>
      </c>
      <c r="T85" s="240">
        <v>126722</v>
      </c>
      <c r="U85" s="241">
        <v>92417</v>
      </c>
      <c r="V85" s="378">
        <v>-4</v>
      </c>
      <c r="W85" s="378">
        <v>-2</v>
      </c>
      <c r="X85" s="379">
        <v>-6</v>
      </c>
      <c r="Y85" s="240">
        <v>219139</v>
      </c>
      <c r="Z85" s="240">
        <v>126722</v>
      </c>
      <c r="AA85" s="241">
        <v>92417</v>
      </c>
      <c r="AB85" s="378">
        <v>-4</v>
      </c>
      <c r="AC85" s="378">
        <v>-2</v>
      </c>
      <c r="AD85" s="379">
        <v>-6</v>
      </c>
      <c r="AF85" s="488">
        <v>42369</v>
      </c>
      <c r="AG85" s="378">
        <v>-3</v>
      </c>
      <c r="AH85" s="378">
        <v>-3</v>
      </c>
      <c r="AI85" s="378">
        <v>-3</v>
      </c>
    </row>
    <row r="86" spans="1:35" ht="14.25" customHeight="1">
      <c r="A86" s="105" t="s">
        <v>866</v>
      </c>
      <c r="B86" s="250">
        <v>-1.0375000000000001</v>
      </c>
      <c r="C86" s="250">
        <v>0.2293</v>
      </c>
      <c r="D86" s="250">
        <v>-4.5250000000000004</v>
      </c>
      <c r="E86" s="250">
        <v>3.8600000000000003E-5</v>
      </c>
      <c r="F86" s="250" t="s">
        <v>194</v>
      </c>
      <c r="L86" s="138" t="s">
        <v>965</v>
      </c>
      <c r="M86" s="239">
        <v>218479</v>
      </c>
      <c r="N86" s="240">
        <v>126449</v>
      </c>
      <c r="O86" s="241">
        <v>92030</v>
      </c>
      <c r="P86" s="378">
        <v>-2</v>
      </c>
      <c r="Q86" s="378">
        <v>-1</v>
      </c>
      <c r="R86" s="379">
        <v>-4</v>
      </c>
      <c r="S86" s="240">
        <v>218479</v>
      </c>
      <c r="T86" s="240">
        <v>126449</v>
      </c>
      <c r="U86" s="241">
        <v>92030</v>
      </c>
      <c r="V86" s="378">
        <v>-2</v>
      </c>
      <c r="W86" s="378">
        <v>-1</v>
      </c>
      <c r="X86" s="379">
        <v>-4</v>
      </c>
      <c r="Y86" s="240">
        <v>218479</v>
      </c>
      <c r="Z86" s="240">
        <v>126449</v>
      </c>
      <c r="AA86" s="241">
        <v>92030</v>
      </c>
      <c r="AB86" s="378">
        <v>-2</v>
      </c>
      <c r="AC86" s="378">
        <v>-1</v>
      </c>
      <c r="AD86" s="379">
        <v>-4</v>
      </c>
      <c r="AF86" s="488">
        <v>42460</v>
      </c>
      <c r="AG86" s="378">
        <v>-7</v>
      </c>
      <c r="AH86" s="378">
        <v>-7</v>
      </c>
      <c r="AI86" s="378">
        <v>-7</v>
      </c>
    </row>
    <row r="87" spans="1:35" ht="14.25" customHeight="1">
      <c r="A87" s="105" t="s">
        <v>11</v>
      </c>
      <c r="B87" s="250">
        <v>0.80720000000000003</v>
      </c>
      <c r="C87" s="250">
        <v>0.125</v>
      </c>
      <c r="D87" s="250">
        <v>6.4550000000000001</v>
      </c>
      <c r="E87" s="250">
        <v>4.6399999999999999E-8</v>
      </c>
      <c r="F87" s="250" t="s">
        <v>194</v>
      </c>
      <c r="L87" s="138" t="s">
        <v>966</v>
      </c>
      <c r="M87" s="239">
        <v>221673</v>
      </c>
      <c r="N87" s="240">
        <v>128629</v>
      </c>
      <c r="O87" s="241">
        <v>93044</v>
      </c>
      <c r="P87" s="378">
        <v>0</v>
      </c>
      <c r="Q87" s="378">
        <v>1</v>
      </c>
      <c r="R87" s="379">
        <v>-2</v>
      </c>
      <c r="S87" s="240">
        <v>221673</v>
      </c>
      <c r="T87" s="240">
        <v>128629</v>
      </c>
      <c r="U87" s="241">
        <v>93044</v>
      </c>
      <c r="V87" s="378">
        <v>0</v>
      </c>
      <c r="W87" s="378">
        <v>1</v>
      </c>
      <c r="X87" s="379">
        <v>-2</v>
      </c>
      <c r="Y87" s="240">
        <v>221673</v>
      </c>
      <c r="Z87" s="240">
        <v>128629</v>
      </c>
      <c r="AA87" s="241">
        <v>93044</v>
      </c>
      <c r="AB87" s="378">
        <v>0</v>
      </c>
      <c r="AC87" s="378">
        <v>1</v>
      </c>
      <c r="AD87" s="379">
        <v>-2</v>
      </c>
      <c r="AF87" s="488">
        <v>42551</v>
      </c>
      <c r="AG87" s="378">
        <v>-6</v>
      </c>
      <c r="AH87" s="378">
        <v>-6</v>
      </c>
      <c r="AI87" s="378">
        <v>-6</v>
      </c>
    </row>
    <row r="88" spans="1:35" ht="14.25" customHeight="1">
      <c r="L88" s="138" t="s">
        <v>967</v>
      </c>
      <c r="M88" s="239">
        <v>218777</v>
      </c>
      <c r="N88" s="240">
        <v>127634</v>
      </c>
      <c r="O88" s="241">
        <v>91143</v>
      </c>
      <c r="P88" s="378">
        <v>-1</v>
      </c>
      <c r="Q88" s="378">
        <v>1</v>
      </c>
      <c r="R88" s="379">
        <v>-3</v>
      </c>
      <c r="S88" s="240">
        <v>218777</v>
      </c>
      <c r="T88" s="240">
        <v>127634</v>
      </c>
      <c r="U88" s="241">
        <v>91143</v>
      </c>
      <c r="V88" s="378">
        <v>-1</v>
      </c>
      <c r="W88" s="378">
        <v>1</v>
      </c>
      <c r="X88" s="379">
        <v>-3</v>
      </c>
      <c r="Y88" s="240">
        <v>218777</v>
      </c>
      <c r="Z88" s="240">
        <v>127634</v>
      </c>
      <c r="AA88" s="241">
        <v>91143</v>
      </c>
      <c r="AB88" s="378">
        <v>-1</v>
      </c>
      <c r="AC88" s="378">
        <v>1</v>
      </c>
      <c r="AD88" s="379">
        <v>-3</v>
      </c>
      <c r="AF88" s="488">
        <v>42643</v>
      </c>
      <c r="AG88" s="378">
        <v>-6</v>
      </c>
      <c r="AH88" s="378">
        <v>-6</v>
      </c>
      <c r="AI88" s="378">
        <v>-6</v>
      </c>
    </row>
    <row r="89" spans="1:35" ht="14.25" customHeight="1">
      <c r="A89" s="249"/>
      <c r="B89" s="105" t="s">
        <v>189</v>
      </c>
      <c r="C89" s="105" t="s">
        <v>190</v>
      </c>
      <c r="D89" s="105" t="s">
        <v>191</v>
      </c>
      <c r="E89" s="105" t="s">
        <v>192</v>
      </c>
      <c r="F89" s="105"/>
      <c r="L89" s="138" t="s">
        <v>968</v>
      </c>
      <c r="M89" s="239">
        <v>215741</v>
      </c>
      <c r="N89" s="240">
        <v>126035</v>
      </c>
      <c r="O89" s="241">
        <v>89706</v>
      </c>
      <c r="P89" s="378">
        <v>-2</v>
      </c>
      <c r="Q89" s="378">
        <v>-1</v>
      </c>
      <c r="R89" s="379">
        <v>-3</v>
      </c>
      <c r="S89" s="240">
        <v>215741</v>
      </c>
      <c r="T89" s="240">
        <v>126035</v>
      </c>
      <c r="U89" s="241">
        <v>89706</v>
      </c>
      <c r="V89" s="378">
        <v>-2</v>
      </c>
      <c r="W89" s="378">
        <v>-1</v>
      </c>
      <c r="X89" s="379">
        <v>-3</v>
      </c>
      <c r="Y89" s="240">
        <v>215741</v>
      </c>
      <c r="Z89" s="240">
        <v>126035</v>
      </c>
      <c r="AA89" s="241">
        <v>89706</v>
      </c>
      <c r="AB89" s="378">
        <v>-2</v>
      </c>
      <c r="AC89" s="378">
        <v>-1</v>
      </c>
      <c r="AD89" s="379">
        <v>-3</v>
      </c>
      <c r="AF89" s="488">
        <v>42735</v>
      </c>
      <c r="AG89" s="378">
        <v>-4</v>
      </c>
      <c r="AH89" s="378">
        <v>-4</v>
      </c>
      <c r="AI89" s="378">
        <v>-4</v>
      </c>
    </row>
    <row r="90" spans="1:35" ht="14.25" customHeight="1">
      <c r="A90" s="105" t="s">
        <v>193</v>
      </c>
      <c r="B90" s="250">
        <v>-1.3965000000000001</v>
      </c>
      <c r="C90" s="250">
        <v>0.54034000000000004</v>
      </c>
      <c r="D90" s="250">
        <v>-2.5840000000000001</v>
      </c>
      <c r="E90" s="250">
        <v>1.3100000000000001E-2</v>
      </c>
      <c r="F90" s="250" t="s">
        <v>963</v>
      </c>
      <c r="L90" s="138" t="s">
        <v>969</v>
      </c>
      <c r="M90" s="239">
        <v>211735</v>
      </c>
      <c r="N90" s="240">
        <v>124503</v>
      </c>
      <c r="O90" s="241">
        <v>87231</v>
      </c>
      <c r="P90" s="378">
        <v>-3</v>
      </c>
      <c r="Q90" s="378">
        <v>-2</v>
      </c>
      <c r="R90" s="379">
        <v>-5</v>
      </c>
      <c r="S90" s="240">
        <v>211735</v>
      </c>
      <c r="T90" s="240">
        <v>124503</v>
      </c>
      <c r="U90" s="241">
        <v>87231</v>
      </c>
      <c r="V90" s="378">
        <v>-3</v>
      </c>
      <c r="W90" s="378">
        <v>-2</v>
      </c>
      <c r="X90" s="379">
        <v>-5</v>
      </c>
      <c r="Y90" s="240">
        <v>211735</v>
      </c>
      <c r="Z90" s="240">
        <v>124503</v>
      </c>
      <c r="AA90" s="241">
        <v>87231</v>
      </c>
      <c r="AB90" s="378">
        <v>-3</v>
      </c>
      <c r="AC90" s="378">
        <v>-2</v>
      </c>
      <c r="AD90" s="379">
        <v>-5</v>
      </c>
      <c r="AF90" s="488">
        <v>42825</v>
      </c>
      <c r="AG90" s="378">
        <v>-2</v>
      </c>
      <c r="AH90" s="378">
        <v>-2</v>
      </c>
      <c r="AI90" s="378">
        <v>-2</v>
      </c>
    </row>
    <row r="91" spans="1:35" ht="14.25" customHeight="1">
      <c r="A91" s="105" t="s">
        <v>970</v>
      </c>
      <c r="B91" s="250">
        <v>1.1231199999999999</v>
      </c>
      <c r="C91" s="250">
        <v>0.15082999999999999</v>
      </c>
      <c r="D91" s="250">
        <v>7.4459999999999997</v>
      </c>
      <c r="E91" s="250">
        <v>2.23E-9</v>
      </c>
      <c r="F91" s="250" t="s">
        <v>194</v>
      </c>
      <c r="L91" s="138" t="s">
        <v>971</v>
      </c>
      <c r="M91" s="239">
        <v>206264</v>
      </c>
      <c r="N91" s="240">
        <v>118314</v>
      </c>
      <c r="O91" s="241">
        <v>87950</v>
      </c>
      <c r="P91" s="378">
        <v>-7</v>
      </c>
      <c r="Q91" s="378">
        <v>-8</v>
      </c>
      <c r="R91" s="379">
        <v>-5</v>
      </c>
      <c r="S91" s="240">
        <v>206264</v>
      </c>
      <c r="T91" s="240">
        <v>118314</v>
      </c>
      <c r="U91" s="241">
        <v>87950</v>
      </c>
      <c r="V91" s="378">
        <v>-7</v>
      </c>
      <c r="W91" s="378">
        <v>-8</v>
      </c>
      <c r="X91" s="379">
        <v>-5</v>
      </c>
      <c r="Y91" s="240">
        <v>206264</v>
      </c>
      <c r="Z91" s="240">
        <v>118314</v>
      </c>
      <c r="AA91" s="241">
        <v>87950</v>
      </c>
      <c r="AB91" s="378">
        <v>-7</v>
      </c>
      <c r="AC91" s="378">
        <v>-8</v>
      </c>
      <c r="AD91" s="379">
        <v>-5</v>
      </c>
      <c r="AF91" s="488">
        <v>42916</v>
      </c>
      <c r="AG91" s="378">
        <v>-1</v>
      </c>
      <c r="AH91" s="378">
        <v>-1</v>
      </c>
      <c r="AI91" s="378">
        <v>-1</v>
      </c>
    </row>
    <row r="92" spans="1:35" ht="14.25" customHeight="1">
      <c r="A92" s="105" t="s">
        <v>11</v>
      </c>
      <c r="B92" s="250">
        <v>1.35937</v>
      </c>
      <c r="C92" s="250">
        <v>9.6280000000000004E-2</v>
      </c>
      <c r="D92" s="250">
        <v>14.119</v>
      </c>
      <c r="E92" s="250" t="s">
        <v>972</v>
      </c>
      <c r="F92" s="250" t="s">
        <v>194</v>
      </c>
      <c r="L92" s="138" t="s">
        <v>973</v>
      </c>
      <c r="M92" s="239">
        <v>205126</v>
      </c>
      <c r="N92" s="240">
        <v>118239</v>
      </c>
      <c r="O92" s="241">
        <v>86887</v>
      </c>
      <c r="P92" s="378">
        <v>-6</v>
      </c>
      <c r="Q92" s="378">
        <v>-7</v>
      </c>
      <c r="R92" s="379">
        <v>-5</v>
      </c>
      <c r="S92" s="240">
        <v>205126</v>
      </c>
      <c r="T92" s="240">
        <v>118239</v>
      </c>
      <c r="U92" s="241">
        <v>86887</v>
      </c>
      <c r="V92" s="378">
        <v>-6</v>
      </c>
      <c r="W92" s="378">
        <v>-7</v>
      </c>
      <c r="X92" s="379">
        <v>-5</v>
      </c>
      <c r="Y92" s="240">
        <v>205126</v>
      </c>
      <c r="Z92" s="240">
        <v>118239</v>
      </c>
      <c r="AA92" s="241">
        <v>86887</v>
      </c>
      <c r="AB92" s="378">
        <v>-6</v>
      </c>
      <c r="AC92" s="378">
        <v>-7</v>
      </c>
      <c r="AD92" s="379">
        <v>-5</v>
      </c>
      <c r="AF92" s="488">
        <v>43008</v>
      </c>
      <c r="AG92" s="378">
        <v>0</v>
      </c>
      <c r="AH92" s="378">
        <v>0</v>
      </c>
      <c r="AI92" s="378">
        <v>0</v>
      </c>
    </row>
    <row r="93" spans="1:35" ht="14.25" customHeight="1">
      <c r="L93" s="138" t="s">
        <v>974</v>
      </c>
      <c r="M93" s="239">
        <v>202863</v>
      </c>
      <c r="N93" s="240">
        <v>117537</v>
      </c>
      <c r="O93" s="241">
        <v>85326</v>
      </c>
      <c r="P93" s="378">
        <v>-6</v>
      </c>
      <c r="Q93" s="378">
        <v>-7</v>
      </c>
      <c r="R93" s="379">
        <v>-5</v>
      </c>
      <c r="S93" s="240">
        <v>202863</v>
      </c>
      <c r="T93" s="240">
        <v>117537</v>
      </c>
      <c r="U93" s="241">
        <v>85326</v>
      </c>
      <c r="V93" s="378">
        <v>-6</v>
      </c>
      <c r="W93" s="378">
        <v>-7</v>
      </c>
      <c r="X93" s="379">
        <v>-5</v>
      </c>
      <c r="Y93" s="240">
        <v>202863</v>
      </c>
      <c r="Z93" s="240">
        <v>117537</v>
      </c>
      <c r="AA93" s="241">
        <v>85326</v>
      </c>
      <c r="AB93" s="378">
        <v>-6</v>
      </c>
      <c r="AC93" s="378">
        <v>-7</v>
      </c>
      <c r="AD93" s="379">
        <v>-5</v>
      </c>
      <c r="AF93" s="488">
        <v>43100</v>
      </c>
      <c r="AG93" s="378">
        <v>0</v>
      </c>
      <c r="AH93" s="378">
        <v>0</v>
      </c>
      <c r="AI93" s="378">
        <v>0</v>
      </c>
    </row>
    <row r="94" spans="1:35" ht="14.25" customHeight="1">
      <c r="L94" s="138" t="s">
        <v>975</v>
      </c>
      <c r="M94" s="239">
        <v>202652</v>
      </c>
      <c r="N94" s="240">
        <v>117617</v>
      </c>
      <c r="O94" s="241">
        <v>85035</v>
      </c>
      <c r="P94" s="378">
        <v>-4</v>
      </c>
      <c r="Q94" s="378">
        <v>-6</v>
      </c>
      <c r="R94" s="379">
        <v>-3</v>
      </c>
      <c r="S94" s="240">
        <v>202652</v>
      </c>
      <c r="T94" s="240">
        <v>117617</v>
      </c>
      <c r="U94" s="241">
        <v>85035</v>
      </c>
      <c r="V94" s="378">
        <v>-4</v>
      </c>
      <c r="W94" s="378">
        <v>-6</v>
      </c>
      <c r="X94" s="379">
        <v>-3</v>
      </c>
      <c r="Y94" s="240">
        <v>202652</v>
      </c>
      <c r="Z94" s="240">
        <v>117617</v>
      </c>
      <c r="AA94" s="241">
        <v>85035</v>
      </c>
      <c r="AB94" s="378">
        <v>-4</v>
      </c>
      <c r="AC94" s="378">
        <v>-6</v>
      </c>
      <c r="AD94" s="379">
        <v>-3</v>
      </c>
      <c r="AF94" s="488">
        <v>43190</v>
      </c>
      <c r="AG94" s="378">
        <v>1</v>
      </c>
      <c r="AH94" s="378">
        <v>1</v>
      </c>
      <c r="AI94" s="378">
        <v>1</v>
      </c>
    </row>
    <row r="95" spans="1:35" ht="14.25" customHeight="1">
      <c r="L95" s="138" t="s">
        <v>976</v>
      </c>
      <c r="M95" s="239">
        <v>201609</v>
      </c>
      <c r="N95" s="240">
        <v>117264</v>
      </c>
      <c r="O95" s="241">
        <v>84345</v>
      </c>
      <c r="P95" s="378">
        <v>-2</v>
      </c>
      <c r="Q95" s="378">
        <v>-1</v>
      </c>
      <c r="R95" s="379">
        <v>-4</v>
      </c>
      <c r="S95" s="240">
        <v>201609</v>
      </c>
      <c r="T95" s="240">
        <v>117264</v>
      </c>
      <c r="U95" s="241">
        <v>84345</v>
      </c>
      <c r="V95" s="378">
        <v>-2</v>
      </c>
      <c r="W95" s="378">
        <v>-1</v>
      </c>
      <c r="X95" s="379">
        <v>-4</v>
      </c>
      <c r="Y95" s="240">
        <v>201609</v>
      </c>
      <c r="Z95" s="240">
        <v>117264</v>
      </c>
      <c r="AA95" s="241">
        <v>84345</v>
      </c>
      <c r="AB95" s="378">
        <v>-2</v>
      </c>
      <c r="AC95" s="378">
        <v>-1</v>
      </c>
      <c r="AD95" s="379">
        <v>-4</v>
      </c>
      <c r="AF95" s="488">
        <v>43281</v>
      </c>
      <c r="AG95" s="378">
        <v>2</v>
      </c>
      <c r="AH95" s="378">
        <v>2</v>
      </c>
      <c r="AI95" s="378">
        <v>2</v>
      </c>
    </row>
    <row r="96" spans="1:35" ht="14.25" customHeight="1">
      <c r="L96" s="138" t="s">
        <v>978</v>
      </c>
      <c r="M96" s="239">
        <v>202398</v>
      </c>
      <c r="N96" s="240">
        <v>117265</v>
      </c>
      <c r="O96" s="241">
        <v>85134</v>
      </c>
      <c r="P96" s="378">
        <v>-1</v>
      </c>
      <c r="Q96" s="378">
        <v>-1</v>
      </c>
      <c r="R96" s="379">
        <v>-2</v>
      </c>
      <c r="S96" s="240">
        <v>202398</v>
      </c>
      <c r="T96" s="240">
        <v>117265</v>
      </c>
      <c r="U96" s="241">
        <v>85134</v>
      </c>
      <c r="V96" s="378">
        <v>-1</v>
      </c>
      <c r="W96" s="378">
        <v>-1</v>
      </c>
      <c r="X96" s="379">
        <v>-2</v>
      </c>
      <c r="Y96" s="240">
        <v>202398</v>
      </c>
      <c r="Z96" s="240">
        <v>117265</v>
      </c>
      <c r="AA96" s="241">
        <v>85134</v>
      </c>
      <c r="AB96" s="378">
        <v>-1</v>
      </c>
      <c r="AC96" s="378">
        <v>-1</v>
      </c>
      <c r="AD96" s="379">
        <v>-2</v>
      </c>
      <c r="AF96" s="488">
        <v>43373</v>
      </c>
      <c r="AG96" s="378">
        <v>2</v>
      </c>
      <c r="AH96" s="378">
        <v>2</v>
      </c>
      <c r="AI96" s="378">
        <v>2</v>
      </c>
    </row>
    <row r="97" spans="12:35" ht="14.25" customHeight="1">
      <c r="L97" s="138" t="s">
        <v>979</v>
      </c>
      <c r="M97" s="239">
        <v>203540</v>
      </c>
      <c r="N97" s="240">
        <v>117961</v>
      </c>
      <c r="O97" s="241">
        <v>85579</v>
      </c>
      <c r="P97" s="378">
        <v>0</v>
      </c>
      <c r="Q97" s="378">
        <v>0</v>
      </c>
      <c r="R97" s="379">
        <v>0</v>
      </c>
      <c r="S97" s="240">
        <v>203540</v>
      </c>
      <c r="T97" s="240">
        <v>117961</v>
      </c>
      <c r="U97" s="241">
        <v>85579</v>
      </c>
      <c r="V97" s="378">
        <v>0</v>
      </c>
      <c r="W97" s="378">
        <v>0</v>
      </c>
      <c r="X97" s="379">
        <v>0</v>
      </c>
      <c r="Y97" s="240">
        <v>203540</v>
      </c>
      <c r="Z97" s="240">
        <v>117961</v>
      </c>
      <c r="AA97" s="241">
        <v>85579</v>
      </c>
      <c r="AB97" s="378">
        <v>0</v>
      </c>
      <c r="AC97" s="378">
        <v>0</v>
      </c>
      <c r="AD97" s="379">
        <v>0</v>
      </c>
      <c r="AF97" s="488">
        <v>43465</v>
      </c>
      <c r="AG97" s="378">
        <v>2</v>
      </c>
      <c r="AH97" s="378">
        <v>2</v>
      </c>
      <c r="AI97" s="378">
        <v>2</v>
      </c>
    </row>
    <row r="98" spans="12:35" ht="14.25" customHeight="1">
      <c r="L98" s="138" t="s">
        <v>980</v>
      </c>
      <c r="M98" s="239">
        <v>202450</v>
      </c>
      <c r="N98" s="240">
        <v>119034</v>
      </c>
      <c r="O98" s="241">
        <v>83416</v>
      </c>
      <c r="P98" s="378">
        <v>0</v>
      </c>
      <c r="Q98" s="378">
        <v>1</v>
      </c>
      <c r="R98" s="379">
        <v>-2</v>
      </c>
      <c r="S98" s="240">
        <v>202450</v>
      </c>
      <c r="T98" s="240">
        <v>119034</v>
      </c>
      <c r="U98" s="241">
        <v>83416</v>
      </c>
      <c r="V98" s="378">
        <v>0</v>
      </c>
      <c r="W98" s="378">
        <v>1</v>
      </c>
      <c r="X98" s="379">
        <v>-2</v>
      </c>
      <c r="Y98" s="240">
        <v>202450</v>
      </c>
      <c r="Z98" s="240">
        <v>119034</v>
      </c>
      <c r="AA98" s="241">
        <v>83416</v>
      </c>
      <c r="AB98" s="378">
        <v>0</v>
      </c>
      <c r="AC98" s="378">
        <v>1</v>
      </c>
      <c r="AD98" s="379">
        <v>-2</v>
      </c>
      <c r="AF98" s="488">
        <v>43555</v>
      </c>
      <c r="AG98" s="378">
        <v>4</v>
      </c>
      <c r="AH98" s="378">
        <v>4</v>
      </c>
      <c r="AI98" s="378">
        <v>4</v>
      </c>
    </row>
    <row r="99" spans="12:35" ht="14.25" customHeight="1">
      <c r="L99" s="138" t="s">
        <v>981</v>
      </c>
      <c r="M99" s="239">
        <v>202959</v>
      </c>
      <c r="N99" s="240">
        <v>119754</v>
      </c>
      <c r="O99" s="241">
        <v>83205</v>
      </c>
      <c r="P99" s="378">
        <v>1</v>
      </c>
      <c r="Q99" s="378">
        <v>2</v>
      </c>
      <c r="R99" s="379">
        <v>-1</v>
      </c>
      <c r="S99" s="240">
        <v>202959</v>
      </c>
      <c r="T99" s="240">
        <v>119754</v>
      </c>
      <c r="U99" s="241">
        <v>83205</v>
      </c>
      <c r="V99" s="378">
        <v>1</v>
      </c>
      <c r="W99" s="378">
        <v>2</v>
      </c>
      <c r="X99" s="379">
        <v>-1</v>
      </c>
      <c r="Y99" s="240">
        <v>202959</v>
      </c>
      <c r="Z99" s="240">
        <v>119754</v>
      </c>
      <c r="AA99" s="241">
        <v>83205</v>
      </c>
      <c r="AB99" s="378">
        <v>1</v>
      </c>
      <c r="AC99" s="378">
        <v>2</v>
      </c>
      <c r="AD99" s="379">
        <v>-1</v>
      </c>
      <c r="AF99" s="488">
        <v>43646</v>
      </c>
      <c r="AG99" s="378">
        <v>3</v>
      </c>
      <c r="AH99" s="378">
        <v>3</v>
      </c>
      <c r="AI99" s="378">
        <v>3</v>
      </c>
    </row>
    <row r="100" spans="12:35" ht="14.25" customHeight="1">
      <c r="L100" s="138" t="s">
        <v>982</v>
      </c>
      <c r="M100" s="239">
        <v>206842</v>
      </c>
      <c r="N100" s="240">
        <v>121798</v>
      </c>
      <c r="O100" s="241">
        <v>85043</v>
      </c>
      <c r="P100" s="378">
        <v>2</v>
      </c>
      <c r="Q100" s="378">
        <v>4</v>
      </c>
      <c r="R100" s="379">
        <v>0</v>
      </c>
      <c r="S100" s="240">
        <v>206842</v>
      </c>
      <c r="T100" s="240">
        <v>121798</v>
      </c>
      <c r="U100" s="241">
        <v>85043</v>
      </c>
      <c r="V100" s="378">
        <v>2</v>
      </c>
      <c r="W100" s="378">
        <v>4</v>
      </c>
      <c r="X100" s="379">
        <v>0</v>
      </c>
      <c r="Y100" s="240">
        <v>206842</v>
      </c>
      <c r="Z100" s="240">
        <v>121798</v>
      </c>
      <c r="AA100" s="241">
        <v>85043</v>
      </c>
      <c r="AB100" s="378">
        <v>2</v>
      </c>
      <c r="AC100" s="378">
        <v>4</v>
      </c>
      <c r="AD100" s="379">
        <v>0</v>
      </c>
      <c r="AF100" s="488">
        <v>43738</v>
      </c>
      <c r="AG100" s="378">
        <v>2</v>
      </c>
      <c r="AH100" s="378">
        <v>2</v>
      </c>
      <c r="AI100" s="378">
        <v>2</v>
      </c>
    </row>
    <row r="101" spans="12:35" ht="14.25" customHeight="1">
      <c r="L101" s="138" t="s">
        <v>983</v>
      </c>
      <c r="M101" s="239">
        <v>206951</v>
      </c>
      <c r="N101" s="240">
        <v>122615</v>
      </c>
      <c r="O101" s="241">
        <v>84336</v>
      </c>
      <c r="P101" s="378">
        <v>2</v>
      </c>
      <c r="Q101" s="378">
        <v>4</v>
      </c>
      <c r="R101" s="379">
        <v>-1</v>
      </c>
      <c r="S101" s="240">
        <v>206951</v>
      </c>
      <c r="T101" s="240">
        <v>122615</v>
      </c>
      <c r="U101" s="241">
        <v>84336</v>
      </c>
      <c r="V101" s="378">
        <v>2</v>
      </c>
      <c r="W101" s="378">
        <v>4</v>
      </c>
      <c r="X101" s="379">
        <v>-1</v>
      </c>
      <c r="Y101" s="240">
        <v>206951</v>
      </c>
      <c r="Z101" s="240">
        <v>122615</v>
      </c>
      <c r="AA101" s="241">
        <v>84336</v>
      </c>
      <c r="AB101" s="378">
        <v>2</v>
      </c>
      <c r="AC101" s="378">
        <v>4</v>
      </c>
      <c r="AD101" s="379">
        <v>-1</v>
      </c>
      <c r="AF101" s="488">
        <v>43830</v>
      </c>
      <c r="AG101" s="378">
        <v>4</v>
      </c>
      <c r="AH101" s="378">
        <v>4</v>
      </c>
      <c r="AI101" s="378">
        <v>4</v>
      </c>
    </row>
    <row r="102" spans="12:35" ht="14.25" customHeight="1">
      <c r="L102" s="138" t="s">
        <v>984</v>
      </c>
      <c r="M102" s="239">
        <v>207016</v>
      </c>
      <c r="N102" s="240">
        <v>124487</v>
      </c>
      <c r="O102" s="241">
        <v>82529</v>
      </c>
      <c r="P102" s="378">
        <v>2</v>
      </c>
      <c r="Q102" s="378">
        <v>5</v>
      </c>
      <c r="R102" s="379">
        <v>-1</v>
      </c>
      <c r="S102" s="240">
        <v>207016</v>
      </c>
      <c r="T102" s="240">
        <v>124487</v>
      </c>
      <c r="U102" s="241">
        <v>82529</v>
      </c>
      <c r="V102" s="378">
        <v>2</v>
      </c>
      <c r="W102" s="378">
        <v>5</v>
      </c>
      <c r="X102" s="379">
        <v>-1</v>
      </c>
      <c r="Y102" s="240">
        <v>207016</v>
      </c>
      <c r="Z102" s="240">
        <v>124487</v>
      </c>
      <c r="AA102" s="241">
        <v>82529</v>
      </c>
      <c r="AB102" s="378">
        <v>2</v>
      </c>
      <c r="AC102" s="378">
        <v>5</v>
      </c>
      <c r="AD102" s="379">
        <v>-1</v>
      </c>
      <c r="AF102" s="488">
        <v>43921</v>
      </c>
      <c r="AG102" s="378">
        <v>6</v>
      </c>
      <c r="AH102" s="378">
        <v>6</v>
      </c>
      <c r="AI102" s="378">
        <v>6</v>
      </c>
    </row>
    <row r="103" spans="12:35" ht="14.25" customHeight="1">
      <c r="L103" s="138" t="s">
        <v>985</v>
      </c>
      <c r="M103" s="239">
        <v>210151</v>
      </c>
      <c r="N103" s="240">
        <v>126920</v>
      </c>
      <c r="O103" s="241">
        <v>83231</v>
      </c>
      <c r="P103" s="378">
        <v>4</v>
      </c>
      <c r="Q103" s="378">
        <v>6</v>
      </c>
      <c r="R103" s="379">
        <v>0</v>
      </c>
      <c r="S103" s="240">
        <v>210151</v>
      </c>
      <c r="T103" s="240">
        <v>126920</v>
      </c>
      <c r="U103" s="241">
        <v>83231</v>
      </c>
      <c r="V103" s="378">
        <v>4</v>
      </c>
      <c r="W103" s="378">
        <v>6</v>
      </c>
      <c r="X103" s="379">
        <v>0</v>
      </c>
      <c r="Y103" s="240">
        <v>210151</v>
      </c>
      <c r="Z103" s="240">
        <v>126920</v>
      </c>
      <c r="AA103" s="241">
        <v>83231</v>
      </c>
      <c r="AB103" s="378">
        <v>4</v>
      </c>
      <c r="AC103" s="378">
        <v>6</v>
      </c>
      <c r="AD103" s="379">
        <v>0</v>
      </c>
      <c r="AF103" s="492">
        <v>44012</v>
      </c>
      <c r="AG103" s="493">
        <f>P108</f>
        <v>-4</v>
      </c>
      <c r="AH103" s="493">
        <v>2</v>
      </c>
      <c r="AI103" s="493">
        <v>2</v>
      </c>
    </row>
    <row r="104" spans="12:35" ht="14.25" customHeight="1">
      <c r="L104" s="138" t="s">
        <v>986</v>
      </c>
      <c r="M104" s="239">
        <v>212165</v>
      </c>
      <c r="N104" s="240">
        <v>129230</v>
      </c>
      <c r="O104" s="241">
        <v>82935</v>
      </c>
      <c r="P104" s="378">
        <v>3</v>
      </c>
      <c r="Q104" s="378">
        <v>6</v>
      </c>
      <c r="R104" s="379">
        <v>-2</v>
      </c>
      <c r="S104" s="240">
        <v>212165</v>
      </c>
      <c r="T104" s="240">
        <v>129230</v>
      </c>
      <c r="U104" s="241">
        <v>82935</v>
      </c>
      <c r="V104" s="378">
        <v>3</v>
      </c>
      <c r="W104" s="378">
        <v>6</v>
      </c>
      <c r="X104" s="379">
        <v>-2</v>
      </c>
      <c r="Y104" s="240">
        <v>212165</v>
      </c>
      <c r="Z104" s="240">
        <v>129230</v>
      </c>
      <c r="AA104" s="241">
        <v>82935</v>
      </c>
      <c r="AB104" s="378">
        <v>3</v>
      </c>
      <c r="AC104" s="378">
        <v>6</v>
      </c>
      <c r="AD104" s="379">
        <v>-2</v>
      </c>
      <c r="AF104" s="492">
        <v>44104</v>
      </c>
      <c r="AG104" s="493">
        <f t="shared" ref="AG104:AG105" si="1">P109</f>
        <v>-1</v>
      </c>
      <c r="AH104" s="493">
        <v>2</v>
      </c>
      <c r="AI104" s="493">
        <v>3</v>
      </c>
    </row>
    <row r="105" spans="12:35" ht="14.25" customHeight="1">
      <c r="L105" s="138" t="s">
        <v>987</v>
      </c>
      <c r="M105" s="239">
        <v>210619</v>
      </c>
      <c r="N105" s="240">
        <v>130133</v>
      </c>
      <c r="O105" s="241">
        <v>80486</v>
      </c>
      <c r="P105" s="378">
        <v>2</v>
      </c>
      <c r="Q105" s="378">
        <v>6</v>
      </c>
      <c r="R105" s="379">
        <v>-5</v>
      </c>
      <c r="S105" s="240">
        <v>210619</v>
      </c>
      <c r="T105" s="240">
        <v>130133</v>
      </c>
      <c r="U105" s="241">
        <v>80486</v>
      </c>
      <c r="V105" s="378">
        <v>2</v>
      </c>
      <c r="W105" s="378">
        <v>6</v>
      </c>
      <c r="X105" s="379">
        <v>-5</v>
      </c>
      <c r="Y105" s="240">
        <v>210619</v>
      </c>
      <c r="Z105" s="240">
        <v>130133</v>
      </c>
      <c r="AA105" s="241">
        <v>80486</v>
      </c>
      <c r="AB105" s="378">
        <v>2</v>
      </c>
      <c r="AC105" s="378">
        <v>6</v>
      </c>
      <c r="AD105" s="379">
        <v>-5</v>
      </c>
      <c r="AF105" s="492">
        <v>44196</v>
      </c>
      <c r="AG105" s="493">
        <f t="shared" si="1"/>
        <v>0</v>
      </c>
      <c r="AH105" s="493">
        <v>2</v>
      </c>
      <c r="AI105" s="493">
        <v>4</v>
      </c>
    </row>
    <row r="106" spans="12:35" ht="14.25" customHeight="1">
      <c r="L106" s="138" t="s">
        <v>988</v>
      </c>
      <c r="M106" s="239">
        <v>215021</v>
      </c>
      <c r="N106" s="240">
        <v>133118</v>
      </c>
      <c r="O106" s="241">
        <v>81903</v>
      </c>
      <c r="P106" s="378">
        <v>4</v>
      </c>
      <c r="Q106" s="378">
        <v>7</v>
      </c>
      <c r="R106" s="379">
        <v>-1</v>
      </c>
      <c r="S106" s="240">
        <v>215021</v>
      </c>
      <c r="T106" s="240">
        <v>133118</v>
      </c>
      <c r="U106" s="241">
        <v>81903</v>
      </c>
      <c r="V106" s="378">
        <v>4</v>
      </c>
      <c r="W106" s="378">
        <v>7</v>
      </c>
      <c r="X106" s="379">
        <v>-1</v>
      </c>
      <c r="Y106" s="240">
        <v>215021</v>
      </c>
      <c r="Z106" s="240">
        <v>133118</v>
      </c>
      <c r="AA106" s="241">
        <v>81903</v>
      </c>
      <c r="AB106" s="378">
        <v>4</v>
      </c>
      <c r="AC106" s="378">
        <v>7</v>
      </c>
      <c r="AD106" s="379">
        <v>-1</v>
      </c>
    </row>
    <row r="107" spans="12:35" ht="14.25" customHeight="1">
      <c r="L107" s="138" t="s">
        <v>989</v>
      </c>
      <c r="M107" s="239">
        <v>222704</v>
      </c>
      <c r="N107" s="240">
        <v>135373</v>
      </c>
      <c r="O107" s="241">
        <v>87332</v>
      </c>
      <c r="P107" s="378">
        <v>6</v>
      </c>
      <c r="Q107" s="378">
        <v>7</v>
      </c>
      <c r="R107" s="379">
        <v>5</v>
      </c>
      <c r="S107" s="240">
        <v>222704</v>
      </c>
      <c r="T107" s="240">
        <v>135373</v>
      </c>
      <c r="U107" s="241">
        <v>87332</v>
      </c>
      <c r="V107" s="378">
        <v>6</v>
      </c>
      <c r="W107" s="378">
        <v>7</v>
      </c>
      <c r="X107" s="379">
        <v>5</v>
      </c>
      <c r="Y107" s="240">
        <v>222704</v>
      </c>
      <c r="Z107" s="240">
        <v>135373</v>
      </c>
      <c r="AA107" s="241">
        <v>87332</v>
      </c>
      <c r="AB107" s="378">
        <v>6</v>
      </c>
      <c r="AC107" s="378">
        <v>7</v>
      </c>
      <c r="AD107" s="379">
        <v>5</v>
      </c>
    </row>
    <row r="108" spans="12:35" ht="14.25" customHeight="1">
      <c r="L108" s="251" t="s">
        <v>990</v>
      </c>
      <c r="M108" s="252">
        <v>204407</v>
      </c>
      <c r="N108" s="253">
        <v>118938</v>
      </c>
      <c r="O108" s="254">
        <v>85468</v>
      </c>
      <c r="P108" s="380">
        <v>-4</v>
      </c>
      <c r="Q108" s="380">
        <v>-8</v>
      </c>
      <c r="R108" s="381">
        <v>3</v>
      </c>
      <c r="S108" s="253">
        <v>214210</v>
      </c>
      <c r="T108" s="253">
        <v>125705</v>
      </c>
      <c r="U108" s="254">
        <v>88504</v>
      </c>
      <c r="V108" s="380">
        <v>1</v>
      </c>
      <c r="W108" s="380">
        <v>-3</v>
      </c>
      <c r="X108" s="381">
        <v>7</v>
      </c>
      <c r="Y108" s="253">
        <v>219148</v>
      </c>
      <c r="Z108" s="253">
        <v>127345</v>
      </c>
      <c r="AA108" s="254">
        <v>91803</v>
      </c>
      <c r="AB108" s="380">
        <v>3</v>
      </c>
      <c r="AC108" s="380">
        <v>-1</v>
      </c>
      <c r="AD108" s="381">
        <v>11</v>
      </c>
    </row>
    <row r="109" spans="12:35" ht="14.25" customHeight="1">
      <c r="L109" s="251" t="s">
        <v>991</v>
      </c>
      <c r="M109" s="252">
        <v>208844</v>
      </c>
      <c r="N109" s="253">
        <v>126665</v>
      </c>
      <c r="O109" s="254">
        <v>82180</v>
      </c>
      <c r="P109" s="380">
        <v>-1</v>
      </c>
      <c r="Q109" s="380">
        <v>-3</v>
      </c>
      <c r="R109" s="381">
        <v>2</v>
      </c>
      <c r="S109" s="253">
        <v>211827</v>
      </c>
      <c r="T109" s="253">
        <v>128310</v>
      </c>
      <c r="U109" s="254">
        <v>83516</v>
      </c>
      <c r="V109" s="380">
        <v>1</v>
      </c>
      <c r="W109" s="380">
        <v>-1</v>
      </c>
      <c r="X109" s="381">
        <v>4</v>
      </c>
      <c r="Y109" s="253">
        <v>216181</v>
      </c>
      <c r="Z109" s="253">
        <v>129743</v>
      </c>
      <c r="AA109" s="254">
        <v>86438</v>
      </c>
      <c r="AB109" s="380">
        <v>3</v>
      </c>
      <c r="AC109" s="380">
        <v>0</v>
      </c>
      <c r="AD109" s="381">
        <v>7</v>
      </c>
    </row>
    <row r="110" spans="12:35" ht="14.25" customHeight="1">
      <c r="L110" s="251" t="s">
        <v>992</v>
      </c>
      <c r="M110" s="252">
        <v>214683</v>
      </c>
      <c r="N110" s="253">
        <v>131267</v>
      </c>
      <c r="O110" s="254">
        <v>83415</v>
      </c>
      <c r="P110" s="380">
        <v>0</v>
      </c>
      <c r="Q110" s="380">
        <v>-1</v>
      </c>
      <c r="R110" s="381">
        <v>2</v>
      </c>
      <c r="S110" s="253">
        <v>216757</v>
      </c>
      <c r="T110" s="253">
        <v>132738</v>
      </c>
      <c r="U110" s="254">
        <v>84019</v>
      </c>
      <c r="V110" s="380">
        <v>1</v>
      </c>
      <c r="W110" s="380">
        <v>0</v>
      </c>
      <c r="X110" s="381">
        <v>3</v>
      </c>
      <c r="Y110" s="253">
        <v>219550</v>
      </c>
      <c r="Z110" s="253">
        <v>134155</v>
      </c>
      <c r="AA110" s="254">
        <v>85395</v>
      </c>
      <c r="AB110" s="380">
        <v>2</v>
      </c>
      <c r="AC110" s="380">
        <v>1</v>
      </c>
      <c r="AD110" s="381">
        <v>4</v>
      </c>
    </row>
    <row r="111" spans="12:35" ht="14.25" customHeight="1">
      <c r="L111" s="256"/>
      <c r="M111" s="137"/>
      <c r="N111" s="137"/>
      <c r="O111" s="137"/>
      <c r="P111" s="137"/>
      <c r="Q111" s="137"/>
      <c r="R111" s="137"/>
      <c r="S111" s="137"/>
      <c r="T111" s="137"/>
      <c r="U111" s="137"/>
      <c r="V111" s="137"/>
      <c r="W111" s="137"/>
      <c r="X111" s="137"/>
      <c r="Y111" s="137"/>
      <c r="Z111" s="137"/>
      <c r="AA111" s="137"/>
      <c r="AB111" s="137"/>
      <c r="AC111" s="137"/>
      <c r="AD111" s="137"/>
    </row>
    <row r="112" spans="12:35" ht="14.25" customHeight="1">
      <c r="L112" s="256"/>
      <c r="M112" s="137"/>
      <c r="N112" s="137"/>
      <c r="O112" s="137"/>
      <c r="P112" s="137"/>
      <c r="Q112" s="137"/>
      <c r="R112" s="137"/>
      <c r="S112" s="137"/>
      <c r="T112" s="137"/>
      <c r="U112" s="137"/>
      <c r="V112" s="137"/>
      <c r="W112" s="137"/>
      <c r="X112" s="137"/>
      <c r="Y112" s="137"/>
      <c r="Z112" s="137"/>
      <c r="AA112" s="137"/>
      <c r="AB112" s="137"/>
      <c r="AC112" s="137"/>
      <c r="AD112" s="137"/>
    </row>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mergeCells count="4">
    <mergeCell ref="H1:J1"/>
    <mergeCell ref="M1:R1"/>
    <mergeCell ref="S1:X1"/>
    <mergeCell ref="Y1:AD1"/>
  </mergeCells>
  <pageMargins left="0.7" right="0.7" top="0.75" bottom="0.75" header="0" footer="0"/>
  <pageSetup orientation="landscape"/>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G1000"/>
  <sheetViews>
    <sheetView topLeftCell="G55" workbookViewId="0">
      <selection activeCell="X80" sqref="X80:AA85"/>
    </sheetView>
  </sheetViews>
  <sheetFormatPr defaultColWidth="12.59765625" defaultRowHeight="15" customHeight="1"/>
  <cols>
    <col min="1" max="1" width="16.09765625" customWidth="1"/>
    <col min="2" max="2" width="14.59765625" customWidth="1"/>
    <col min="3" max="9" width="7.59765625" customWidth="1"/>
    <col min="10" max="10" width="8.09765625" customWidth="1"/>
    <col min="11" max="11" width="10.3984375" customWidth="1"/>
    <col min="12" max="12" width="10.5" customWidth="1"/>
    <col min="13" max="13" width="10.59765625" customWidth="1"/>
    <col min="14" max="23" width="7.59765625" customWidth="1"/>
    <col min="24" max="24" width="19.296875" bestFit="1" customWidth="1"/>
    <col min="25" max="25" width="8.8984375" customWidth="1"/>
    <col min="26" max="28" width="7.8984375" customWidth="1"/>
    <col min="29" max="163" width="7.59765625" customWidth="1"/>
  </cols>
  <sheetData>
    <row r="1" spans="1:36" ht="14.25" customHeight="1">
      <c r="A1" s="524" t="s">
        <v>5</v>
      </c>
      <c r="B1" s="507"/>
      <c r="C1" s="507"/>
      <c r="D1" s="507"/>
      <c r="E1" s="507"/>
      <c r="F1" s="508"/>
      <c r="G1" s="525" t="s">
        <v>6</v>
      </c>
      <c r="H1" s="507"/>
      <c r="I1" s="508"/>
      <c r="J1" s="526" t="s">
        <v>7</v>
      </c>
      <c r="K1" s="507"/>
      <c r="L1" s="508"/>
    </row>
    <row r="2" spans="1:36" ht="14.25" customHeight="1">
      <c r="A2" s="244" t="s">
        <v>9</v>
      </c>
      <c r="B2" s="244" t="s">
        <v>275</v>
      </c>
      <c r="C2" s="245" t="s">
        <v>911</v>
      </c>
      <c r="D2" s="244" t="s">
        <v>912</v>
      </c>
      <c r="E2" s="244" t="s">
        <v>913</v>
      </c>
      <c r="F2" s="244" t="s">
        <v>914</v>
      </c>
      <c r="G2" s="245" t="s">
        <v>915</v>
      </c>
      <c r="H2" s="244" t="s">
        <v>916</v>
      </c>
      <c r="I2" s="244" t="s">
        <v>917</v>
      </c>
      <c r="J2" s="245" t="s">
        <v>918</v>
      </c>
      <c r="K2" s="244" t="s">
        <v>919</v>
      </c>
      <c r="L2" s="244" t="s">
        <v>920</v>
      </c>
      <c r="M2" s="3" t="s">
        <v>921</v>
      </c>
      <c r="X2" s="244" t="s">
        <v>9</v>
      </c>
      <c r="Y2" s="245" t="s">
        <v>32</v>
      </c>
      <c r="Z2" s="3"/>
      <c r="AA2" s="3"/>
      <c r="AB2" s="3"/>
      <c r="AC2" s="3"/>
      <c r="AD2" s="3"/>
      <c r="AE2" s="3"/>
      <c r="AF2" s="3"/>
      <c r="AG2" s="3"/>
      <c r="AH2" s="3"/>
      <c r="AI2" s="3"/>
      <c r="AJ2" s="3"/>
    </row>
    <row r="3" spans="1:36" ht="14.25" customHeight="1">
      <c r="A3" s="18">
        <v>36981</v>
      </c>
      <c r="B3" s="22">
        <v>0.36243369836170802</v>
      </c>
      <c r="C3" s="246">
        <v>0.72838370934229502</v>
      </c>
      <c r="D3" s="3">
        <v>2</v>
      </c>
      <c r="E3" s="237">
        <v>21.9192374908319</v>
      </c>
      <c r="F3" s="238">
        <v>0.88571488722695202</v>
      </c>
      <c r="G3" s="246">
        <v>0.72838370934229502</v>
      </c>
      <c r="H3" s="237">
        <v>21.9192374908319</v>
      </c>
      <c r="I3" s="238">
        <v>0.88571488722695202</v>
      </c>
      <c r="J3" s="246">
        <v>0.72838370934229502</v>
      </c>
      <c r="K3" s="237">
        <v>21.9192374908319</v>
      </c>
      <c r="L3" s="238">
        <v>0.88571488722695202</v>
      </c>
      <c r="M3" s="20">
        <f t="shared" ref="M3:M82" si="0">E3-F3</f>
        <v>21.033522603604947</v>
      </c>
      <c r="X3" s="18">
        <v>36981</v>
      </c>
      <c r="Y3" s="246">
        <v>0.72838370934229502</v>
      </c>
      <c r="Z3" s="3"/>
      <c r="AA3" s="3"/>
      <c r="AB3" s="3"/>
      <c r="AC3" s="3"/>
      <c r="AD3" s="3"/>
      <c r="AE3" s="3"/>
      <c r="AF3" s="3"/>
      <c r="AG3" s="3"/>
      <c r="AH3" s="3"/>
      <c r="AI3" s="3"/>
      <c r="AJ3" s="3"/>
    </row>
    <row r="4" spans="1:36" ht="14.25" customHeight="1">
      <c r="A4" s="18">
        <v>37072</v>
      </c>
      <c r="B4" s="22">
        <v>7.6268415343910796</v>
      </c>
      <c r="C4" s="246">
        <v>4.2441318401800201</v>
      </c>
      <c r="D4" s="3">
        <v>2.7</v>
      </c>
      <c r="E4" s="237">
        <v>21.853602628401099</v>
      </c>
      <c r="F4" s="238">
        <v>0.99951859965371004</v>
      </c>
      <c r="G4" s="246">
        <v>4.2441318401800201</v>
      </c>
      <c r="H4" s="237">
        <v>21.853602628401099</v>
      </c>
      <c r="I4" s="238">
        <v>0.99951859965371004</v>
      </c>
      <c r="J4" s="246">
        <v>4.2441318401800201</v>
      </c>
      <c r="K4" s="237">
        <v>21.853602628401099</v>
      </c>
      <c r="L4" s="238">
        <v>0.99951859965371004</v>
      </c>
      <c r="M4" s="20">
        <f t="shared" si="0"/>
        <v>20.854084028747387</v>
      </c>
      <c r="X4" s="18">
        <v>37072</v>
      </c>
      <c r="Y4" s="246">
        <v>4.2441318401800201</v>
      </c>
      <c r="Z4" s="3"/>
      <c r="AA4" s="3"/>
      <c r="AB4" s="3"/>
      <c r="AC4" s="3"/>
      <c r="AD4" s="3"/>
      <c r="AE4" s="3"/>
      <c r="AF4" s="3"/>
      <c r="AG4" s="3"/>
      <c r="AH4" s="3"/>
      <c r="AI4" s="3"/>
      <c r="AJ4" s="3"/>
    </row>
    <row r="5" spans="1:36" ht="14.25" customHeight="1">
      <c r="A5" s="18">
        <v>37164</v>
      </c>
      <c r="B5" s="22">
        <v>2.2726238354733099</v>
      </c>
      <c r="C5" s="246">
        <v>0.86364844563415799</v>
      </c>
      <c r="D5" s="3">
        <v>2.1</v>
      </c>
      <c r="E5" s="237">
        <v>22.1288930092913</v>
      </c>
      <c r="F5" s="238">
        <v>1.4542121268058401</v>
      </c>
      <c r="G5" s="246">
        <v>0.86364844563415799</v>
      </c>
      <c r="H5" s="237">
        <v>22.1288930092913</v>
      </c>
      <c r="I5" s="238">
        <v>1.4542121268058401</v>
      </c>
      <c r="J5" s="246">
        <v>0.86364844563415799</v>
      </c>
      <c r="K5" s="237">
        <v>22.1288930092913</v>
      </c>
      <c r="L5" s="238">
        <v>1.4542121268058401</v>
      </c>
      <c r="M5" s="20">
        <f t="shared" si="0"/>
        <v>20.674680882485461</v>
      </c>
      <c r="X5" s="18">
        <v>37164</v>
      </c>
      <c r="Y5" s="246">
        <v>0.86364844563415799</v>
      </c>
      <c r="Z5" s="3"/>
      <c r="AA5" s="3"/>
      <c r="AB5" s="3"/>
      <c r="AC5" s="3"/>
      <c r="AD5" s="3"/>
      <c r="AE5" s="3"/>
      <c r="AF5" s="3"/>
      <c r="AG5" s="3"/>
      <c r="AH5" s="3"/>
      <c r="AI5" s="3"/>
      <c r="AJ5" s="3"/>
    </row>
    <row r="6" spans="1:36" ht="14.25" customHeight="1">
      <c r="A6" s="18">
        <v>37256</v>
      </c>
      <c r="B6" s="22">
        <v>-0.35537866731075701</v>
      </c>
      <c r="C6" s="246">
        <v>-0.90744788777179497</v>
      </c>
      <c r="D6" s="3">
        <v>1.9</v>
      </c>
      <c r="E6" s="237">
        <v>22.423856018141102</v>
      </c>
      <c r="F6" s="238">
        <v>1.9284674439827201</v>
      </c>
      <c r="G6" s="246">
        <v>-0.90744788777179497</v>
      </c>
      <c r="H6" s="237">
        <v>22.423856018141102</v>
      </c>
      <c r="I6" s="238">
        <v>1.9284674439827201</v>
      </c>
      <c r="J6" s="246">
        <v>-0.90744788777179497</v>
      </c>
      <c r="K6" s="237">
        <v>22.423856018141102</v>
      </c>
      <c r="L6" s="238">
        <v>1.9284674439827201</v>
      </c>
      <c r="M6" s="20">
        <f t="shared" si="0"/>
        <v>20.495388574158383</v>
      </c>
      <c r="X6" s="18">
        <v>37256</v>
      </c>
      <c r="Y6" s="246">
        <v>-0.90744788777179497</v>
      </c>
      <c r="Z6" s="3"/>
      <c r="AA6" s="3"/>
      <c r="AB6" s="3"/>
      <c r="AC6" s="3"/>
      <c r="AD6" s="3"/>
      <c r="AE6" s="3"/>
      <c r="AF6" s="3"/>
      <c r="AG6" s="3"/>
      <c r="AH6" s="3"/>
      <c r="AI6" s="3"/>
      <c r="AJ6" s="3"/>
    </row>
    <row r="7" spans="1:36" ht="14.25" customHeight="1">
      <c r="A7" s="18">
        <v>37346</v>
      </c>
      <c r="B7" s="22">
        <v>0.89103299326009899</v>
      </c>
      <c r="C7" s="246">
        <v>2.1413878733764098</v>
      </c>
      <c r="D7" s="3">
        <v>2.4</v>
      </c>
      <c r="E7" s="237">
        <v>22.8745743631201</v>
      </c>
      <c r="F7" s="238">
        <v>2.55823368152936</v>
      </c>
      <c r="G7" s="246">
        <v>2.1413878733764098</v>
      </c>
      <c r="H7" s="237">
        <v>22.8745743631201</v>
      </c>
      <c r="I7" s="238">
        <v>2.55823368152936</v>
      </c>
      <c r="J7" s="246">
        <v>2.1413878733764098</v>
      </c>
      <c r="K7" s="237">
        <v>22.8745743631201</v>
      </c>
      <c r="L7" s="238">
        <v>2.55823368152936</v>
      </c>
      <c r="M7" s="20">
        <f t="shared" si="0"/>
        <v>20.316340681590741</v>
      </c>
      <c r="X7" s="18">
        <v>37346</v>
      </c>
      <c r="Y7" s="246">
        <v>2.1413878733764098</v>
      </c>
      <c r="Z7" s="3"/>
      <c r="AA7" s="3"/>
      <c r="AB7" s="3"/>
      <c r="AC7" s="3"/>
      <c r="AD7" s="3"/>
      <c r="AE7" s="3"/>
      <c r="AF7" s="3"/>
      <c r="AG7" s="3"/>
      <c r="AH7" s="3"/>
      <c r="AI7" s="3"/>
      <c r="AJ7" s="3"/>
    </row>
    <row r="8" spans="1:36" ht="14.25" customHeight="1">
      <c r="A8" s="18">
        <v>37437</v>
      </c>
      <c r="B8" s="22">
        <v>0.74803379176937601</v>
      </c>
      <c r="C8" s="246">
        <v>-0.21287231020932201</v>
      </c>
      <c r="D8" s="3">
        <v>1.7</v>
      </c>
      <c r="E8" s="237">
        <v>22.634245467963801</v>
      </c>
      <c r="F8" s="238">
        <v>2.4964975466587802</v>
      </c>
      <c r="G8" s="246">
        <v>-0.21287231020932201</v>
      </c>
      <c r="H8" s="237">
        <v>22.634245467963801</v>
      </c>
      <c r="I8" s="238">
        <v>2.4964975466587802</v>
      </c>
      <c r="J8" s="246">
        <v>-0.21287231020932201</v>
      </c>
      <c r="K8" s="237">
        <v>22.634245467963801</v>
      </c>
      <c r="L8" s="238">
        <v>2.4964975466587802</v>
      </c>
      <c r="M8" s="20">
        <f t="shared" si="0"/>
        <v>20.137747921305021</v>
      </c>
      <c r="X8" s="18">
        <v>37437</v>
      </c>
      <c r="Y8" s="246">
        <v>-0.21287231020932201</v>
      </c>
      <c r="Z8" s="3"/>
      <c r="AA8" s="3"/>
      <c r="AB8" s="3"/>
      <c r="AC8" s="3"/>
      <c r="AD8" s="3"/>
      <c r="AE8" s="3"/>
      <c r="AF8" s="3"/>
      <c r="AG8" s="3"/>
      <c r="AH8" s="3"/>
      <c r="AI8" s="3"/>
      <c r="AJ8" s="3"/>
    </row>
    <row r="9" spans="1:36" ht="14.25" customHeight="1">
      <c r="A9" s="18">
        <v>37529</v>
      </c>
      <c r="B9" s="22">
        <v>2.8500484098389798</v>
      </c>
      <c r="C9" s="246">
        <v>1.1560440015015501</v>
      </c>
      <c r="D9" s="3">
        <v>1.9</v>
      </c>
      <c r="E9" s="237">
        <v>21.999101980451801</v>
      </c>
      <c r="F9" s="238">
        <v>2.0391786412810902</v>
      </c>
      <c r="G9" s="246">
        <v>1.1560440015015501</v>
      </c>
      <c r="H9" s="237">
        <v>21.999101980451801</v>
      </c>
      <c r="I9" s="238">
        <v>2.0391786412810902</v>
      </c>
      <c r="J9" s="246">
        <v>1.1560440015015501</v>
      </c>
      <c r="K9" s="237">
        <v>21.999101980451801</v>
      </c>
      <c r="L9" s="238">
        <v>2.0391786412810902</v>
      </c>
      <c r="M9" s="20">
        <f t="shared" si="0"/>
        <v>19.959923339170711</v>
      </c>
      <c r="X9" s="18">
        <v>37529</v>
      </c>
      <c r="Y9" s="246">
        <v>1.1560440015015501</v>
      </c>
      <c r="Z9" s="3"/>
      <c r="AA9" s="3"/>
      <c r="AB9" s="3"/>
      <c r="AC9" s="3"/>
      <c r="AD9" s="3"/>
      <c r="AE9" s="3"/>
      <c r="AF9" s="3"/>
      <c r="AG9" s="3"/>
      <c r="AH9" s="3"/>
      <c r="AI9" s="3"/>
      <c r="AJ9" s="3"/>
    </row>
    <row r="10" spans="1:36" ht="14.25" customHeight="1">
      <c r="A10" s="18">
        <v>37621</v>
      </c>
      <c r="B10" s="22">
        <v>2.3347163500698098</v>
      </c>
      <c r="C10" s="246">
        <v>1.6039384878187</v>
      </c>
      <c r="D10" s="3">
        <v>2.2000000000000002</v>
      </c>
      <c r="E10" s="237">
        <v>20.946958928266501</v>
      </c>
      <c r="F10" s="238">
        <v>1.1636790873073399</v>
      </c>
      <c r="G10" s="246">
        <v>1.6039384878187</v>
      </c>
      <c r="H10" s="237">
        <v>20.946958928266501</v>
      </c>
      <c r="I10" s="238">
        <v>1.1636790873073399</v>
      </c>
      <c r="J10" s="246">
        <v>1.6039384878187</v>
      </c>
      <c r="K10" s="237">
        <v>20.946958928266501</v>
      </c>
      <c r="L10" s="238">
        <v>1.1636790873073399</v>
      </c>
      <c r="M10" s="20">
        <f t="shared" si="0"/>
        <v>19.78327984095916</v>
      </c>
      <c r="X10" s="18">
        <v>37621</v>
      </c>
      <c r="Y10" s="246">
        <v>1.6039384878187</v>
      </c>
      <c r="Z10" s="3"/>
      <c r="AA10" s="3"/>
      <c r="AB10" s="3"/>
      <c r="AC10" s="3"/>
      <c r="AD10" s="3"/>
      <c r="AE10" s="3"/>
      <c r="AF10" s="3"/>
      <c r="AG10" s="3"/>
      <c r="AH10" s="3"/>
      <c r="AI10" s="3"/>
      <c r="AJ10" s="3"/>
    </row>
    <row r="11" spans="1:36" ht="14.25" customHeight="1">
      <c r="A11" s="18">
        <v>37711</v>
      </c>
      <c r="B11" s="22">
        <v>2.5053182261787899</v>
      </c>
      <c r="C11" s="246">
        <v>-0.35434186559322201</v>
      </c>
      <c r="D11" s="3">
        <v>2.2999999999999998</v>
      </c>
      <c r="E11" s="237">
        <v>19.806284273233899</v>
      </c>
      <c r="F11" s="238">
        <v>0.197972373646425</v>
      </c>
      <c r="G11" s="246">
        <v>-0.35434186559322201</v>
      </c>
      <c r="H11" s="237">
        <v>19.806284273233899</v>
      </c>
      <c r="I11" s="238">
        <v>0.197972373646425</v>
      </c>
      <c r="J11" s="246">
        <v>-0.35434186559322201</v>
      </c>
      <c r="K11" s="237">
        <v>19.806284273233899</v>
      </c>
      <c r="L11" s="238">
        <v>0.197972373646425</v>
      </c>
      <c r="M11" s="20">
        <f t="shared" si="0"/>
        <v>19.608311899587473</v>
      </c>
      <c r="X11" s="18">
        <v>37711</v>
      </c>
      <c r="Y11" s="246">
        <v>-0.35434186559322201</v>
      </c>
      <c r="Z11" s="3"/>
      <c r="AA11" s="3"/>
      <c r="AB11" s="3"/>
      <c r="AC11" s="3"/>
      <c r="AD11" s="3"/>
      <c r="AE11" s="3"/>
      <c r="AF11" s="3"/>
      <c r="AG11" s="3"/>
      <c r="AH11" s="3"/>
      <c r="AI11" s="3"/>
      <c r="AJ11" s="3"/>
    </row>
    <row r="12" spans="1:36" ht="14.25" customHeight="1">
      <c r="A12" s="18">
        <v>37802</v>
      </c>
      <c r="B12" s="22">
        <v>-1.57659603853775</v>
      </c>
      <c r="C12" s="246">
        <v>0.60645393470624098</v>
      </c>
      <c r="D12" s="3">
        <v>1.8</v>
      </c>
      <c r="E12" s="237">
        <v>19.207453565613999</v>
      </c>
      <c r="F12" s="238">
        <v>-0.228106969522098</v>
      </c>
      <c r="G12" s="246">
        <v>0.60645393470624098</v>
      </c>
      <c r="H12" s="237">
        <v>19.207453565613999</v>
      </c>
      <c r="I12" s="238">
        <v>-0.228106969522098</v>
      </c>
      <c r="J12" s="246">
        <v>0.60645393470624098</v>
      </c>
      <c r="K12" s="237">
        <v>19.207453565613999</v>
      </c>
      <c r="L12" s="238">
        <v>-0.228106969522098</v>
      </c>
      <c r="M12" s="20">
        <f t="shared" si="0"/>
        <v>19.435560535136098</v>
      </c>
      <c r="X12" s="18">
        <v>37802</v>
      </c>
      <c r="Y12" s="246">
        <v>0.60645393470624098</v>
      </c>
      <c r="Z12" s="3"/>
      <c r="AA12" s="3"/>
      <c r="AB12" s="3"/>
      <c r="AC12" s="3"/>
      <c r="AD12" s="3"/>
      <c r="AE12" s="3"/>
      <c r="AF12" s="3"/>
      <c r="AG12" s="3"/>
      <c r="AH12" s="3"/>
      <c r="AI12" s="3"/>
      <c r="AJ12" s="3"/>
    </row>
    <row r="13" spans="1:36" ht="14.25" customHeight="1">
      <c r="A13" s="18">
        <v>37894</v>
      </c>
      <c r="B13" s="22">
        <v>4.5935749989618504</v>
      </c>
      <c r="C13" s="246">
        <v>0.86986168889451299</v>
      </c>
      <c r="D13" s="3">
        <v>2</v>
      </c>
      <c r="E13" s="237">
        <v>18.487452080598601</v>
      </c>
      <c r="F13" s="238">
        <v>-0.77812260598203797</v>
      </c>
      <c r="G13" s="246">
        <v>0.86986168889451299</v>
      </c>
      <c r="H13" s="237">
        <v>18.487452080598601</v>
      </c>
      <c r="I13" s="238">
        <v>-0.77812260598203797</v>
      </c>
      <c r="J13" s="246">
        <v>0.86986168889451299</v>
      </c>
      <c r="K13" s="237">
        <v>18.487452080598601</v>
      </c>
      <c r="L13" s="238">
        <v>-0.77812260598203797</v>
      </c>
      <c r="M13" s="20">
        <f t="shared" si="0"/>
        <v>19.265574686580639</v>
      </c>
      <c r="X13" s="18">
        <v>37894</v>
      </c>
      <c r="Y13" s="246">
        <v>0.86986168889451299</v>
      </c>
      <c r="Z13" s="3"/>
      <c r="AA13" s="3"/>
      <c r="AB13" s="3"/>
      <c r="AC13" s="3"/>
      <c r="AD13" s="3"/>
      <c r="AE13" s="3"/>
      <c r="AF13" s="3"/>
      <c r="AG13" s="3"/>
      <c r="AH13" s="3"/>
      <c r="AI13" s="3"/>
      <c r="AJ13" s="3"/>
    </row>
    <row r="14" spans="1:36" ht="14.25" customHeight="1">
      <c r="A14" s="18">
        <v>37986</v>
      </c>
      <c r="B14" s="22">
        <v>1.2943755275895299</v>
      </c>
      <c r="C14" s="246">
        <v>3.6318661244724599</v>
      </c>
      <c r="D14" s="3">
        <v>1.9</v>
      </c>
      <c r="E14" s="237">
        <v>18.254025122637099</v>
      </c>
      <c r="F14" s="238">
        <v>-0.84486904598072599</v>
      </c>
      <c r="G14" s="246">
        <v>3.6318661244724599</v>
      </c>
      <c r="H14" s="237">
        <v>18.254025122637099</v>
      </c>
      <c r="I14" s="238">
        <v>-0.84486904598072599</v>
      </c>
      <c r="J14" s="246">
        <v>3.6318661244724599</v>
      </c>
      <c r="K14" s="237">
        <v>18.254025122637099</v>
      </c>
      <c r="L14" s="238">
        <v>-0.84486904598072599</v>
      </c>
      <c r="M14" s="20">
        <f t="shared" si="0"/>
        <v>19.098894168617825</v>
      </c>
      <c r="X14" s="18">
        <v>37986</v>
      </c>
      <c r="Y14" s="246">
        <v>3.6318661244724599</v>
      </c>
      <c r="Z14" s="3"/>
      <c r="AA14" s="3"/>
      <c r="AB14" s="3"/>
      <c r="AC14" s="3"/>
      <c r="AD14" s="3"/>
      <c r="AE14" s="3"/>
      <c r="AF14" s="3"/>
      <c r="AG14" s="3"/>
      <c r="AH14" s="3"/>
      <c r="AI14" s="3"/>
      <c r="AJ14" s="3"/>
    </row>
    <row r="15" spans="1:36" ht="14.25" customHeight="1">
      <c r="A15" s="18">
        <v>38077</v>
      </c>
      <c r="B15" s="22">
        <v>1.4142985284130201</v>
      </c>
      <c r="C15" s="246">
        <v>0.77823016159577196</v>
      </c>
      <c r="D15" s="3">
        <v>1.5</v>
      </c>
      <c r="E15" s="237">
        <v>18.056915580643</v>
      </c>
      <c r="F15" s="238">
        <v>-0.87911209039738603</v>
      </c>
      <c r="G15" s="246">
        <v>0.77823016159577196</v>
      </c>
      <c r="H15" s="237">
        <v>18.056915580643</v>
      </c>
      <c r="I15" s="238">
        <v>-0.87911209039738603</v>
      </c>
      <c r="J15" s="246">
        <v>0.77823016159577196</v>
      </c>
      <c r="K15" s="237">
        <v>18.056915580643</v>
      </c>
      <c r="L15" s="238">
        <v>-0.87911209039738603</v>
      </c>
      <c r="M15" s="20">
        <f t="shared" si="0"/>
        <v>18.936027671040385</v>
      </c>
      <c r="X15" s="18">
        <v>38077</v>
      </c>
      <c r="Y15" s="246">
        <v>0.77823016159577196</v>
      </c>
      <c r="Z15" s="3"/>
      <c r="AA15" s="3"/>
      <c r="AB15" s="3"/>
      <c r="AC15" s="3"/>
      <c r="AD15" s="3"/>
      <c r="AE15" s="3"/>
      <c r="AF15" s="3"/>
      <c r="AG15" s="3"/>
      <c r="AH15" s="3"/>
      <c r="AI15" s="3"/>
      <c r="AJ15" s="3"/>
    </row>
    <row r="16" spans="1:36" ht="14.25" customHeight="1">
      <c r="A16" s="18">
        <v>38168</v>
      </c>
      <c r="B16" s="22">
        <v>2.82157474911868</v>
      </c>
      <c r="C16" s="246">
        <v>2.1508990893951001</v>
      </c>
      <c r="D16" s="3">
        <v>2.2999999999999998</v>
      </c>
      <c r="E16" s="237">
        <v>17.948147201702501</v>
      </c>
      <c r="F16" s="238">
        <v>-0.82930288717627698</v>
      </c>
      <c r="G16" s="246">
        <v>2.1508990893951001</v>
      </c>
      <c r="H16" s="237">
        <v>17.948147201702501</v>
      </c>
      <c r="I16" s="238">
        <v>-0.82930288717627698</v>
      </c>
      <c r="J16" s="246">
        <v>2.1508990893951001</v>
      </c>
      <c r="K16" s="237">
        <v>17.948147201702501</v>
      </c>
      <c r="L16" s="238">
        <v>-0.82930288717627698</v>
      </c>
      <c r="M16" s="20">
        <f t="shared" si="0"/>
        <v>18.777450088878776</v>
      </c>
      <c r="X16" s="18">
        <v>38168</v>
      </c>
      <c r="Y16" s="246">
        <v>2.1508990893951001</v>
      </c>
      <c r="Z16" s="3"/>
      <c r="AA16" s="3"/>
      <c r="AB16" s="3"/>
      <c r="AC16" s="3"/>
      <c r="AD16" s="3"/>
      <c r="AE16" s="3"/>
      <c r="AF16" s="3"/>
      <c r="AG16" s="3"/>
      <c r="AH16" s="3"/>
      <c r="AI16" s="3"/>
      <c r="AJ16" s="3"/>
    </row>
    <row r="17" spans="1:36" ht="14.25" customHeight="1">
      <c r="A17" s="18">
        <v>38260</v>
      </c>
      <c r="B17" s="22">
        <v>0.90599655545617896</v>
      </c>
      <c r="C17" s="246">
        <v>2.9011246496524001</v>
      </c>
      <c r="D17" s="3">
        <v>2</v>
      </c>
      <c r="E17" s="237">
        <v>18.016393071770199</v>
      </c>
      <c r="F17" s="238">
        <v>-0.60720808090994105</v>
      </c>
      <c r="G17" s="246">
        <v>2.9011246496524001</v>
      </c>
      <c r="H17" s="237">
        <v>18.016393071770199</v>
      </c>
      <c r="I17" s="238">
        <v>-0.60720808090994105</v>
      </c>
      <c r="J17" s="246">
        <v>2.9011246496524001</v>
      </c>
      <c r="K17" s="237">
        <v>18.016393071770199</v>
      </c>
      <c r="L17" s="238">
        <v>-0.60720808090994105</v>
      </c>
      <c r="M17" s="20">
        <f t="shared" si="0"/>
        <v>18.623601152680141</v>
      </c>
      <c r="X17" s="18">
        <v>38260</v>
      </c>
      <c r="Y17" s="246">
        <v>2.9011246496524001</v>
      </c>
      <c r="Z17" s="3"/>
      <c r="AA17" s="3"/>
      <c r="AB17" s="3"/>
      <c r="AC17" s="3"/>
      <c r="AD17" s="3"/>
      <c r="AE17" s="3"/>
      <c r="AF17" s="3"/>
      <c r="AG17" s="3"/>
      <c r="AH17" s="3"/>
      <c r="AI17" s="3"/>
      <c r="AJ17" s="3"/>
    </row>
    <row r="18" spans="1:36" ht="14.25" customHeight="1">
      <c r="A18" s="18">
        <v>38352</v>
      </c>
      <c r="B18" s="22">
        <v>5.7791974568278004</v>
      </c>
      <c r="C18" s="246">
        <v>3.4723136610599101</v>
      </c>
      <c r="D18" s="3">
        <v>2.2000000000000002</v>
      </c>
      <c r="E18" s="237">
        <v>18.0540782277738</v>
      </c>
      <c r="F18" s="238">
        <v>-0.42080919310221598</v>
      </c>
      <c r="G18" s="246">
        <v>3.4723136610599101</v>
      </c>
      <c r="H18" s="237">
        <v>18.0540782277738</v>
      </c>
      <c r="I18" s="238">
        <v>-0.42080919310221598</v>
      </c>
      <c r="J18" s="246">
        <v>3.4723136610599101</v>
      </c>
      <c r="K18" s="237">
        <v>18.0540782277738</v>
      </c>
      <c r="L18" s="238">
        <v>-0.42080919310221598</v>
      </c>
      <c r="M18" s="20">
        <f t="shared" si="0"/>
        <v>18.474887420876016</v>
      </c>
      <c r="X18" s="18">
        <v>38352</v>
      </c>
      <c r="Y18" s="246">
        <v>3.4723136610599101</v>
      </c>
      <c r="Z18" s="3"/>
      <c r="AA18" s="3"/>
      <c r="AB18" s="3"/>
      <c r="AC18" s="3"/>
      <c r="AD18" s="3"/>
      <c r="AE18" s="3"/>
      <c r="AF18" s="3"/>
      <c r="AG18" s="3"/>
      <c r="AH18" s="3"/>
      <c r="AI18" s="3"/>
      <c r="AJ18" s="3"/>
    </row>
    <row r="19" spans="1:36" ht="14.25" customHeight="1">
      <c r="A19" s="18">
        <v>38442</v>
      </c>
      <c r="B19" s="22">
        <v>6.7246999861255503</v>
      </c>
      <c r="C19" s="246">
        <v>4.0887729605344498</v>
      </c>
      <c r="D19" s="3">
        <v>2.2000000000000002</v>
      </c>
      <c r="E19" s="237">
        <v>18.172802167268401</v>
      </c>
      <c r="F19" s="238">
        <v>-0.158888996306251</v>
      </c>
      <c r="G19" s="246">
        <v>4.0887729605344498</v>
      </c>
      <c r="H19" s="237">
        <v>18.172802167268401</v>
      </c>
      <c r="I19" s="238">
        <v>-0.158888996306251</v>
      </c>
      <c r="J19" s="246">
        <v>4.0887729605344498</v>
      </c>
      <c r="K19" s="237">
        <v>18.172802167268401</v>
      </c>
      <c r="L19" s="238">
        <v>-0.158888996306251</v>
      </c>
      <c r="M19" s="20">
        <f t="shared" si="0"/>
        <v>18.331691163574654</v>
      </c>
      <c r="X19" s="18">
        <v>38442</v>
      </c>
      <c r="Y19" s="246">
        <v>4.0887729605344498</v>
      </c>
      <c r="Z19" s="3"/>
      <c r="AA19" s="3"/>
      <c r="AB19" s="3"/>
      <c r="AC19" s="3"/>
      <c r="AD19" s="3"/>
      <c r="AE19" s="3"/>
      <c r="AF19" s="3"/>
      <c r="AG19" s="3"/>
      <c r="AH19" s="3"/>
      <c r="AI19" s="3"/>
      <c r="AJ19" s="3"/>
    </row>
    <row r="20" spans="1:36" ht="14.25" customHeight="1">
      <c r="A20" s="18">
        <v>38533</v>
      </c>
      <c r="B20" s="22">
        <v>-1.99422818032828</v>
      </c>
      <c r="C20" s="246">
        <v>3.3769211544391702</v>
      </c>
      <c r="D20" s="3">
        <v>2</v>
      </c>
      <c r="E20" s="237">
        <v>17.9964584735425</v>
      </c>
      <c r="F20" s="238">
        <v>-0.19791934497426</v>
      </c>
      <c r="G20" s="246">
        <v>3.3769211544391702</v>
      </c>
      <c r="H20" s="237">
        <v>17.9964584735425</v>
      </c>
      <c r="I20" s="238">
        <v>-0.19791934497426</v>
      </c>
      <c r="J20" s="246">
        <v>3.3769211544391702</v>
      </c>
      <c r="K20" s="237">
        <v>17.9964584735425</v>
      </c>
      <c r="L20" s="238">
        <v>-0.19791934497426</v>
      </c>
      <c r="M20" s="20">
        <f t="shared" si="0"/>
        <v>18.19437781851676</v>
      </c>
      <c r="X20" s="18">
        <v>38533</v>
      </c>
      <c r="Y20" s="246">
        <v>3.3769211544391702</v>
      </c>
      <c r="Z20" s="3"/>
      <c r="AA20" s="3"/>
      <c r="AB20" s="3"/>
      <c r="AC20" s="3"/>
      <c r="AD20" s="3"/>
      <c r="AE20" s="3"/>
      <c r="AF20" s="3"/>
      <c r="AG20" s="3"/>
      <c r="AH20" s="3"/>
      <c r="AI20" s="3"/>
      <c r="AJ20" s="3"/>
    </row>
    <row r="21" spans="1:36" ht="14.25" customHeight="1">
      <c r="A21" s="18">
        <v>38625</v>
      </c>
      <c r="B21" s="22">
        <v>4.7144429768824399</v>
      </c>
      <c r="C21" s="246">
        <v>1.20846219001267</v>
      </c>
      <c r="D21" s="3">
        <v>2.5</v>
      </c>
      <c r="E21" s="237">
        <v>17.640247345595998</v>
      </c>
      <c r="F21" s="238">
        <v>-0.42305912228714698</v>
      </c>
      <c r="G21" s="246">
        <v>1.20846219001267</v>
      </c>
      <c r="H21" s="237">
        <v>17.640247345595998</v>
      </c>
      <c r="I21" s="238">
        <v>-0.42305912228714698</v>
      </c>
      <c r="J21" s="246">
        <v>1.20846219001267</v>
      </c>
      <c r="K21" s="237">
        <v>17.640247345595998</v>
      </c>
      <c r="L21" s="238">
        <v>-0.42305912228714698</v>
      </c>
      <c r="M21" s="20">
        <f t="shared" si="0"/>
        <v>18.063306467883145</v>
      </c>
      <c r="X21" s="18">
        <v>38625</v>
      </c>
      <c r="Y21" s="246">
        <v>1.20846219001267</v>
      </c>
      <c r="Z21" s="3"/>
      <c r="AA21" s="3"/>
      <c r="AB21" s="3"/>
      <c r="AC21" s="3"/>
      <c r="AD21" s="3"/>
      <c r="AE21" s="3"/>
      <c r="AF21" s="3"/>
      <c r="AG21" s="3"/>
      <c r="AH21" s="3"/>
      <c r="AI21" s="3"/>
      <c r="AJ21" s="3"/>
    </row>
    <row r="22" spans="1:36" ht="14.25" customHeight="1">
      <c r="A22" s="18">
        <v>38717</v>
      </c>
      <c r="B22" s="22">
        <v>4.9976861882360799</v>
      </c>
      <c r="C22" s="246">
        <v>3.5966412807180599</v>
      </c>
      <c r="D22" s="3">
        <v>2.2000000000000002</v>
      </c>
      <c r="E22" s="237">
        <v>17.351017235844001</v>
      </c>
      <c r="F22" s="238">
        <v>-0.58781104123641104</v>
      </c>
      <c r="G22" s="246">
        <v>3.5966412807180599</v>
      </c>
      <c r="H22" s="237">
        <v>17.351017235844001</v>
      </c>
      <c r="I22" s="238">
        <v>-0.58781104123641104</v>
      </c>
      <c r="J22" s="246">
        <v>3.5966412807180599</v>
      </c>
      <c r="K22" s="237">
        <v>17.351017235844001</v>
      </c>
      <c r="L22" s="238">
        <v>-0.58781104123641104</v>
      </c>
      <c r="M22" s="20">
        <f t="shared" si="0"/>
        <v>17.938828277080411</v>
      </c>
      <c r="X22" s="18">
        <v>38717</v>
      </c>
      <c r="Y22" s="246">
        <v>3.5966412807180599</v>
      </c>
      <c r="Z22" s="3"/>
      <c r="AA22" s="3"/>
      <c r="AB22" s="3"/>
      <c r="AC22" s="3"/>
      <c r="AD22" s="3"/>
      <c r="AE22" s="3"/>
      <c r="AF22" s="3"/>
      <c r="AG22" s="3"/>
      <c r="AH22" s="3"/>
      <c r="AI22" s="3"/>
      <c r="AJ22" s="3"/>
    </row>
    <row r="23" spans="1:36" ht="14.25" customHeight="1">
      <c r="A23" s="18">
        <v>38807</v>
      </c>
      <c r="B23" s="22">
        <v>4.02076011649892</v>
      </c>
      <c r="C23" s="246">
        <v>2.2294765174256002</v>
      </c>
      <c r="D23" s="3">
        <v>2.1</v>
      </c>
      <c r="E23" s="237">
        <v>16.8568635832358</v>
      </c>
      <c r="F23" s="238">
        <v>-0.96441390591542198</v>
      </c>
      <c r="G23" s="246">
        <v>2.2294765174256002</v>
      </c>
      <c r="H23" s="237">
        <v>16.8568635832358</v>
      </c>
      <c r="I23" s="238">
        <v>-0.96441390591542198</v>
      </c>
      <c r="J23" s="246">
        <v>2.2294765174256002</v>
      </c>
      <c r="K23" s="237">
        <v>16.8568635832358</v>
      </c>
      <c r="L23" s="238">
        <v>-0.96441390591542198</v>
      </c>
      <c r="M23" s="20">
        <f t="shared" si="0"/>
        <v>17.821277489151221</v>
      </c>
      <c r="X23" s="18">
        <v>38807</v>
      </c>
      <c r="Y23" s="246">
        <v>2.2294765174256002</v>
      </c>
      <c r="Z23" s="3"/>
      <c r="AA23" s="3"/>
      <c r="AB23" s="3"/>
      <c r="AC23" s="3"/>
      <c r="AD23" s="3"/>
      <c r="AE23" s="3"/>
      <c r="AF23" s="3"/>
      <c r="AG23" s="3"/>
      <c r="AH23" s="3"/>
      <c r="AI23" s="3"/>
      <c r="AJ23" s="3"/>
    </row>
    <row r="24" spans="1:36" ht="14.25" customHeight="1">
      <c r="A24" s="18">
        <v>38898</v>
      </c>
      <c r="B24" s="22">
        <v>2.59631323286504</v>
      </c>
      <c r="C24" s="246">
        <v>3.35320162981145</v>
      </c>
      <c r="D24" s="3">
        <v>2.4</v>
      </c>
      <c r="E24" s="237">
        <v>16.4470380323427</v>
      </c>
      <c r="F24" s="238">
        <v>-1.26392680235288</v>
      </c>
      <c r="G24" s="246">
        <v>3.35320162981145</v>
      </c>
      <c r="H24" s="237">
        <v>16.4470380323427</v>
      </c>
      <c r="I24" s="238">
        <v>-1.26392680235288</v>
      </c>
      <c r="J24" s="246">
        <v>3.35320162981145</v>
      </c>
      <c r="K24" s="237">
        <v>16.4470380323427</v>
      </c>
      <c r="L24" s="238">
        <v>-1.26392680235288</v>
      </c>
      <c r="M24" s="20">
        <f t="shared" si="0"/>
        <v>17.710964834695581</v>
      </c>
      <c r="X24" s="18">
        <v>38898</v>
      </c>
      <c r="Y24" s="246">
        <v>3.35320162981145</v>
      </c>
      <c r="Z24" s="3"/>
      <c r="AA24" s="3"/>
      <c r="AB24" s="3"/>
      <c r="AC24" s="3"/>
      <c r="AD24" s="3"/>
      <c r="AE24" s="3"/>
      <c r="AF24" s="3"/>
      <c r="AG24" s="3"/>
      <c r="AH24" s="3"/>
      <c r="AI24" s="3"/>
      <c r="AJ24" s="3"/>
    </row>
    <row r="25" spans="1:36" ht="14.25" customHeight="1">
      <c r="A25" s="18">
        <v>38990</v>
      </c>
      <c r="B25" s="22">
        <v>-0.18161759225264801</v>
      </c>
      <c r="C25" s="246">
        <v>1.73393762142879</v>
      </c>
      <c r="D25" s="3">
        <v>1.9</v>
      </c>
      <c r="E25" s="237">
        <v>16.4142633126169</v>
      </c>
      <c r="F25" s="238">
        <v>-1.19389915514078</v>
      </c>
      <c r="G25" s="246">
        <v>1.73393762142879</v>
      </c>
      <c r="H25" s="237">
        <v>16.4142633126169</v>
      </c>
      <c r="I25" s="238">
        <v>-1.19389915514078</v>
      </c>
      <c r="J25" s="246">
        <v>1.73393762142879</v>
      </c>
      <c r="K25" s="237">
        <v>16.4142633126169</v>
      </c>
      <c r="L25" s="238">
        <v>-1.19389915514078</v>
      </c>
      <c r="M25" s="20">
        <f t="shared" si="0"/>
        <v>17.60816246775768</v>
      </c>
      <c r="X25" s="18">
        <v>38990</v>
      </c>
      <c r="Y25" s="246">
        <v>1.73393762142879</v>
      </c>
      <c r="Z25" s="3"/>
      <c r="AA25" s="3"/>
      <c r="AB25" s="3"/>
      <c r="AC25" s="3"/>
      <c r="AD25" s="3"/>
      <c r="AE25" s="3"/>
      <c r="AF25" s="3"/>
      <c r="AG25" s="3"/>
      <c r="AH25" s="3"/>
      <c r="AI25" s="3"/>
      <c r="AJ25" s="3"/>
    </row>
    <row r="26" spans="1:36" ht="14.25" customHeight="1">
      <c r="A26" s="18">
        <v>39082</v>
      </c>
      <c r="B26" s="22">
        <v>2.1444056864349901</v>
      </c>
      <c r="C26" s="246">
        <v>2.1005677911666099</v>
      </c>
      <c r="D26" s="3">
        <v>2.1</v>
      </c>
      <c r="E26" s="237">
        <v>16.1622976664741</v>
      </c>
      <c r="F26" s="238">
        <v>-1.3507943188358</v>
      </c>
      <c r="G26" s="246">
        <v>2.1005677911666099</v>
      </c>
      <c r="H26" s="237">
        <v>16.1622976664741</v>
      </c>
      <c r="I26" s="238">
        <v>-1.3507943188358</v>
      </c>
      <c r="J26" s="246">
        <v>2.1005677911666099</v>
      </c>
      <c r="K26" s="237">
        <v>16.1622976664741</v>
      </c>
      <c r="L26" s="238">
        <v>-1.3507943188358</v>
      </c>
      <c r="M26" s="20">
        <f t="shared" si="0"/>
        <v>17.513091985309899</v>
      </c>
      <c r="X26" s="18">
        <v>39082</v>
      </c>
      <c r="Y26" s="246">
        <v>2.1005677911666099</v>
      </c>
      <c r="Z26" s="3"/>
      <c r="AA26" s="3"/>
      <c r="AB26" s="3"/>
      <c r="AC26" s="3"/>
      <c r="AD26" s="3"/>
      <c r="AE26" s="3"/>
      <c r="AF26" s="3"/>
      <c r="AG26" s="3"/>
      <c r="AH26" s="3"/>
      <c r="AI26" s="3"/>
      <c r="AJ26" s="3"/>
    </row>
    <row r="27" spans="1:36" ht="14.25" customHeight="1">
      <c r="A27" s="18">
        <v>39172</v>
      </c>
      <c r="B27" s="22">
        <v>2.8827855439035801</v>
      </c>
      <c r="C27" s="246">
        <v>2.8661998652254699</v>
      </c>
      <c r="D27" s="3">
        <v>2.2999999999999998</v>
      </c>
      <c r="E27" s="237">
        <v>15.4393014480191</v>
      </c>
      <c r="F27" s="238">
        <v>-1.9866257803387</v>
      </c>
      <c r="G27" s="246">
        <v>2.8661998652254699</v>
      </c>
      <c r="H27" s="237">
        <v>15.4393014480191</v>
      </c>
      <c r="I27" s="238">
        <v>-1.9866257803387</v>
      </c>
      <c r="J27" s="246">
        <v>2.8661998652254699</v>
      </c>
      <c r="K27" s="237">
        <v>15.4393014480191</v>
      </c>
      <c r="L27" s="238">
        <v>-1.9866257803387</v>
      </c>
      <c r="M27" s="20">
        <f t="shared" si="0"/>
        <v>17.4259272283578</v>
      </c>
      <c r="X27" s="18">
        <v>39172</v>
      </c>
      <c r="Y27" s="246">
        <v>2.8661998652254699</v>
      </c>
      <c r="Z27" s="3"/>
      <c r="AA27" s="3"/>
      <c r="AB27" s="3"/>
      <c r="AC27" s="3"/>
      <c r="AD27" s="3"/>
      <c r="AE27" s="3"/>
      <c r="AF27" s="3"/>
      <c r="AG27" s="3"/>
      <c r="AH27" s="3"/>
      <c r="AI27" s="3"/>
      <c r="AJ27" s="3"/>
    </row>
    <row r="28" spans="1:36" ht="14.25" customHeight="1">
      <c r="A28" s="18">
        <v>39263</v>
      </c>
      <c r="B28" s="22">
        <v>2.5698412252468201</v>
      </c>
      <c r="C28" s="246">
        <v>2.4745493269333201</v>
      </c>
      <c r="D28" s="3">
        <v>2.1</v>
      </c>
      <c r="E28" s="237">
        <v>14.852021997673701</v>
      </c>
      <c r="F28" s="238">
        <v>-2.4947660084610201</v>
      </c>
      <c r="G28" s="246">
        <v>2.4745493269333201</v>
      </c>
      <c r="H28" s="237">
        <v>14.852021997673701</v>
      </c>
      <c r="I28" s="238">
        <v>-2.4947660084610201</v>
      </c>
      <c r="J28" s="246">
        <v>2.4745493269333201</v>
      </c>
      <c r="K28" s="237">
        <v>14.852021997673701</v>
      </c>
      <c r="L28" s="238">
        <v>-2.4947660084610201</v>
      </c>
      <c r="M28" s="20">
        <f t="shared" si="0"/>
        <v>17.346788006134719</v>
      </c>
      <c r="X28" s="18">
        <v>39263</v>
      </c>
      <c r="Y28" s="246">
        <v>2.4745493269333201</v>
      </c>
      <c r="Z28" s="3"/>
      <c r="AA28" s="3"/>
      <c r="AB28" s="3"/>
      <c r="AC28" s="3"/>
      <c r="AD28" s="3"/>
      <c r="AE28" s="3"/>
      <c r="AF28" s="3"/>
      <c r="AG28" s="3"/>
      <c r="AH28" s="3"/>
      <c r="AI28" s="3"/>
      <c r="AJ28" s="3"/>
    </row>
    <row r="29" spans="1:36" ht="14.25" customHeight="1">
      <c r="A29" s="18">
        <v>39355</v>
      </c>
      <c r="B29" s="22">
        <v>7.8832637673481996</v>
      </c>
      <c r="C29" s="246">
        <v>4.5228754950998002</v>
      </c>
      <c r="D29" s="3">
        <v>2.2000000000000002</v>
      </c>
      <c r="E29" s="237">
        <v>14.463660115008</v>
      </c>
      <c r="F29" s="238">
        <v>-2.8120545478340899</v>
      </c>
      <c r="G29" s="246">
        <v>4.5228754950998002</v>
      </c>
      <c r="H29" s="237">
        <v>14.463660115008</v>
      </c>
      <c r="I29" s="238">
        <v>-2.8120545478340899</v>
      </c>
      <c r="J29" s="246">
        <v>4.5228754950998002</v>
      </c>
      <c r="K29" s="237">
        <v>14.463660115008</v>
      </c>
      <c r="L29" s="238">
        <v>-2.8120545478340899</v>
      </c>
      <c r="M29" s="20">
        <f t="shared" si="0"/>
        <v>17.275714662842091</v>
      </c>
      <c r="X29" s="18">
        <v>39355</v>
      </c>
      <c r="Y29" s="246">
        <v>4.5228754950998002</v>
      </c>
      <c r="Z29" s="3"/>
      <c r="AA29" s="3"/>
      <c r="AB29" s="3"/>
      <c r="AC29" s="3"/>
      <c r="AD29" s="3"/>
      <c r="AE29" s="3"/>
      <c r="AF29" s="3"/>
      <c r="AG29" s="3"/>
      <c r="AH29" s="3"/>
      <c r="AI29" s="3"/>
      <c r="AJ29" s="3"/>
    </row>
    <row r="30" spans="1:36" ht="14.25" customHeight="1">
      <c r="A30" s="18">
        <v>39447</v>
      </c>
      <c r="B30" s="22">
        <v>10.343019331518599</v>
      </c>
      <c r="C30" s="246">
        <v>10.941711973563701</v>
      </c>
      <c r="D30" s="3">
        <v>3.2</v>
      </c>
      <c r="E30" s="237">
        <v>13.9238721383584</v>
      </c>
      <c r="F30" s="238">
        <v>-3.2887756136833199</v>
      </c>
      <c r="G30" s="246">
        <v>10.941711973563701</v>
      </c>
      <c r="H30" s="237">
        <v>13.9238721383584</v>
      </c>
      <c r="I30" s="238">
        <v>-3.2887756136833199</v>
      </c>
      <c r="J30" s="246">
        <v>10.941711973563701</v>
      </c>
      <c r="K30" s="237">
        <v>13.9238721383584</v>
      </c>
      <c r="L30" s="238">
        <v>-3.2887756136833199</v>
      </c>
      <c r="M30" s="20">
        <f t="shared" si="0"/>
        <v>17.212647752041718</v>
      </c>
      <c r="X30" s="18">
        <v>39447</v>
      </c>
      <c r="Y30" s="246">
        <v>10.941711973563701</v>
      </c>
      <c r="Z30" s="3"/>
      <c r="AA30" s="3"/>
      <c r="AB30" s="3"/>
      <c r="AC30" s="3"/>
      <c r="AD30" s="3"/>
      <c r="AE30" s="3"/>
      <c r="AF30" s="3"/>
      <c r="AG30" s="3"/>
      <c r="AH30" s="3"/>
      <c r="AI30" s="3"/>
      <c r="AJ30" s="3"/>
    </row>
    <row r="31" spans="1:36" ht="14.25" customHeight="1">
      <c r="A31" s="18">
        <v>39538</v>
      </c>
      <c r="B31" s="22">
        <v>2.4293945528091498</v>
      </c>
      <c r="C31" s="246">
        <v>2.87740954949667</v>
      </c>
      <c r="D31" s="3">
        <v>3.7</v>
      </c>
      <c r="E31" s="237">
        <v>13.300571388306601</v>
      </c>
      <c r="F31" s="238">
        <v>-3.8568439568069999</v>
      </c>
      <c r="G31" s="246">
        <v>2.87740954949667</v>
      </c>
      <c r="H31" s="237">
        <v>13.300571388306601</v>
      </c>
      <c r="I31" s="238">
        <v>-3.8568439568069999</v>
      </c>
      <c r="J31" s="246">
        <v>2.87740954949667</v>
      </c>
      <c r="K31" s="237">
        <v>13.300571388306601</v>
      </c>
      <c r="L31" s="238">
        <v>-3.8568439568069999</v>
      </c>
      <c r="M31" s="20">
        <f t="shared" si="0"/>
        <v>17.157415345113602</v>
      </c>
      <c r="X31" s="18">
        <v>39538</v>
      </c>
      <c r="Y31" s="246">
        <v>2.87740954949667</v>
      </c>
      <c r="Z31" s="3"/>
      <c r="AA31" s="3"/>
      <c r="AB31" s="3"/>
      <c r="AC31" s="3"/>
      <c r="AD31" s="3"/>
      <c r="AE31" s="3"/>
      <c r="AF31" s="3"/>
      <c r="AG31" s="3"/>
      <c r="AH31" s="3"/>
      <c r="AI31" s="3"/>
      <c r="AJ31" s="3"/>
    </row>
    <row r="32" spans="1:36" ht="14.25" customHeight="1">
      <c r="A32" s="18">
        <v>39629</v>
      </c>
      <c r="B32" s="22">
        <v>9.8562568435451894</v>
      </c>
      <c r="C32" s="246">
        <v>7.7727872824811604</v>
      </c>
      <c r="D32" s="3">
        <v>4.3</v>
      </c>
      <c r="E32" s="237">
        <v>13.2293349497932</v>
      </c>
      <c r="F32" s="238">
        <v>-3.8803790126191702</v>
      </c>
      <c r="G32" s="246">
        <v>7.7727872824811604</v>
      </c>
      <c r="H32" s="237">
        <v>13.2293349497932</v>
      </c>
      <c r="I32" s="238">
        <v>-3.8803790126191702</v>
      </c>
      <c r="J32" s="246">
        <v>7.7727872824811604</v>
      </c>
      <c r="K32" s="237">
        <v>13.2293349497932</v>
      </c>
      <c r="L32" s="238">
        <v>-3.8803790126191702</v>
      </c>
      <c r="M32" s="20">
        <f t="shared" si="0"/>
        <v>17.109713962412371</v>
      </c>
      <c r="X32" s="18">
        <v>39629</v>
      </c>
      <c r="Y32" s="246">
        <v>7.7727872824811604</v>
      </c>
      <c r="Z32" s="3"/>
      <c r="AA32" s="3"/>
      <c r="AB32" s="3"/>
      <c r="AC32" s="3"/>
      <c r="AD32" s="3"/>
      <c r="AE32" s="3"/>
      <c r="AF32" s="3"/>
      <c r="AG32" s="3"/>
      <c r="AH32" s="3"/>
      <c r="AI32" s="3"/>
      <c r="AJ32" s="3"/>
    </row>
    <row r="33" spans="1:36" ht="14.25" customHeight="1">
      <c r="A33" s="18">
        <v>39721</v>
      </c>
      <c r="B33" s="22">
        <v>3.1647349596965801</v>
      </c>
      <c r="C33" s="246">
        <v>4.0245801693193304</v>
      </c>
      <c r="D33" s="3">
        <v>4.2</v>
      </c>
      <c r="E33" s="237">
        <v>13.1354809219327</v>
      </c>
      <c r="F33" s="238">
        <v>-3.93360492860235</v>
      </c>
      <c r="G33" s="246">
        <v>4.0245801693193304</v>
      </c>
      <c r="H33" s="237">
        <v>13.1354809219327</v>
      </c>
      <c r="I33" s="238">
        <v>-3.93360492860235</v>
      </c>
      <c r="J33" s="246">
        <v>4.0245801693193304</v>
      </c>
      <c r="K33" s="237">
        <v>13.1354809219327</v>
      </c>
      <c r="L33" s="238">
        <v>-3.93360492860235</v>
      </c>
      <c r="M33" s="20">
        <f t="shared" si="0"/>
        <v>17.06908585053505</v>
      </c>
      <c r="X33" s="18">
        <v>39721</v>
      </c>
      <c r="Y33" s="246">
        <v>4.0245801693193304</v>
      </c>
      <c r="Z33" s="3"/>
      <c r="AA33" s="3"/>
      <c r="AB33" s="3"/>
      <c r="AC33" s="3"/>
      <c r="AD33" s="3"/>
      <c r="AE33" s="3"/>
      <c r="AF33" s="3"/>
      <c r="AG33" s="3"/>
      <c r="AH33" s="3"/>
      <c r="AI33" s="3"/>
      <c r="AJ33" s="3"/>
    </row>
    <row r="34" spans="1:36" ht="14.25" customHeight="1">
      <c r="A34" s="18">
        <v>39813</v>
      </c>
      <c r="B34" s="22">
        <v>-3.3121717391526899</v>
      </c>
      <c r="C34" s="246">
        <v>2.5082764575689902</v>
      </c>
      <c r="D34" s="3">
        <v>2.2000000000000002</v>
      </c>
      <c r="E34" s="237">
        <v>13.0429094573364</v>
      </c>
      <c r="F34" s="238">
        <v>-3.9920085835817098</v>
      </c>
      <c r="G34" s="246">
        <v>2.5082764575689902</v>
      </c>
      <c r="H34" s="237">
        <v>13.0429094573364</v>
      </c>
      <c r="I34" s="238">
        <v>-3.9920085835817098</v>
      </c>
      <c r="J34" s="246">
        <v>2.5082764575689902</v>
      </c>
      <c r="K34" s="237">
        <v>13.0429094573364</v>
      </c>
      <c r="L34" s="238">
        <v>-3.9920085835817098</v>
      </c>
      <c r="M34" s="20">
        <f t="shared" si="0"/>
        <v>17.034918040918111</v>
      </c>
      <c r="X34" s="18">
        <v>39813</v>
      </c>
      <c r="Y34" s="246">
        <v>2.5082764575689902</v>
      </c>
      <c r="Z34" s="3"/>
      <c r="AA34" s="3"/>
      <c r="AB34" s="3"/>
      <c r="AC34" s="3"/>
      <c r="AD34" s="3"/>
      <c r="AE34" s="3"/>
      <c r="AF34" s="3"/>
      <c r="AG34" s="3"/>
      <c r="AH34" s="3"/>
      <c r="AI34" s="3"/>
      <c r="AJ34" s="3"/>
    </row>
    <row r="35" spans="1:36" ht="14.25" customHeight="1">
      <c r="A35" s="18">
        <v>39903</v>
      </c>
      <c r="B35" s="22">
        <v>6.0124217414699404</v>
      </c>
      <c r="C35" s="246">
        <v>2.73549297890021</v>
      </c>
      <c r="D35" s="3">
        <v>1.4</v>
      </c>
      <c r="E35" s="237">
        <v>13.997141567094801</v>
      </c>
      <c r="F35" s="238">
        <v>-3.0092986537059101</v>
      </c>
      <c r="G35" s="246">
        <v>2.73549297890021</v>
      </c>
      <c r="H35" s="237">
        <v>13.997141567094801</v>
      </c>
      <c r="I35" s="238">
        <v>-3.0092986537059101</v>
      </c>
      <c r="J35" s="246">
        <v>2.73549297890021</v>
      </c>
      <c r="K35" s="237">
        <v>13.997141567094801</v>
      </c>
      <c r="L35" s="238">
        <v>-3.0092986537059101</v>
      </c>
      <c r="M35" s="20">
        <f t="shared" si="0"/>
        <v>17.006440220800712</v>
      </c>
      <c r="X35" s="18">
        <v>39903</v>
      </c>
      <c r="Y35" s="246">
        <v>2.73549297890021</v>
      </c>
      <c r="Z35" s="3"/>
      <c r="AA35" s="3"/>
      <c r="AB35" s="3"/>
      <c r="AC35" s="3"/>
      <c r="AD35" s="3"/>
      <c r="AE35" s="3"/>
      <c r="AF35" s="3"/>
      <c r="AG35" s="3"/>
      <c r="AH35" s="3"/>
      <c r="AI35" s="3"/>
      <c r="AJ35" s="3"/>
    </row>
    <row r="36" spans="1:36" ht="14.25" customHeight="1">
      <c r="A36" s="18">
        <v>39994</v>
      </c>
      <c r="B36" s="22">
        <v>2.2901051270545398</v>
      </c>
      <c r="C36" s="246">
        <v>4.2857982553637504</v>
      </c>
      <c r="D36" s="3">
        <v>0.6</v>
      </c>
      <c r="E36" s="237">
        <v>14.9117720676161</v>
      </c>
      <c r="F36" s="238">
        <v>-2.0709503294624101</v>
      </c>
      <c r="G36" s="246">
        <v>4.2857982553637504</v>
      </c>
      <c r="H36" s="237">
        <v>14.9117720676161</v>
      </c>
      <c r="I36" s="238">
        <v>-2.0709503294624101</v>
      </c>
      <c r="J36" s="246">
        <v>4.2857982553637504</v>
      </c>
      <c r="K36" s="237">
        <v>14.9117720676161</v>
      </c>
      <c r="L36" s="238">
        <v>-2.0709503294624101</v>
      </c>
      <c r="M36" s="20">
        <f t="shared" si="0"/>
        <v>16.982722397078511</v>
      </c>
      <c r="X36" s="18">
        <v>39994</v>
      </c>
      <c r="Y36" s="246">
        <v>4.2857982553637504</v>
      </c>
      <c r="Z36" s="3"/>
      <c r="AA36" s="3"/>
      <c r="AB36" s="3"/>
      <c r="AC36" s="3"/>
      <c r="AD36" s="3"/>
      <c r="AE36" s="3"/>
      <c r="AF36" s="3"/>
      <c r="AG36" s="3"/>
      <c r="AH36" s="3"/>
      <c r="AI36" s="3"/>
      <c r="AJ36" s="3"/>
    </row>
    <row r="37" spans="1:36" ht="14.25" customHeight="1">
      <c r="A37" s="18">
        <v>40086</v>
      </c>
      <c r="B37" s="22">
        <v>-0.97263763456866303</v>
      </c>
      <c r="C37" s="246">
        <v>-3.3909478407267799</v>
      </c>
      <c r="D37" s="3">
        <v>0.3</v>
      </c>
      <c r="E37" s="237">
        <v>15.7000134708374</v>
      </c>
      <c r="F37" s="238">
        <v>-1.2627007338638101</v>
      </c>
      <c r="G37" s="246">
        <v>-3.3909478407267799</v>
      </c>
      <c r="H37" s="237">
        <v>15.7000134708374</v>
      </c>
      <c r="I37" s="238">
        <v>-1.2627007338638101</v>
      </c>
      <c r="J37" s="246">
        <v>-3.3909478407267799</v>
      </c>
      <c r="K37" s="237">
        <v>15.7000134708374</v>
      </c>
      <c r="L37" s="238">
        <v>-1.2627007338638101</v>
      </c>
      <c r="M37" s="20">
        <f t="shared" si="0"/>
        <v>16.962714204701211</v>
      </c>
      <c r="X37" s="18">
        <v>40086</v>
      </c>
      <c r="Y37" s="246">
        <v>-3.3909478407267799</v>
      </c>
      <c r="Z37" s="3"/>
      <c r="AA37" s="3"/>
      <c r="AB37" s="3"/>
      <c r="AC37" s="3"/>
      <c r="AD37" s="3"/>
      <c r="AE37" s="3"/>
      <c r="AF37" s="3"/>
      <c r="AG37" s="3"/>
      <c r="AH37" s="3"/>
      <c r="AI37" s="3"/>
      <c r="AJ37" s="3"/>
    </row>
    <row r="38" spans="1:36" ht="14.25" customHeight="1">
      <c r="A38" s="18">
        <v>40178</v>
      </c>
      <c r="B38" s="22">
        <v>0.56540584857272003</v>
      </c>
      <c r="C38" s="246">
        <v>-2.23996858436798</v>
      </c>
      <c r="D38" s="3">
        <v>1.5</v>
      </c>
      <c r="E38" s="237">
        <v>16.2476120981128</v>
      </c>
      <c r="F38" s="238">
        <v>-0.69767034249272597</v>
      </c>
      <c r="G38" s="246">
        <v>-2.23996858436798</v>
      </c>
      <c r="H38" s="237">
        <v>16.2476120981128</v>
      </c>
      <c r="I38" s="238">
        <v>-0.69767034249272597</v>
      </c>
      <c r="J38" s="246">
        <v>-2.23996858436798</v>
      </c>
      <c r="K38" s="237">
        <v>16.2476120981128</v>
      </c>
      <c r="L38" s="238">
        <v>-0.69767034249272597</v>
      </c>
      <c r="M38" s="20">
        <f t="shared" si="0"/>
        <v>16.945282440605524</v>
      </c>
      <c r="X38" s="18">
        <v>40178</v>
      </c>
      <c r="Y38" s="246">
        <v>-2.23996858436798</v>
      </c>
      <c r="Z38" s="3"/>
      <c r="AA38" s="3"/>
      <c r="AB38" s="3"/>
      <c r="AC38" s="3"/>
      <c r="AD38" s="3"/>
      <c r="AE38" s="3"/>
      <c r="AF38" s="3"/>
      <c r="AG38" s="3"/>
      <c r="AH38" s="3"/>
      <c r="AI38" s="3"/>
      <c r="AJ38" s="3"/>
    </row>
    <row r="39" spans="1:36" ht="14.25" customHeight="1">
      <c r="A39" s="18">
        <v>40268</v>
      </c>
      <c r="B39" s="22">
        <v>1.5515254048901399</v>
      </c>
      <c r="C39" s="246">
        <v>-1.5074385696499799</v>
      </c>
      <c r="D39" s="3">
        <v>2</v>
      </c>
      <c r="E39" s="237">
        <v>17.017538562852799</v>
      </c>
      <c r="F39" s="238">
        <v>8.8295169154431905E-2</v>
      </c>
      <c r="G39" s="246">
        <v>-1.5074385696499799</v>
      </c>
      <c r="H39" s="237">
        <v>17.017538562852799</v>
      </c>
      <c r="I39" s="238">
        <v>8.8295169154431905E-2</v>
      </c>
      <c r="J39" s="246">
        <v>-1.5074385696499799</v>
      </c>
      <c r="K39" s="237">
        <v>17.017538562852799</v>
      </c>
      <c r="L39" s="238">
        <v>8.8295169154431905E-2</v>
      </c>
      <c r="M39" s="20">
        <f t="shared" si="0"/>
        <v>16.929243393698368</v>
      </c>
      <c r="X39" s="18">
        <v>40268</v>
      </c>
      <c r="Y39" s="246">
        <v>-1.5074385696499799</v>
      </c>
      <c r="Z39" s="3"/>
      <c r="AA39" s="3"/>
      <c r="AB39" s="3"/>
      <c r="AC39" s="3"/>
      <c r="AD39" s="3"/>
      <c r="AE39" s="3"/>
      <c r="AF39" s="3"/>
      <c r="AG39" s="3"/>
      <c r="AH39" s="3"/>
      <c r="AI39" s="3"/>
      <c r="AJ39" s="3"/>
    </row>
    <row r="40" spans="1:36" ht="14.25" customHeight="1">
      <c r="A40" s="18">
        <v>40359</v>
      </c>
      <c r="B40" s="22">
        <v>2.1172435892066002</v>
      </c>
      <c r="C40" s="246">
        <v>0.32931487763192502</v>
      </c>
      <c r="D40" s="3">
        <v>1.9</v>
      </c>
      <c r="E40" s="237">
        <v>17.471147589560498</v>
      </c>
      <c r="F40" s="238">
        <v>0.55776214348708897</v>
      </c>
      <c r="G40" s="246">
        <v>0.32931487763192502</v>
      </c>
      <c r="H40" s="237">
        <v>17.471147589560498</v>
      </c>
      <c r="I40" s="238">
        <v>0.55776214348708897</v>
      </c>
      <c r="J40" s="246">
        <v>0.32931487763192502</v>
      </c>
      <c r="K40" s="237">
        <v>17.471147589560498</v>
      </c>
      <c r="L40" s="238">
        <v>0.55776214348708897</v>
      </c>
      <c r="M40" s="20">
        <f t="shared" si="0"/>
        <v>16.913385446073409</v>
      </c>
      <c r="X40" s="18">
        <v>40359</v>
      </c>
      <c r="Y40" s="246">
        <v>0.32931487763192502</v>
      </c>
      <c r="Z40" s="3"/>
      <c r="AA40" s="3"/>
      <c r="AB40" s="3"/>
      <c r="AC40" s="3"/>
      <c r="AD40" s="3"/>
      <c r="AE40" s="3"/>
      <c r="AF40" s="3"/>
      <c r="AG40" s="3"/>
      <c r="AH40" s="3"/>
      <c r="AI40" s="3"/>
      <c r="AJ40" s="3"/>
    </row>
    <row r="41" spans="1:36" ht="14.25" customHeight="1">
      <c r="A41" s="18">
        <v>40451</v>
      </c>
      <c r="B41" s="22">
        <v>1.23596724065358</v>
      </c>
      <c r="C41" s="246">
        <v>1.09767096746032</v>
      </c>
      <c r="D41" s="3">
        <v>2.2000000000000002</v>
      </c>
      <c r="E41" s="237">
        <v>17.822467154531701</v>
      </c>
      <c r="F41" s="238">
        <v>0.92596664290096997</v>
      </c>
      <c r="G41" s="246">
        <v>1.09767096746032</v>
      </c>
      <c r="H41" s="237">
        <v>17.822467154531701</v>
      </c>
      <c r="I41" s="238">
        <v>0.92596664290096997</v>
      </c>
      <c r="J41" s="246">
        <v>1.09767096746032</v>
      </c>
      <c r="K41" s="237">
        <v>17.822467154531701</v>
      </c>
      <c r="L41" s="238">
        <v>0.92596664290096997</v>
      </c>
      <c r="M41" s="20">
        <f t="shared" si="0"/>
        <v>16.89650051163073</v>
      </c>
      <c r="X41" s="18">
        <v>40451</v>
      </c>
      <c r="Y41" s="246">
        <v>1.09767096746032</v>
      </c>
      <c r="Z41" s="3"/>
      <c r="AA41" s="3"/>
      <c r="AB41" s="3"/>
      <c r="AC41" s="3"/>
      <c r="AD41" s="3"/>
      <c r="AE41" s="3"/>
      <c r="AF41" s="3"/>
      <c r="AG41" s="3"/>
      <c r="AH41" s="3"/>
      <c r="AI41" s="3"/>
      <c r="AJ41" s="3"/>
    </row>
    <row r="42" spans="1:36" ht="14.25" customHeight="1">
      <c r="A42" s="18">
        <v>40543</v>
      </c>
      <c r="B42" s="22">
        <v>2.6196000605869698</v>
      </c>
      <c r="C42" s="246">
        <v>0.40091975635174698</v>
      </c>
      <c r="D42" s="3">
        <v>2.7</v>
      </c>
      <c r="E42" s="237">
        <v>18.033735238627202</v>
      </c>
      <c r="F42" s="238">
        <v>1.15633242387073</v>
      </c>
      <c r="G42" s="246">
        <v>0.40091975635174698</v>
      </c>
      <c r="H42" s="237">
        <v>18.033735238627202</v>
      </c>
      <c r="I42" s="238">
        <v>1.15633242387073</v>
      </c>
      <c r="J42" s="246">
        <v>0.40091975635174698</v>
      </c>
      <c r="K42" s="237">
        <v>18.033735238627202</v>
      </c>
      <c r="L42" s="238">
        <v>1.15633242387073</v>
      </c>
      <c r="M42" s="20">
        <f t="shared" si="0"/>
        <v>16.877402814756472</v>
      </c>
      <c r="X42" s="18">
        <v>40543</v>
      </c>
      <c r="Y42" s="246">
        <v>0.40091975635174698</v>
      </c>
      <c r="Z42" s="3"/>
      <c r="AA42" s="3"/>
      <c r="AB42" s="3"/>
      <c r="AC42" s="3"/>
      <c r="AD42" s="3"/>
      <c r="AE42" s="3"/>
      <c r="AF42" s="3"/>
      <c r="AG42" s="3"/>
      <c r="AH42" s="3"/>
      <c r="AI42" s="3"/>
      <c r="AJ42" s="3"/>
    </row>
    <row r="43" spans="1:36" ht="14.25" customHeight="1">
      <c r="A43" s="18">
        <v>40633</v>
      </c>
      <c r="B43" s="22">
        <v>4.3833289769774</v>
      </c>
      <c r="C43" s="246">
        <v>4.94944455970459</v>
      </c>
      <c r="D43" s="3">
        <v>3.1</v>
      </c>
      <c r="E43" s="237">
        <v>17.768909337948799</v>
      </c>
      <c r="F43" s="238">
        <v>0.91396571944666205</v>
      </c>
      <c r="G43" s="246">
        <v>4.94944455970459</v>
      </c>
      <c r="H43" s="237">
        <v>17.768909337948799</v>
      </c>
      <c r="I43" s="238">
        <v>0.91396571944666205</v>
      </c>
      <c r="J43" s="246">
        <v>4.94944455970459</v>
      </c>
      <c r="K43" s="237">
        <v>17.768909337948799</v>
      </c>
      <c r="L43" s="238">
        <v>0.91396571944666205</v>
      </c>
      <c r="M43" s="20">
        <f t="shared" si="0"/>
        <v>16.854943618502137</v>
      </c>
      <c r="X43" s="18">
        <v>40633</v>
      </c>
      <c r="Y43" s="246">
        <v>4.94944455970459</v>
      </c>
      <c r="Z43" s="3"/>
      <c r="AA43" s="3"/>
      <c r="AB43" s="3"/>
      <c r="AC43" s="3"/>
      <c r="AD43" s="3"/>
      <c r="AE43" s="3"/>
      <c r="AF43" s="3"/>
      <c r="AG43" s="3"/>
      <c r="AH43" s="3"/>
      <c r="AI43" s="3"/>
      <c r="AJ43" s="3"/>
    </row>
    <row r="44" spans="1:36" ht="14.25" customHeight="1">
      <c r="A44" s="18">
        <v>40724</v>
      </c>
      <c r="B44" s="22">
        <v>0.23292058631618801</v>
      </c>
      <c r="C44" s="246">
        <v>0.84441733025013599</v>
      </c>
      <c r="D44" s="3">
        <v>3.1</v>
      </c>
      <c r="E44" s="237">
        <v>17.870186063390602</v>
      </c>
      <c r="F44" s="238">
        <v>1.0421656241741499</v>
      </c>
      <c r="G44" s="246">
        <v>0.84441733025013599</v>
      </c>
      <c r="H44" s="237">
        <v>17.870186063390602</v>
      </c>
      <c r="I44" s="238">
        <v>1.0421656241741499</v>
      </c>
      <c r="J44" s="246">
        <v>0.84441733025013599</v>
      </c>
      <c r="K44" s="237">
        <v>17.870186063390602</v>
      </c>
      <c r="L44" s="238">
        <v>1.0421656241741499</v>
      </c>
      <c r="M44" s="20">
        <f t="shared" si="0"/>
        <v>16.828020439216452</v>
      </c>
      <c r="X44" s="18">
        <v>40724</v>
      </c>
      <c r="Y44" s="246">
        <v>0.84441733025013599</v>
      </c>
      <c r="Z44" s="3"/>
      <c r="AA44" s="3"/>
      <c r="AB44" s="3"/>
      <c r="AC44" s="3"/>
      <c r="AD44" s="3"/>
      <c r="AE44" s="3"/>
      <c r="AF44" s="3"/>
      <c r="AG44" s="3"/>
      <c r="AH44" s="3"/>
      <c r="AI44" s="3"/>
      <c r="AJ44" s="3"/>
    </row>
    <row r="45" spans="1:36" ht="14.25" customHeight="1">
      <c r="A45" s="18">
        <v>40816</v>
      </c>
      <c r="B45" s="22">
        <v>1.06628971346665</v>
      </c>
      <c r="C45" s="246">
        <v>1.63396212262263</v>
      </c>
      <c r="D45" s="3">
        <v>3.3</v>
      </c>
      <c r="E45" s="237">
        <v>17.796638235779799</v>
      </c>
      <c r="F45" s="238">
        <v>1.0010708839029301</v>
      </c>
      <c r="G45" s="246">
        <v>1.63396212262263</v>
      </c>
      <c r="H45" s="237">
        <v>17.796638235779799</v>
      </c>
      <c r="I45" s="238">
        <v>1.0010708839029301</v>
      </c>
      <c r="J45" s="246">
        <v>1.63396212262263</v>
      </c>
      <c r="K45" s="237">
        <v>17.796638235779799</v>
      </c>
      <c r="L45" s="238">
        <v>1.0010708839029301</v>
      </c>
      <c r="M45" s="20">
        <f t="shared" si="0"/>
        <v>16.795567351876869</v>
      </c>
      <c r="X45" s="18">
        <v>40816</v>
      </c>
      <c r="Y45" s="246">
        <v>1.63396212262263</v>
      </c>
      <c r="Z45" s="3"/>
      <c r="AA45" s="3"/>
      <c r="AB45" s="3"/>
      <c r="AC45" s="3"/>
      <c r="AD45" s="3"/>
      <c r="AE45" s="3"/>
      <c r="AF45" s="3"/>
      <c r="AG45" s="3"/>
      <c r="AH45" s="3"/>
      <c r="AI45" s="3"/>
      <c r="AJ45" s="3"/>
    </row>
    <row r="46" spans="1:36" ht="14.25" customHeight="1">
      <c r="A46" s="18">
        <v>40908</v>
      </c>
      <c r="B46" s="22">
        <v>2.8654711558381099</v>
      </c>
      <c r="C46" s="246">
        <v>4.2568298203361099</v>
      </c>
      <c r="D46" s="3">
        <v>3</v>
      </c>
      <c r="E46" s="237">
        <v>17.814191796193999</v>
      </c>
      <c r="F46" s="238">
        <v>1.05763167810818</v>
      </c>
      <c r="G46" s="246">
        <v>4.2568298203361099</v>
      </c>
      <c r="H46" s="237">
        <v>17.814191796193999</v>
      </c>
      <c r="I46" s="238">
        <v>1.05763167810818</v>
      </c>
      <c r="J46" s="246">
        <v>4.2568298203361099</v>
      </c>
      <c r="K46" s="237">
        <v>17.814191796193999</v>
      </c>
      <c r="L46" s="238">
        <v>1.05763167810818</v>
      </c>
      <c r="M46" s="20">
        <f t="shared" si="0"/>
        <v>16.756560118085819</v>
      </c>
      <c r="X46" s="18">
        <v>40908</v>
      </c>
      <c r="Y46" s="246">
        <v>4.2568298203361099</v>
      </c>
      <c r="Z46" s="3"/>
      <c r="AA46" s="3"/>
      <c r="AB46" s="3"/>
      <c r="AC46" s="3"/>
      <c r="AD46" s="3"/>
      <c r="AE46" s="3"/>
      <c r="AF46" s="3"/>
      <c r="AG46" s="3"/>
      <c r="AH46" s="3"/>
      <c r="AI46" s="3"/>
      <c r="AJ46" s="3"/>
    </row>
    <row r="47" spans="1:36" ht="14.25" customHeight="1">
      <c r="A47" s="18">
        <v>40999</v>
      </c>
      <c r="B47" s="22">
        <v>3.9054501191205602</v>
      </c>
      <c r="C47" s="246">
        <v>-0.38330001828307297</v>
      </c>
      <c r="D47" s="3">
        <v>2.9</v>
      </c>
      <c r="E47" s="237">
        <v>18.2390217483842</v>
      </c>
      <c r="F47" s="238">
        <v>1.5290072061034501</v>
      </c>
      <c r="G47" s="246">
        <v>-0.38330001828307297</v>
      </c>
      <c r="H47" s="237">
        <v>18.2390217483842</v>
      </c>
      <c r="I47" s="238">
        <v>1.5290072061034501</v>
      </c>
      <c r="J47" s="246">
        <v>-0.38330001828307297</v>
      </c>
      <c r="K47" s="237">
        <v>18.2390217483842</v>
      </c>
      <c r="L47" s="238">
        <v>1.5290072061034501</v>
      </c>
      <c r="M47" s="20">
        <f t="shared" si="0"/>
        <v>16.710014542280749</v>
      </c>
      <c r="X47" s="18">
        <v>40999</v>
      </c>
      <c r="Y47" s="246">
        <v>-0.38330001828307297</v>
      </c>
      <c r="Z47" s="3"/>
      <c r="AA47" s="3"/>
      <c r="AB47" s="3"/>
      <c r="AC47" s="3"/>
      <c r="AD47" s="3"/>
      <c r="AE47" s="3"/>
      <c r="AF47" s="3"/>
      <c r="AG47" s="3"/>
      <c r="AH47" s="3"/>
      <c r="AI47" s="3"/>
      <c r="AJ47" s="3"/>
    </row>
    <row r="48" spans="1:36" ht="14.25" customHeight="1">
      <c r="A48" s="18">
        <v>41090</v>
      </c>
      <c r="B48" s="22">
        <v>7.6712379978313798</v>
      </c>
      <c r="C48" s="246">
        <v>2.6391713680750799</v>
      </c>
      <c r="D48" s="3">
        <v>2.5</v>
      </c>
      <c r="E48" s="237">
        <v>18.457329438886799</v>
      </c>
      <c r="F48" s="238">
        <v>1.80234070472</v>
      </c>
      <c r="G48" s="246">
        <v>2.6391713680750799</v>
      </c>
      <c r="H48" s="237">
        <v>18.457329438886799</v>
      </c>
      <c r="I48" s="238">
        <v>1.80234070472</v>
      </c>
      <c r="J48" s="246">
        <v>2.6391713680750799</v>
      </c>
      <c r="K48" s="237">
        <v>18.457329438886799</v>
      </c>
      <c r="L48" s="238">
        <v>1.80234070472</v>
      </c>
      <c r="M48" s="20">
        <f t="shared" si="0"/>
        <v>16.6549887341668</v>
      </c>
      <c r="X48" s="18">
        <v>41090</v>
      </c>
      <c r="Y48" s="246">
        <v>2.6391713680750799</v>
      </c>
      <c r="Z48" s="3"/>
      <c r="AA48" s="3"/>
      <c r="AB48" s="3"/>
      <c r="AC48" s="3"/>
      <c r="AD48" s="3"/>
      <c r="AE48" s="3"/>
      <c r="AF48" s="3"/>
      <c r="AG48" s="3"/>
      <c r="AH48" s="3"/>
      <c r="AI48" s="3"/>
      <c r="AJ48" s="3"/>
    </row>
    <row r="49" spans="1:36" ht="14.25" customHeight="1">
      <c r="A49" s="18">
        <v>41182</v>
      </c>
      <c r="B49" s="22">
        <v>4.9995186122986404</v>
      </c>
      <c r="C49" s="246">
        <v>1.13036133162678</v>
      </c>
      <c r="D49" s="3">
        <v>2.7</v>
      </c>
      <c r="E49" s="237">
        <v>19.396733635784798</v>
      </c>
      <c r="F49" s="238">
        <v>2.8061316720477301</v>
      </c>
      <c r="G49" s="246">
        <v>1.13036133162678</v>
      </c>
      <c r="H49" s="237">
        <v>19.396733635784798</v>
      </c>
      <c r="I49" s="238">
        <v>2.8061316720477301</v>
      </c>
      <c r="J49" s="246">
        <v>1.13036133162678</v>
      </c>
      <c r="K49" s="237">
        <v>19.396733635784798</v>
      </c>
      <c r="L49" s="238">
        <v>2.8061316720477301</v>
      </c>
      <c r="M49" s="20">
        <f t="shared" si="0"/>
        <v>16.590601963737068</v>
      </c>
      <c r="X49" s="18">
        <v>41182</v>
      </c>
      <c r="Y49" s="246">
        <v>1.13036133162678</v>
      </c>
      <c r="Z49" s="3"/>
      <c r="AA49" s="3"/>
      <c r="AB49" s="3"/>
      <c r="AC49" s="3"/>
      <c r="AD49" s="3"/>
      <c r="AE49" s="3"/>
      <c r="AF49" s="3"/>
      <c r="AG49" s="3"/>
      <c r="AH49" s="3"/>
      <c r="AI49" s="3"/>
      <c r="AJ49" s="3"/>
    </row>
    <row r="50" spans="1:36" ht="14.25" customHeight="1">
      <c r="A50" s="18">
        <v>41274</v>
      </c>
      <c r="B50" s="22">
        <v>1.6536227428022501</v>
      </c>
      <c r="C50" s="246">
        <v>4.5770605880136399</v>
      </c>
      <c r="D50" s="3">
        <v>2.2999999999999998</v>
      </c>
      <c r="E50" s="237">
        <v>20.0454070255993</v>
      </c>
      <c r="F50" s="238">
        <v>3.5293614309867798</v>
      </c>
      <c r="G50" s="246">
        <v>4.5770605880136399</v>
      </c>
      <c r="H50" s="237">
        <v>20.0454070255993</v>
      </c>
      <c r="I50" s="238">
        <v>3.5293614309867798</v>
      </c>
      <c r="J50" s="246">
        <v>4.5770605880136399</v>
      </c>
      <c r="K50" s="237">
        <v>20.0454070255993</v>
      </c>
      <c r="L50" s="238">
        <v>3.5293614309867798</v>
      </c>
      <c r="M50" s="20">
        <f t="shared" si="0"/>
        <v>16.516045594612521</v>
      </c>
      <c r="X50" s="18">
        <v>41274</v>
      </c>
      <c r="Y50" s="246">
        <v>4.5770605880136399</v>
      </c>
      <c r="Z50" s="3"/>
      <c r="AA50" s="3"/>
      <c r="AB50" s="3"/>
      <c r="AC50" s="3"/>
      <c r="AD50" s="3"/>
      <c r="AE50" s="3"/>
      <c r="AF50" s="3"/>
      <c r="AG50" s="3"/>
      <c r="AH50" s="3"/>
      <c r="AI50" s="3"/>
      <c r="AJ50" s="3"/>
    </row>
    <row r="51" spans="1:36" ht="14.25" customHeight="1">
      <c r="A51" s="18">
        <v>41364</v>
      </c>
      <c r="B51" s="22">
        <v>0.74845934397091995</v>
      </c>
      <c r="C51" s="246">
        <v>0.227323818357239</v>
      </c>
      <c r="D51" s="3">
        <v>1.9</v>
      </c>
      <c r="E51" s="237">
        <v>20.0070900081632</v>
      </c>
      <c r="F51" s="238">
        <v>3.5764667724815302</v>
      </c>
      <c r="G51" s="246">
        <v>0.227323818357239</v>
      </c>
      <c r="H51" s="237">
        <v>20.0070900081632</v>
      </c>
      <c r="I51" s="238">
        <v>3.5764667724815302</v>
      </c>
      <c r="J51" s="246">
        <v>0.227323818357239</v>
      </c>
      <c r="K51" s="237">
        <v>20.0070900081632</v>
      </c>
      <c r="L51" s="238">
        <v>3.5764667724815302</v>
      </c>
      <c r="M51" s="20">
        <f t="shared" si="0"/>
        <v>16.430623235681669</v>
      </c>
      <c r="X51" s="18">
        <v>41364</v>
      </c>
      <c r="Y51" s="246">
        <v>0.227323818357239</v>
      </c>
      <c r="Z51" s="3"/>
      <c r="AA51" s="3"/>
      <c r="AB51" s="3"/>
      <c r="AC51" s="3"/>
      <c r="AD51" s="3"/>
      <c r="AE51" s="3"/>
      <c r="AF51" s="3"/>
      <c r="AG51" s="3"/>
      <c r="AH51" s="3"/>
      <c r="AI51" s="3"/>
      <c r="AJ51" s="3"/>
    </row>
    <row r="52" spans="1:36" ht="14.25" customHeight="1">
      <c r="A52" s="18">
        <v>41455</v>
      </c>
      <c r="B52" s="22">
        <v>0.91353480298730405</v>
      </c>
      <c r="C52" s="246">
        <v>2.4187600488176</v>
      </c>
      <c r="D52" s="3">
        <v>1.7</v>
      </c>
      <c r="E52" s="237">
        <v>20.091930313516102</v>
      </c>
      <c r="F52" s="238">
        <v>3.7581506432262501</v>
      </c>
      <c r="G52" s="246">
        <v>2.4187600488176</v>
      </c>
      <c r="H52" s="237">
        <v>20.091930313516102</v>
      </c>
      <c r="I52" s="238">
        <v>3.7581506432262501</v>
      </c>
      <c r="J52" s="246">
        <v>2.4187600488176</v>
      </c>
      <c r="K52" s="237">
        <v>20.091930313516102</v>
      </c>
      <c r="L52" s="238">
        <v>3.7581506432262501</v>
      </c>
      <c r="M52" s="20">
        <f t="shared" si="0"/>
        <v>16.33377967028985</v>
      </c>
      <c r="X52" s="18">
        <v>41455</v>
      </c>
      <c r="Y52" s="246">
        <v>2.4187600488176</v>
      </c>
      <c r="Z52" s="3"/>
      <c r="AA52" s="3"/>
      <c r="AB52" s="3"/>
      <c r="AC52" s="3"/>
      <c r="AD52" s="3"/>
      <c r="AE52" s="3"/>
      <c r="AF52" s="3"/>
      <c r="AG52" s="3"/>
      <c r="AH52" s="3"/>
      <c r="AI52" s="3"/>
      <c r="AJ52" s="3"/>
    </row>
    <row r="53" spans="1:36" ht="14.25" customHeight="1">
      <c r="A53" s="18">
        <v>41547</v>
      </c>
      <c r="B53" s="22">
        <v>1.1007277672321101</v>
      </c>
      <c r="C53" s="246">
        <v>1.11423435854894</v>
      </c>
      <c r="D53" s="3">
        <v>1.3</v>
      </c>
      <c r="E53" s="237">
        <v>20.343685975917701</v>
      </c>
      <c r="F53" s="238">
        <v>4.1185832354644001</v>
      </c>
      <c r="G53" s="246">
        <v>1.11423435854894</v>
      </c>
      <c r="H53" s="237">
        <v>20.343685975917701</v>
      </c>
      <c r="I53" s="238">
        <v>4.1185832354644001</v>
      </c>
      <c r="J53" s="246">
        <v>1.11423435854894</v>
      </c>
      <c r="K53" s="237">
        <v>20.343685975917701</v>
      </c>
      <c r="L53" s="238">
        <v>4.1185832354644001</v>
      </c>
      <c r="M53" s="20">
        <f t="shared" si="0"/>
        <v>16.225102740453302</v>
      </c>
      <c r="X53" s="18">
        <v>41547</v>
      </c>
      <c r="Y53" s="246">
        <v>1.11423435854894</v>
      </c>
      <c r="Z53" s="3"/>
      <c r="AA53" s="3"/>
      <c r="AB53" s="3"/>
      <c r="AC53" s="3"/>
      <c r="AD53" s="3"/>
      <c r="AE53" s="3"/>
      <c r="AF53" s="3"/>
      <c r="AG53" s="3"/>
      <c r="AH53" s="3"/>
      <c r="AI53" s="3"/>
      <c r="AJ53" s="3"/>
    </row>
    <row r="54" spans="1:36" ht="14.25" customHeight="1">
      <c r="A54" s="18">
        <v>41639</v>
      </c>
      <c r="B54" s="22">
        <v>-1.7715228227275699</v>
      </c>
      <c r="C54" s="246">
        <v>-1.7178259569796801</v>
      </c>
      <c r="D54" s="3">
        <v>1</v>
      </c>
      <c r="E54" s="237">
        <v>20.5756337923813</v>
      </c>
      <c r="F54" s="238">
        <v>4.4713031781670702</v>
      </c>
      <c r="G54" s="246">
        <v>-1.7178259569796801</v>
      </c>
      <c r="H54" s="237">
        <v>20.5756337923813</v>
      </c>
      <c r="I54" s="238">
        <v>4.4713031781670702</v>
      </c>
      <c r="J54" s="246">
        <v>-1.7178259569796801</v>
      </c>
      <c r="K54" s="237">
        <v>20.5756337923813</v>
      </c>
      <c r="L54" s="238">
        <v>4.4713031781670702</v>
      </c>
      <c r="M54" s="20">
        <f t="shared" si="0"/>
        <v>16.104330614214231</v>
      </c>
      <c r="X54" s="18">
        <v>41639</v>
      </c>
      <c r="Y54" s="246">
        <v>-1.7178259569796801</v>
      </c>
      <c r="Z54" s="3"/>
      <c r="AA54" s="3"/>
      <c r="AB54" s="3"/>
      <c r="AC54" s="3"/>
      <c r="AD54" s="3"/>
      <c r="AE54" s="3"/>
      <c r="AF54" s="3"/>
      <c r="AG54" s="3"/>
      <c r="AH54" s="3"/>
      <c r="AI54" s="3"/>
      <c r="AJ54" s="3"/>
    </row>
    <row r="55" spans="1:36" ht="14.25" customHeight="1">
      <c r="A55" s="18">
        <v>41729</v>
      </c>
      <c r="B55" s="22">
        <v>-1.60999173052891</v>
      </c>
      <c r="C55" s="246">
        <v>-0.64622206202604704</v>
      </c>
      <c r="D55" s="3">
        <v>0.6</v>
      </c>
      <c r="E55" s="237">
        <v>20.7203756864252</v>
      </c>
      <c r="F55" s="238">
        <v>4.7490094834812604</v>
      </c>
      <c r="G55" s="246">
        <v>-0.64622206202604704</v>
      </c>
      <c r="H55" s="237">
        <v>20.7203756864252</v>
      </c>
      <c r="I55" s="238">
        <v>4.7490094834812604</v>
      </c>
      <c r="J55" s="246">
        <v>-0.64622206202604704</v>
      </c>
      <c r="K55" s="237">
        <v>20.7203756864252</v>
      </c>
      <c r="L55" s="238">
        <v>4.7490094834812604</v>
      </c>
      <c r="M55" s="20">
        <f t="shared" si="0"/>
        <v>15.97136620294394</v>
      </c>
      <c r="X55" s="18">
        <v>41729</v>
      </c>
      <c r="Y55" s="246">
        <v>-0.64622206202604704</v>
      </c>
      <c r="Z55" s="3"/>
      <c r="AA55" s="3"/>
      <c r="AB55" s="3"/>
      <c r="AC55" s="3"/>
      <c r="AD55" s="3"/>
      <c r="AE55" s="3"/>
      <c r="AF55" s="3"/>
      <c r="AG55" s="3"/>
      <c r="AH55" s="3"/>
      <c r="AI55" s="3"/>
      <c r="AJ55" s="3"/>
    </row>
    <row r="56" spans="1:36" ht="14.25" customHeight="1">
      <c r="A56" s="18">
        <v>41820</v>
      </c>
      <c r="B56" s="22">
        <v>0.75708881152312102</v>
      </c>
      <c r="C56" s="246">
        <v>-1.83995759015149</v>
      </c>
      <c r="D56" s="3">
        <v>0.7</v>
      </c>
      <c r="E56" s="237">
        <v>19.758969964296899</v>
      </c>
      <c r="F56" s="238">
        <v>3.9326786941559302</v>
      </c>
      <c r="G56" s="246">
        <v>-1.83995759015149</v>
      </c>
      <c r="H56" s="237">
        <v>19.758969964296899</v>
      </c>
      <c r="I56" s="238">
        <v>3.9326786941559302</v>
      </c>
      <c r="J56" s="246">
        <v>-1.83995759015149</v>
      </c>
      <c r="K56" s="237">
        <v>19.758969964296899</v>
      </c>
      <c r="L56" s="238">
        <v>3.9326786941559302</v>
      </c>
      <c r="M56" s="20">
        <f t="shared" si="0"/>
        <v>15.826291270140969</v>
      </c>
      <c r="X56" s="18">
        <v>41820</v>
      </c>
      <c r="Y56" s="246">
        <v>-1.83995759015149</v>
      </c>
      <c r="Z56" s="3"/>
      <c r="AA56" s="3"/>
      <c r="AB56" s="3"/>
      <c r="AC56" s="3"/>
      <c r="AD56" s="3"/>
      <c r="AE56" s="3"/>
      <c r="AF56" s="3"/>
      <c r="AG56" s="3"/>
      <c r="AH56" s="3"/>
      <c r="AI56" s="3"/>
      <c r="AJ56" s="3"/>
    </row>
    <row r="57" spans="1:36" ht="14.25" customHeight="1">
      <c r="A57" s="18">
        <v>41912</v>
      </c>
      <c r="B57" s="22">
        <v>1.6031455680639399</v>
      </c>
      <c r="C57" s="246">
        <v>1.0741991829631401</v>
      </c>
      <c r="D57" s="3">
        <v>0.4</v>
      </c>
      <c r="E57" s="237">
        <v>18.929195433406399</v>
      </c>
      <c r="F57" s="238">
        <v>3.2598178937229201</v>
      </c>
      <c r="G57" s="246">
        <v>1.0741991829631401</v>
      </c>
      <c r="H57" s="237">
        <v>18.929195433406399</v>
      </c>
      <c r="I57" s="238">
        <v>3.2598178937229201</v>
      </c>
      <c r="J57" s="246">
        <v>1.0741991829631401</v>
      </c>
      <c r="K57" s="237">
        <v>18.929195433406399</v>
      </c>
      <c r="L57" s="238">
        <v>3.2598178937229201</v>
      </c>
      <c r="M57" s="20">
        <f t="shared" si="0"/>
        <v>15.669377539683479</v>
      </c>
      <c r="X57" s="18">
        <v>41912</v>
      </c>
      <c r="Y57" s="246">
        <v>1.0741991829631401</v>
      </c>
      <c r="Z57" s="3"/>
      <c r="AA57" s="3"/>
      <c r="AB57" s="3"/>
      <c r="AC57" s="3"/>
      <c r="AD57" s="3"/>
      <c r="AE57" s="3"/>
      <c r="AF57" s="3"/>
      <c r="AG57" s="3"/>
      <c r="AH57" s="3"/>
      <c r="AI57" s="3"/>
      <c r="AJ57" s="3"/>
    </row>
    <row r="58" spans="1:36" ht="14.25" customHeight="1">
      <c r="A58" s="18">
        <v>42004</v>
      </c>
      <c r="B58" s="22">
        <v>-2.9084523933482598</v>
      </c>
      <c r="C58" s="246">
        <v>-0.242371499586191</v>
      </c>
      <c r="D58" s="3">
        <v>-0.1</v>
      </c>
      <c r="E58" s="237">
        <v>18.431590603838</v>
      </c>
      <c r="F58" s="238">
        <v>2.9305365612408298</v>
      </c>
      <c r="G58" s="246">
        <v>-0.242371499586191</v>
      </c>
      <c r="H58" s="237">
        <v>18.431590603838</v>
      </c>
      <c r="I58" s="238">
        <v>2.9305365612408298</v>
      </c>
      <c r="J58" s="246">
        <v>-0.242371499586191</v>
      </c>
      <c r="K58" s="237">
        <v>18.431590603838</v>
      </c>
      <c r="L58" s="238">
        <v>2.9305365612408298</v>
      </c>
      <c r="M58" s="20">
        <f t="shared" si="0"/>
        <v>15.50105404259717</v>
      </c>
      <c r="X58" s="18">
        <v>42004</v>
      </c>
      <c r="Y58" s="246">
        <v>-0.242371499586191</v>
      </c>
      <c r="Z58" s="3"/>
      <c r="AA58" s="3"/>
      <c r="AB58" s="3"/>
      <c r="AC58" s="3"/>
      <c r="AD58" s="3"/>
      <c r="AE58" s="3"/>
      <c r="AF58" s="3"/>
      <c r="AG58" s="3"/>
      <c r="AH58" s="3"/>
      <c r="AI58" s="3"/>
      <c r="AJ58" s="3"/>
    </row>
    <row r="59" spans="1:36" ht="14.25" customHeight="1">
      <c r="A59" s="18">
        <v>42094</v>
      </c>
      <c r="B59" s="22">
        <v>1.23651756847751</v>
      </c>
      <c r="C59" s="246">
        <v>1.3837003258801299</v>
      </c>
      <c r="D59" s="3">
        <v>-0.1</v>
      </c>
      <c r="E59" s="237">
        <v>17.6758008520471</v>
      </c>
      <c r="F59" s="238">
        <v>2.3539206494237899</v>
      </c>
      <c r="G59" s="246">
        <v>1.3837003258801299</v>
      </c>
      <c r="H59" s="237">
        <v>17.6758008520471</v>
      </c>
      <c r="I59" s="238">
        <v>2.3539206494237899</v>
      </c>
      <c r="J59" s="246">
        <v>1.3837003258801299</v>
      </c>
      <c r="K59" s="237">
        <v>17.6758008520471</v>
      </c>
      <c r="L59" s="238">
        <v>2.3539206494237899</v>
      </c>
      <c r="M59" s="20">
        <f t="shared" si="0"/>
        <v>15.32188020262331</v>
      </c>
      <c r="X59" s="18">
        <v>42094</v>
      </c>
      <c r="Y59" s="246">
        <v>1.3837003258801299</v>
      </c>
      <c r="Z59" s="3"/>
      <c r="AA59" s="3"/>
      <c r="AB59" s="3"/>
      <c r="AC59" s="3"/>
      <c r="AD59" s="3"/>
      <c r="AE59" s="3"/>
      <c r="AF59" s="3"/>
      <c r="AG59" s="3"/>
      <c r="AH59" s="3"/>
      <c r="AI59" s="3"/>
      <c r="AJ59" s="3"/>
    </row>
    <row r="60" spans="1:36" ht="14.25" customHeight="1">
      <c r="A60" s="18">
        <v>42185</v>
      </c>
      <c r="B60" s="22">
        <v>0.110287597553205</v>
      </c>
      <c r="C60" s="246">
        <v>0.470175605697642</v>
      </c>
      <c r="D60" s="3">
        <v>0.3</v>
      </c>
      <c r="E60" s="237">
        <v>17.115445353087399</v>
      </c>
      <c r="F60" s="238">
        <v>1.98291268812146</v>
      </c>
      <c r="G60" s="246">
        <v>0.470175605697642</v>
      </c>
      <c r="H60" s="237">
        <v>17.115445353087399</v>
      </c>
      <c r="I60" s="238">
        <v>1.98291268812146</v>
      </c>
      <c r="J60" s="246">
        <v>0.470175605697642</v>
      </c>
      <c r="K60" s="237">
        <v>17.115445353087399</v>
      </c>
      <c r="L60" s="238">
        <v>1.98291268812146</v>
      </c>
      <c r="M60" s="20">
        <f t="shared" si="0"/>
        <v>15.13253266496594</v>
      </c>
      <c r="X60" s="18">
        <v>42185</v>
      </c>
      <c r="Y60" s="246">
        <v>0.470175605697642</v>
      </c>
      <c r="Z60" s="3"/>
      <c r="AA60" s="3"/>
      <c r="AB60" s="3"/>
      <c r="AC60" s="3"/>
      <c r="AD60" s="3"/>
      <c r="AE60" s="3"/>
      <c r="AF60" s="3"/>
      <c r="AG60" s="3"/>
      <c r="AH60" s="3"/>
      <c r="AI60" s="3"/>
      <c r="AJ60" s="3"/>
    </row>
    <row r="61" spans="1:36" ht="14.25" customHeight="1">
      <c r="A61" s="18">
        <v>42277</v>
      </c>
      <c r="B61" s="22">
        <v>-2.1161759124379702</v>
      </c>
      <c r="C61" s="246">
        <v>-0.93602624439527204</v>
      </c>
      <c r="D61" s="3">
        <v>0.1</v>
      </c>
      <c r="E61" s="237">
        <v>16.711840793915901</v>
      </c>
      <c r="F61" s="238">
        <v>1.7780585622610701</v>
      </c>
      <c r="G61" s="246">
        <v>-0.93602624439527204</v>
      </c>
      <c r="H61" s="237">
        <v>16.711840793915901</v>
      </c>
      <c r="I61" s="238">
        <v>1.7780585622610701</v>
      </c>
      <c r="J61" s="246">
        <v>-0.93602624439527204</v>
      </c>
      <c r="K61" s="237">
        <v>16.711840793915901</v>
      </c>
      <c r="L61" s="238">
        <v>1.7780585622610701</v>
      </c>
      <c r="M61" s="20">
        <f t="shared" si="0"/>
        <v>14.933782231654831</v>
      </c>
      <c r="X61" s="18">
        <v>42277</v>
      </c>
      <c r="Y61" s="246">
        <v>-0.93602624439527204</v>
      </c>
      <c r="Z61" s="3"/>
      <c r="AA61" s="3"/>
      <c r="AB61" s="3"/>
      <c r="AC61" s="3"/>
      <c r="AD61" s="3"/>
      <c r="AE61" s="3"/>
      <c r="AF61" s="3"/>
      <c r="AG61" s="3"/>
      <c r="AH61" s="3"/>
      <c r="AI61" s="3"/>
      <c r="AJ61" s="3"/>
    </row>
    <row r="62" spans="1:36" ht="14.25" customHeight="1">
      <c r="A62" s="18">
        <v>42369</v>
      </c>
      <c r="B62" s="22">
        <v>-1.76328983146645</v>
      </c>
      <c r="C62" s="246">
        <v>-1.13428442209466</v>
      </c>
      <c r="D62" s="3">
        <v>0.2</v>
      </c>
      <c r="E62" s="237">
        <v>16.247162421313501</v>
      </c>
      <c r="F62" s="238">
        <v>1.5206834000861</v>
      </c>
      <c r="G62" s="246">
        <v>-1.13428442209466</v>
      </c>
      <c r="H62" s="237">
        <v>16.247162421313501</v>
      </c>
      <c r="I62" s="238">
        <v>1.5206834000861</v>
      </c>
      <c r="J62" s="246">
        <v>-1.13428442209466</v>
      </c>
      <c r="K62" s="237">
        <v>16.247162421313501</v>
      </c>
      <c r="L62" s="238">
        <v>1.5206834000861</v>
      </c>
      <c r="M62" s="20">
        <f t="shared" si="0"/>
        <v>14.726479021227401</v>
      </c>
      <c r="X62" s="18">
        <v>42369</v>
      </c>
      <c r="Y62" s="246">
        <v>-1.13428442209466</v>
      </c>
      <c r="Z62" s="3"/>
      <c r="AA62" s="3"/>
      <c r="AB62" s="3"/>
      <c r="AC62" s="3"/>
      <c r="AD62" s="3"/>
      <c r="AE62" s="3"/>
      <c r="AF62" s="3"/>
      <c r="AG62" s="3"/>
      <c r="AH62" s="3"/>
      <c r="AI62" s="3"/>
      <c r="AJ62" s="3"/>
    </row>
    <row r="63" spans="1:36" ht="14.25" customHeight="1">
      <c r="A63" s="18">
        <v>42460</v>
      </c>
      <c r="B63" s="22">
        <v>-2.8389137203956198</v>
      </c>
      <c r="C63" s="246">
        <v>-0.65494960147908199</v>
      </c>
      <c r="D63" s="3">
        <v>0</v>
      </c>
      <c r="E63" s="237">
        <v>15.1891131419394</v>
      </c>
      <c r="F63" s="238">
        <v>0.67756886737604805</v>
      </c>
      <c r="G63" s="246">
        <v>-0.65494960147908199</v>
      </c>
      <c r="H63" s="237">
        <v>15.1891131419394</v>
      </c>
      <c r="I63" s="238">
        <v>0.67756886737604805</v>
      </c>
      <c r="J63" s="246">
        <v>-0.65494960147908199</v>
      </c>
      <c r="K63" s="237">
        <v>15.1891131419394</v>
      </c>
      <c r="L63" s="238">
        <v>0.67756886737604805</v>
      </c>
      <c r="M63" s="20">
        <f t="shared" si="0"/>
        <v>14.511544274563352</v>
      </c>
      <c r="X63" s="18">
        <v>42460</v>
      </c>
      <c r="Y63" s="246">
        <v>-0.65494960147908199</v>
      </c>
      <c r="Z63" s="3"/>
      <c r="AA63" s="3"/>
      <c r="AB63" s="3"/>
      <c r="AC63" s="3"/>
      <c r="AD63" s="3"/>
      <c r="AE63" s="3"/>
      <c r="AF63" s="3"/>
      <c r="AG63" s="3"/>
      <c r="AH63" s="3"/>
      <c r="AI63" s="3"/>
      <c r="AJ63" s="3"/>
    </row>
    <row r="64" spans="1:36" ht="14.25" customHeight="1">
      <c r="A64" s="18">
        <v>42551</v>
      </c>
      <c r="B64" s="22">
        <v>0.33163664742132898</v>
      </c>
      <c r="C64" s="246">
        <v>-0.87043356082551204</v>
      </c>
      <c r="D64" s="3">
        <v>0.1</v>
      </c>
      <c r="E64" s="237">
        <v>14.520841838024101</v>
      </c>
      <c r="F64" s="238">
        <v>0.23088177814524899</v>
      </c>
      <c r="G64" s="246">
        <v>-0.87043356082551204</v>
      </c>
      <c r="H64" s="237">
        <v>14.520841838024101</v>
      </c>
      <c r="I64" s="238">
        <v>0.23088177814524899</v>
      </c>
      <c r="J64" s="246">
        <v>-0.87043356082551204</v>
      </c>
      <c r="K64" s="237">
        <v>14.520841838024101</v>
      </c>
      <c r="L64" s="238">
        <v>0.23088177814524899</v>
      </c>
      <c r="M64" s="20">
        <f t="shared" si="0"/>
        <v>14.289960059878851</v>
      </c>
      <c r="X64" s="18">
        <v>42551</v>
      </c>
      <c r="Y64" s="246">
        <v>-0.87043356082551204</v>
      </c>
      <c r="Z64" s="3"/>
      <c r="AA64" s="3"/>
      <c r="AB64" s="3"/>
      <c r="AC64" s="3"/>
      <c r="AD64" s="3"/>
      <c r="AE64" s="3"/>
      <c r="AF64" s="3"/>
      <c r="AG64" s="3"/>
      <c r="AH64" s="3"/>
      <c r="AI64" s="3"/>
      <c r="AJ64" s="3"/>
    </row>
    <row r="65" spans="1:36" ht="14.25" customHeight="1">
      <c r="A65" s="18">
        <v>42643</v>
      </c>
      <c r="B65" s="22">
        <v>0.69946461382730496</v>
      </c>
      <c r="C65" s="246">
        <v>2.0761470710487702</v>
      </c>
      <c r="D65" s="3">
        <v>0.4</v>
      </c>
      <c r="E65" s="237">
        <v>13.724619719032001</v>
      </c>
      <c r="F65" s="238">
        <v>-0.33811582911239202</v>
      </c>
      <c r="G65" s="246">
        <v>2.0761470710487702</v>
      </c>
      <c r="H65" s="237">
        <v>13.724619719032001</v>
      </c>
      <c r="I65" s="238">
        <v>-0.33811582911239202</v>
      </c>
      <c r="J65" s="246">
        <v>2.0761470710487702</v>
      </c>
      <c r="K65" s="237">
        <v>13.724619719032001</v>
      </c>
      <c r="L65" s="238">
        <v>-0.33811582911239202</v>
      </c>
      <c r="M65" s="20">
        <f t="shared" si="0"/>
        <v>14.062735548144392</v>
      </c>
      <c r="X65" s="18">
        <v>42643</v>
      </c>
      <c r="Y65" s="246">
        <v>2.0761470710487702</v>
      </c>
      <c r="Z65" s="3"/>
      <c r="AA65" s="3"/>
      <c r="AB65" s="3"/>
      <c r="AC65" s="3"/>
      <c r="AD65" s="3"/>
      <c r="AE65" s="3"/>
      <c r="AF65" s="3"/>
      <c r="AG65" s="3"/>
      <c r="AH65" s="3"/>
      <c r="AI65" s="3"/>
      <c r="AJ65" s="3"/>
    </row>
    <row r="66" spans="1:36" ht="14.25" customHeight="1">
      <c r="A66" s="18">
        <v>42735</v>
      </c>
      <c r="B66" s="22">
        <v>2.5001469038524702</v>
      </c>
      <c r="C66" s="246">
        <v>1.36388410127086</v>
      </c>
      <c r="D66" s="3">
        <v>1.1000000000000001</v>
      </c>
      <c r="E66" s="237">
        <v>13.151949161815899</v>
      </c>
      <c r="F66" s="238">
        <v>-0.678939983785672</v>
      </c>
      <c r="G66" s="246">
        <v>1.36388410127086</v>
      </c>
      <c r="H66" s="237">
        <v>13.151949161815899</v>
      </c>
      <c r="I66" s="238">
        <v>-0.678939983785672</v>
      </c>
      <c r="J66" s="246">
        <v>1.36388410127086</v>
      </c>
      <c r="K66" s="237">
        <v>13.151949161815899</v>
      </c>
      <c r="L66" s="238">
        <v>-0.678939983785672</v>
      </c>
      <c r="M66" s="20">
        <f t="shared" si="0"/>
        <v>13.830889145601571</v>
      </c>
      <c r="X66" s="18">
        <v>42735</v>
      </c>
      <c r="Y66" s="246">
        <v>1.36388410127086</v>
      </c>
      <c r="Z66" s="3"/>
      <c r="AA66" s="3"/>
      <c r="AB66" s="3"/>
      <c r="AC66" s="3"/>
      <c r="AD66" s="3"/>
      <c r="AE66" s="3"/>
      <c r="AF66" s="3"/>
      <c r="AG66" s="3"/>
      <c r="AH66" s="3"/>
      <c r="AI66" s="3"/>
      <c r="AJ66" s="3"/>
    </row>
    <row r="67" spans="1:36" ht="14.25" customHeight="1">
      <c r="A67" s="18">
        <v>42825</v>
      </c>
      <c r="B67" s="22">
        <v>1.0444109768122301</v>
      </c>
      <c r="C67" s="246">
        <v>2.9885375043806</v>
      </c>
      <c r="D67" s="3">
        <v>1.7</v>
      </c>
      <c r="E67" s="237">
        <v>12.4084741485858</v>
      </c>
      <c r="F67" s="238">
        <v>-1.1869515852733701</v>
      </c>
      <c r="G67" s="246">
        <v>2.9885375043806</v>
      </c>
      <c r="H67" s="237">
        <v>12.4084741485858</v>
      </c>
      <c r="I67" s="238">
        <v>-1.1869515852733701</v>
      </c>
      <c r="J67" s="246">
        <v>2.9885375043806</v>
      </c>
      <c r="K67" s="237">
        <v>12.4084741485858</v>
      </c>
      <c r="L67" s="238">
        <v>-1.1869515852733701</v>
      </c>
      <c r="M67" s="20">
        <f t="shared" si="0"/>
        <v>13.59542573385917</v>
      </c>
      <c r="X67" s="18">
        <v>42825</v>
      </c>
      <c r="Y67" s="246">
        <v>2.9885375043806</v>
      </c>
      <c r="Z67" s="3"/>
      <c r="AA67" s="3"/>
      <c r="AB67" s="3"/>
      <c r="AC67" s="3"/>
      <c r="AD67" s="3"/>
      <c r="AE67" s="3"/>
      <c r="AF67" s="3"/>
      <c r="AG67" s="3"/>
      <c r="AH67" s="3"/>
      <c r="AI67" s="3"/>
      <c r="AJ67" s="3"/>
    </row>
    <row r="68" spans="1:36" ht="14.25" customHeight="1">
      <c r="A68" s="18">
        <v>42916</v>
      </c>
      <c r="B68" s="22">
        <v>-1.40163803035865</v>
      </c>
      <c r="C68" s="246">
        <v>0.84940888390549996</v>
      </c>
      <c r="D68" s="3">
        <v>1.5</v>
      </c>
      <c r="E68" s="237">
        <v>11.541942416095299</v>
      </c>
      <c r="F68" s="238">
        <v>-1.81538062083096</v>
      </c>
      <c r="G68" s="246">
        <v>0.84940888390549996</v>
      </c>
      <c r="H68" s="237">
        <v>11.541942416095299</v>
      </c>
      <c r="I68" s="238">
        <v>-1.81538062083096</v>
      </c>
      <c r="J68" s="246">
        <v>0.84940888390549996</v>
      </c>
      <c r="K68" s="237">
        <v>11.541942416095299</v>
      </c>
      <c r="L68" s="238">
        <v>-1.81538062083096</v>
      </c>
      <c r="M68" s="20">
        <f t="shared" si="0"/>
        <v>13.357323036926259</v>
      </c>
      <c r="X68" s="18">
        <v>42916</v>
      </c>
      <c r="Y68" s="246">
        <v>0.84940888390549996</v>
      </c>
      <c r="Z68" s="3"/>
      <c r="AA68" s="3"/>
      <c r="AB68" s="3"/>
      <c r="AC68" s="3"/>
      <c r="AD68" s="3"/>
      <c r="AE68" s="3"/>
      <c r="AF68" s="3"/>
      <c r="AG68" s="3"/>
      <c r="AH68" s="3"/>
      <c r="AI68" s="3"/>
      <c r="AJ68" s="3"/>
    </row>
    <row r="69" spans="1:36" ht="14.25" customHeight="1">
      <c r="A69" s="18">
        <v>43008</v>
      </c>
      <c r="B69" s="22">
        <v>3.6107077752988799</v>
      </c>
      <c r="C69" s="246">
        <v>0.71898778532986096</v>
      </c>
      <c r="D69" s="3">
        <v>1.8</v>
      </c>
      <c r="E69" s="237">
        <v>11.108354660609599</v>
      </c>
      <c r="F69" s="238">
        <v>-2.0091566401390701</v>
      </c>
      <c r="G69" s="246">
        <v>0.71898778532986096</v>
      </c>
      <c r="H69" s="237">
        <v>11.108354660609599</v>
      </c>
      <c r="I69" s="238">
        <v>-2.0091566401390701</v>
      </c>
      <c r="J69" s="246">
        <v>0.71898778532986096</v>
      </c>
      <c r="K69" s="237">
        <v>11.108354660609599</v>
      </c>
      <c r="L69" s="238">
        <v>-2.0091566401390701</v>
      </c>
      <c r="M69" s="20">
        <f t="shared" si="0"/>
        <v>13.117511300748669</v>
      </c>
      <c r="P69" s="249" t="s">
        <v>977</v>
      </c>
      <c r="Q69" s="105" t="s">
        <v>189</v>
      </c>
      <c r="R69" s="105" t="s">
        <v>190</v>
      </c>
      <c r="S69" s="105" t="s">
        <v>191</v>
      </c>
      <c r="T69" s="105" t="s">
        <v>192</v>
      </c>
      <c r="U69" s="105"/>
      <c r="X69" s="18">
        <v>43008</v>
      </c>
      <c r="Y69" s="246">
        <v>0.71898778532986096</v>
      </c>
      <c r="Z69" s="3"/>
      <c r="AA69" s="3"/>
      <c r="AB69" s="3"/>
      <c r="AC69" s="3"/>
      <c r="AD69" s="3"/>
      <c r="AE69" s="3"/>
      <c r="AF69" s="3"/>
      <c r="AG69" s="3"/>
      <c r="AH69" s="3"/>
      <c r="AI69" s="3"/>
      <c r="AJ69" s="3"/>
    </row>
    <row r="70" spans="1:36" ht="14.25" customHeight="1">
      <c r="A70" s="18">
        <v>43100</v>
      </c>
      <c r="B70" s="22">
        <v>1.5169826155234001</v>
      </c>
      <c r="C70" s="246">
        <v>0.90134997433945996</v>
      </c>
      <c r="D70" s="3">
        <v>1.6</v>
      </c>
      <c r="E70" s="237">
        <v>10.334122696964799</v>
      </c>
      <c r="F70" s="238">
        <v>-2.5427254590823201</v>
      </c>
      <c r="G70" s="246">
        <v>0.90134997433945996</v>
      </c>
      <c r="H70" s="237">
        <v>10.334122696964799</v>
      </c>
      <c r="I70" s="238">
        <v>-2.5427254590823201</v>
      </c>
      <c r="J70" s="246">
        <v>0.90134997433945996</v>
      </c>
      <c r="K70" s="237">
        <v>10.334122696964799</v>
      </c>
      <c r="L70" s="238">
        <v>-2.5427254590823201</v>
      </c>
      <c r="M70" s="20">
        <f t="shared" si="0"/>
        <v>12.876848156047119</v>
      </c>
      <c r="P70" s="105" t="s">
        <v>193</v>
      </c>
      <c r="Q70" s="250">
        <v>-0.50431000000000004</v>
      </c>
      <c r="R70" s="250">
        <v>0.46621000000000001</v>
      </c>
      <c r="S70" s="250">
        <v>-1.0820000000000001</v>
      </c>
      <c r="T70" s="250">
        <v>0.28289999999999998</v>
      </c>
      <c r="U70" s="250"/>
      <c r="X70" s="18">
        <v>43100</v>
      </c>
      <c r="Y70" s="246">
        <v>0.90134997433945996</v>
      </c>
      <c r="Z70" s="3"/>
      <c r="AA70" s="3"/>
      <c r="AB70" s="3"/>
      <c r="AC70" s="3"/>
      <c r="AD70" s="3"/>
      <c r="AE70" s="3"/>
      <c r="AF70" s="3"/>
      <c r="AG70" s="3"/>
      <c r="AH70" s="3"/>
      <c r="AI70" s="3"/>
      <c r="AJ70" s="3"/>
    </row>
    <row r="71" spans="1:36" ht="14.25" customHeight="1">
      <c r="A71" s="18">
        <v>43190</v>
      </c>
      <c r="B71" s="22">
        <v>0.46406132260827798</v>
      </c>
      <c r="C71" s="246">
        <v>0.26755077746316602</v>
      </c>
      <c r="D71" s="3">
        <v>1.6</v>
      </c>
      <c r="E71" s="237">
        <v>9.7159960626203006</v>
      </c>
      <c r="F71" s="238">
        <v>-2.9201148046569498</v>
      </c>
      <c r="G71" s="246">
        <v>0.26755077746316602</v>
      </c>
      <c r="H71" s="237">
        <v>9.7159960626203006</v>
      </c>
      <c r="I71" s="238">
        <v>-2.9201148046569498</v>
      </c>
      <c r="J71" s="246">
        <v>0.26755077746316602</v>
      </c>
      <c r="K71" s="237">
        <v>9.7159960626203006</v>
      </c>
      <c r="L71" s="238">
        <v>-2.9201148046569498</v>
      </c>
      <c r="M71" s="20">
        <f t="shared" si="0"/>
        <v>12.63611086727725</v>
      </c>
      <c r="P71" s="105" t="s">
        <v>866</v>
      </c>
      <c r="Q71" s="250">
        <v>-0.20086000000000001</v>
      </c>
      <c r="R71" s="250">
        <v>9.1389999999999999E-2</v>
      </c>
      <c r="S71" s="250">
        <v>-2.198</v>
      </c>
      <c r="T71" s="250">
        <v>3.1099999999999999E-2</v>
      </c>
      <c r="U71" s="250" t="s">
        <v>963</v>
      </c>
      <c r="X71" s="18">
        <v>43190</v>
      </c>
      <c r="Y71" s="246">
        <v>0.26755077746316602</v>
      </c>
      <c r="Z71" s="3"/>
      <c r="AA71" s="3"/>
      <c r="AB71" s="3"/>
      <c r="AC71" s="3"/>
      <c r="AD71" s="3"/>
      <c r="AE71" s="3"/>
      <c r="AF71" s="3"/>
      <c r="AG71" s="3"/>
      <c r="AH71" s="3"/>
      <c r="AI71" s="3"/>
      <c r="AJ71" s="3"/>
    </row>
    <row r="72" spans="1:36" ht="14.25" customHeight="1">
      <c r="A72" s="18">
        <v>43281</v>
      </c>
      <c r="B72" s="22">
        <v>4.1093662330433904</v>
      </c>
      <c r="C72" s="246">
        <v>0.88188245839924095</v>
      </c>
      <c r="D72" s="3">
        <v>2.1</v>
      </c>
      <c r="E72" s="237">
        <v>9.5374292924991302</v>
      </c>
      <c r="F72" s="238">
        <v>-2.8585456973767598</v>
      </c>
      <c r="G72" s="246">
        <v>0.88188245839924095</v>
      </c>
      <c r="H72" s="237">
        <v>9.5374292924991302</v>
      </c>
      <c r="I72" s="238">
        <v>-2.8585456973767598</v>
      </c>
      <c r="J72" s="246">
        <v>0.88188245839924095</v>
      </c>
      <c r="K72" s="237">
        <v>9.5374292924991302</v>
      </c>
      <c r="L72" s="238">
        <v>-2.8585456973767598</v>
      </c>
      <c r="M72" s="20">
        <f t="shared" si="0"/>
        <v>12.39597498987589</v>
      </c>
      <c r="P72" s="105" t="s">
        <v>912</v>
      </c>
      <c r="Q72" s="250">
        <v>1.13002</v>
      </c>
      <c r="R72" s="250">
        <v>0.23069999999999999</v>
      </c>
      <c r="S72" s="250">
        <v>4.8979999999999997</v>
      </c>
      <c r="T72" s="250">
        <v>5.5300000000000004E-6</v>
      </c>
      <c r="U72" s="250" t="s">
        <v>194</v>
      </c>
      <c r="X72" s="18">
        <v>43281</v>
      </c>
      <c r="Y72" s="246">
        <v>0.88188245839924095</v>
      </c>
      <c r="Z72" s="3"/>
      <c r="AA72" s="3"/>
      <c r="AB72" s="3"/>
      <c r="AC72" s="3"/>
      <c r="AD72" s="3"/>
      <c r="AE72" s="3"/>
      <c r="AF72" s="3"/>
      <c r="AG72" s="3"/>
      <c r="AH72" s="3"/>
      <c r="AI72" s="3"/>
      <c r="AJ72" s="3"/>
    </row>
    <row r="73" spans="1:36" ht="14.25" customHeight="1">
      <c r="A73" s="18">
        <v>43373</v>
      </c>
      <c r="B73" s="22">
        <v>-0.42452313097974798</v>
      </c>
      <c r="C73" s="246">
        <v>-0.51321883556228998</v>
      </c>
      <c r="D73" s="3">
        <v>2.2000000000000002</v>
      </c>
      <c r="E73" s="237">
        <v>8.7417673722633804</v>
      </c>
      <c r="F73" s="238">
        <v>-3.4152319024244702</v>
      </c>
      <c r="G73" s="246">
        <v>-0.51321883556228998</v>
      </c>
      <c r="H73" s="237">
        <v>8.7417673722633804</v>
      </c>
      <c r="I73" s="238">
        <v>-3.4152319024244702</v>
      </c>
      <c r="J73" s="246">
        <v>-0.51321883556228998</v>
      </c>
      <c r="K73" s="237">
        <v>8.7417673722633804</v>
      </c>
      <c r="L73" s="238">
        <v>-3.4152319024244702</v>
      </c>
      <c r="M73" s="20">
        <f t="shared" si="0"/>
        <v>12.15699927468785</v>
      </c>
      <c r="X73" s="18">
        <v>43373</v>
      </c>
      <c r="Y73" s="246">
        <v>-0.51321883556228998</v>
      </c>
      <c r="Z73" s="3"/>
      <c r="AA73" s="3"/>
      <c r="AB73" s="3"/>
      <c r="AC73" s="3"/>
      <c r="AD73" s="3"/>
      <c r="AE73" s="3"/>
      <c r="AF73" s="3"/>
      <c r="AG73" s="3"/>
      <c r="AH73" s="3"/>
      <c r="AI73" s="3"/>
      <c r="AJ73" s="3"/>
    </row>
    <row r="74" spans="1:36" ht="14.25" customHeight="1">
      <c r="A74" s="18">
        <v>43465</v>
      </c>
      <c r="B74" s="22">
        <v>-0.61306219592577305</v>
      </c>
      <c r="C74" s="246">
        <v>3.2047321618851301</v>
      </c>
      <c r="D74" s="3">
        <v>1.6</v>
      </c>
      <c r="E74" s="237">
        <v>8.1229574976223802</v>
      </c>
      <c r="F74" s="238">
        <v>-3.7966706331076701</v>
      </c>
      <c r="G74" s="246">
        <v>3.2047321618851301</v>
      </c>
      <c r="H74" s="237">
        <v>8.1229574976223802</v>
      </c>
      <c r="I74" s="238">
        <v>-3.7966706331076701</v>
      </c>
      <c r="J74" s="246">
        <v>3.2047321618851301</v>
      </c>
      <c r="K74" s="237">
        <v>8.1229574976223802</v>
      </c>
      <c r="L74" s="238">
        <v>-3.7966706331076701</v>
      </c>
      <c r="M74" s="20">
        <f t="shared" si="0"/>
        <v>11.91962813073005</v>
      </c>
      <c r="X74" s="18">
        <v>43465</v>
      </c>
      <c r="Y74" s="246">
        <v>3.2047321618851301</v>
      </c>
      <c r="Z74" s="3"/>
      <c r="AA74" s="3"/>
      <c r="AB74" s="3"/>
      <c r="AC74" s="3"/>
      <c r="AD74" s="3"/>
      <c r="AE74" s="3"/>
      <c r="AF74" s="3"/>
      <c r="AG74" s="3"/>
      <c r="AH74" s="3"/>
      <c r="AI74" s="3"/>
      <c r="AJ74" s="3"/>
    </row>
    <row r="75" spans="1:36" ht="14.25" customHeight="1">
      <c r="A75" s="18">
        <v>43555</v>
      </c>
      <c r="B75" s="22">
        <v>1.0601410960800099</v>
      </c>
      <c r="C75" s="246">
        <v>-8.4936328903939505E-3</v>
      </c>
      <c r="D75" s="3">
        <v>1.6</v>
      </c>
      <c r="E75" s="237">
        <v>7.8784356463696303</v>
      </c>
      <c r="F75" s="238">
        <v>-3.8057337113737102</v>
      </c>
      <c r="G75" s="246">
        <v>-8.4936328903939505E-3</v>
      </c>
      <c r="H75" s="237">
        <v>7.8784356463696303</v>
      </c>
      <c r="I75" s="238">
        <v>-3.8057337113737102</v>
      </c>
      <c r="J75" s="246">
        <v>-8.4936328903939505E-3</v>
      </c>
      <c r="K75" s="237">
        <v>7.8784356463696303</v>
      </c>
      <c r="L75" s="238">
        <v>-3.8057337113737102</v>
      </c>
      <c r="M75" s="20">
        <f t="shared" si="0"/>
        <v>11.68416935774334</v>
      </c>
      <c r="P75" s="249" t="s">
        <v>275</v>
      </c>
      <c r="Q75" s="105" t="s">
        <v>189</v>
      </c>
      <c r="R75" s="105" t="s">
        <v>190</v>
      </c>
      <c r="S75" s="105" t="s">
        <v>191</v>
      </c>
      <c r="T75" s="105" t="s">
        <v>192</v>
      </c>
      <c r="U75" s="105"/>
      <c r="X75" s="18">
        <v>43555</v>
      </c>
      <c r="Y75" s="246">
        <v>-8.4936328903939505E-3</v>
      </c>
      <c r="Z75" s="3"/>
      <c r="AA75" s="3"/>
      <c r="AB75" s="3"/>
      <c r="AC75" s="3"/>
      <c r="AD75" s="3"/>
      <c r="AE75" s="3"/>
      <c r="AF75" s="3"/>
      <c r="AG75" s="3"/>
      <c r="AH75" s="3"/>
      <c r="AI75" s="3"/>
      <c r="AJ75" s="3"/>
    </row>
    <row r="76" spans="1:36" ht="14.25" customHeight="1">
      <c r="A76" s="18">
        <v>43646</v>
      </c>
      <c r="B76" s="22">
        <v>2.3747421024377799</v>
      </c>
      <c r="C76" s="246">
        <v>1.66580246580772</v>
      </c>
      <c r="D76" s="3">
        <v>1.6</v>
      </c>
      <c r="E76" s="237">
        <v>7.9497838517455701</v>
      </c>
      <c r="F76" s="238">
        <v>-3.50099503689755</v>
      </c>
      <c r="G76" s="246">
        <v>1.66580246580772</v>
      </c>
      <c r="H76" s="237">
        <v>7.9497838517455701</v>
      </c>
      <c r="I76" s="238">
        <v>-3.50099503689755</v>
      </c>
      <c r="J76" s="246">
        <v>1.66580246580772</v>
      </c>
      <c r="K76" s="237">
        <v>7.9497838517455701</v>
      </c>
      <c r="L76" s="238">
        <v>-3.50099503689755</v>
      </c>
      <c r="M76" s="20">
        <f t="shared" si="0"/>
        <v>11.45077888864312</v>
      </c>
      <c r="P76" s="105" t="s">
        <v>193</v>
      </c>
      <c r="Q76" s="250">
        <v>1.8852</v>
      </c>
      <c r="R76" s="250">
        <v>0.31340000000000001</v>
      </c>
      <c r="S76" s="250">
        <v>6.0149999999999997</v>
      </c>
      <c r="T76" s="250">
        <v>6.3100000000000003E-8</v>
      </c>
      <c r="U76" s="250" t="s">
        <v>194</v>
      </c>
      <c r="X76" s="18">
        <v>43646</v>
      </c>
      <c r="Y76" s="246">
        <v>1.66580246580772</v>
      </c>
      <c r="Z76" s="3"/>
      <c r="AA76" s="3"/>
      <c r="AB76" s="3"/>
      <c r="AC76" s="3"/>
      <c r="AD76" s="3"/>
      <c r="AE76" s="3"/>
      <c r="AF76" s="3"/>
      <c r="AG76" s="3"/>
      <c r="AH76" s="3"/>
      <c r="AI76" s="3"/>
      <c r="AJ76" s="3"/>
    </row>
    <row r="77" spans="1:36" ht="14.25" customHeight="1">
      <c r="A77" s="18">
        <v>43738</v>
      </c>
      <c r="B77" s="22">
        <v>0.37197478734016798</v>
      </c>
      <c r="C77" s="246">
        <v>1.8184100968328301</v>
      </c>
      <c r="D77" s="3">
        <v>1.2</v>
      </c>
      <c r="E77" s="237">
        <v>7.6075200729098897</v>
      </c>
      <c r="F77" s="238">
        <v>-3.61194035408657</v>
      </c>
      <c r="G77" s="246">
        <v>1.8184100968328301</v>
      </c>
      <c r="H77" s="237">
        <v>7.6075200729098897</v>
      </c>
      <c r="I77" s="238">
        <v>-3.61194035408657</v>
      </c>
      <c r="J77" s="246">
        <v>1.8184100968328301</v>
      </c>
      <c r="K77" s="237">
        <v>7.6075200729098897</v>
      </c>
      <c r="L77" s="238">
        <v>-3.61194035408657</v>
      </c>
      <c r="M77" s="20">
        <f t="shared" si="0"/>
        <v>11.219460426996459</v>
      </c>
      <c r="P77" s="105" t="s">
        <v>866</v>
      </c>
      <c r="Q77" s="250">
        <v>-0.2772</v>
      </c>
      <c r="R77" s="250">
        <v>0.1328</v>
      </c>
      <c r="S77" s="250">
        <v>-2.0880000000000001</v>
      </c>
      <c r="T77" s="250">
        <v>4.0300000000000002E-2</v>
      </c>
      <c r="U77" s="250" t="s">
        <v>963</v>
      </c>
      <c r="X77" s="18">
        <v>43738</v>
      </c>
      <c r="Y77" s="246">
        <v>1.8184100968328301</v>
      </c>
      <c r="Z77" s="3"/>
      <c r="AA77" s="3"/>
      <c r="AB77" s="3"/>
      <c r="AC77" s="3"/>
      <c r="AD77" s="3"/>
      <c r="AE77" s="3"/>
      <c r="AF77" s="3"/>
      <c r="AG77" s="3"/>
      <c r="AH77" s="3"/>
      <c r="AI77" s="3"/>
      <c r="AJ77" s="3"/>
    </row>
    <row r="78" spans="1:36" ht="14.25" customHeight="1">
      <c r="A78" s="18">
        <v>43830</v>
      </c>
      <c r="B78" s="22">
        <v>1.6734830679519901</v>
      </c>
      <c r="C78" s="246">
        <v>1.14433968952889</v>
      </c>
      <c r="D78" s="3">
        <v>1.6</v>
      </c>
      <c r="E78" s="237">
        <v>7.16684113589156</v>
      </c>
      <c r="F78" s="238">
        <v>-3.8232365006773898</v>
      </c>
      <c r="G78" s="246">
        <v>1.14433968952889</v>
      </c>
      <c r="H78" s="237">
        <v>7.16684113589156</v>
      </c>
      <c r="I78" s="238">
        <v>-3.8232365006773898</v>
      </c>
      <c r="J78" s="246">
        <v>1.14433968952889</v>
      </c>
      <c r="K78" s="237">
        <v>7.16684113589156</v>
      </c>
      <c r="L78" s="238">
        <v>-3.8232365006773898</v>
      </c>
      <c r="M78" s="20">
        <f t="shared" si="0"/>
        <v>10.99007763656895</v>
      </c>
      <c r="X78" s="18">
        <v>43830</v>
      </c>
      <c r="Y78" s="246">
        <v>1.14433968952889</v>
      </c>
      <c r="Z78" s="3"/>
      <c r="AA78" s="3"/>
      <c r="AB78" s="3"/>
      <c r="AC78" s="3"/>
      <c r="AD78" s="3"/>
      <c r="AE78" s="3"/>
      <c r="AF78" s="3"/>
      <c r="AG78" s="3"/>
      <c r="AH78" s="3"/>
      <c r="AI78" s="3"/>
      <c r="AJ78" s="3"/>
    </row>
    <row r="79" spans="1:36" ht="14.25" customHeight="1">
      <c r="A79" s="199">
        <v>43921</v>
      </c>
      <c r="B79" s="248">
        <f t="shared" ref="B79:B82" si="1">$Q$76+$Q$77*F79</f>
        <v>2.5637442030289233</v>
      </c>
      <c r="C79" s="255">
        <f t="shared" ref="C79:C82" si="2">$Q$70+$Q$71*F79+$Q$72*D79</f>
        <v>1.3433892836233385</v>
      </c>
      <c r="D79" s="3">
        <v>1.2</v>
      </c>
      <c r="E79" s="248">
        <f>nezaposlenost!V84</f>
        <v>8.6493411751229132</v>
      </c>
      <c r="F79" s="248">
        <v>-2.4478506602775001</v>
      </c>
      <c r="G79" s="255">
        <f t="shared" ref="G79:G82" si="3">$Q$70+$Q$71*I79+$Q$72*D79</f>
        <v>1.303223085810701</v>
      </c>
      <c r="H79" s="248">
        <f>nezaposlenost!W84</f>
        <v>8.6493411751229132</v>
      </c>
      <c r="I79" s="248">
        <v>-2.2478795470013999</v>
      </c>
      <c r="J79" s="255">
        <f t="shared" ref="J79:J82" si="4">$Q$70+$Q$71*L79+$Q$72*D79</f>
        <v>1.2695557334722571</v>
      </c>
      <c r="K79" s="248">
        <f>nezaposlenost!X84</f>
        <v>8.6493411751229132</v>
      </c>
      <c r="L79" s="248">
        <v>-2.0802635341643798</v>
      </c>
      <c r="M79" s="20">
        <f t="shared" si="0"/>
        <v>11.097191835400412</v>
      </c>
      <c r="P79" s="249" t="s">
        <v>977</v>
      </c>
      <c r="Q79" s="105" t="s">
        <v>189</v>
      </c>
      <c r="R79" s="105" t="s">
        <v>190</v>
      </c>
      <c r="S79" s="105" t="s">
        <v>191</v>
      </c>
      <c r="T79" s="105" t="s">
        <v>192</v>
      </c>
      <c r="U79" s="105"/>
      <c r="Y79" s="18"/>
      <c r="Z79" s="3"/>
      <c r="AA79" s="3"/>
      <c r="AB79" s="3"/>
      <c r="AC79" s="3"/>
      <c r="AD79" s="3"/>
      <c r="AE79" s="3"/>
      <c r="AF79" s="3"/>
      <c r="AG79" s="3"/>
      <c r="AH79" s="3"/>
      <c r="AI79" s="3"/>
      <c r="AJ79" s="3"/>
    </row>
    <row r="80" spans="1:36" ht="14.25" customHeight="1">
      <c r="A80" s="199">
        <v>44012</v>
      </c>
      <c r="B80" s="248">
        <f t="shared" si="1"/>
        <v>1.3091972209742988</v>
      </c>
      <c r="C80" s="255">
        <f t="shared" si="2"/>
        <v>0.3966732244043929</v>
      </c>
      <c r="D80" s="257">
        <f>D79+(D82-D79)/3</f>
        <v>1.1666666666666667</v>
      </c>
      <c r="E80" s="248">
        <f>nezaposlenost!V85</f>
        <v>10.31508493011683</v>
      </c>
      <c r="F80" s="248">
        <v>2.0779321032673201</v>
      </c>
      <c r="G80" s="255">
        <f t="shared" si="3"/>
        <v>0.35390739570933216</v>
      </c>
      <c r="H80" s="248">
        <f>nezaposlenost!W85</f>
        <v>10.635359781804596</v>
      </c>
      <c r="I80" s="248">
        <v>2.2908457181984199</v>
      </c>
      <c r="J80" s="255">
        <f t="shared" si="4"/>
        <v>0.31806044410314804</v>
      </c>
      <c r="K80" s="248">
        <f>nezaposlenost!X85</f>
        <v>11.159580470380604</v>
      </c>
      <c r="L80" s="248">
        <v>2.4693130666310799</v>
      </c>
      <c r="M80" s="20">
        <f t="shared" si="0"/>
        <v>8.2371528268495098</v>
      </c>
      <c r="P80" s="105" t="s">
        <v>193</v>
      </c>
      <c r="Q80" s="250">
        <v>1.5417000000000001</v>
      </c>
      <c r="R80" s="250">
        <v>0.23960000000000001</v>
      </c>
      <c r="S80" s="250">
        <v>6.4329999999999998</v>
      </c>
      <c r="T80" s="250">
        <v>1.0999999999999999E-8</v>
      </c>
      <c r="U80" s="250" t="s">
        <v>194</v>
      </c>
      <c r="X80" s="301" t="s">
        <v>9</v>
      </c>
      <c r="Y80" s="301" t="s">
        <v>1162</v>
      </c>
      <c r="Z80" s="301" t="s">
        <v>1164</v>
      </c>
      <c r="AA80" s="301" t="s">
        <v>1163</v>
      </c>
      <c r="AB80" s="3"/>
      <c r="AC80" s="3"/>
      <c r="AD80" s="3"/>
      <c r="AE80" s="3"/>
      <c r="AF80" s="3"/>
      <c r="AG80" s="3"/>
      <c r="AH80" s="3"/>
      <c r="AI80" s="3"/>
      <c r="AJ80" s="3"/>
    </row>
    <row r="81" spans="1:163" ht="14.25" customHeight="1">
      <c r="A81" s="199">
        <v>44104</v>
      </c>
      <c r="B81" s="248">
        <f t="shared" si="1"/>
        <v>0.4463700108791091</v>
      </c>
      <c r="C81" s="255">
        <f t="shared" si="2"/>
        <v>-0.26620144449791527</v>
      </c>
      <c r="D81" s="257">
        <f>D80+(D82-D79)/3</f>
        <v>1.1333333333333335</v>
      </c>
      <c r="E81" s="248">
        <f>nezaposlenost!V86</f>
        <v>14.089210063870754</v>
      </c>
      <c r="F81" s="248">
        <v>5.1905843763379904</v>
      </c>
      <c r="G81" s="255">
        <f t="shared" si="3"/>
        <v>-0.10988959199354609</v>
      </c>
      <c r="H81" s="248">
        <f>nezaposlenost!W86</f>
        <v>13.332827763202879</v>
      </c>
      <c r="I81" s="248">
        <v>4.4123714294876004</v>
      </c>
      <c r="J81" s="255">
        <f t="shared" si="4"/>
        <v>1.9312823654155764E-2</v>
      </c>
      <c r="K81" s="248">
        <f>nezaposlenost!X86</f>
        <v>12.559413315431998</v>
      </c>
      <c r="L81" s="248">
        <v>3.7691253095647599</v>
      </c>
      <c r="M81" s="20">
        <f t="shared" si="0"/>
        <v>8.8986256875327641</v>
      </c>
      <c r="P81" s="105" t="s">
        <v>866</v>
      </c>
      <c r="Q81" s="250">
        <v>-0.32700000000000001</v>
      </c>
      <c r="R81" s="250">
        <v>0.10150000000000001</v>
      </c>
      <c r="S81" s="250">
        <v>-3.22</v>
      </c>
      <c r="T81" s="250">
        <v>1.9E-3</v>
      </c>
      <c r="U81" s="250" t="s">
        <v>993</v>
      </c>
      <c r="X81" s="305">
        <v>43830</v>
      </c>
      <c r="Y81" s="486">
        <f>$Y$78</f>
        <v>1.14433968952889</v>
      </c>
      <c r="Z81" s="486">
        <f t="shared" ref="Z81:AA81" si="5">$Y$78</f>
        <v>1.14433968952889</v>
      </c>
      <c r="AA81" s="486">
        <f t="shared" si="5"/>
        <v>1.14433968952889</v>
      </c>
      <c r="AB81" s="3"/>
      <c r="AC81" s="3"/>
      <c r="AD81" s="3"/>
      <c r="AE81" s="3"/>
      <c r="AF81" s="3"/>
      <c r="AG81" s="3"/>
      <c r="AH81" s="3"/>
      <c r="AI81" s="3"/>
      <c r="AJ81" s="3"/>
    </row>
    <row r="82" spans="1:163" ht="14.25" customHeight="1">
      <c r="A82" s="199">
        <v>44196</v>
      </c>
      <c r="B82" s="248">
        <f t="shared" si="1"/>
        <v>0.2156474362292935</v>
      </c>
      <c r="C82" s="255">
        <f t="shared" si="2"/>
        <v>-0.47105108787512306</v>
      </c>
      <c r="D82" s="257">
        <v>1.1000000000000001</v>
      </c>
      <c r="E82" s="248">
        <f>nezaposlenost!V87</f>
        <v>14.614332901839912</v>
      </c>
      <c r="F82" s="248">
        <v>6.0229168967197202</v>
      </c>
      <c r="G82" s="255">
        <f t="shared" si="3"/>
        <v>-0.25839019616758008</v>
      </c>
      <c r="H82" s="248">
        <f>nezaposlenost!W87</f>
        <v>13.560746147702542</v>
      </c>
      <c r="I82" s="248">
        <v>4.9641650710324603</v>
      </c>
      <c r="J82" s="255">
        <f t="shared" si="4"/>
        <v>-7.8406184763628373E-2</v>
      </c>
      <c r="K82" s="248">
        <f>nezaposlenost!X87</f>
        <v>12.593221241003588</v>
      </c>
      <c r="L82" s="248">
        <v>4.0680981019796301</v>
      </c>
      <c r="M82" s="20">
        <f t="shared" si="0"/>
        <v>8.5914160051201911</v>
      </c>
      <c r="X82" s="314">
        <v>43921</v>
      </c>
      <c r="Y82" s="487">
        <f>C79</f>
        <v>1.3433892836233385</v>
      </c>
      <c r="Z82" s="345">
        <f>G79</f>
        <v>1.303223085810701</v>
      </c>
      <c r="AA82" s="345">
        <f>J79</f>
        <v>1.2695557334722571</v>
      </c>
      <c r="AB82" s="3"/>
      <c r="AC82" s="3"/>
      <c r="AD82" s="3"/>
      <c r="AE82" s="3"/>
      <c r="AF82" s="3"/>
      <c r="AG82" s="3"/>
      <c r="AH82" s="3"/>
      <c r="AI82" s="3"/>
      <c r="AJ82" s="3"/>
    </row>
    <row r="83" spans="1:163" ht="14.25" customHeight="1">
      <c r="A83" s="527"/>
      <c r="B83" s="515"/>
      <c r="C83" s="515"/>
      <c r="D83" s="515"/>
      <c r="E83" s="515"/>
      <c r="F83" s="515"/>
      <c r="G83" s="515"/>
      <c r="H83" s="515"/>
      <c r="I83" s="515"/>
      <c r="J83" s="515"/>
      <c r="X83" s="314">
        <v>44012</v>
      </c>
      <c r="Y83" s="487">
        <f t="shared" ref="Y83:Y85" si="6">C80</f>
        <v>0.3966732244043929</v>
      </c>
      <c r="Z83" s="345">
        <f t="shared" ref="Z83:Z85" si="7">G80</f>
        <v>0.35390739570933216</v>
      </c>
      <c r="AA83" s="345">
        <f t="shared" ref="AA83:AA85" si="8">J80</f>
        <v>0.31806044410314804</v>
      </c>
    </row>
    <row r="84" spans="1:163" ht="14.25" customHeight="1">
      <c r="A84" s="199"/>
      <c r="B84" s="247"/>
      <c r="C84" s="248"/>
      <c r="D84" s="248"/>
      <c r="E84" s="248"/>
      <c r="F84" s="248"/>
      <c r="G84" s="248"/>
      <c r="H84" s="3"/>
      <c r="I84" s="248"/>
      <c r="J84" s="247"/>
      <c r="X84" s="314">
        <v>44104</v>
      </c>
      <c r="Y84" s="487">
        <f t="shared" si="6"/>
        <v>-0.26620144449791527</v>
      </c>
      <c r="Z84" s="345">
        <f t="shared" si="7"/>
        <v>-0.10988959199354609</v>
      </c>
      <c r="AA84" s="345">
        <f t="shared" si="8"/>
        <v>1.9312823654155764E-2</v>
      </c>
    </row>
    <row r="85" spans="1:163" ht="14.25" customHeight="1">
      <c r="A85" s="199"/>
      <c r="B85" s="247"/>
      <c r="C85" s="248"/>
      <c r="D85" s="248"/>
      <c r="E85" s="248"/>
      <c r="F85" s="248"/>
      <c r="G85" s="248"/>
      <c r="H85" s="257"/>
      <c r="I85" s="248"/>
      <c r="J85" s="247"/>
      <c r="X85" s="314">
        <v>44196</v>
      </c>
      <c r="Y85" s="487">
        <f t="shared" si="6"/>
        <v>-0.47105108787512306</v>
      </c>
      <c r="Z85" s="345">
        <f t="shared" si="7"/>
        <v>-0.25839019616758008</v>
      </c>
      <c r="AA85" s="345">
        <f t="shared" si="8"/>
        <v>-7.8406184763628373E-2</v>
      </c>
    </row>
    <row r="86" spans="1:163" ht="14.25" customHeight="1">
      <c r="A86" s="199"/>
      <c r="B86" s="247"/>
      <c r="C86" s="248"/>
      <c r="D86" s="248"/>
      <c r="E86" s="248"/>
      <c r="F86" s="248"/>
      <c r="G86" s="248"/>
      <c r="H86" s="257"/>
      <c r="I86" s="248"/>
      <c r="J86" s="247"/>
    </row>
    <row r="87" spans="1:163" ht="14.25" customHeight="1">
      <c r="A87" s="199"/>
      <c r="B87" s="247"/>
      <c r="C87" s="248"/>
      <c r="D87" s="248"/>
      <c r="E87" s="248"/>
      <c r="H87" s="248"/>
      <c r="I87" s="248"/>
      <c r="J87" s="247"/>
    </row>
    <row r="88" spans="1:163" ht="14.25" customHeight="1">
      <c r="A88" s="527"/>
      <c r="B88" s="515"/>
      <c r="C88" s="515"/>
      <c r="D88" s="515"/>
      <c r="E88" s="515"/>
      <c r="F88" s="515"/>
      <c r="G88" s="515"/>
      <c r="H88" s="515"/>
      <c r="I88" s="515"/>
      <c r="J88" s="515"/>
    </row>
    <row r="89" spans="1:163" ht="14.25" customHeight="1">
      <c r="A89" s="199"/>
      <c r="B89" s="247"/>
      <c r="C89" s="248"/>
      <c r="D89" s="248"/>
      <c r="E89" s="248"/>
      <c r="F89" s="248"/>
      <c r="G89" s="248"/>
      <c r="H89" s="3"/>
      <c r="I89" s="248"/>
      <c r="J89" s="247"/>
    </row>
    <row r="90" spans="1:163" ht="14.25" customHeight="1">
      <c r="A90" s="199"/>
      <c r="B90" s="247"/>
      <c r="C90" s="248"/>
      <c r="D90" s="248"/>
      <c r="E90" s="248"/>
      <c r="F90" s="248"/>
      <c r="G90" s="248"/>
      <c r="H90" s="257"/>
      <c r="I90" s="248"/>
      <c r="J90" s="247"/>
    </row>
    <row r="91" spans="1:163" ht="14.25" customHeight="1">
      <c r="A91" s="199"/>
      <c r="B91" s="247"/>
      <c r="C91" s="248"/>
      <c r="D91" s="248"/>
      <c r="E91" s="248"/>
      <c r="F91" s="248"/>
      <c r="G91" s="248"/>
      <c r="H91" s="257"/>
      <c r="I91" s="248"/>
      <c r="J91" s="247"/>
    </row>
    <row r="92" spans="1:163" ht="14.25" customHeight="1">
      <c r="A92" s="199"/>
      <c r="B92" s="247"/>
      <c r="C92" s="248"/>
      <c r="D92" s="248"/>
      <c r="E92" s="248"/>
      <c r="H92" s="248"/>
      <c r="I92" s="248"/>
      <c r="J92" s="247"/>
    </row>
    <row r="93" spans="1:163" ht="14.25" customHeight="1"/>
    <row r="94" spans="1:163" ht="14.25" customHeight="1"/>
    <row r="95" spans="1:163" ht="14.25" customHeight="1"/>
    <row r="96" spans="1:163" ht="14.25" customHeight="1">
      <c r="A96" s="259"/>
      <c r="B96" s="259"/>
      <c r="C96" s="259"/>
      <c r="D96" s="259"/>
      <c r="E96" s="259"/>
      <c r="F96" s="259"/>
      <c r="G96" s="259"/>
      <c r="H96" s="259"/>
      <c r="I96" s="259"/>
      <c r="J96" s="259"/>
      <c r="K96" s="259"/>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c r="AS96" s="259"/>
      <c r="AT96" s="259"/>
      <c r="AU96" s="259"/>
      <c r="AV96" s="259"/>
      <c r="AW96" s="259"/>
      <c r="AX96" s="259"/>
      <c r="AY96" s="259"/>
      <c r="AZ96" s="259"/>
      <c r="BA96" s="259"/>
      <c r="BB96" s="259"/>
      <c r="BC96" s="259"/>
      <c r="BD96" s="259"/>
      <c r="BE96" s="259"/>
      <c r="BF96" s="259"/>
      <c r="BG96" s="259"/>
      <c r="BH96" s="259"/>
      <c r="BI96" s="259"/>
      <c r="BJ96" s="259"/>
      <c r="BK96" s="259"/>
      <c r="BL96" s="259"/>
      <c r="BM96" s="259"/>
      <c r="BN96" s="259"/>
      <c r="BO96" s="259"/>
      <c r="BP96" s="259"/>
      <c r="BQ96" s="259"/>
      <c r="BR96" s="259"/>
      <c r="BS96" s="259"/>
      <c r="BT96" s="259"/>
      <c r="BU96" s="259"/>
      <c r="BV96" s="259"/>
      <c r="BW96" s="259"/>
      <c r="BX96" s="259"/>
      <c r="BY96" s="259"/>
      <c r="BZ96" s="259"/>
      <c r="CA96" s="259"/>
      <c r="CB96" s="259"/>
      <c r="CC96" s="259"/>
      <c r="CD96" s="259"/>
      <c r="CE96" s="259"/>
      <c r="CF96" s="259"/>
      <c r="CG96" s="259"/>
      <c r="CH96" s="259"/>
      <c r="CI96" s="259"/>
      <c r="CJ96" s="259"/>
      <c r="CK96" s="259"/>
      <c r="CL96" s="259"/>
      <c r="CM96" s="259"/>
      <c r="CN96" s="259"/>
      <c r="CO96" s="259"/>
      <c r="CP96" s="259"/>
      <c r="CQ96" s="259"/>
      <c r="CR96" s="259"/>
      <c r="CS96" s="259"/>
      <c r="CT96" s="259"/>
      <c r="CU96" s="259"/>
      <c r="CV96" s="259"/>
      <c r="CW96" s="259"/>
      <c r="CX96" s="259"/>
      <c r="CY96" s="259"/>
      <c r="CZ96" s="259"/>
      <c r="DA96" s="259"/>
      <c r="DB96" s="259"/>
      <c r="DC96" s="259"/>
      <c r="DD96" s="259"/>
      <c r="DE96" s="259"/>
      <c r="DF96" s="259"/>
      <c r="DG96" s="259"/>
      <c r="DH96" s="259"/>
      <c r="DI96" s="259"/>
      <c r="DJ96" s="259"/>
      <c r="DK96" s="259"/>
      <c r="DL96" s="259"/>
      <c r="DM96" s="259"/>
      <c r="DN96" s="259"/>
      <c r="DO96" s="259"/>
      <c r="DP96" s="259"/>
      <c r="DQ96" s="259"/>
      <c r="DR96" s="259"/>
      <c r="DS96" s="259"/>
      <c r="DT96" s="259"/>
      <c r="DU96" s="259"/>
      <c r="DV96" s="259"/>
      <c r="DW96" s="259"/>
      <c r="DX96" s="259"/>
      <c r="DY96" s="259"/>
      <c r="DZ96" s="259"/>
      <c r="EA96" s="259"/>
      <c r="EB96" s="259"/>
      <c r="EC96" s="259"/>
      <c r="ED96" s="259"/>
      <c r="EE96" s="259"/>
      <c r="EF96" s="259"/>
      <c r="EG96" s="259"/>
      <c r="EH96" s="259"/>
      <c r="EI96" s="259"/>
      <c r="EJ96" s="259"/>
      <c r="EK96" s="259"/>
      <c r="EL96" s="259"/>
      <c r="EM96" s="259"/>
      <c r="EN96" s="259"/>
      <c r="EO96" s="259"/>
      <c r="EP96" s="259"/>
      <c r="EQ96" s="259"/>
      <c r="ER96" s="259"/>
      <c r="ES96" s="259"/>
      <c r="ET96" s="259"/>
      <c r="EU96" s="259"/>
      <c r="EV96" s="259"/>
      <c r="EW96" s="259"/>
      <c r="EX96" s="259"/>
      <c r="EY96" s="259"/>
      <c r="EZ96" s="259"/>
      <c r="FA96" s="259"/>
      <c r="FB96" s="259"/>
      <c r="FC96" s="259"/>
      <c r="FD96" s="259"/>
      <c r="FE96" s="259"/>
      <c r="FF96" s="259"/>
      <c r="FG96" s="259"/>
    </row>
    <row r="97" spans="1:163" ht="14.25" customHeight="1">
      <c r="A97" s="259" t="s">
        <v>994</v>
      </c>
      <c r="B97" s="259" t="s">
        <v>995</v>
      </c>
      <c r="C97" s="259" t="s">
        <v>996</v>
      </c>
      <c r="D97" s="187" t="s">
        <v>997</v>
      </c>
      <c r="E97" s="194">
        <v>39113</v>
      </c>
      <c r="F97" s="194">
        <v>39141</v>
      </c>
      <c r="G97" s="194">
        <v>39172</v>
      </c>
      <c r="H97" s="194">
        <v>39202</v>
      </c>
      <c r="I97" s="194">
        <v>39233</v>
      </c>
      <c r="J97" s="194">
        <v>39263</v>
      </c>
      <c r="K97" s="194">
        <v>39294</v>
      </c>
      <c r="L97" s="194">
        <v>39325</v>
      </c>
      <c r="M97" s="194">
        <v>39355</v>
      </c>
      <c r="N97" s="194">
        <v>39386</v>
      </c>
      <c r="O97" s="194">
        <v>39416</v>
      </c>
      <c r="P97" s="194">
        <v>39447</v>
      </c>
      <c r="Q97" s="194">
        <v>39478</v>
      </c>
      <c r="R97" s="194">
        <v>39507</v>
      </c>
      <c r="S97" s="194">
        <v>39538</v>
      </c>
      <c r="T97" s="194">
        <v>39568</v>
      </c>
      <c r="U97" s="194">
        <v>39599</v>
      </c>
      <c r="V97" s="194">
        <v>39629</v>
      </c>
      <c r="W97" s="194">
        <v>39660</v>
      </c>
      <c r="X97" s="194">
        <v>39691</v>
      </c>
      <c r="Y97" s="194">
        <v>39721</v>
      </c>
      <c r="Z97" s="194">
        <v>39752</v>
      </c>
      <c r="AA97" s="194">
        <v>39782</v>
      </c>
      <c r="AB97" s="194">
        <v>39813</v>
      </c>
      <c r="AC97" s="194">
        <v>39844</v>
      </c>
      <c r="AD97" s="194">
        <v>39872</v>
      </c>
      <c r="AE97" s="194">
        <v>39903</v>
      </c>
      <c r="AF97" s="194">
        <v>39933</v>
      </c>
      <c r="AG97" s="194">
        <v>39964</v>
      </c>
      <c r="AH97" s="194">
        <v>39994</v>
      </c>
      <c r="AI97" s="194">
        <v>40025</v>
      </c>
      <c r="AJ97" s="194">
        <v>40056</v>
      </c>
      <c r="AK97" s="194">
        <v>40086</v>
      </c>
      <c r="AL97" s="194">
        <v>40117</v>
      </c>
      <c r="AM97" s="194">
        <v>40147</v>
      </c>
      <c r="AN97" s="194">
        <v>40178</v>
      </c>
      <c r="AO97" s="194">
        <v>40209</v>
      </c>
      <c r="AP97" s="194">
        <v>40237</v>
      </c>
      <c r="AQ97" s="194">
        <v>40268</v>
      </c>
      <c r="AR97" s="194">
        <v>40298</v>
      </c>
      <c r="AS97" s="194">
        <v>40329</v>
      </c>
      <c r="AT97" s="194">
        <v>40359</v>
      </c>
      <c r="AU97" s="194">
        <v>40390</v>
      </c>
      <c r="AV97" s="194">
        <v>40421</v>
      </c>
      <c r="AW97" s="194">
        <v>40451</v>
      </c>
      <c r="AX97" s="194">
        <v>40482</v>
      </c>
      <c r="AY97" s="194">
        <v>40512</v>
      </c>
      <c r="AZ97" s="194">
        <v>40543</v>
      </c>
      <c r="BA97" s="194">
        <v>40574</v>
      </c>
      <c r="BB97" s="194">
        <v>40602</v>
      </c>
      <c r="BC97" s="194">
        <v>40633</v>
      </c>
      <c r="BD97" s="194">
        <v>40663</v>
      </c>
      <c r="BE97" s="194">
        <v>40694</v>
      </c>
      <c r="BF97" s="194">
        <v>40724</v>
      </c>
      <c r="BG97" s="194">
        <v>40755</v>
      </c>
      <c r="BH97" s="194">
        <v>40786</v>
      </c>
      <c r="BI97" s="194">
        <v>40816</v>
      </c>
      <c r="BJ97" s="194">
        <v>40847</v>
      </c>
      <c r="BK97" s="194">
        <v>40877</v>
      </c>
      <c r="BL97" s="194">
        <v>40908</v>
      </c>
      <c r="BM97" s="194">
        <v>40939</v>
      </c>
      <c r="BN97" s="194">
        <v>40968</v>
      </c>
      <c r="BO97" s="194">
        <v>40999</v>
      </c>
      <c r="BP97" s="194">
        <v>41029</v>
      </c>
      <c r="BQ97" s="194">
        <v>41060</v>
      </c>
      <c r="BR97" s="194">
        <v>41090</v>
      </c>
      <c r="BS97" s="194">
        <v>41121</v>
      </c>
      <c r="BT97" s="194">
        <v>41152</v>
      </c>
      <c r="BU97" s="194">
        <v>41182</v>
      </c>
      <c r="BV97" s="194">
        <v>41213</v>
      </c>
      <c r="BW97" s="194">
        <v>41243</v>
      </c>
      <c r="BX97" s="194">
        <v>41274</v>
      </c>
      <c r="BY97" s="194">
        <v>41305</v>
      </c>
      <c r="BZ97" s="194">
        <v>41333</v>
      </c>
      <c r="CA97" s="194">
        <v>41364</v>
      </c>
      <c r="CB97" s="194">
        <v>41394</v>
      </c>
      <c r="CC97" s="194">
        <v>41425</v>
      </c>
      <c r="CD97" s="194">
        <v>41455</v>
      </c>
      <c r="CE97" s="194">
        <v>41486</v>
      </c>
      <c r="CF97" s="194">
        <v>41517</v>
      </c>
      <c r="CG97" s="194">
        <v>41547</v>
      </c>
      <c r="CH97" s="194">
        <v>41578</v>
      </c>
      <c r="CI97" s="194">
        <v>41608</v>
      </c>
      <c r="CJ97" s="194">
        <v>41639</v>
      </c>
      <c r="CK97" s="194">
        <v>41670</v>
      </c>
      <c r="CL97" s="194">
        <v>41698</v>
      </c>
      <c r="CM97" s="194">
        <v>41729</v>
      </c>
      <c r="CN97" s="194">
        <v>41759</v>
      </c>
      <c r="CO97" s="194">
        <v>41790</v>
      </c>
      <c r="CP97" s="194">
        <v>41820</v>
      </c>
      <c r="CQ97" s="194">
        <v>41851</v>
      </c>
      <c r="CR97" s="194">
        <v>41882</v>
      </c>
      <c r="CS97" s="194">
        <v>41912</v>
      </c>
      <c r="CT97" s="194">
        <v>41943</v>
      </c>
      <c r="CU97" s="194">
        <v>41973</v>
      </c>
      <c r="CV97" s="194">
        <v>42004</v>
      </c>
      <c r="CW97" s="194">
        <v>42035</v>
      </c>
      <c r="CX97" s="194">
        <v>42063</v>
      </c>
      <c r="CY97" s="194">
        <v>42094</v>
      </c>
      <c r="CZ97" s="194">
        <v>42124</v>
      </c>
      <c r="DA97" s="194">
        <v>42155</v>
      </c>
      <c r="DB97" s="194">
        <v>42185</v>
      </c>
      <c r="DC97" s="194">
        <v>42216</v>
      </c>
      <c r="DD97" s="194">
        <v>42247</v>
      </c>
      <c r="DE97" s="194">
        <v>42277</v>
      </c>
      <c r="DF97" s="194">
        <v>42308</v>
      </c>
      <c r="DG97" s="194">
        <v>42338</v>
      </c>
      <c r="DH97" s="194">
        <v>42369</v>
      </c>
      <c r="DI97" s="194">
        <v>42400</v>
      </c>
      <c r="DJ97" s="194">
        <v>42429</v>
      </c>
      <c r="DK97" s="194">
        <v>42460</v>
      </c>
      <c r="DL97" s="194">
        <v>42490</v>
      </c>
      <c r="DM97" s="194">
        <v>42521</v>
      </c>
      <c r="DN97" s="194">
        <v>42551</v>
      </c>
      <c r="DO97" s="194">
        <v>42582</v>
      </c>
      <c r="DP97" s="194">
        <v>42613</v>
      </c>
      <c r="DQ97" s="194">
        <v>42643</v>
      </c>
      <c r="DR97" s="194">
        <v>42674</v>
      </c>
      <c r="DS97" s="194">
        <v>42704</v>
      </c>
      <c r="DT97" s="194">
        <v>42735</v>
      </c>
      <c r="DU97" s="194">
        <v>42766</v>
      </c>
      <c r="DV97" s="194">
        <v>42794</v>
      </c>
      <c r="DW97" s="194">
        <v>42825</v>
      </c>
      <c r="DX97" s="194">
        <v>42855</v>
      </c>
      <c r="DY97" s="194">
        <v>42886</v>
      </c>
      <c r="DZ97" s="194">
        <v>42916</v>
      </c>
      <c r="EA97" s="194">
        <v>42947</v>
      </c>
      <c r="EB97" s="194">
        <v>42978</v>
      </c>
      <c r="EC97" s="194">
        <v>43008</v>
      </c>
      <c r="ED97" s="194">
        <v>43039</v>
      </c>
      <c r="EE97" s="194">
        <v>43069</v>
      </c>
      <c r="EF97" s="194">
        <v>43100</v>
      </c>
      <c r="EG97" s="194">
        <v>43131</v>
      </c>
      <c r="EH97" s="194">
        <v>43159</v>
      </c>
      <c r="EI97" s="194">
        <v>43190</v>
      </c>
      <c r="EJ97" s="194">
        <v>43220</v>
      </c>
      <c r="EK97" s="194">
        <v>43251</v>
      </c>
      <c r="EL97" s="194">
        <v>43281</v>
      </c>
      <c r="EM97" s="194">
        <v>43312</v>
      </c>
      <c r="EN97" s="194">
        <v>43343</v>
      </c>
      <c r="EO97" s="194">
        <v>43373</v>
      </c>
      <c r="EP97" s="194">
        <v>43404</v>
      </c>
      <c r="EQ97" s="194">
        <v>43434</v>
      </c>
      <c r="ER97" s="194">
        <v>43465</v>
      </c>
      <c r="ES97" s="194">
        <v>43496</v>
      </c>
      <c r="ET97" s="194">
        <v>43524</v>
      </c>
      <c r="EU97" s="194">
        <v>43555</v>
      </c>
      <c r="EV97" s="194">
        <v>43585</v>
      </c>
      <c r="EW97" s="194">
        <v>43616</v>
      </c>
      <c r="EX97" s="194">
        <v>43646</v>
      </c>
      <c r="EY97" s="194">
        <v>43677</v>
      </c>
      <c r="EZ97" s="194">
        <v>43708</v>
      </c>
      <c r="FA97" s="194">
        <v>43738</v>
      </c>
      <c r="FB97" s="194">
        <v>43769</v>
      </c>
      <c r="FC97" s="194">
        <v>43799</v>
      </c>
      <c r="FD97" s="194">
        <v>43830</v>
      </c>
      <c r="FE97" s="194">
        <v>43861</v>
      </c>
      <c r="FF97" s="194">
        <v>43890</v>
      </c>
      <c r="FG97" s="194">
        <v>43921</v>
      </c>
    </row>
    <row r="98" spans="1:163" ht="14.25" customHeight="1">
      <c r="A98" s="262">
        <f t="shared" ref="A98:A110" si="9">MIN(Q98:AN98)</f>
        <v>0.9</v>
      </c>
      <c r="B98" s="262">
        <f t="shared" ref="B98:B110" si="10">AVERAGE(Q98:AB98)</f>
        <v>5.8083333333333336</v>
      </c>
      <c r="C98" s="262">
        <f t="shared" ref="C98:C110" si="11">AVERAGE(AC98:AN98)</f>
        <v>2.2249999999999996</v>
      </c>
      <c r="D98" s="183" t="s">
        <v>1004</v>
      </c>
      <c r="E98" s="195">
        <v>1.9</v>
      </c>
      <c r="F98" s="195">
        <v>1.5</v>
      </c>
      <c r="G98" s="195">
        <v>2</v>
      </c>
      <c r="H98" s="195">
        <v>2</v>
      </c>
      <c r="I98" s="195">
        <v>2</v>
      </c>
      <c r="J98" s="195">
        <v>1.4</v>
      </c>
      <c r="K98" s="195">
        <v>1.7</v>
      </c>
      <c r="L98" s="195">
        <v>2.2000000000000002</v>
      </c>
      <c r="M98" s="195">
        <v>3.4</v>
      </c>
      <c r="N98" s="195">
        <v>3.9</v>
      </c>
      <c r="O98" s="195">
        <v>4.5</v>
      </c>
      <c r="P98" s="195">
        <v>5.4</v>
      </c>
      <c r="Q98" s="195">
        <v>5.8</v>
      </c>
      <c r="R98" s="195">
        <v>5.4</v>
      </c>
      <c r="S98" s="195">
        <v>5.4</v>
      </c>
      <c r="T98" s="195">
        <v>5.4</v>
      </c>
      <c r="U98" s="195">
        <v>6.1</v>
      </c>
      <c r="V98" s="195">
        <v>7.3</v>
      </c>
      <c r="W98" s="195">
        <v>8</v>
      </c>
      <c r="X98" s="195">
        <v>7.1</v>
      </c>
      <c r="Y98" s="195">
        <v>6.2</v>
      </c>
      <c r="Z98" s="195">
        <v>5.7</v>
      </c>
      <c r="AA98" s="195">
        <v>4.5</v>
      </c>
      <c r="AB98" s="195">
        <v>2.8</v>
      </c>
      <c r="AC98" s="195">
        <v>3.2</v>
      </c>
      <c r="AD98" s="195">
        <v>3.8</v>
      </c>
      <c r="AE98" s="195">
        <v>3.4</v>
      </c>
      <c r="AF98" s="195">
        <v>3.5</v>
      </c>
      <c r="AG98" s="195">
        <v>2.5</v>
      </c>
      <c r="AH98" s="195">
        <v>1.9</v>
      </c>
      <c r="AI98" s="195">
        <v>1.2</v>
      </c>
      <c r="AJ98" s="195">
        <v>1.5</v>
      </c>
      <c r="AK98" s="195">
        <v>0.9</v>
      </c>
      <c r="AL98" s="195">
        <v>1.2</v>
      </c>
      <c r="AM98" s="195">
        <v>1.8</v>
      </c>
      <c r="AN98" s="195">
        <v>1.8</v>
      </c>
      <c r="AO98" s="195">
        <v>1.3</v>
      </c>
      <c r="AP98" s="195">
        <v>0.9</v>
      </c>
      <c r="AQ98" s="195">
        <v>1.1000000000000001</v>
      </c>
      <c r="AR98" s="195">
        <v>0.8</v>
      </c>
      <c r="AS98" s="195">
        <v>0.9</v>
      </c>
      <c r="AT98" s="195">
        <v>0.6</v>
      </c>
      <c r="AU98" s="195">
        <v>0.9</v>
      </c>
      <c r="AV98" s="195">
        <v>0.8</v>
      </c>
      <c r="AW98" s="195">
        <v>1.4</v>
      </c>
      <c r="AX98" s="195">
        <v>1.4</v>
      </c>
      <c r="AY98" s="195">
        <v>1.2</v>
      </c>
      <c r="AZ98" s="195">
        <v>1.7</v>
      </c>
      <c r="BA98" s="195">
        <v>1.8</v>
      </c>
      <c r="BB98" s="195">
        <v>2.2000000000000002</v>
      </c>
      <c r="BC98" s="195">
        <v>2.5</v>
      </c>
      <c r="BD98" s="195">
        <v>2.2999999999999998</v>
      </c>
      <c r="BE98" s="195">
        <v>2.5</v>
      </c>
      <c r="BF98" s="195">
        <v>2</v>
      </c>
      <c r="BG98" s="195">
        <v>1.9</v>
      </c>
      <c r="BH98" s="195">
        <v>2.1</v>
      </c>
      <c r="BI98" s="195">
        <v>2.1</v>
      </c>
      <c r="BJ98" s="195">
        <v>2.5</v>
      </c>
      <c r="BK98" s="195">
        <v>2.5</v>
      </c>
      <c r="BL98" s="195">
        <v>2.1</v>
      </c>
      <c r="BM98" s="195">
        <v>1.4</v>
      </c>
      <c r="BN98" s="195">
        <v>1.6</v>
      </c>
      <c r="BO98" s="195">
        <v>2.1</v>
      </c>
      <c r="BP98" s="195">
        <v>2.6</v>
      </c>
      <c r="BQ98" s="195">
        <v>3.5</v>
      </c>
      <c r="BR98" s="195">
        <v>3.6</v>
      </c>
      <c r="BS98" s="195">
        <v>3.4</v>
      </c>
      <c r="BT98" s="195">
        <v>4.0999999999999996</v>
      </c>
      <c r="BU98" s="195">
        <v>4.8</v>
      </c>
      <c r="BV98" s="195">
        <v>4.5999999999999996</v>
      </c>
      <c r="BW98" s="195">
        <v>4.0999999999999996</v>
      </c>
      <c r="BX98" s="195">
        <v>4.4000000000000004</v>
      </c>
      <c r="BY98" s="195">
        <v>4.5999999999999996</v>
      </c>
      <c r="BZ98" s="195">
        <v>4.4000000000000004</v>
      </c>
      <c r="CA98" s="195">
        <v>3.4</v>
      </c>
      <c r="CB98" s="195">
        <v>3.1</v>
      </c>
      <c r="CC98" s="195">
        <v>1.8</v>
      </c>
      <c r="CD98" s="195">
        <v>2.2000000000000002</v>
      </c>
      <c r="CE98" s="195">
        <v>2.7</v>
      </c>
      <c r="CF98" s="195">
        <v>2.4</v>
      </c>
      <c r="CG98" s="195">
        <v>1.7</v>
      </c>
      <c r="CH98" s="195">
        <v>0.8</v>
      </c>
      <c r="CI98" s="195">
        <v>0.7</v>
      </c>
      <c r="CJ98" s="195">
        <v>0.5</v>
      </c>
      <c r="CK98" s="195">
        <v>0.4</v>
      </c>
      <c r="CL98" s="195">
        <v>-0.2</v>
      </c>
      <c r="CM98" s="195">
        <v>-0.1</v>
      </c>
      <c r="CN98" s="195">
        <v>-0.1</v>
      </c>
      <c r="CO98" s="195">
        <v>0.4</v>
      </c>
      <c r="CP98" s="195">
        <v>0.5</v>
      </c>
      <c r="CQ98" s="195">
        <v>0.5</v>
      </c>
      <c r="CR98" s="195">
        <v>0.3</v>
      </c>
      <c r="CS98" s="195">
        <v>0.2</v>
      </c>
      <c r="CT98" s="195">
        <v>0.5</v>
      </c>
      <c r="CU98" s="195">
        <v>0.3</v>
      </c>
      <c r="CV98" s="195">
        <v>-0.1</v>
      </c>
      <c r="CW98" s="195">
        <v>-0.6</v>
      </c>
      <c r="CX98" s="195">
        <v>-0.4</v>
      </c>
      <c r="CY98" s="195">
        <v>0</v>
      </c>
      <c r="CZ98" s="195">
        <v>-0.1</v>
      </c>
      <c r="DA98" s="195">
        <v>0</v>
      </c>
      <c r="DB98" s="195">
        <v>0.1</v>
      </c>
      <c r="DC98" s="195">
        <v>-0.2</v>
      </c>
      <c r="DD98" s="195">
        <v>-0.1</v>
      </c>
      <c r="DE98" s="195">
        <v>-0.5</v>
      </c>
      <c r="DF98" s="195">
        <v>-0.5</v>
      </c>
      <c r="DG98" s="195">
        <v>-0.4</v>
      </c>
      <c r="DH98" s="195">
        <v>-0.3</v>
      </c>
      <c r="DI98" s="195">
        <v>-0.2</v>
      </c>
      <c r="DJ98" s="195">
        <v>-0.6</v>
      </c>
      <c r="DK98" s="195">
        <v>-0.9</v>
      </c>
      <c r="DL98" s="195">
        <v>-0.9</v>
      </c>
      <c r="DM98" s="195">
        <v>-1.2</v>
      </c>
      <c r="DN98" s="195">
        <v>-1.2</v>
      </c>
      <c r="DO98" s="195">
        <v>-1.1000000000000001</v>
      </c>
      <c r="DP98" s="195">
        <v>-1.5</v>
      </c>
      <c r="DQ98" s="195">
        <v>-0.7</v>
      </c>
      <c r="DR98" s="195">
        <v>-0.3</v>
      </c>
      <c r="DS98" s="195">
        <v>0.2</v>
      </c>
      <c r="DT98" s="195">
        <v>0.7</v>
      </c>
      <c r="DU98" s="195">
        <v>0.9</v>
      </c>
      <c r="DV98" s="195">
        <v>1.4</v>
      </c>
      <c r="DW98" s="195">
        <v>1.1000000000000001</v>
      </c>
      <c r="DX98" s="195">
        <v>1.4</v>
      </c>
      <c r="DY98" s="195">
        <v>1</v>
      </c>
      <c r="DZ98" s="195">
        <v>1.1000000000000001</v>
      </c>
      <c r="EA98" s="195">
        <v>1.2</v>
      </c>
      <c r="EB98" s="195">
        <v>1.5</v>
      </c>
      <c r="EC98" s="195">
        <v>1.6</v>
      </c>
      <c r="ED98" s="195">
        <v>1.6</v>
      </c>
      <c r="EE98" s="195">
        <v>1.6</v>
      </c>
      <c r="EF98" s="195">
        <v>1.3</v>
      </c>
      <c r="EG98" s="195">
        <v>1.2</v>
      </c>
      <c r="EH98" s="195">
        <v>0.9</v>
      </c>
      <c r="EI98" s="195">
        <v>1.2</v>
      </c>
      <c r="EJ98" s="195">
        <v>1.4</v>
      </c>
      <c r="EK98" s="195">
        <v>1.8</v>
      </c>
      <c r="EL98" s="195">
        <v>2.2000000000000002</v>
      </c>
      <c r="EM98" s="195">
        <v>2.2000000000000002</v>
      </c>
      <c r="EN98" s="195">
        <v>2.1</v>
      </c>
      <c r="EO98" s="195">
        <v>1.6</v>
      </c>
      <c r="EP98" s="195">
        <v>1.7</v>
      </c>
      <c r="EQ98" s="195">
        <v>1.3</v>
      </c>
      <c r="ER98" s="195">
        <v>1</v>
      </c>
      <c r="ES98" s="195">
        <v>0.6</v>
      </c>
      <c r="ET98" s="195">
        <v>0.8</v>
      </c>
      <c r="EU98" s="195">
        <v>1.1000000000000001</v>
      </c>
      <c r="EV98" s="195">
        <v>0.8</v>
      </c>
      <c r="EW98" s="195">
        <v>1</v>
      </c>
      <c r="EX98" s="195">
        <v>0.5</v>
      </c>
      <c r="EY98" s="195">
        <v>0.9</v>
      </c>
      <c r="EZ98" s="195">
        <v>0.6</v>
      </c>
      <c r="FA98" s="195">
        <v>0.6</v>
      </c>
      <c r="FB98" s="195">
        <v>0.6</v>
      </c>
      <c r="FC98" s="195">
        <v>0.8</v>
      </c>
      <c r="FD98" s="195">
        <v>1.3</v>
      </c>
      <c r="FE98" s="195">
        <v>1.8</v>
      </c>
      <c r="FF98" s="195">
        <v>1.2</v>
      </c>
      <c r="FG98" s="195">
        <v>0.5</v>
      </c>
    </row>
    <row r="99" spans="1:163" ht="14.25" customHeight="1">
      <c r="A99" s="262">
        <f t="shared" si="9"/>
        <v>-2</v>
      </c>
      <c r="B99" s="262">
        <f t="shared" si="10"/>
        <v>9.6500000000000021</v>
      </c>
      <c r="C99" s="262">
        <f t="shared" si="11"/>
        <v>1.7333333333333327</v>
      </c>
      <c r="D99" s="183" t="s">
        <v>1007</v>
      </c>
      <c r="E99" s="196">
        <v>1.2</v>
      </c>
      <c r="F99" s="196">
        <v>0.2</v>
      </c>
      <c r="G99" s="196">
        <v>1.1000000000000001</v>
      </c>
      <c r="H99" s="196">
        <v>1.1000000000000001</v>
      </c>
      <c r="I99" s="196">
        <v>0.2</v>
      </c>
      <c r="J99" s="196">
        <v>-1</v>
      </c>
      <c r="K99" s="196">
        <v>0.3</v>
      </c>
      <c r="L99" s="196">
        <v>2.2000000000000002</v>
      </c>
      <c r="M99" s="196">
        <v>5.5</v>
      </c>
      <c r="N99" s="196">
        <v>6.6</v>
      </c>
      <c r="O99" s="196">
        <v>7.4</v>
      </c>
      <c r="P99" s="196">
        <v>10.1</v>
      </c>
      <c r="Q99" s="196">
        <v>10.4</v>
      </c>
      <c r="R99" s="196">
        <v>9.1999999999999993</v>
      </c>
      <c r="S99" s="196">
        <v>8.6</v>
      </c>
      <c r="T99" s="196">
        <v>8.9</v>
      </c>
      <c r="U99" s="196">
        <v>10.3</v>
      </c>
      <c r="V99" s="196">
        <v>12.7</v>
      </c>
      <c r="W99" s="196">
        <v>13.4</v>
      </c>
      <c r="X99" s="196">
        <v>12</v>
      </c>
      <c r="Y99" s="196">
        <v>9.4</v>
      </c>
      <c r="Z99" s="196">
        <v>9</v>
      </c>
      <c r="AA99" s="196">
        <v>6.9</v>
      </c>
      <c r="AB99" s="196">
        <v>5</v>
      </c>
      <c r="AC99" s="196">
        <v>4.7</v>
      </c>
      <c r="AD99" s="196">
        <v>6.2</v>
      </c>
      <c r="AE99" s="196">
        <v>6.3</v>
      </c>
      <c r="AF99" s="196">
        <v>4.5999999999999996</v>
      </c>
      <c r="AG99" s="196">
        <v>2.9</v>
      </c>
      <c r="AH99" s="196">
        <v>1.5</v>
      </c>
      <c r="AI99" s="196">
        <v>0.5</v>
      </c>
      <c r="AJ99" s="196">
        <v>-0.3</v>
      </c>
      <c r="AK99" s="196">
        <v>-0.9</v>
      </c>
      <c r="AL99" s="196">
        <v>-1.6</v>
      </c>
      <c r="AM99" s="196">
        <v>-1.1000000000000001</v>
      </c>
      <c r="AN99" s="196">
        <v>-2</v>
      </c>
      <c r="AO99" s="196">
        <v>-2.6</v>
      </c>
      <c r="AP99" s="196">
        <v>-3.3</v>
      </c>
      <c r="AQ99" s="196">
        <v>-3.4</v>
      </c>
      <c r="AR99" s="196">
        <v>-2.9</v>
      </c>
      <c r="AS99" s="196">
        <v>-2.8</v>
      </c>
      <c r="AT99" s="196">
        <v>-2.6</v>
      </c>
      <c r="AU99" s="196">
        <v>-1.1000000000000001</v>
      </c>
      <c r="AV99" s="196">
        <v>-0.8</v>
      </c>
      <c r="AW99" s="196">
        <v>0.1</v>
      </c>
      <c r="AX99" s="196">
        <v>0.2</v>
      </c>
      <c r="AY99" s="196">
        <v>-0.1</v>
      </c>
      <c r="AZ99" s="196">
        <v>0.9</v>
      </c>
      <c r="BA99" s="196">
        <v>2.2999999999999998</v>
      </c>
      <c r="BB99" s="196">
        <v>3.7</v>
      </c>
      <c r="BC99" s="196">
        <v>4.4000000000000004</v>
      </c>
      <c r="BD99" s="196">
        <v>3.4</v>
      </c>
      <c r="BE99" s="196">
        <v>4.5999999999999996</v>
      </c>
      <c r="BF99" s="196">
        <v>3.3</v>
      </c>
      <c r="BG99" s="196">
        <v>2.8</v>
      </c>
      <c r="BH99" s="196">
        <v>2.9</v>
      </c>
      <c r="BI99" s="196">
        <v>2.9</v>
      </c>
      <c r="BJ99" s="196">
        <v>3.8</v>
      </c>
      <c r="BK99" s="196">
        <v>4.4000000000000004</v>
      </c>
      <c r="BL99" s="196">
        <v>3.7</v>
      </c>
      <c r="BM99" s="196">
        <v>2.1</v>
      </c>
      <c r="BN99" s="196">
        <v>2.4</v>
      </c>
      <c r="BO99" s="196">
        <v>1.7</v>
      </c>
      <c r="BP99" s="196">
        <v>2.8</v>
      </c>
      <c r="BQ99" s="196">
        <v>2</v>
      </c>
      <c r="BR99" s="196">
        <v>3</v>
      </c>
      <c r="BS99" s="196">
        <v>3.8</v>
      </c>
      <c r="BT99" s="196">
        <v>4.8</v>
      </c>
      <c r="BU99" s="196">
        <v>5.7</v>
      </c>
      <c r="BV99" s="196">
        <v>5</v>
      </c>
      <c r="BW99" s="196">
        <v>4.4000000000000004</v>
      </c>
      <c r="BX99" s="196">
        <v>5.6</v>
      </c>
      <c r="BY99" s="196">
        <v>6.3</v>
      </c>
      <c r="BZ99" s="196">
        <v>5.2</v>
      </c>
      <c r="CA99" s="196">
        <v>4.5999999999999996</v>
      </c>
      <c r="CB99" s="196">
        <v>5.3</v>
      </c>
      <c r="CC99" s="196">
        <v>6.5</v>
      </c>
      <c r="CD99" s="196">
        <v>6.5</v>
      </c>
      <c r="CE99" s="196">
        <v>4.8</v>
      </c>
      <c r="CF99" s="196">
        <v>4.2</v>
      </c>
      <c r="CG99" s="196">
        <v>2.8</v>
      </c>
      <c r="CH99" s="196">
        <v>1.6</v>
      </c>
      <c r="CI99" s="196">
        <v>1</v>
      </c>
      <c r="CJ99" s="196">
        <v>-0.2</v>
      </c>
      <c r="CK99" s="196">
        <v>-0.7</v>
      </c>
      <c r="CL99" s="196">
        <v>-1.4</v>
      </c>
      <c r="CM99" s="196">
        <v>-1.3</v>
      </c>
      <c r="CN99" s="196">
        <v>-2.5</v>
      </c>
      <c r="CO99" s="196">
        <v>-4.0999999999999996</v>
      </c>
      <c r="CP99" s="196">
        <v>-4.4000000000000004</v>
      </c>
      <c r="CQ99" s="196">
        <v>-3.2</v>
      </c>
      <c r="CR99" s="196">
        <v>-3.4</v>
      </c>
      <c r="CS99" s="196">
        <v>-2.7</v>
      </c>
      <c r="CT99" s="196">
        <v>-2.2000000000000002</v>
      </c>
      <c r="CU99" s="196">
        <v>-1.4</v>
      </c>
      <c r="CV99" s="196">
        <v>-1.9</v>
      </c>
      <c r="CW99" s="196">
        <v>-0.8</v>
      </c>
      <c r="CX99" s="196">
        <v>0.2</v>
      </c>
      <c r="CY99" s="196">
        <v>0.4</v>
      </c>
      <c r="CZ99" s="196">
        <v>0.5</v>
      </c>
      <c r="DA99" s="196">
        <v>0.4</v>
      </c>
      <c r="DB99" s="196">
        <v>0.7</v>
      </c>
      <c r="DC99" s="196">
        <v>0.4</v>
      </c>
      <c r="DD99" s="196">
        <v>0.7</v>
      </c>
      <c r="DE99" s="196">
        <v>0</v>
      </c>
      <c r="DF99" s="196">
        <v>0.7</v>
      </c>
      <c r="DG99" s="196">
        <v>0.4</v>
      </c>
      <c r="DH99" s="196">
        <v>0.2</v>
      </c>
      <c r="DI99" s="196">
        <v>-0.4</v>
      </c>
      <c r="DJ99" s="196">
        <v>-1.3</v>
      </c>
      <c r="DK99" s="196">
        <v>-2</v>
      </c>
      <c r="DL99" s="196">
        <v>-1.5</v>
      </c>
      <c r="DM99" s="196">
        <v>-0.1</v>
      </c>
      <c r="DN99" s="196">
        <v>-0.1</v>
      </c>
      <c r="DO99" s="196">
        <v>0.3</v>
      </c>
      <c r="DP99" s="196">
        <v>-0.7</v>
      </c>
      <c r="DQ99" s="196">
        <v>-0.3</v>
      </c>
      <c r="DR99" s="196">
        <v>-0.2</v>
      </c>
      <c r="DS99" s="196">
        <v>0.2</v>
      </c>
      <c r="DT99" s="196">
        <v>0.9</v>
      </c>
      <c r="DU99" s="196">
        <v>2.4</v>
      </c>
      <c r="DV99" s="196">
        <v>3.2</v>
      </c>
      <c r="DW99" s="196">
        <v>3.3</v>
      </c>
      <c r="DX99" s="196">
        <v>3.5</v>
      </c>
      <c r="DY99" s="196">
        <v>2.4</v>
      </c>
      <c r="DZ99" s="196">
        <v>2.1</v>
      </c>
      <c r="EA99" s="196">
        <v>2.6</v>
      </c>
      <c r="EB99" s="196">
        <v>3.2</v>
      </c>
      <c r="EC99" s="196">
        <v>3.6</v>
      </c>
      <c r="ED99" s="196">
        <v>3.3</v>
      </c>
      <c r="EE99" s="196">
        <v>2.9</v>
      </c>
      <c r="EF99" s="196">
        <v>2</v>
      </c>
      <c r="EG99" s="196">
        <v>0.8</v>
      </c>
      <c r="EH99" s="196">
        <v>0.3</v>
      </c>
      <c r="EI99" s="196">
        <v>0.9</v>
      </c>
      <c r="EJ99" s="196">
        <v>1</v>
      </c>
      <c r="EK99" s="196">
        <v>1.2</v>
      </c>
      <c r="EL99" s="196">
        <v>2</v>
      </c>
      <c r="EM99" s="196">
        <v>1.5</v>
      </c>
      <c r="EN99" s="196">
        <v>1.2</v>
      </c>
      <c r="EO99" s="196">
        <v>0.2</v>
      </c>
      <c r="EP99" s="196">
        <v>0.4</v>
      </c>
      <c r="EQ99" s="196">
        <v>0.3</v>
      </c>
      <c r="ER99" s="196">
        <v>0.4</v>
      </c>
      <c r="ES99" s="196">
        <v>-0.6</v>
      </c>
      <c r="ET99" s="196">
        <v>-0.6</v>
      </c>
      <c r="EU99" s="196">
        <v>-0.3</v>
      </c>
      <c r="EV99" s="196">
        <v>-1.6</v>
      </c>
      <c r="EW99" s="196">
        <v>-0.6</v>
      </c>
      <c r="EX99" s="196">
        <v>-0.3</v>
      </c>
      <c r="EY99" s="196">
        <v>0.3</v>
      </c>
      <c r="EZ99" s="196">
        <v>0.3</v>
      </c>
      <c r="FA99" s="196">
        <v>0.4</v>
      </c>
      <c r="FB99" s="196">
        <v>0.2</v>
      </c>
      <c r="FC99" s="196">
        <v>0.3</v>
      </c>
      <c r="FD99" s="196">
        <v>1.9</v>
      </c>
      <c r="FE99" s="196">
        <v>2.8</v>
      </c>
      <c r="FF99" s="196">
        <v>2.4</v>
      </c>
      <c r="FG99" s="196">
        <v>2.6</v>
      </c>
    </row>
    <row r="100" spans="1:163" ht="14.25" customHeight="1">
      <c r="A100" s="262">
        <f t="shared" si="9"/>
        <v>2.2000000000000002</v>
      </c>
      <c r="B100" s="262">
        <f t="shared" si="10"/>
        <v>4.9999999999999991</v>
      </c>
      <c r="C100" s="262">
        <f t="shared" si="11"/>
        <v>11.808333333333335</v>
      </c>
      <c r="D100" s="183" t="s">
        <v>1011</v>
      </c>
      <c r="E100" s="196">
        <v>2.1</v>
      </c>
      <c r="F100" s="196">
        <v>1.5</v>
      </c>
      <c r="G100" s="196">
        <v>1.6</v>
      </c>
      <c r="H100" s="196">
        <v>1.4</v>
      </c>
      <c r="I100" s="196">
        <v>2.7</v>
      </c>
      <c r="J100" s="196">
        <v>2.7</v>
      </c>
      <c r="K100" s="196">
        <v>3.8</v>
      </c>
      <c r="L100" s="196">
        <v>3.8</v>
      </c>
      <c r="M100" s="196">
        <v>3.8</v>
      </c>
      <c r="N100" s="196">
        <v>3.7</v>
      </c>
      <c r="O100" s="196">
        <v>3.8</v>
      </c>
      <c r="P100" s="196">
        <v>5.9</v>
      </c>
      <c r="Q100" s="196">
        <v>6.1</v>
      </c>
      <c r="R100" s="196">
        <v>6</v>
      </c>
      <c r="S100" s="196">
        <v>6.1</v>
      </c>
      <c r="T100" s="196">
        <v>6.8</v>
      </c>
      <c r="U100" s="196">
        <v>5.4</v>
      </c>
      <c r="V100" s="196">
        <v>5.3</v>
      </c>
      <c r="W100" s="196">
        <v>4.3</v>
      </c>
      <c r="X100" s="196">
        <v>4.5</v>
      </c>
      <c r="Y100" s="196">
        <v>4.5</v>
      </c>
      <c r="Z100" s="196">
        <v>4.5</v>
      </c>
      <c r="AA100" s="196">
        <v>4.3</v>
      </c>
      <c r="AB100" s="196">
        <v>2.2000000000000002</v>
      </c>
      <c r="AC100" s="196">
        <v>6.8</v>
      </c>
      <c r="AD100" s="196">
        <v>7.1</v>
      </c>
      <c r="AE100" s="196">
        <v>6.9</v>
      </c>
      <c r="AF100" s="196">
        <v>14.5</v>
      </c>
      <c r="AG100" s="196">
        <v>14.2</v>
      </c>
      <c r="AH100" s="196">
        <v>14.1</v>
      </c>
      <c r="AI100" s="196">
        <v>14.2</v>
      </c>
      <c r="AJ100" s="196">
        <v>13.9</v>
      </c>
      <c r="AK100" s="196">
        <v>12.4</v>
      </c>
      <c r="AL100" s="196">
        <v>12.5</v>
      </c>
      <c r="AM100" s="196">
        <v>12.5</v>
      </c>
      <c r="AN100" s="196">
        <v>12.6</v>
      </c>
      <c r="AO100" s="196">
        <v>7.7</v>
      </c>
      <c r="AP100" s="196">
        <v>7.5</v>
      </c>
      <c r="AQ100" s="196">
        <v>7.5</v>
      </c>
      <c r="AR100" s="196">
        <v>-0.3</v>
      </c>
      <c r="AS100" s="196">
        <v>-0.1</v>
      </c>
      <c r="AT100" s="196">
        <v>0.1</v>
      </c>
      <c r="AU100" s="196">
        <v>-0.1</v>
      </c>
      <c r="AV100" s="196">
        <v>-0.3</v>
      </c>
      <c r="AW100" s="196">
        <v>1</v>
      </c>
      <c r="AX100" s="196">
        <v>0.8</v>
      </c>
      <c r="AY100" s="196">
        <v>3.8</v>
      </c>
      <c r="AZ100" s="196">
        <v>3.6</v>
      </c>
      <c r="BA100" s="196">
        <v>5.8</v>
      </c>
      <c r="BB100" s="196">
        <v>5.5</v>
      </c>
      <c r="BC100" s="196">
        <v>6.6</v>
      </c>
      <c r="BD100" s="196">
        <v>6.5</v>
      </c>
      <c r="BE100" s="196">
        <v>6.2</v>
      </c>
      <c r="BF100" s="196">
        <v>6.1</v>
      </c>
      <c r="BG100" s="196">
        <v>7.2</v>
      </c>
      <c r="BH100" s="196">
        <v>7.2</v>
      </c>
      <c r="BI100" s="196">
        <v>7.1</v>
      </c>
      <c r="BJ100" s="196">
        <v>7.5</v>
      </c>
      <c r="BK100" s="196">
        <v>4.9000000000000004</v>
      </c>
      <c r="BL100" s="196">
        <v>5</v>
      </c>
      <c r="BM100" s="196">
        <v>2.8</v>
      </c>
      <c r="BN100" s="196">
        <v>2.8</v>
      </c>
      <c r="BO100" s="196">
        <v>2</v>
      </c>
      <c r="BP100" s="196">
        <v>3.7</v>
      </c>
      <c r="BQ100" s="196">
        <v>3.6</v>
      </c>
      <c r="BR100" s="196">
        <v>4.5999999999999996</v>
      </c>
      <c r="BS100" s="196">
        <v>3.4</v>
      </c>
      <c r="BT100" s="196">
        <v>4.3</v>
      </c>
      <c r="BU100" s="196">
        <v>5.2</v>
      </c>
      <c r="BV100" s="196">
        <v>5</v>
      </c>
      <c r="BW100" s="196">
        <v>4.7</v>
      </c>
      <c r="BX100" s="196">
        <v>4.8</v>
      </c>
      <c r="BY100" s="196">
        <v>4.7</v>
      </c>
      <c r="BZ100" s="196">
        <v>7.7</v>
      </c>
      <c r="CA100" s="196">
        <v>7.5</v>
      </c>
      <c r="CB100" s="196">
        <v>6.9</v>
      </c>
      <c r="CC100" s="196">
        <v>6.8</v>
      </c>
      <c r="CD100" s="196">
        <v>5.9</v>
      </c>
      <c r="CE100" s="196">
        <v>11</v>
      </c>
      <c r="CF100" s="196">
        <v>10.8</v>
      </c>
      <c r="CG100" s="196">
        <v>10.1</v>
      </c>
      <c r="CH100" s="196">
        <v>10.4</v>
      </c>
      <c r="CI100" s="196">
        <v>10.3</v>
      </c>
      <c r="CJ100" s="196">
        <v>9.9</v>
      </c>
      <c r="CK100" s="196">
        <v>10</v>
      </c>
      <c r="CL100" s="196">
        <v>7.1</v>
      </c>
      <c r="CM100" s="196">
        <v>8.1999999999999993</v>
      </c>
      <c r="CN100" s="196">
        <v>8.1</v>
      </c>
      <c r="CO100" s="196">
        <v>8.4</v>
      </c>
      <c r="CP100" s="196">
        <v>8.1999999999999993</v>
      </c>
      <c r="CQ100" s="196">
        <v>3.5</v>
      </c>
      <c r="CR100" s="196">
        <v>2.9</v>
      </c>
      <c r="CS100" s="196">
        <v>2.7</v>
      </c>
      <c r="CT100" s="196">
        <v>2.2999999999999998</v>
      </c>
      <c r="CU100" s="196">
        <v>2.6</v>
      </c>
      <c r="CV100" s="196">
        <v>3.1</v>
      </c>
      <c r="CW100" s="196">
        <v>2.9</v>
      </c>
      <c r="CX100" s="196">
        <v>3</v>
      </c>
      <c r="CY100" s="196">
        <v>1.7</v>
      </c>
      <c r="CZ100" s="196">
        <v>2</v>
      </c>
      <c r="DA100" s="196">
        <v>1.9</v>
      </c>
      <c r="DB100" s="196">
        <v>1.8</v>
      </c>
      <c r="DC100" s="196">
        <v>1.5</v>
      </c>
      <c r="DD100" s="196">
        <v>1.9</v>
      </c>
      <c r="DE100" s="196">
        <v>1.9</v>
      </c>
      <c r="DF100" s="196">
        <v>1.8</v>
      </c>
      <c r="DG100" s="196">
        <v>1.2</v>
      </c>
      <c r="DH100" s="196">
        <v>0.9</v>
      </c>
      <c r="DI100" s="196">
        <v>0.9</v>
      </c>
      <c r="DJ100" s="196">
        <v>1.2</v>
      </c>
      <c r="DK100" s="196">
        <v>1.3</v>
      </c>
      <c r="DL100" s="196">
        <v>0.1</v>
      </c>
      <c r="DM100" s="196">
        <v>0.2</v>
      </c>
      <c r="DN100" s="196">
        <v>0.3</v>
      </c>
      <c r="DO100" s="196">
        <v>0.5</v>
      </c>
      <c r="DP100" s="196">
        <v>0.1</v>
      </c>
      <c r="DQ100" s="196">
        <v>0.2</v>
      </c>
      <c r="DR100" s="196">
        <v>0.3</v>
      </c>
      <c r="DS100" s="196">
        <v>0.3</v>
      </c>
      <c r="DT100" s="196">
        <v>2.4</v>
      </c>
      <c r="DU100" s="196">
        <v>2.2000000000000002</v>
      </c>
      <c r="DV100" s="196">
        <v>1.9</v>
      </c>
      <c r="DW100" s="196">
        <v>2.2000000000000002</v>
      </c>
      <c r="DX100" s="196">
        <v>2.4</v>
      </c>
      <c r="DY100" s="196">
        <v>1.8</v>
      </c>
      <c r="DZ100" s="196">
        <v>2.2000000000000002</v>
      </c>
      <c r="EA100" s="196">
        <v>2.1</v>
      </c>
      <c r="EB100" s="196">
        <v>1.8</v>
      </c>
      <c r="EC100" s="196">
        <v>2</v>
      </c>
      <c r="ED100" s="196">
        <v>1.9</v>
      </c>
      <c r="EE100" s="196">
        <v>2.1</v>
      </c>
      <c r="EF100" s="196">
        <v>1.3</v>
      </c>
      <c r="EG100" s="196">
        <v>2.1</v>
      </c>
      <c r="EH100" s="196">
        <v>2</v>
      </c>
      <c r="EI100" s="196">
        <v>1.7</v>
      </c>
      <c r="EJ100" s="196">
        <v>1.7</v>
      </c>
      <c r="EK100" s="196">
        <v>2.5</v>
      </c>
      <c r="EL100" s="196">
        <v>1.6</v>
      </c>
      <c r="EM100" s="196">
        <v>1.7</v>
      </c>
      <c r="EN100" s="196">
        <v>2.5</v>
      </c>
      <c r="EO100" s="196">
        <v>1.9</v>
      </c>
      <c r="EP100" s="196">
        <v>2.2000000000000002</v>
      </c>
      <c r="EQ100" s="196">
        <v>2.4</v>
      </c>
      <c r="ER100" s="196">
        <v>3.9</v>
      </c>
      <c r="ES100" s="196">
        <v>3.6</v>
      </c>
      <c r="ET100" s="196">
        <v>3.4</v>
      </c>
      <c r="EU100" s="196">
        <v>3.9</v>
      </c>
      <c r="EV100" s="196">
        <v>3.8</v>
      </c>
      <c r="EW100" s="196">
        <v>3.5</v>
      </c>
      <c r="EX100" s="196">
        <v>3.8</v>
      </c>
      <c r="EY100" s="196">
        <v>4</v>
      </c>
      <c r="EZ100" s="196">
        <v>3.6</v>
      </c>
      <c r="FA100" s="196">
        <v>3.7</v>
      </c>
      <c r="FB100" s="196">
        <v>3.7</v>
      </c>
      <c r="FC100" s="196">
        <v>3.9</v>
      </c>
      <c r="FD100" s="196">
        <v>1</v>
      </c>
      <c r="FE100" s="196">
        <v>0.8</v>
      </c>
      <c r="FF100" s="196">
        <v>1.3</v>
      </c>
      <c r="FG100" s="196">
        <v>0.5</v>
      </c>
    </row>
    <row r="101" spans="1:163" ht="14.25" customHeight="1">
      <c r="A101" s="262">
        <f t="shared" si="9"/>
        <v>-4.4000000000000004</v>
      </c>
      <c r="B101" s="262">
        <f t="shared" si="10"/>
        <v>2.7416666666666667</v>
      </c>
      <c r="C101" s="262">
        <f t="shared" si="11"/>
        <v>-0.13333333333333339</v>
      </c>
      <c r="D101" s="183" t="s">
        <v>1012</v>
      </c>
      <c r="E101" s="196">
        <v>5</v>
      </c>
      <c r="F101" s="196">
        <v>4.5999999999999996</v>
      </c>
      <c r="G101" s="196">
        <v>5.0999999999999996</v>
      </c>
      <c r="H101" s="196">
        <v>5.4</v>
      </c>
      <c r="I101" s="196">
        <v>5.8</v>
      </c>
      <c r="J101" s="196">
        <v>5.5</v>
      </c>
      <c r="K101" s="196">
        <v>4.9000000000000004</v>
      </c>
      <c r="L101" s="196">
        <v>5.5</v>
      </c>
      <c r="M101" s="196">
        <v>4.9000000000000004</v>
      </c>
      <c r="N101" s="196">
        <v>4.8</v>
      </c>
      <c r="O101" s="196">
        <v>4.9000000000000004</v>
      </c>
      <c r="P101" s="196">
        <v>5.0999999999999996</v>
      </c>
      <c r="Q101" s="196">
        <v>3.8</v>
      </c>
      <c r="R101" s="196">
        <v>3.8</v>
      </c>
      <c r="S101" s="196">
        <v>3.7</v>
      </c>
      <c r="T101" s="196">
        <v>3</v>
      </c>
      <c r="U101" s="196">
        <v>3.1</v>
      </c>
      <c r="V101" s="196">
        <v>2.8</v>
      </c>
      <c r="W101" s="196">
        <v>2.2999999999999998</v>
      </c>
      <c r="X101" s="196">
        <v>2.1</v>
      </c>
      <c r="Y101" s="196">
        <v>3</v>
      </c>
      <c r="Z101" s="196">
        <v>2.4</v>
      </c>
      <c r="AA101" s="196">
        <v>4</v>
      </c>
      <c r="AB101" s="196">
        <v>-1.1000000000000001</v>
      </c>
      <c r="AC101" s="196">
        <v>0</v>
      </c>
      <c r="AD101" s="196">
        <v>0.4</v>
      </c>
      <c r="AE101" s="196">
        <v>1.6</v>
      </c>
      <c r="AF101" s="196">
        <v>2.7</v>
      </c>
      <c r="AG101" s="196">
        <v>2.2999999999999998</v>
      </c>
      <c r="AH101" s="196">
        <v>1.9</v>
      </c>
      <c r="AI101" s="196">
        <v>1.1000000000000001</v>
      </c>
      <c r="AJ101" s="196">
        <v>-1.5</v>
      </c>
      <c r="AK101" s="196">
        <v>-2.2000000000000002</v>
      </c>
      <c r="AL101" s="196">
        <v>-0.3</v>
      </c>
      <c r="AM101" s="196">
        <v>-3.2</v>
      </c>
      <c r="AN101" s="196">
        <v>-4.4000000000000004</v>
      </c>
      <c r="AO101" s="196">
        <v>-4.9000000000000004</v>
      </c>
      <c r="AP101" s="196">
        <v>-3.4</v>
      </c>
      <c r="AQ101" s="196">
        <v>-4.5999999999999996</v>
      </c>
      <c r="AR101" s="196">
        <v>-3.9</v>
      </c>
      <c r="AS101" s="196">
        <v>-4.4000000000000004</v>
      </c>
      <c r="AT101" s="196">
        <v>-6.2</v>
      </c>
      <c r="AU101" s="196">
        <v>-6.2</v>
      </c>
      <c r="AV101" s="196">
        <v>-5</v>
      </c>
      <c r="AW101" s="196">
        <v>-2.7</v>
      </c>
      <c r="AX101" s="196">
        <v>-4.8</v>
      </c>
      <c r="AY101" s="196">
        <v>-3.8</v>
      </c>
      <c r="AZ101" s="196">
        <v>-2.1</v>
      </c>
      <c r="BA101" s="196">
        <v>-1.1000000000000001</v>
      </c>
      <c r="BB101" s="196">
        <v>-3.1</v>
      </c>
      <c r="BC101" s="196">
        <v>-2.9</v>
      </c>
      <c r="BD101" s="196">
        <v>-4</v>
      </c>
      <c r="BE101" s="196">
        <v>-3.2</v>
      </c>
      <c r="BF101" s="196">
        <v>-4.7</v>
      </c>
      <c r="BG101" s="196">
        <v>-5.9</v>
      </c>
      <c r="BH101" s="196">
        <v>-7.3</v>
      </c>
      <c r="BI101" s="196">
        <v>-6.6</v>
      </c>
      <c r="BJ101" s="196">
        <v>-1.6</v>
      </c>
      <c r="BK101" s="196">
        <v>-1.1000000000000001</v>
      </c>
      <c r="BL101" s="196">
        <v>0.4</v>
      </c>
      <c r="BM101" s="196">
        <v>-3.9</v>
      </c>
      <c r="BN101" s="196">
        <v>-6.7</v>
      </c>
      <c r="BO101" s="196">
        <v>-4.2</v>
      </c>
      <c r="BP101" s="196">
        <v>-2.7</v>
      </c>
      <c r="BQ101" s="196">
        <v>-3.5</v>
      </c>
      <c r="BR101" s="196">
        <v>-3.5</v>
      </c>
      <c r="BS101" s="196">
        <v>-4.5999999999999996</v>
      </c>
      <c r="BT101" s="196">
        <v>-3.7</v>
      </c>
      <c r="BU101" s="196">
        <v>-2.9</v>
      </c>
      <c r="BV101" s="196">
        <v>-2.5</v>
      </c>
      <c r="BW101" s="196">
        <v>-2.7</v>
      </c>
      <c r="BX101" s="196">
        <v>-4.9000000000000004</v>
      </c>
      <c r="BY101" s="196">
        <v>-3.9</v>
      </c>
      <c r="BZ101" s="196">
        <v>-3.3</v>
      </c>
      <c r="CA101" s="196">
        <v>-3.9</v>
      </c>
      <c r="CB101" s="196">
        <v>-4</v>
      </c>
      <c r="CC101" s="196">
        <v>-4</v>
      </c>
      <c r="CD101" s="196">
        <v>-2.8</v>
      </c>
      <c r="CE101" s="196">
        <v>-1.6</v>
      </c>
      <c r="CF101" s="196">
        <v>-1.8</v>
      </c>
      <c r="CG101" s="196">
        <v>-1.9</v>
      </c>
      <c r="CH101" s="196">
        <v>-3.9</v>
      </c>
      <c r="CI101" s="196">
        <v>-5.0999999999999996</v>
      </c>
      <c r="CJ101" s="196">
        <v>-5.4</v>
      </c>
      <c r="CK101" s="196">
        <v>-5.4</v>
      </c>
      <c r="CL101" s="196">
        <v>-5.2</v>
      </c>
      <c r="CM101" s="196">
        <v>-2</v>
      </c>
      <c r="CN101" s="196">
        <v>-4.3</v>
      </c>
      <c r="CO101" s="196">
        <v>-4.5999999999999996</v>
      </c>
      <c r="CP101" s="196">
        <v>-4.5999999999999996</v>
      </c>
      <c r="CQ101" s="196">
        <v>-4.4000000000000004</v>
      </c>
      <c r="CR101" s="196">
        <v>-3.9</v>
      </c>
      <c r="CS101" s="196">
        <v>-2.1</v>
      </c>
      <c r="CT101" s="196">
        <v>-3.6</v>
      </c>
      <c r="CU101" s="196">
        <v>-3.3</v>
      </c>
      <c r="CV101" s="196">
        <v>-4</v>
      </c>
      <c r="CW101" s="196">
        <v>-2.6</v>
      </c>
      <c r="CX101" s="196">
        <v>-0.7</v>
      </c>
      <c r="CY101" s="196">
        <v>-0.5</v>
      </c>
      <c r="CZ101" s="196">
        <v>0</v>
      </c>
      <c r="DA101" s="196">
        <v>-0.1</v>
      </c>
      <c r="DB101" s="196">
        <v>-0.3</v>
      </c>
      <c r="DC101" s="196">
        <v>-1.5</v>
      </c>
      <c r="DD101" s="196">
        <v>-1.1000000000000001</v>
      </c>
      <c r="DE101" s="196">
        <v>0</v>
      </c>
      <c r="DF101" s="196">
        <v>1.3</v>
      </c>
      <c r="DG101" s="196">
        <v>1.1000000000000001</v>
      </c>
      <c r="DH101" s="196">
        <v>3.2</v>
      </c>
      <c r="DI101" s="196">
        <v>0.2</v>
      </c>
      <c r="DJ101" s="196">
        <v>-1.5</v>
      </c>
      <c r="DK101" s="196">
        <v>2.4</v>
      </c>
      <c r="DL101" s="196">
        <v>1.7</v>
      </c>
      <c r="DM101" s="196">
        <v>-0.2</v>
      </c>
      <c r="DN101" s="196">
        <v>-1.7</v>
      </c>
      <c r="DO101" s="196">
        <v>-2.7</v>
      </c>
      <c r="DP101" s="196">
        <v>-1.3</v>
      </c>
      <c r="DQ101" s="196">
        <v>1.6</v>
      </c>
      <c r="DR101" s="196">
        <v>1.5</v>
      </c>
      <c r="DS101" s="196">
        <v>2</v>
      </c>
      <c r="DT101" s="196">
        <v>-0.6</v>
      </c>
      <c r="DU101" s="196">
        <v>-1.2</v>
      </c>
      <c r="DV101" s="196">
        <v>0.7</v>
      </c>
      <c r="DW101" s="196">
        <v>-1</v>
      </c>
      <c r="DX101" s="196">
        <v>1.5</v>
      </c>
      <c r="DY101" s="196">
        <v>1.8</v>
      </c>
      <c r="DZ101" s="196">
        <v>1.3</v>
      </c>
      <c r="EA101" s="196">
        <v>2.6</v>
      </c>
      <c r="EB101" s="196">
        <v>-1.2</v>
      </c>
      <c r="EC101" s="196">
        <v>0</v>
      </c>
      <c r="ED101" s="196">
        <v>0.7</v>
      </c>
      <c r="EE101" s="196">
        <v>0.4</v>
      </c>
      <c r="EF101" s="196">
        <v>2.4</v>
      </c>
      <c r="EG101" s="196">
        <v>-0.3</v>
      </c>
      <c r="EH101" s="196">
        <v>-0.8</v>
      </c>
      <c r="EI101" s="196">
        <v>0</v>
      </c>
      <c r="EJ101" s="196">
        <v>-1</v>
      </c>
      <c r="EK101" s="196">
        <v>-0.4</v>
      </c>
      <c r="EL101" s="196">
        <v>0</v>
      </c>
      <c r="EM101" s="196">
        <v>-5</v>
      </c>
      <c r="EN101" s="196">
        <v>-2.2999999999999998</v>
      </c>
      <c r="EO101" s="196">
        <v>-4.0999999999999996</v>
      </c>
      <c r="EP101" s="196">
        <v>-1.8</v>
      </c>
      <c r="EQ101" s="196">
        <v>-1.5</v>
      </c>
      <c r="ER101" s="196">
        <v>-1.7</v>
      </c>
      <c r="ES101" s="196">
        <v>-1.3</v>
      </c>
      <c r="ET101" s="196">
        <v>-2.2000000000000002</v>
      </c>
      <c r="EU101" s="196">
        <v>-2.6</v>
      </c>
      <c r="EV101" s="196">
        <v>-2.9</v>
      </c>
      <c r="EW101" s="196">
        <v>-2.2000000000000002</v>
      </c>
      <c r="EX101" s="196">
        <v>-2.1</v>
      </c>
      <c r="EY101" s="196">
        <v>0.8</v>
      </c>
      <c r="EZ101" s="196">
        <v>-1.1000000000000001</v>
      </c>
      <c r="FA101" s="196">
        <v>3.8</v>
      </c>
      <c r="FB101" s="196">
        <v>1.3</v>
      </c>
      <c r="FC101" s="196">
        <v>1.3</v>
      </c>
      <c r="FD101" s="196">
        <v>-1.8</v>
      </c>
      <c r="FE101" s="196">
        <v>-1.6</v>
      </c>
      <c r="FF101" s="196">
        <v>0.3</v>
      </c>
      <c r="FG101" s="196">
        <v>0.2</v>
      </c>
    </row>
    <row r="102" spans="1:163" ht="14.25" customHeight="1">
      <c r="A102" s="262">
        <f t="shared" si="9"/>
        <v>2.2000000000000002</v>
      </c>
      <c r="B102" s="262">
        <f t="shared" si="10"/>
        <v>6.7666666666666666</v>
      </c>
      <c r="C102" s="262">
        <f t="shared" si="11"/>
        <v>4.8583333333333334</v>
      </c>
      <c r="D102" s="183" t="s">
        <v>1016</v>
      </c>
      <c r="E102" s="196">
        <v>4.7</v>
      </c>
      <c r="F102" s="196">
        <v>3.5</v>
      </c>
      <c r="G102" s="196">
        <v>3</v>
      </c>
      <c r="H102" s="196">
        <v>3.4</v>
      </c>
      <c r="I102" s="196">
        <v>2.8</v>
      </c>
      <c r="J102" s="196">
        <v>2.4</v>
      </c>
      <c r="K102" s="196">
        <v>2.2999999999999998</v>
      </c>
      <c r="L102" s="196">
        <v>1.8</v>
      </c>
      <c r="M102" s="196">
        <v>2.6</v>
      </c>
      <c r="N102" s="196">
        <v>2.9</v>
      </c>
      <c r="O102" s="196">
        <v>3.2</v>
      </c>
      <c r="P102" s="196">
        <v>3.9</v>
      </c>
      <c r="Q102" s="196">
        <v>4.9000000000000004</v>
      </c>
      <c r="R102" s="196">
        <v>4.7</v>
      </c>
      <c r="S102" s="196">
        <v>4.9000000000000004</v>
      </c>
      <c r="T102" s="196">
        <v>4.8</v>
      </c>
      <c r="U102" s="196">
        <v>5.3</v>
      </c>
      <c r="V102" s="196">
        <v>5.8</v>
      </c>
      <c r="W102" s="196">
        <v>10</v>
      </c>
      <c r="X102" s="196">
        <v>9.1</v>
      </c>
      <c r="Y102" s="196">
        <v>8.1999999999999993</v>
      </c>
      <c r="Z102" s="196">
        <v>8.1999999999999993</v>
      </c>
      <c r="AA102" s="196">
        <v>8.1999999999999993</v>
      </c>
      <c r="AB102" s="196">
        <v>7.1</v>
      </c>
      <c r="AC102" s="196">
        <v>7.2</v>
      </c>
      <c r="AD102" s="196">
        <v>7.3</v>
      </c>
      <c r="AE102" s="196">
        <v>6.4</v>
      </c>
      <c r="AF102" s="196">
        <v>6.3</v>
      </c>
      <c r="AG102" s="196">
        <v>5.4</v>
      </c>
      <c r="AH102" s="196">
        <v>5.2</v>
      </c>
      <c r="AI102" s="196">
        <v>2.2000000000000002</v>
      </c>
      <c r="AJ102" s="196">
        <v>3.3</v>
      </c>
      <c r="AK102" s="196">
        <v>3.3</v>
      </c>
      <c r="AL102" s="196">
        <v>3.3</v>
      </c>
      <c r="AM102" s="196">
        <v>3.9</v>
      </c>
      <c r="AN102" s="196">
        <v>4.5</v>
      </c>
      <c r="AO102" s="196">
        <v>4.9000000000000004</v>
      </c>
      <c r="AP102" s="196">
        <v>4.4000000000000004</v>
      </c>
      <c r="AQ102" s="196">
        <v>5.2</v>
      </c>
      <c r="AR102" s="196">
        <v>5.7</v>
      </c>
      <c r="AS102" s="196">
        <v>6.8</v>
      </c>
      <c r="AT102" s="196">
        <v>7</v>
      </c>
      <c r="AU102" s="196">
        <v>6.1</v>
      </c>
      <c r="AV102" s="196">
        <v>5.8</v>
      </c>
      <c r="AW102" s="196">
        <v>5.9</v>
      </c>
      <c r="AX102" s="196">
        <v>5.8</v>
      </c>
      <c r="AY102" s="196">
        <v>4.9000000000000004</v>
      </c>
      <c r="AZ102" s="196">
        <v>4.7</v>
      </c>
      <c r="BA102" s="196">
        <v>2.1</v>
      </c>
      <c r="BB102" s="196">
        <v>2.2000000000000002</v>
      </c>
      <c r="BC102" s="196">
        <v>2.2000000000000002</v>
      </c>
      <c r="BD102" s="196">
        <v>2.4</v>
      </c>
      <c r="BE102" s="196">
        <v>2.2000000000000002</v>
      </c>
      <c r="BF102" s="196">
        <v>2</v>
      </c>
      <c r="BG102" s="196">
        <v>2.8</v>
      </c>
      <c r="BH102" s="196">
        <v>3</v>
      </c>
      <c r="BI102" s="196">
        <v>3.1</v>
      </c>
      <c r="BJ102" s="196">
        <v>3</v>
      </c>
      <c r="BK102" s="196">
        <v>3</v>
      </c>
      <c r="BL102" s="196">
        <v>2.9</v>
      </c>
      <c r="BM102" s="196">
        <v>2.8</v>
      </c>
      <c r="BN102" s="196">
        <v>3</v>
      </c>
      <c r="BO102" s="196">
        <v>5.2</v>
      </c>
      <c r="BP102" s="196">
        <v>4.9000000000000004</v>
      </c>
      <c r="BQ102" s="196">
        <v>14.4</v>
      </c>
      <c r="BR102" s="196">
        <v>13.8</v>
      </c>
      <c r="BS102" s="196">
        <v>12.2</v>
      </c>
      <c r="BT102" s="196">
        <v>12.6</v>
      </c>
      <c r="BU102" s="196">
        <v>13.2</v>
      </c>
      <c r="BV102" s="196">
        <v>13.1</v>
      </c>
      <c r="BW102" s="196">
        <v>12.9</v>
      </c>
      <c r="BX102" s="196">
        <v>13.2</v>
      </c>
      <c r="BY102" s="196">
        <v>13.2</v>
      </c>
      <c r="BZ102" s="196">
        <v>12.5</v>
      </c>
      <c r="CA102" s="196">
        <v>10.1</v>
      </c>
      <c r="CB102" s="196">
        <v>9.8000000000000007</v>
      </c>
      <c r="CC102" s="196">
        <v>0</v>
      </c>
      <c r="CD102" s="196">
        <v>0.7</v>
      </c>
      <c r="CE102" s="196">
        <v>1.5</v>
      </c>
      <c r="CF102" s="196">
        <v>1</v>
      </c>
      <c r="CG102" s="196">
        <v>0.5</v>
      </c>
      <c r="CH102" s="196">
        <v>-1.5</v>
      </c>
      <c r="CI102" s="196">
        <v>0.2</v>
      </c>
      <c r="CJ102" s="196">
        <v>0.1</v>
      </c>
      <c r="CK102" s="196">
        <v>0.5</v>
      </c>
      <c r="CL102" s="196">
        <v>0.4</v>
      </c>
      <c r="CM102" s="196">
        <v>0.1</v>
      </c>
      <c r="CN102" s="196">
        <v>1</v>
      </c>
      <c r="CO102" s="196">
        <v>1.5</v>
      </c>
      <c r="CP102" s="196">
        <v>1.2</v>
      </c>
      <c r="CQ102" s="196">
        <v>1.2</v>
      </c>
      <c r="CR102" s="196">
        <v>1</v>
      </c>
      <c r="CS102" s="196">
        <v>0.8</v>
      </c>
      <c r="CT102" s="196">
        <v>3.2</v>
      </c>
      <c r="CU102" s="196">
        <v>0.9</v>
      </c>
      <c r="CV102" s="196">
        <v>0.4</v>
      </c>
      <c r="CW102" s="196">
        <v>-1.1000000000000001</v>
      </c>
      <c r="CX102" s="196">
        <v>-0.7</v>
      </c>
      <c r="CY102" s="196">
        <v>0.3</v>
      </c>
      <c r="CZ102" s="196">
        <v>-1.8</v>
      </c>
      <c r="DA102" s="196">
        <v>-1.2</v>
      </c>
      <c r="DB102" s="196">
        <v>-1.6</v>
      </c>
      <c r="DC102" s="196">
        <v>-2.1</v>
      </c>
      <c r="DD102" s="196">
        <v>-2.5</v>
      </c>
      <c r="DE102" s="196">
        <v>-1.9</v>
      </c>
      <c r="DF102" s="196">
        <v>-2.2000000000000002</v>
      </c>
      <c r="DG102" s="196">
        <v>-2.1</v>
      </c>
      <c r="DH102" s="196">
        <v>-2.1</v>
      </c>
      <c r="DI102" s="196">
        <v>-2.2999999999999998</v>
      </c>
      <c r="DJ102" s="196">
        <v>-2.7</v>
      </c>
      <c r="DK102" s="196">
        <v>-3.2</v>
      </c>
      <c r="DL102" s="196">
        <v>-3.7</v>
      </c>
      <c r="DM102" s="196">
        <v>-4</v>
      </c>
      <c r="DN102" s="196">
        <v>-3</v>
      </c>
      <c r="DO102" s="196">
        <v>-2.9</v>
      </c>
      <c r="DP102" s="196">
        <v>-2.7</v>
      </c>
      <c r="DQ102" s="196">
        <v>-2.8</v>
      </c>
      <c r="DR102" s="196">
        <v>-2.6</v>
      </c>
      <c r="DS102" s="196">
        <v>-2.2000000000000002</v>
      </c>
      <c r="DT102" s="196">
        <v>-1.6</v>
      </c>
      <c r="DU102" s="196">
        <v>-3.8</v>
      </c>
      <c r="DV102" s="196">
        <v>-3.5</v>
      </c>
      <c r="DW102" s="196">
        <v>-4.2</v>
      </c>
      <c r="DX102" s="196">
        <v>-2.6</v>
      </c>
      <c r="DY102" s="196">
        <v>-3.1</v>
      </c>
      <c r="DZ102" s="196">
        <v>-3.9</v>
      </c>
      <c r="EA102" s="196">
        <v>-3.8</v>
      </c>
      <c r="EB102" s="196">
        <v>-3.1</v>
      </c>
      <c r="EC102" s="196">
        <v>-0.7</v>
      </c>
      <c r="ED102" s="196">
        <v>-0.5</v>
      </c>
      <c r="EE102" s="196">
        <v>-0.3</v>
      </c>
      <c r="EF102" s="196">
        <v>-0.5</v>
      </c>
      <c r="EG102" s="196">
        <v>3.5</v>
      </c>
      <c r="EH102" s="196">
        <v>3.1</v>
      </c>
      <c r="EI102" s="196">
        <v>3.3</v>
      </c>
      <c r="EJ102" s="196">
        <v>3.9</v>
      </c>
      <c r="EK102" s="196">
        <v>4.9000000000000004</v>
      </c>
      <c r="EL102" s="196">
        <v>5.6</v>
      </c>
      <c r="EM102" s="196">
        <v>5.8</v>
      </c>
      <c r="EN102" s="196">
        <v>5.4</v>
      </c>
      <c r="EO102" s="196">
        <v>2.8</v>
      </c>
      <c r="EP102" s="196">
        <v>3</v>
      </c>
      <c r="EQ102" s="196">
        <v>2.6</v>
      </c>
      <c r="ER102" s="196">
        <v>1.5</v>
      </c>
      <c r="ES102" s="196">
        <v>1</v>
      </c>
      <c r="ET102" s="196">
        <v>2.1</v>
      </c>
      <c r="EU102" s="196">
        <v>2.6</v>
      </c>
      <c r="EV102" s="196">
        <v>3.3</v>
      </c>
      <c r="EW102" s="196">
        <v>3.2</v>
      </c>
      <c r="EX102" s="196">
        <v>2.6</v>
      </c>
      <c r="EY102" s="196">
        <v>2.2999999999999998</v>
      </c>
      <c r="EZ102" s="196">
        <v>2.2000000000000002</v>
      </c>
      <c r="FA102" s="196">
        <v>1.7</v>
      </c>
      <c r="FB102" s="196">
        <v>1.4</v>
      </c>
      <c r="FC102" s="196">
        <v>1.4</v>
      </c>
      <c r="FD102" s="196">
        <v>2.4</v>
      </c>
      <c r="FE102" s="196">
        <v>2.9</v>
      </c>
      <c r="FF102" s="196">
        <v>1.1000000000000001</v>
      </c>
      <c r="FG102" s="196">
        <v>-1.2</v>
      </c>
    </row>
    <row r="103" spans="1:163" ht="14.25" customHeight="1">
      <c r="A103" s="262">
        <f t="shared" si="9"/>
        <v>0.5</v>
      </c>
      <c r="B103" s="262">
        <f t="shared" si="10"/>
        <v>4.7666666666666666</v>
      </c>
      <c r="C103" s="262">
        <f t="shared" si="11"/>
        <v>2.8499999999999996</v>
      </c>
      <c r="D103" s="183" t="s">
        <v>1020</v>
      </c>
      <c r="E103" s="196">
        <v>2.2000000000000002</v>
      </c>
      <c r="F103" s="196">
        <v>2.1</v>
      </c>
      <c r="G103" s="196">
        <v>2.2000000000000002</v>
      </c>
      <c r="H103" s="196">
        <v>2.2000000000000002</v>
      </c>
      <c r="I103" s="196">
        <v>2.2999999999999998</v>
      </c>
      <c r="J103" s="196">
        <v>1.8</v>
      </c>
      <c r="K103" s="196">
        <v>1.6</v>
      </c>
      <c r="L103" s="196">
        <v>1.9</v>
      </c>
      <c r="M103" s="196">
        <v>2</v>
      </c>
      <c r="N103" s="196">
        <v>2.4</v>
      </c>
      <c r="O103" s="196">
        <v>2.7</v>
      </c>
      <c r="P103" s="196">
        <v>3.1</v>
      </c>
      <c r="Q103" s="196">
        <v>3.4</v>
      </c>
      <c r="R103" s="196">
        <v>3.8</v>
      </c>
      <c r="S103" s="196">
        <v>4</v>
      </c>
      <c r="T103" s="196">
        <v>4.5</v>
      </c>
      <c r="U103" s="196">
        <v>4.8</v>
      </c>
      <c r="V103" s="196">
        <v>5.2</v>
      </c>
      <c r="W103" s="196">
        <v>5.7</v>
      </c>
      <c r="X103" s="196">
        <v>5.6</v>
      </c>
      <c r="Y103" s="196">
        <v>5.5</v>
      </c>
      <c r="Z103" s="196">
        <v>5.0999999999999996</v>
      </c>
      <c r="AA103" s="196">
        <v>5</v>
      </c>
      <c r="AB103" s="196">
        <v>4.5999999999999996</v>
      </c>
      <c r="AC103" s="196">
        <v>4.5999999999999996</v>
      </c>
      <c r="AD103" s="196">
        <v>4.5</v>
      </c>
      <c r="AE103" s="196">
        <v>4.2</v>
      </c>
      <c r="AF103" s="196">
        <v>4</v>
      </c>
      <c r="AG103" s="196">
        <v>3.3</v>
      </c>
      <c r="AH103" s="196">
        <v>2.9</v>
      </c>
      <c r="AI103" s="196">
        <v>2.9</v>
      </c>
      <c r="AJ103" s="196">
        <v>2.5</v>
      </c>
      <c r="AK103" s="196">
        <v>1.9</v>
      </c>
      <c r="AL103" s="196">
        <v>1.6</v>
      </c>
      <c r="AM103" s="196">
        <v>1.3</v>
      </c>
      <c r="AN103" s="196">
        <v>0.5</v>
      </c>
      <c r="AO103" s="196">
        <v>0.5</v>
      </c>
      <c r="AP103" s="196">
        <v>0.2</v>
      </c>
      <c r="AQ103" s="196">
        <v>0</v>
      </c>
      <c r="AR103" s="196">
        <v>-0.7</v>
      </c>
      <c r="AS103" s="196">
        <v>-0.5</v>
      </c>
      <c r="AT103" s="196">
        <v>-0.6</v>
      </c>
      <c r="AU103" s="196">
        <v>-0.7</v>
      </c>
      <c r="AV103" s="196">
        <v>-0.6</v>
      </c>
      <c r="AW103" s="196">
        <v>0.2</v>
      </c>
      <c r="AX103" s="196">
        <v>0.6</v>
      </c>
      <c r="AY103" s="196">
        <v>0.3</v>
      </c>
      <c r="AZ103" s="196">
        <v>0.3</v>
      </c>
      <c r="BA103" s="196">
        <v>-0.2</v>
      </c>
      <c r="BB103" s="196">
        <v>0.7</v>
      </c>
      <c r="BC103" s="196">
        <v>1.1000000000000001</v>
      </c>
      <c r="BD103" s="196">
        <v>1.8</v>
      </c>
      <c r="BE103" s="196">
        <v>2.1</v>
      </c>
      <c r="BF103" s="196">
        <v>2.5</v>
      </c>
      <c r="BG103" s="196">
        <v>2.2999999999999998</v>
      </c>
      <c r="BH103" s="196">
        <v>2.7</v>
      </c>
      <c r="BI103" s="196">
        <v>2.5</v>
      </c>
      <c r="BJ103" s="196">
        <v>2.2000000000000002</v>
      </c>
      <c r="BK103" s="196">
        <v>2.2999999999999998</v>
      </c>
      <c r="BL103" s="196">
        <v>2.8</v>
      </c>
      <c r="BM103" s="196">
        <v>2.6</v>
      </c>
      <c r="BN103" s="196">
        <v>2.1</v>
      </c>
      <c r="BO103" s="196">
        <v>2.7</v>
      </c>
      <c r="BP103" s="196">
        <v>2.5</v>
      </c>
      <c r="BQ103" s="196">
        <v>2.4</v>
      </c>
      <c r="BR103" s="196">
        <v>2</v>
      </c>
      <c r="BS103" s="196">
        <v>2</v>
      </c>
      <c r="BT103" s="196">
        <v>1.6</v>
      </c>
      <c r="BU103" s="196">
        <v>1.5</v>
      </c>
      <c r="BV103" s="196">
        <v>1.6</v>
      </c>
      <c r="BW103" s="196">
        <v>2.1</v>
      </c>
      <c r="BX103" s="196">
        <v>2.2999999999999998</v>
      </c>
      <c r="BY103" s="196">
        <v>2.6</v>
      </c>
      <c r="BZ103" s="196">
        <v>2.2000000000000002</v>
      </c>
      <c r="CA103" s="196">
        <v>1.1000000000000001</v>
      </c>
      <c r="CB103" s="196">
        <v>0.7</v>
      </c>
      <c r="CC103" s="196">
        <v>0.4</v>
      </c>
      <c r="CD103" s="196">
        <v>0.3</v>
      </c>
      <c r="CE103" s="196">
        <v>-0.1</v>
      </c>
      <c r="CF103" s="196">
        <v>0</v>
      </c>
      <c r="CG103" s="196">
        <v>0</v>
      </c>
      <c r="CH103" s="196">
        <v>0.2</v>
      </c>
      <c r="CI103" s="196">
        <v>-0.2</v>
      </c>
      <c r="CJ103" s="196">
        <v>-0.7</v>
      </c>
      <c r="CK103" s="196">
        <v>-0.6</v>
      </c>
      <c r="CL103" s="196">
        <v>-0.9</v>
      </c>
      <c r="CM103" s="196">
        <v>-0.8</v>
      </c>
      <c r="CN103" s="196">
        <v>-0.8</v>
      </c>
      <c r="CO103" s="196">
        <v>-0.9</v>
      </c>
      <c r="CP103" s="196">
        <v>-0.9</v>
      </c>
      <c r="CQ103" s="196">
        <v>-0.7</v>
      </c>
      <c r="CR103" s="196">
        <v>-0.8</v>
      </c>
      <c r="CS103" s="196">
        <v>-1</v>
      </c>
      <c r="CT103" s="196">
        <v>-1</v>
      </c>
      <c r="CU103" s="196">
        <v>-0.6</v>
      </c>
      <c r="CV103" s="196">
        <v>-0.9</v>
      </c>
      <c r="CW103" s="196">
        <v>-0.6</v>
      </c>
      <c r="CX103" s="196">
        <v>-0.1</v>
      </c>
      <c r="CY103" s="196">
        <v>-0.6</v>
      </c>
      <c r="CZ103" s="196">
        <v>-0.4</v>
      </c>
      <c r="DA103" s="196">
        <v>-0.3</v>
      </c>
      <c r="DB103" s="196">
        <v>-0.3</v>
      </c>
      <c r="DC103" s="196">
        <v>-0.3</v>
      </c>
      <c r="DD103" s="196">
        <v>-0.2</v>
      </c>
      <c r="DE103" s="196">
        <v>0</v>
      </c>
      <c r="DF103" s="196">
        <v>0.1</v>
      </c>
      <c r="DG103" s="196">
        <v>-0.3</v>
      </c>
      <c r="DH103" s="196">
        <v>-0.3</v>
      </c>
      <c r="DI103" s="196">
        <v>-0.4</v>
      </c>
      <c r="DJ103" s="196">
        <v>-0.6</v>
      </c>
      <c r="DK103" s="196">
        <v>-0.1</v>
      </c>
      <c r="DL103" s="196">
        <v>0.2</v>
      </c>
      <c r="DM103" s="196">
        <v>0.2</v>
      </c>
      <c r="DN103" s="196">
        <v>0.2</v>
      </c>
      <c r="DO103" s="196">
        <v>0.3</v>
      </c>
      <c r="DP103" s="196">
        <v>0.6</v>
      </c>
      <c r="DQ103" s="196">
        <v>0.3</v>
      </c>
      <c r="DR103" s="196">
        <v>-0.2</v>
      </c>
      <c r="DS103" s="196">
        <v>0</v>
      </c>
      <c r="DT103" s="196">
        <v>0.6</v>
      </c>
      <c r="DU103" s="196">
        <v>0.1</v>
      </c>
      <c r="DV103" s="196">
        <v>0.3</v>
      </c>
      <c r="DW103" s="196">
        <v>0.3</v>
      </c>
      <c r="DX103" s="196">
        <v>0</v>
      </c>
      <c r="DY103" s="196">
        <v>0.3</v>
      </c>
      <c r="DZ103" s="196">
        <v>0.4</v>
      </c>
      <c r="EA103" s="196">
        <v>0.2</v>
      </c>
      <c r="EB103" s="196">
        <v>-0.3</v>
      </c>
      <c r="EC103" s="196">
        <v>-0.3</v>
      </c>
      <c r="ED103" s="196">
        <v>0.1</v>
      </c>
      <c r="EE103" s="196">
        <v>-0.1</v>
      </c>
      <c r="EF103" s="196">
        <v>-0.2</v>
      </c>
      <c r="EG103" s="196">
        <v>0.3</v>
      </c>
      <c r="EH103" s="196">
        <v>0.2</v>
      </c>
      <c r="EI103" s="196">
        <v>0.3</v>
      </c>
      <c r="EJ103" s="196">
        <v>0.4</v>
      </c>
      <c r="EK103" s="196">
        <v>0.2</v>
      </c>
      <c r="EL103" s="196">
        <v>0.3</v>
      </c>
      <c r="EM103" s="196">
        <v>0.3</v>
      </c>
      <c r="EN103" s="196">
        <v>0.8</v>
      </c>
      <c r="EO103" s="196">
        <v>1.1000000000000001</v>
      </c>
      <c r="EP103" s="196">
        <v>1</v>
      </c>
      <c r="EQ103" s="196">
        <v>0.9</v>
      </c>
      <c r="ER103" s="196">
        <v>0.8</v>
      </c>
      <c r="ES103" s="196">
        <v>0.7</v>
      </c>
      <c r="ET103" s="196">
        <v>1.2</v>
      </c>
      <c r="EU103" s="196">
        <v>1</v>
      </c>
      <c r="EV103" s="196">
        <v>1.4</v>
      </c>
      <c r="EW103" s="196">
        <v>1.3</v>
      </c>
      <c r="EX103" s="196">
        <v>0.6</v>
      </c>
      <c r="EY103" s="196">
        <v>1.4</v>
      </c>
      <c r="EZ103" s="196">
        <v>0.7</v>
      </c>
      <c r="FA103" s="196">
        <v>0.9</v>
      </c>
      <c r="FB103" s="196">
        <v>1</v>
      </c>
      <c r="FC103" s="196">
        <v>0.7</v>
      </c>
      <c r="FD103" s="196">
        <v>1.2</v>
      </c>
      <c r="FE103" s="196">
        <v>0.8</v>
      </c>
      <c r="FF103" s="196">
        <v>0.6</v>
      </c>
      <c r="FG103" s="196">
        <v>0.9</v>
      </c>
    </row>
    <row r="104" spans="1:163" ht="14.25" customHeight="1">
      <c r="A104" s="262">
        <f t="shared" si="9"/>
        <v>3.7</v>
      </c>
      <c r="B104" s="262">
        <f t="shared" si="10"/>
        <v>5.8166666666666664</v>
      </c>
      <c r="C104" s="262">
        <f t="shared" si="11"/>
        <v>15.383333333333331</v>
      </c>
      <c r="D104" s="183" t="s">
        <v>1024</v>
      </c>
      <c r="E104" s="196">
        <v>1.7</v>
      </c>
      <c r="F104" s="196">
        <v>1.8</v>
      </c>
      <c r="G104" s="196">
        <v>1.6</v>
      </c>
      <c r="H104" s="196">
        <v>2</v>
      </c>
      <c r="I104" s="196">
        <v>2.1</v>
      </c>
      <c r="J104" s="196">
        <v>2.2999999999999998</v>
      </c>
      <c r="K104" s="196">
        <v>2.4</v>
      </c>
      <c r="L104" s="196">
        <v>1.5</v>
      </c>
      <c r="M104" s="196">
        <v>1.4</v>
      </c>
      <c r="N104" s="196">
        <v>1.5</v>
      </c>
      <c r="O104" s="196">
        <v>1.5</v>
      </c>
      <c r="P104" s="196">
        <v>1.4</v>
      </c>
      <c r="Q104" s="196">
        <v>4</v>
      </c>
      <c r="R104" s="196">
        <v>3.7</v>
      </c>
      <c r="S104" s="196">
        <v>3.9</v>
      </c>
      <c r="T104" s="196">
        <v>5.5</v>
      </c>
      <c r="U104" s="196">
        <v>5.6</v>
      </c>
      <c r="V104" s="196">
        <v>5.4</v>
      </c>
      <c r="W104" s="196">
        <v>5.4</v>
      </c>
      <c r="X104" s="196">
        <v>6.5</v>
      </c>
      <c r="Y104" s="196">
        <v>7.4</v>
      </c>
      <c r="Z104" s="196">
        <v>7.5</v>
      </c>
      <c r="AA104" s="196">
        <v>7.4</v>
      </c>
      <c r="AB104" s="196">
        <v>7.5</v>
      </c>
      <c r="AC104" s="196">
        <v>15.9</v>
      </c>
      <c r="AD104" s="196">
        <v>16.7</v>
      </c>
      <c r="AE104" s="196">
        <v>16.7</v>
      </c>
      <c r="AF104" s="196">
        <v>15.3</v>
      </c>
      <c r="AG104" s="196">
        <v>15.5</v>
      </c>
      <c r="AH104" s="196">
        <v>15.5</v>
      </c>
      <c r="AI104" s="196">
        <v>15.4</v>
      </c>
      <c r="AJ104" s="196">
        <v>15.1</v>
      </c>
      <c r="AK104" s="196">
        <v>14.6</v>
      </c>
      <c r="AL104" s="196">
        <v>14.6</v>
      </c>
      <c r="AM104" s="196">
        <v>14.6</v>
      </c>
      <c r="AN104" s="196">
        <v>14.7</v>
      </c>
      <c r="AO104" s="196">
        <v>4.0999999999999996</v>
      </c>
      <c r="AP104" s="196">
        <v>3.9</v>
      </c>
      <c r="AQ104" s="196">
        <v>3.5</v>
      </c>
      <c r="AR104" s="196">
        <v>3</v>
      </c>
      <c r="AS104" s="196">
        <v>2.7</v>
      </c>
      <c r="AT104" s="196">
        <v>2.7</v>
      </c>
      <c r="AU104" s="196">
        <v>2.7</v>
      </c>
      <c r="AV104" s="196">
        <v>1.9</v>
      </c>
      <c r="AW104" s="196">
        <v>1.9</v>
      </c>
      <c r="AX104" s="196">
        <v>1.8</v>
      </c>
      <c r="AY104" s="196">
        <v>1.8</v>
      </c>
      <c r="AZ104" s="196">
        <v>1.7</v>
      </c>
      <c r="BA104" s="196">
        <v>1.2</v>
      </c>
      <c r="BB104" s="196">
        <v>0.9</v>
      </c>
      <c r="BC104" s="196">
        <v>1.1000000000000001</v>
      </c>
      <c r="BD104" s="196">
        <v>1.4</v>
      </c>
      <c r="BE104" s="196">
        <v>1.2</v>
      </c>
      <c r="BF104" s="196">
        <v>1.1000000000000001</v>
      </c>
      <c r="BG104" s="196">
        <v>1.1000000000000001</v>
      </c>
      <c r="BH104" s="196">
        <v>1.2</v>
      </c>
      <c r="BI104" s="196">
        <v>0.9</v>
      </c>
      <c r="BJ104" s="196">
        <v>0.9</v>
      </c>
      <c r="BK104" s="196">
        <v>1.1000000000000001</v>
      </c>
      <c r="BL104" s="196">
        <v>1.4</v>
      </c>
      <c r="BM104" s="196">
        <v>1.3</v>
      </c>
      <c r="BN104" s="196">
        <v>1.2</v>
      </c>
      <c r="BO104" s="196">
        <v>1.8</v>
      </c>
      <c r="BP104" s="196">
        <v>1.6</v>
      </c>
      <c r="BQ104" s="196">
        <v>2.2000000000000002</v>
      </c>
      <c r="BR104" s="196">
        <v>2.4</v>
      </c>
      <c r="BS104" s="196">
        <v>2.5</v>
      </c>
      <c r="BT104" s="196">
        <v>2.5</v>
      </c>
      <c r="BU104" s="196">
        <v>2.8</v>
      </c>
      <c r="BV104" s="196">
        <v>2.7</v>
      </c>
      <c r="BW104" s="196">
        <v>2.4</v>
      </c>
      <c r="BX104" s="196">
        <v>2</v>
      </c>
      <c r="BY104" s="196">
        <v>2.8</v>
      </c>
      <c r="BZ104" s="196">
        <v>2.8</v>
      </c>
      <c r="CA104" s="196">
        <v>2.1</v>
      </c>
      <c r="CB104" s="196">
        <v>1.9</v>
      </c>
      <c r="CC104" s="196">
        <v>-0.2</v>
      </c>
      <c r="CD104" s="196">
        <v>-0.7</v>
      </c>
      <c r="CE104" s="196">
        <v>-0.7</v>
      </c>
      <c r="CF104" s="196">
        <v>-0.7</v>
      </c>
      <c r="CG104" s="196">
        <v>-0.8</v>
      </c>
      <c r="CH104" s="196">
        <v>-0.7</v>
      </c>
      <c r="CI104" s="196">
        <v>-0.7</v>
      </c>
      <c r="CJ104" s="196">
        <v>-0.6</v>
      </c>
      <c r="CK104" s="196">
        <v>-0.9</v>
      </c>
      <c r="CL104" s="196">
        <v>-1.1000000000000001</v>
      </c>
      <c r="CM104" s="196">
        <v>-1.2</v>
      </c>
      <c r="CN104" s="196">
        <v>2.4</v>
      </c>
      <c r="CO104" s="196">
        <v>4.2</v>
      </c>
      <c r="CP104" s="196">
        <v>4.5999999999999996</v>
      </c>
      <c r="CQ104" s="196">
        <v>4.5</v>
      </c>
      <c r="CR104" s="196">
        <v>4.4000000000000004</v>
      </c>
      <c r="CS104" s="196">
        <v>4.0999999999999996</v>
      </c>
      <c r="CT104" s="196">
        <v>4.0999999999999996</v>
      </c>
      <c r="CU104" s="196">
        <v>4.0999999999999996</v>
      </c>
      <c r="CV104" s="196">
        <v>4</v>
      </c>
      <c r="CW104" s="196">
        <v>3.6</v>
      </c>
      <c r="CX104" s="196">
        <v>3.8</v>
      </c>
      <c r="CY104" s="196">
        <v>4</v>
      </c>
      <c r="CZ104" s="196">
        <v>0.7</v>
      </c>
      <c r="DA104" s="196">
        <v>0.7</v>
      </c>
      <c r="DB104" s="196">
        <v>0.8</v>
      </c>
      <c r="DC104" s="196">
        <v>1</v>
      </c>
      <c r="DD104" s="196">
        <v>6.8</v>
      </c>
      <c r="DE104" s="196">
        <v>6.8</v>
      </c>
      <c r="DF104" s="196">
        <v>6.8</v>
      </c>
      <c r="DG104" s="196">
        <v>6.6</v>
      </c>
      <c r="DH104" s="196">
        <v>6.5</v>
      </c>
      <c r="DI104" s="196">
        <v>6.5</v>
      </c>
      <c r="DJ104" s="196">
        <v>6.6</v>
      </c>
      <c r="DK104" s="196">
        <v>6.5</v>
      </c>
      <c r="DL104" s="196">
        <v>6.3</v>
      </c>
      <c r="DM104" s="196">
        <v>6.1</v>
      </c>
      <c r="DN104" s="196">
        <v>6.7</v>
      </c>
      <c r="DO104" s="196">
        <v>7.9</v>
      </c>
      <c r="DP104" s="196">
        <v>2</v>
      </c>
      <c r="DQ104" s="196">
        <v>2</v>
      </c>
      <c r="DR104" s="196">
        <v>2</v>
      </c>
      <c r="DS104" s="196">
        <v>2.2000000000000002</v>
      </c>
      <c r="DT104" s="196">
        <v>2.4</v>
      </c>
      <c r="DU104" s="196">
        <v>2.4</v>
      </c>
      <c r="DV104" s="196">
        <v>2.1</v>
      </c>
      <c r="DW104" s="196">
        <v>2.1</v>
      </c>
      <c r="DX104" s="196">
        <v>2.1</v>
      </c>
      <c r="DY104" s="196">
        <v>2.1</v>
      </c>
      <c r="DZ104" s="196">
        <v>1.4</v>
      </c>
      <c r="EA104" s="196">
        <v>0.2</v>
      </c>
      <c r="EB104" s="196">
        <v>-0.1</v>
      </c>
      <c r="EC104" s="196">
        <v>0.1</v>
      </c>
      <c r="ED104" s="196">
        <v>0.2</v>
      </c>
      <c r="EE104" s="196">
        <v>0.2</v>
      </c>
      <c r="EF104" s="196">
        <v>0.2</v>
      </c>
      <c r="EG104" s="196">
        <v>0.2</v>
      </c>
      <c r="EH104" s="196">
        <v>0.3</v>
      </c>
      <c r="EI104" s="196">
        <v>1.4</v>
      </c>
      <c r="EJ104" s="196">
        <v>1.4</v>
      </c>
      <c r="EK104" s="196">
        <v>1.5</v>
      </c>
      <c r="EL104" s="196">
        <v>1.5</v>
      </c>
      <c r="EM104" s="196">
        <v>1.5</v>
      </c>
      <c r="EN104" s="196">
        <v>1.8</v>
      </c>
      <c r="EO104" s="196">
        <v>1.7</v>
      </c>
      <c r="EP104" s="196">
        <v>1.7</v>
      </c>
      <c r="EQ104" s="196">
        <v>1.7</v>
      </c>
      <c r="ER104" s="196">
        <v>1.8</v>
      </c>
      <c r="ES104" s="196">
        <v>-0.1</v>
      </c>
      <c r="ET104" s="196">
        <v>0</v>
      </c>
      <c r="EU104" s="196">
        <v>-1.1000000000000001</v>
      </c>
      <c r="EV104" s="196">
        <v>-1.3</v>
      </c>
      <c r="EW104" s="196">
        <v>-1.2</v>
      </c>
      <c r="EX104" s="196">
        <v>-1.2</v>
      </c>
      <c r="EY104" s="196">
        <v>-1.1000000000000001</v>
      </c>
      <c r="EZ104" s="196">
        <v>-1.1000000000000001</v>
      </c>
      <c r="FA104" s="196">
        <v>-1.1000000000000001</v>
      </c>
      <c r="FB104" s="196">
        <v>-0.9</v>
      </c>
      <c r="FC104" s="196">
        <v>-1</v>
      </c>
      <c r="FD104" s="196">
        <v>-1</v>
      </c>
      <c r="FE104" s="196">
        <v>0.8</v>
      </c>
      <c r="FF104" s="196">
        <v>1.2</v>
      </c>
      <c r="FG104" s="196">
        <v>1.2</v>
      </c>
    </row>
    <row r="105" spans="1:163" ht="14.25" customHeight="1">
      <c r="A105" s="262">
        <f t="shared" si="9"/>
        <v>-10.7</v>
      </c>
      <c r="B105" s="262">
        <f t="shared" si="10"/>
        <v>4.9249999999999998</v>
      </c>
      <c r="C105" s="262">
        <f t="shared" si="11"/>
        <v>-6.1916666666666691</v>
      </c>
      <c r="D105" s="183" t="s">
        <v>603</v>
      </c>
      <c r="E105" s="196">
        <v>0.4</v>
      </c>
      <c r="F105" s="196">
        <v>0.7</v>
      </c>
      <c r="G105" s="196">
        <v>1.7</v>
      </c>
      <c r="H105" s="196">
        <v>1.6</v>
      </c>
      <c r="I105" s="196">
        <v>2.5</v>
      </c>
      <c r="J105" s="196">
        <v>2.7</v>
      </c>
      <c r="K105" s="196">
        <v>1.7</v>
      </c>
      <c r="L105" s="196">
        <v>1.5</v>
      </c>
      <c r="M105" s="196">
        <v>2.8</v>
      </c>
      <c r="N105" s="196">
        <v>3.2</v>
      </c>
      <c r="O105" s="196">
        <v>5.3</v>
      </c>
      <c r="P105" s="196">
        <v>4.8</v>
      </c>
      <c r="Q105" s="196">
        <v>5.9</v>
      </c>
      <c r="R105" s="196">
        <v>5.7</v>
      </c>
      <c r="S105" s="196">
        <v>5.9</v>
      </c>
      <c r="T105" s="196">
        <v>5.2</v>
      </c>
      <c r="U105" s="196">
        <v>7.1</v>
      </c>
      <c r="V105" s="196">
        <v>10</v>
      </c>
      <c r="W105" s="196">
        <v>10.7</v>
      </c>
      <c r="X105" s="196">
        <v>6.8</v>
      </c>
      <c r="Y105" s="196">
        <v>6</v>
      </c>
      <c r="Z105" s="196">
        <v>3.5</v>
      </c>
      <c r="AA105" s="196">
        <v>-2.2999999999999998</v>
      </c>
      <c r="AB105" s="196">
        <v>-5.4</v>
      </c>
      <c r="AC105" s="196">
        <v>-6.8</v>
      </c>
      <c r="AD105" s="196">
        <v>-6.4</v>
      </c>
      <c r="AE105" s="196">
        <v>-8.6999999999999993</v>
      </c>
      <c r="AF105" s="196">
        <v>-7.8</v>
      </c>
      <c r="AG105" s="196">
        <v>-9.5</v>
      </c>
      <c r="AH105" s="196">
        <v>-10.3</v>
      </c>
      <c r="AI105" s="196">
        <v>-10.7</v>
      </c>
      <c r="AJ105" s="196">
        <v>-5.9</v>
      </c>
      <c r="AK105" s="196">
        <v>-6.9</v>
      </c>
      <c r="AL105" s="196">
        <v>-4.7</v>
      </c>
      <c r="AM105" s="196">
        <v>0.3</v>
      </c>
      <c r="AN105" s="196">
        <v>3.1</v>
      </c>
      <c r="AO105" s="196">
        <v>5.2</v>
      </c>
      <c r="AP105" s="196">
        <v>4.2</v>
      </c>
      <c r="AQ105" s="196">
        <v>6.9</v>
      </c>
      <c r="AR105" s="196">
        <v>6.8</v>
      </c>
      <c r="AS105" s="196">
        <v>6</v>
      </c>
      <c r="AT105" s="196">
        <v>4.5</v>
      </c>
      <c r="AU105" s="196">
        <v>3.8</v>
      </c>
      <c r="AV105" s="196">
        <v>1.5</v>
      </c>
      <c r="AW105" s="196">
        <v>3.7</v>
      </c>
      <c r="AX105" s="196">
        <v>5.3</v>
      </c>
      <c r="AY105" s="196">
        <v>4.4000000000000004</v>
      </c>
      <c r="AZ105" s="196">
        <v>6.7</v>
      </c>
      <c r="BA105" s="196">
        <v>5.5</v>
      </c>
      <c r="BB105" s="196">
        <v>6.3</v>
      </c>
      <c r="BC105" s="196">
        <v>6.7</v>
      </c>
      <c r="BD105" s="196">
        <v>7</v>
      </c>
      <c r="BE105" s="196">
        <v>6.4</v>
      </c>
      <c r="BF105" s="196">
        <v>6</v>
      </c>
      <c r="BG105" s="196">
        <v>5.9</v>
      </c>
      <c r="BH105" s="196">
        <v>7.6</v>
      </c>
      <c r="BI105" s="196">
        <v>7.4</v>
      </c>
      <c r="BJ105" s="196">
        <v>5.4</v>
      </c>
      <c r="BK105" s="196">
        <v>4.5</v>
      </c>
      <c r="BL105" s="196">
        <v>2</v>
      </c>
      <c r="BM105" s="196">
        <v>2.2999999999999998</v>
      </c>
      <c r="BN105" s="196">
        <v>4.0999999999999996</v>
      </c>
      <c r="BO105" s="196">
        <v>4.9000000000000004</v>
      </c>
      <c r="BP105" s="196">
        <v>5.6</v>
      </c>
      <c r="BQ105" s="196">
        <v>5.0999999999999996</v>
      </c>
      <c r="BR105" s="196">
        <v>3.4</v>
      </c>
      <c r="BS105" s="196">
        <v>2</v>
      </c>
      <c r="BT105" s="196">
        <v>2.9</v>
      </c>
      <c r="BU105" s="196">
        <v>5.2</v>
      </c>
      <c r="BV105" s="196">
        <v>4.9000000000000004</v>
      </c>
      <c r="BW105" s="196">
        <v>3.8</v>
      </c>
      <c r="BX105" s="196">
        <v>3.6</v>
      </c>
      <c r="BY105" s="196">
        <v>2.7</v>
      </c>
      <c r="BZ105" s="196">
        <v>1.9</v>
      </c>
      <c r="CA105" s="196">
        <v>0.1</v>
      </c>
      <c r="CB105" s="196">
        <v>-3</v>
      </c>
      <c r="CC105" s="196">
        <v>-3.9</v>
      </c>
      <c r="CD105" s="196">
        <v>-1.4</v>
      </c>
      <c r="CE105" s="196">
        <v>0.2</v>
      </c>
      <c r="CF105" s="196">
        <v>0.2</v>
      </c>
      <c r="CG105" s="196">
        <v>-2</v>
      </c>
      <c r="CH105" s="196">
        <v>-2.2999999999999998</v>
      </c>
      <c r="CI105" s="196">
        <v>-1.6</v>
      </c>
      <c r="CJ105" s="196">
        <v>-0.1</v>
      </c>
      <c r="CK105" s="196">
        <v>-0.2</v>
      </c>
      <c r="CL105" s="196">
        <v>-1.7</v>
      </c>
      <c r="CM105" s="196">
        <v>-1.7</v>
      </c>
      <c r="CN105" s="196">
        <v>-0.5</v>
      </c>
      <c r="CO105" s="196">
        <v>2.9</v>
      </c>
      <c r="CP105" s="196">
        <v>2.9</v>
      </c>
      <c r="CQ105" s="196">
        <v>4.4000000000000004</v>
      </c>
      <c r="CR105" s="196">
        <v>1.6</v>
      </c>
      <c r="CS105" s="196">
        <v>0.2</v>
      </c>
      <c r="CT105" s="196">
        <v>0.7</v>
      </c>
      <c r="CU105" s="196">
        <v>-0.4</v>
      </c>
      <c r="CV105" s="196">
        <v>-2.9</v>
      </c>
      <c r="CW105" s="196">
        <v>-6.9</v>
      </c>
      <c r="CX105" s="196">
        <v>-6.9</v>
      </c>
      <c r="CY105" s="196">
        <v>-4.5999999999999996</v>
      </c>
      <c r="CZ105" s="196">
        <v>-4.7</v>
      </c>
      <c r="DA105" s="196">
        <v>-4.4000000000000004</v>
      </c>
      <c r="DB105" s="196">
        <v>-4.5</v>
      </c>
      <c r="DC105" s="196">
        <v>-5.5</v>
      </c>
      <c r="DD105" s="196">
        <v>-6.7</v>
      </c>
      <c r="DE105" s="196">
        <v>-7.4</v>
      </c>
      <c r="DF105" s="196">
        <v>-8</v>
      </c>
      <c r="DG105" s="196">
        <v>-6.8</v>
      </c>
      <c r="DH105" s="196">
        <v>-5.4</v>
      </c>
      <c r="DI105" s="196">
        <v>-3</v>
      </c>
      <c r="DJ105" s="196">
        <v>-3.9</v>
      </c>
      <c r="DK105" s="196">
        <v>-6.2</v>
      </c>
      <c r="DL105" s="196">
        <v>-5.2</v>
      </c>
      <c r="DM105" s="196">
        <v>-6.1</v>
      </c>
      <c r="DN105" s="196">
        <v>-5</v>
      </c>
      <c r="DO105" s="196">
        <v>-5.8</v>
      </c>
      <c r="DP105" s="196">
        <v>-4.9000000000000004</v>
      </c>
      <c r="DQ105" s="196">
        <v>-2.2999999999999998</v>
      </c>
      <c r="DR105" s="196">
        <v>-1.1000000000000001</v>
      </c>
      <c r="DS105" s="196">
        <v>-0.3</v>
      </c>
      <c r="DT105" s="196">
        <v>1.2</v>
      </c>
      <c r="DU105" s="196">
        <v>4.5</v>
      </c>
      <c r="DV105" s="196">
        <v>5.4</v>
      </c>
      <c r="DW105" s="196">
        <v>4.3</v>
      </c>
      <c r="DX105" s="196">
        <v>3.1</v>
      </c>
      <c r="DY105" s="196">
        <v>1.8</v>
      </c>
      <c r="DZ105" s="196">
        <v>0.8</v>
      </c>
      <c r="EA105" s="196">
        <v>0.5</v>
      </c>
      <c r="EB105" s="196">
        <v>2.4</v>
      </c>
      <c r="EC105" s="196">
        <v>1.9</v>
      </c>
      <c r="ED105" s="196">
        <v>1.8</v>
      </c>
      <c r="EE105" s="196">
        <v>2.4</v>
      </c>
      <c r="EF105" s="196">
        <v>1.9</v>
      </c>
      <c r="EG105" s="196">
        <v>0.6</v>
      </c>
      <c r="EH105" s="196">
        <v>0.3</v>
      </c>
      <c r="EI105" s="196">
        <v>-0.1</v>
      </c>
      <c r="EJ105" s="196">
        <v>1.3</v>
      </c>
      <c r="EK105" s="196">
        <v>3.7</v>
      </c>
      <c r="EL105" s="196">
        <v>5.2</v>
      </c>
      <c r="EM105" s="196">
        <v>5.6</v>
      </c>
      <c r="EN105" s="196">
        <v>4.9000000000000004</v>
      </c>
      <c r="EO105" s="196">
        <v>5.4</v>
      </c>
      <c r="EP105" s="196">
        <v>5.2</v>
      </c>
      <c r="EQ105" s="196">
        <v>2.4</v>
      </c>
      <c r="ER105" s="196">
        <v>0</v>
      </c>
      <c r="ES105" s="196">
        <v>-1.1000000000000001</v>
      </c>
      <c r="ET105" s="196">
        <v>-0.3</v>
      </c>
      <c r="EU105" s="196">
        <v>2.2000000000000002</v>
      </c>
      <c r="EV105" s="196">
        <v>2.5</v>
      </c>
      <c r="EW105" s="196">
        <v>1.3</v>
      </c>
      <c r="EX105" s="196">
        <v>-1.6</v>
      </c>
      <c r="EY105" s="196">
        <v>-1.5</v>
      </c>
      <c r="EZ105" s="196">
        <v>-1.9</v>
      </c>
      <c r="FA105" s="196">
        <v>-3.3</v>
      </c>
      <c r="FB105" s="196">
        <v>-2.4</v>
      </c>
      <c r="FC105" s="196">
        <v>-0.8</v>
      </c>
      <c r="FD105" s="196">
        <v>1.7</v>
      </c>
      <c r="FE105" s="196">
        <v>3.6</v>
      </c>
      <c r="FF105" s="196">
        <v>0.8</v>
      </c>
      <c r="FG105" s="196">
        <v>-3.3</v>
      </c>
    </row>
    <row r="106" spans="1:163" ht="14.25" customHeight="1">
      <c r="A106" s="262">
        <f t="shared" si="9"/>
        <v>-1.7</v>
      </c>
      <c r="B106" s="262">
        <f t="shared" si="10"/>
        <v>-1.3833333333333335</v>
      </c>
      <c r="C106" s="262">
        <f t="shared" si="11"/>
        <v>-0.26666666666666666</v>
      </c>
      <c r="D106" s="183" t="s">
        <v>1029</v>
      </c>
      <c r="E106" s="196">
        <v>-0.2</v>
      </c>
      <c r="F106" s="196">
        <v>-0.2</v>
      </c>
      <c r="G106" s="196">
        <v>-0.3</v>
      </c>
      <c r="H106" s="196">
        <v>-0.2</v>
      </c>
      <c r="I106" s="196">
        <v>-0.2</v>
      </c>
      <c r="J106" s="196">
        <v>-0.2</v>
      </c>
      <c r="K106" s="196">
        <v>-0.1</v>
      </c>
      <c r="L106" s="196">
        <v>-0.1</v>
      </c>
      <c r="M106" s="196">
        <v>-0.2</v>
      </c>
      <c r="N106" s="196">
        <v>-0.1</v>
      </c>
      <c r="O106" s="196">
        <v>-0.1</v>
      </c>
      <c r="P106" s="196">
        <v>-0.2</v>
      </c>
      <c r="Q106" s="196">
        <v>-1.2</v>
      </c>
      <c r="R106" s="196">
        <v>-1.3</v>
      </c>
      <c r="S106" s="196">
        <v>-1.2</v>
      </c>
      <c r="T106" s="196">
        <v>-1.3</v>
      </c>
      <c r="U106" s="196">
        <v>-1.3</v>
      </c>
      <c r="V106" s="196">
        <v>-1.3</v>
      </c>
      <c r="W106" s="196">
        <v>-1.3</v>
      </c>
      <c r="X106" s="196">
        <v>-1.4</v>
      </c>
      <c r="Y106" s="196">
        <v>-1.4</v>
      </c>
      <c r="Z106" s="196">
        <v>-1.6</v>
      </c>
      <c r="AA106" s="196">
        <v>-1.6</v>
      </c>
      <c r="AB106" s="196">
        <v>-1.7</v>
      </c>
      <c r="AC106" s="196">
        <v>-0.6</v>
      </c>
      <c r="AD106" s="196">
        <v>-0.5</v>
      </c>
      <c r="AE106" s="196">
        <v>-0.5</v>
      </c>
      <c r="AF106" s="196">
        <v>-0.5</v>
      </c>
      <c r="AG106" s="196">
        <v>-0.5</v>
      </c>
      <c r="AH106" s="196">
        <v>-0.5</v>
      </c>
      <c r="AI106" s="196">
        <v>-0.5</v>
      </c>
      <c r="AJ106" s="196">
        <v>-0.2</v>
      </c>
      <c r="AK106" s="196">
        <v>0</v>
      </c>
      <c r="AL106" s="196">
        <v>0.2</v>
      </c>
      <c r="AM106" s="196">
        <v>0.2</v>
      </c>
      <c r="AN106" s="196">
        <v>0.2</v>
      </c>
      <c r="AO106" s="196">
        <v>0.1</v>
      </c>
      <c r="AP106" s="196">
        <v>-0.1</v>
      </c>
      <c r="AQ106" s="196">
        <v>0</v>
      </c>
      <c r="AR106" s="196">
        <v>-0.7</v>
      </c>
      <c r="AS106" s="196">
        <v>-0.7</v>
      </c>
      <c r="AT106" s="196">
        <v>-0.7</v>
      </c>
      <c r="AU106" s="196">
        <v>-0.7</v>
      </c>
      <c r="AV106" s="196">
        <v>-1</v>
      </c>
      <c r="AW106" s="196">
        <v>-1.1000000000000001</v>
      </c>
      <c r="AX106" s="196">
        <v>-1.1000000000000001</v>
      </c>
      <c r="AY106" s="196">
        <v>-1.1000000000000001</v>
      </c>
      <c r="AZ106" s="196">
        <v>-1.1000000000000001</v>
      </c>
      <c r="BA106" s="196">
        <v>-1.1000000000000001</v>
      </c>
      <c r="BB106" s="196">
        <v>-0.7</v>
      </c>
      <c r="BC106" s="196">
        <v>-0.8</v>
      </c>
      <c r="BD106" s="196">
        <v>-0.1</v>
      </c>
      <c r="BE106" s="196">
        <v>-2.6</v>
      </c>
      <c r="BF106" s="196">
        <v>-2.6</v>
      </c>
      <c r="BG106" s="196">
        <v>-2.7</v>
      </c>
      <c r="BH106" s="196">
        <v>-5.5</v>
      </c>
      <c r="BI106" s="196">
        <v>-7.4</v>
      </c>
      <c r="BJ106" s="196">
        <v>-7.3</v>
      </c>
      <c r="BK106" s="196">
        <v>-7.4</v>
      </c>
      <c r="BL106" s="196">
        <v>-9.4</v>
      </c>
      <c r="BM106" s="196">
        <v>-9.4</v>
      </c>
      <c r="BN106" s="196">
        <v>-9.6</v>
      </c>
      <c r="BO106" s="196">
        <v>-8.6</v>
      </c>
      <c r="BP106" s="196">
        <v>-8.6</v>
      </c>
      <c r="BQ106" s="196">
        <v>-5.8</v>
      </c>
      <c r="BR106" s="196">
        <v>-5.4</v>
      </c>
      <c r="BS106" s="196">
        <v>-5.2</v>
      </c>
      <c r="BT106" s="196">
        <v>-2.5</v>
      </c>
      <c r="BU106" s="196">
        <v>-1.4</v>
      </c>
      <c r="BV106" s="196">
        <v>-1.4</v>
      </c>
      <c r="BW106" s="196">
        <v>-1.5</v>
      </c>
      <c r="BX106" s="196">
        <v>-0.8</v>
      </c>
      <c r="BY106" s="196">
        <v>0.7</v>
      </c>
      <c r="BZ106" s="196">
        <v>0.5</v>
      </c>
      <c r="CA106" s="196">
        <v>-0.6</v>
      </c>
      <c r="CB106" s="196">
        <v>-0.7</v>
      </c>
      <c r="CC106" s="196">
        <v>-3</v>
      </c>
      <c r="CD106" s="196">
        <v>-3.4</v>
      </c>
      <c r="CE106" s="196">
        <v>-3.5</v>
      </c>
      <c r="CF106" s="196">
        <v>-3.6</v>
      </c>
      <c r="CG106" s="196">
        <v>-2.7</v>
      </c>
      <c r="CH106" s="196">
        <v>-2.8</v>
      </c>
      <c r="CI106" s="196">
        <v>-2.6</v>
      </c>
      <c r="CJ106" s="196">
        <v>-1.1000000000000001</v>
      </c>
      <c r="CK106" s="196">
        <v>-2.6</v>
      </c>
      <c r="CL106" s="196">
        <v>-1.8</v>
      </c>
      <c r="CM106" s="196">
        <v>-1.8</v>
      </c>
      <c r="CN106" s="196">
        <v>-2.2000000000000002</v>
      </c>
      <c r="CO106" s="196">
        <v>-0.2</v>
      </c>
      <c r="CP106" s="196">
        <v>0.1</v>
      </c>
      <c r="CQ106" s="196">
        <v>0.2</v>
      </c>
      <c r="CR106" s="196">
        <v>0.4</v>
      </c>
      <c r="CS106" s="196">
        <v>0.4</v>
      </c>
      <c r="CT106" s="196">
        <v>1.4</v>
      </c>
      <c r="CU106" s="196">
        <v>1.4</v>
      </c>
      <c r="CV106" s="196">
        <v>1.5</v>
      </c>
      <c r="CW106" s="196">
        <v>1.7</v>
      </c>
      <c r="CX106" s="196">
        <v>1.1000000000000001</v>
      </c>
      <c r="CY106" s="196">
        <v>1.1000000000000001</v>
      </c>
      <c r="CZ106" s="196">
        <v>1.7</v>
      </c>
      <c r="DA106" s="196">
        <v>1.7</v>
      </c>
      <c r="DB106" s="196">
        <v>1.3</v>
      </c>
      <c r="DC106" s="196">
        <v>1.3</v>
      </c>
      <c r="DD106" s="196">
        <v>1</v>
      </c>
      <c r="DE106" s="196">
        <v>1</v>
      </c>
      <c r="DF106" s="196">
        <v>-0.5</v>
      </c>
      <c r="DG106" s="196">
        <v>-0.3</v>
      </c>
      <c r="DH106" s="196">
        <v>-0.4</v>
      </c>
      <c r="DI106" s="196">
        <v>-0.6</v>
      </c>
      <c r="DJ106" s="196">
        <v>-0.6</v>
      </c>
      <c r="DK106" s="196">
        <v>-0.9</v>
      </c>
      <c r="DL106" s="196">
        <v>-1.1000000000000001</v>
      </c>
      <c r="DM106" s="196">
        <v>-3.3</v>
      </c>
      <c r="DN106" s="196">
        <v>-3.2</v>
      </c>
      <c r="DO106" s="196">
        <v>-3.2</v>
      </c>
      <c r="DP106" s="196">
        <v>-3.1</v>
      </c>
      <c r="DQ106" s="196">
        <v>-3.3</v>
      </c>
      <c r="DR106" s="196">
        <v>-2.8</v>
      </c>
      <c r="DS106" s="196">
        <v>-3</v>
      </c>
      <c r="DT106" s="196">
        <v>-2.9</v>
      </c>
      <c r="DU106" s="196">
        <v>-2.7</v>
      </c>
      <c r="DV106" s="196">
        <v>-2.7</v>
      </c>
      <c r="DW106" s="196">
        <v>-2.7</v>
      </c>
      <c r="DX106" s="196">
        <v>-3.1</v>
      </c>
      <c r="DY106" s="196">
        <v>-1.6</v>
      </c>
      <c r="DZ106" s="196">
        <v>-0.3</v>
      </c>
      <c r="EA106" s="196">
        <v>-1.2</v>
      </c>
      <c r="EB106" s="196">
        <v>-1.1000000000000001</v>
      </c>
      <c r="EC106" s="196">
        <v>-1</v>
      </c>
      <c r="ED106" s="196">
        <v>-1.2</v>
      </c>
      <c r="EE106" s="196">
        <v>-0.5</v>
      </c>
      <c r="EF106" s="196">
        <v>-0.7</v>
      </c>
      <c r="EG106" s="196">
        <v>-0.8</v>
      </c>
      <c r="EH106" s="196">
        <v>-0.7</v>
      </c>
      <c r="EI106" s="196">
        <v>-0.4</v>
      </c>
      <c r="EJ106" s="196">
        <v>0.1</v>
      </c>
      <c r="EK106" s="196">
        <v>0.8</v>
      </c>
      <c r="EL106" s="196">
        <v>-0.5</v>
      </c>
      <c r="EM106" s="196">
        <v>0.2</v>
      </c>
      <c r="EN106" s="196">
        <v>0</v>
      </c>
      <c r="EO106" s="196">
        <v>0.3</v>
      </c>
      <c r="EP106" s="196">
        <v>0.4</v>
      </c>
      <c r="EQ106" s="196">
        <v>-0.3</v>
      </c>
      <c r="ER106" s="196">
        <v>-0.3</v>
      </c>
      <c r="ES106" s="196">
        <v>-0.4</v>
      </c>
      <c r="ET106" s="196">
        <v>-0.4</v>
      </c>
      <c r="EU106" s="196">
        <v>-0.3</v>
      </c>
      <c r="EV106" s="196">
        <v>-0.6</v>
      </c>
      <c r="EW106" s="196">
        <v>-1.8</v>
      </c>
      <c r="EX106" s="196">
        <v>-0.5</v>
      </c>
      <c r="EY106" s="196">
        <v>-0.5</v>
      </c>
      <c r="EZ106" s="196">
        <v>-0.4</v>
      </c>
      <c r="FA106" s="196">
        <v>0.3</v>
      </c>
      <c r="FB106" s="196">
        <v>0.3</v>
      </c>
      <c r="FC106" s="196">
        <v>0.2</v>
      </c>
      <c r="FD106" s="196">
        <v>0</v>
      </c>
      <c r="FE106" s="196">
        <v>0.3</v>
      </c>
      <c r="FF106" s="196">
        <v>0.2</v>
      </c>
      <c r="FG106" s="196">
        <v>0.4</v>
      </c>
    </row>
    <row r="107" spans="1:163" ht="14.25" customHeight="1">
      <c r="A107" s="262">
        <f t="shared" si="9"/>
        <v>0.7</v>
      </c>
      <c r="B107" s="262">
        <f t="shared" si="10"/>
        <v>1.4833333333333332</v>
      </c>
      <c r="C107" s="262">
        <f t="shared" si="11"/>
        <v>1.8666666666666665</v>
      </c>
      <c r="D107" s="183" t="s">
        <v>1031</v>
      </c>
      <c r="E107" s="196">
        <v>0.5</v>
      </c>
      <c r="F107" s="196">
        <v>0.9</v>
      </c>
      <c r="G107" s="196">
        <v>1.8</v>
      </c>
      <c r="H107" s="196">
        <v>1.7</v>
      </c>
      <c r="I107" s="196">
        <v>1.9</v>
      </c>
      <c r="J107" s="196">
        <v>1</v>
      </c>
      <c r="K107" s="196">
        <v>1.2</v>
      </c>
      <c r="L107" s="196">
        <v>2.2000000000000002</v>
      </c>
      <c r="M107" s="196">
        <v>2.4</v>
      </c>
      <c r="N107" s="196">
        <v>2.1</v>
      </c>
      <c r="O107" s="196">
        <v>2.2000000000000002</v>
      </c>
      <c r="P107" s="196">
        <v>2.2999999999999998</v>
      </c>
      <c r="Q107" s="196">
        <v>2.4</v>
      </c>
      <c r="R107" s="196">
        <v>1.8</v>
      </c>
      <c r="S107" s="196">
        <v>1.1000000000000001</v>
      </c>
      <c r="T107" s="196">
        <v>1</v>
      </c>
      <c r="U107" s="196">
        <v>0.7</v>
      </c>
      <c r="V107" s="196">
        <v>2</v>
      </c>
      <c r="W107" s="196">
        <v>1.5</v>
      </c>
      <c r="X107" s="196">
        <v>1.6</v>
      </c>
      <c r="Y107" s="196">
        <v>1.6</v>
      </c>
      <c r="Z107" s="196">
        <v>1.7</v>
      </c>
      <c r="AA107" s="196">
        <v>1.4</v>
      </c>
      <c r="AB107" s="196">
        <v>1</v>
      </c>
      <c r="AC107" s="196">
        <v>1</v>
      </c>
      <c r="AD107" s="196">
        <v>1.7</v>
      </c>
      <c r="AE107" s="196">
        <v>2.2000000000000002</v>
      </c>
      <c r="AF107" s="196">
        <v>2</v>
      </c>
      <c r="AG107" s="196">
        <v>2</v>
      </c>
      <c r="AH107" s="196">
        <v>1.9</v>
      </c>
      <c r="AI107" s="196">
        <v>2.7</v>
      </c>
      <c r="AJ107" s="196">
        <v>1.6</v>
      </c>
      <c r="AK107" s="196">
        <v>1.4</v>
      </c>
      <c r="AL107" s="196">
        <v>1.8</v>
      </c>
      <c r="AM107" s="196">
        <v>1.9</v>
      </c>
      <c r="AN107" s="196">
        <v>2.2000000000000002</v>
      </c>
      <c r="AO107" s="196">
        <v>1.7</v>
      </c>
      <c r="AP107" s="196">
        <v>1.7</v>
      </c>
      <c r="AQ107" s="196">
        <v>1.4</v>
      </c>
      <c r="AR107" s="196">
        <v>1.4</v>
      </c>
      <c r="AS107" s="196">
        <v>2.2000000000000002</v>
      </c>
      <c r="AT107" s="196">
        <v>2</v>
      </c>
      <c r="AU107" s="196">
        <v>2.4</v>
      </c>
      <c r="AV107" s="196">
        <v>2.5</v>
      </c>
      <c r="AW107" s="196">
        <v>1.1000000000000001</v>
      </c>
      <c r="AX107" s="196">
        <v>0.4</v>
      </c>
      <c r="AY107" s="196">
        <v>-0.1</v>
      </c>
      <c r="AZ107" s="196">
        <v>-0.8</v>
      </c>
      <c r="BA107" s="196">
        <v>-0.9</v>
      </c>
      <c r="BB107" s="196">
        <v>-1.6</v>
      </c>
      <c r="BC107" s="196">
        <v>-1.6</v>
      </c>
      <c r="BD107" s="196">
        <v>-1.4</v>
      </c>
      <c r="BE107" s="196">
        <v>-2.1</v>
      </c>
      <c r="BF107" s="196">
        <v>-2.7</v>
      </c>
      <c r="BG107" s="196">
        <v>-3.7</v>
      </c>
      <c r="BH107" s="196">
        <v>-3.5</v>
      </c>
      <c r="BI107" s="196">
        <v>-2</v>
      </c>
      <c r="BJ107" s="196">
        <v>-0.9</v>
      </c>
      <c r="BK107" s="196">
        <v>-0.9</v>
      </c>
      <c r="BL107" s="196">
        <v>-0.5</v>
      </c>
      <c r="BM107" s="196">
        <v>0</v>
      </c>
      <c r="BN107" s="196">
        <v>0.4</v>
      </c>
      <c r="BO107" s="196">
        <v>1.7</v>
      </c>
      <c r="BP107" s="196">
        <v>2.4</v>
      </c>
      <c r="BQ107" s="196">
        <v>3.6</v>
      </c>
      <c r="BR107" s="196">
        <v>4.2</v>
      </c>
      <c r="BS107" s="196">
        <v>5</v>
      </c>
      <c r="BT107" s="196">
        <v>5</v>
      </c>
      <c r="BU107" s="196">
        <v>3.7</v>
      </c>
      <c r="BV107" s="196">
        <v>4.5999999999999996</v>
      </c>
      <c r="BW107" s="196">
        <v>3.6</v>
      </c>
      <c r="BX107" s="196">
        <v>3.5</v>
      </c>
      <c r="BY107" s="196">
        <v>3.7</v>
      </c>
      <c r="BZ107" s="196">
        <v>4.2</v>
      </c>
      <c r="CA107" s="196">
        <v>3.7</v>
      </c>
      <c r="CB107" s="196">
        <v>3.4</v>
      </c>
      <c r="CC107" s="196">
        <v>2</v>
      </c>
      <c r="CD107" s="196">
        <v>1.9</v>
      </c>
      <c r="CE107" s="196">
        <v>2.6</v>
      </c>
      <c r="CF107" s="196">
        <v>2.8</v>
      </c>
      <c r="CG107" s="196">
        <v>1.9</v>
      </c>
      <c r="CH107" s="196">
        <v>0.6</v>
      </c>
      <c r="CI107" s="196">
        <v>0.7</v>
      </c>
      <c r="CJ107" s="196">
        <v>1.6</v>
      </c>
      <c r="CK107" s="196">
        <v>2</v>
      </c>
      <c r="CL107" s="196">
        <v>1.6</v>
      </c>
      <c r="CM107" s="196">
        <v>0.6</v>
      </c>
      <c r="CN107" s="196">
        <v>0.1</v>
      </c>
      <c r="CO107" s="196">
        <v>1.5</v>
      </c>
      <c r="CP107" s="196">
        <v>1.8</v>
      </c>
      <c r="CQ107" s="196">
        <v>1.8</v>
      </c>
      <c r="CR107" s="196">
        <v>3.5</v>
      </c>
      <c r="CS107" s="196">
        <v>3.9</v>
      </c>
      <c r="CT107" s="196">
        <v>3.6</v>
      </c>
      <c r="CU107" s="196">
        <v>3</v>
      </c>
      <c r="CV107" s="196">
        <v>2.2999999999999998</v>
      </c>
      <c r="CW107" s="196">
        <v>1.7</v>
      </c>
      <c r="CX107" s="196">
        <v>0.8</v>
      </c>
      <c r="CY107" s="196">
        <v>1.4</v>
      </c>
      <c r="CZ107" s="196">
        <v>2.9</v>
      </c>
      <c r="DA107" s="196">
        <v>3</v>
      </c>
      <c r="DB107" s="196">
        <v>2.6</v>
      </c>
      <c r="DC107" s="196">
        <v>2.5</v>
      </c>
      <c r="DD107" s="196">
        <v>1.5</v>
      </c>
      <c r="DE107" s="196">
        <v>0.3</v>
      </c>
      <c r="DF107" s="196">
        <v>-0.9</v>
      </c>
      <c r="DG107" s="196">
        <v>-0.5</v>
      </c>
      <c r="DH107" s="196">
        <v>-0.7</v>
      </c>
      <c r="DI107" s="196">
        <v>-0.6</v>
      </c>
      <c r="DJ107" s="196">
        <v>0.1</v>
      </c>
      <c r="DK107" s="196">
        <v>-0.2</v>
      </c>
      <c r="DL107" s="196">
        <v>-1.8</v>
      </c>
      <c r="DM107" s="196">
        <v>-3.1</v>
      </c>
      <c r="DN107" s="196">
        <v>-3.9</v>
      </c>
      <c r="DO107" s="196">
        <v>-5.2</v>
      </c>
      <c r="DP107" s="196">
        <v>-5.5</v>
      </c>
      <c r="DQ107" s="196">
        <v>-2.6</v>
      </c>
      <c r="DR107" s="196">
        <v>0</v>
      </c>
      <c r="DS107" s="196">
        <v>1.2</v>
      </c>
      <c r="DT107" s="196">
        <v>1.8</v>
      </c>
      <c r="DU107" s="196">
        <v>1.6</v>
      </c>
      <c r="DV107" s="196">
        <v>1.8</v>
      </c>
      <c r="DW107" s="196">
        <v>1.4</v>
      </c>
      <c r="DX107" s="196">
        <v>0.9</v>
      </c>
      <c r="DY107" s="196">
        <v>1.2</v>
      </c>
      <c r="DZ107" s="196">
        <v>1.3</v>
      </c>
      <c r="EA107" s="196">
        <v>1.3</v>
      </c>
      <c r="EB107" s="196">
        <v>0.8</v>
      </c>
      <c r="EC107" s="196">
        <v>0.9</v>
      </c>
      <c r="ED107" s="196">
        <v>0.6</v>
      </c>
      <c r="EE107" s="196">
        <v>1</v>
      </c>
      <c r="EF107" s="196">
        <v>0.4</v>
      </c>
      <c r="EG107" s="196">
        <v>0.3</v>
      </c>
      <c r="EH107" s="196">
        <v>0.1</v>
      </c>
      <c r="EI107" s="196">
        <v>0.5</v>
      </c>
      <c r="EJ107" s="196">
        <v>1.2</v>
      </c>
      <c r="EK107" s="196">
        <v>1</v>
      </c>
      <c r="EL107" s="196">
        <v>1</v>
      </c>
      <c r="EM107" s="196">
        <v>0.3</v>
      </c>
      <c r="EN107" s="196">
        <v>0.4</v>
      </c>
      <c r="EO107" s="196">
        <v>1.3</v>
      </c>
      <c r="EP107" s="196">
        <v>1.6</v>
      </c>
      <c r="EQ107" s="196">
        <v>1.1000000000000001</v>
      </c>
      <c r="ER107" s="196">
        <v>0.9</v>
      </c>
      <c r="ES107" s="196">
        <v>0.9</v>
      </c>
      <c r="ET107" s="196">
        <v>0.8</v>
      </c>
      <c r="EU107" s="196">
        <v>0.9</v>
      </c>
      <c r="EV107" s="196">
        <v>0.7</v>
      </c>
      <c r="EW107" s="196">
        <v>0.6</v>
      </c>
      <c r="EX107" s="196">
        <v>0.7</v>
      </c>
      <c r="EY107" s="196">
        <v>1.8</v>
      </c>
      <c r="EZ107" s="196">
        <v>1.6</v>
      </c>
      <c r="FA107" s="196">
        <v>-0.1</v>
      </c>
      <c r="FB107" s="196">
        <v>-0.2</v>
      </c>
      <c r="FC107" s="196">
        <v>-0.2</v>
      </c>
      <c r="FD107" s="196">
        <v>-0.2</v>
      </c>
      <c r="FE107" s="196">
        <v>0.4</v>
      </c>
      <c r="FF107" s="196">
        <v>0.4</v>
      </c>
      <c r="FG107" s="196">
        <v>0</v>
      </c>
    </row>
    <row r="108" spans="1:163" ht="14.25" customHeight="1">
      <c r="A108" s="262">
        <f t="shared" si="9"/>
        <v>1.9</v>
      </c>
      <c r="B108" s="262">
        <f t="shared" si="10"/>
        <v>2.4083333333333337</v>
      </c>
      <c r="C108" s="262">
        <f t="shared" si="11"/>
        <v>2.5333333333333337</v>
      </c>
      <c r="D108" s="183" t="s">
        <v>1032</v>
      </c>
      <c r="E108" s="196">
        <v>0.2</v>
      </c>
      <c r="F108" s="196">
        <v>0.1</v>
      </c>
      <c r="G108" s="196">
        <v>0.2</v>
      </c>
      <c r="H108" s="196">
        <v>0.2</v>
      </c>
      <c r="I108" s="196">
        <v>0.2</v>
      </c>
      <c r="J108" s="196">
        <v>0.2</v>
      </c>
      <c r="K108" s="196">
        <v>0.7</v>
      </c>
      <c r="L108" s="196">
        <v>0.8</v>
      </c>
      <c r="M108" s="196">
        <v>2.2999999999999998</v>
      </c>
      <c r="N108" s="196">
        <v>2.2999999999999998</v>
      </c>
      <c r="O108" s="196">
        <v>2.2999999999999998</v>
      </c>
      <c r="P108" s="196">
        <v>2.2999999999999998</v>
      </c>
      <c r="Q108" s="196">
        <v>2.2999999999999998</v>
      </c>
      <c r="R108" s="196">
        <v>2.8</v>
      </c>
      <c r="S108" s="196">
        <v>2.6</v>
      </c>
      <c r="T108" s="196">
        <v>2.6</v>
      </c>
      <c r="U108" s="196">
        <v>2.6</v>
      </c>
      <c r="V108" s="196">
        <v>2.2000000000000002</v>
      </c>
      <c r="W108" s="196">
        <v>2.1</v>
      </c>
      <c r="X108" s="196">
        <v>2.1</v>
      </c>
      <c r="Y108" s="196">
        <v>2</v>
      </c>
      <c r="Z108" s="196">
        <v>2</v>
      </c>
      <c r="AA108" s="196">
        <v>2.8</v>
      </c>
      <c r="AB108" s="196">
        <v>2.8</v>
      </c>
      <c r="AC108" s="196">
        <v>2.8</v>
      </c>
      <c r="AD108" s="196">
        <v>2.6</v>
      </c>
      <c r="AE108" s="196">
        <v>2.6</v>
      </c>
      <c r="AF108" s="196">
        <v>2.6</v>
      </c>
      <c r="AG108" s="196">
        <v>2.6</v>
      </c>
      <c r="AH108" s="196">
        <v>3.1</v>
      </c>
      <c r="AI108" s="196">
        <v>2.6</v>
      </c>
      <c r="AJ108" s="196">
        <v>2.5</v>
      </c>
      <c r="AK108" s="196">
        <v>2.6</v>
      </c>
      <c r="AL108" s="196">
        <v>2.6</v>
      </c>
      <c r="AM108" s="196">
        <v>1.9</v>
      </c>
      <c r="AN108" s="196">
        <v>1.9</v>
      </c>
      <c r="AO108" s="196">
        <v>1.9</v>
      </c>
      <c r="AP108" s="196">
        <v>1.7</v>
      </c>
      <c r="AQ108" s="196">
        <v>1.7</v>
      </c>
      <c r="AR108" s="196">
        <v>1.6</v>
      </c>
      <c r="AS108" s="196">
        <v>1.5</v>
      </c>
      <c r="AT108" s="196">
        <v>1.5</v>
      </c>
      <c r="AU108" s="196">
        <v>1.6</v>
      </c>
      <c r="AV108" s="196">
        <v>1.7</v>
      </c>
      <c r="AW108" s="196">
        <v>-8.8000000000000007</v>
      </c>
      <c r="AX108" s="196">
        <v>-8.8000000000000007</v>
      </c>
      <c r="AY108" s="196">
        <v>-8.9</v>
      </c>
      <c r="AZ108" s="196">
        <v>-8.9</v>
      </c>
      <c r="BA108" s="196">
        <v>-8.9</v>
      </c>
      <c r="BB108" s="196">
        <v>-8.9</v>
      </c>
      <c r="BC108" s="196">
        <v>-8.9</v>
      </c>
      <c r="BD108" s="196">
        <v>-8.9</v>
      </c>
      <c r="BE108" s="196">
        <v>-8.9</v>
      </c>
      <c r="BF108" s="196">
        <v>-8.9</v>
      </c>
      <c r="BG108" s="196">
        <v>-9.4</v>
      </c>
      <c r="BH108" s="196">
        <v>-9.4</v>
      </c>
      <c r="BI108" s="196">
        <v>0.7</v>
      </c>
      <c r="BJ108" s="196">
        <v>0.9</v>
      </c>
      <c r="BK108" s="196">
        <v>1.1000000000000001</v>
      </c>
      <c r="BL108" s="196">
        <v>1.1000000000000001</v>
      </c>
      <c r="BM108" s="196">
        <v>-0.8</v>
      </c>
      <c r="BN108" s="196">
        <v>-0.8</v>
      </c>
      <c r="BO108" s="196">
        <v>-0.8</v>
      </c>
      <c r="BP108" s="196">
        <v>-0.8</v>
      </c>
      <c r="BQ108" s="196">
        <v>-0.5</v>
      </c>
      <c r="BR108" s="196">
        <v>-0.4</v>
      </c>
      <c r="BS108" s="196">
        <v>0.1</v>
      </c>
      <c r="BT108" s="196">
        <v>-0.6</v>
      </c>
      <c r="BU108" s="196">
        <v>-0.7</v>
      </c>
      <c r="BV108" s="196">
        <v>-1</v>
      </c>
      <c r="BW108" s="196">
        <v>-1</v>
      </c>
      <c r="BX108" s="196">
        <v>-1</v>
      </c>
      <c r="BY108" s="196">
        <v>0.9</v>
      </c>
      <c r="BZ108" s="196">
        <v>0.9</v>
      </c>
      <c r="CA108" s="196">
        <v>0.8</v>
      </c>
      <c r="CB108" s="196">
        <v>0.8</v>
      </c>
      <c r="CC108" s="196">
        <v>0.5</v>
      </c>
      <c r="CD108" s="196">
        <v>0.5</v>
      </c>
      <c r="CE108" s="196">
        <v>0.3</v>
      </c>
      <c r="CF108" s="196">
        <v>0.9</v>
      </c>
      <c r="CG108" s="196">
        <v>0.1</v>
      </c>
      <c r="CH108" s="196">
        <v>0</v>
      </c>
      <c r="CI108" s="196">
        <v>0</v>
      </c>
      <c r="CJ108" s="196">
        <v>0</v>
      </c>
      <c r="CK108" s="196">
        <v>0</v>
      </c>
      <c r="CL108" s="196">
        <v>0</v>
      </c>
      <c r="CM108" s="196">
        <v>0</v>
      </c>
      <c r="CN108" s="196">
        <v>0</v>
      </c>
      <c r="CO108" s="196">
        <v>0</v>
      </c>
      <c r="CP108" s="196">
        <v>0</v>
      </c>
      <c r="CQ108" s="196">
        <v>0.2</v>
      </c>
      <c r="CR108" s="196">
        <v>0.2</v>
      </c>
      <c r="CS108" s="196">
        <v>0.1</v>
      </c>
      <c r="CT108" s="196">
        <v>0.1</v>
      </c>
      <c r="CU108" s="196">
        <v>0.1</v>
      </c>
      <c r="CV108" s="196">
        <v>0.2</v>
      </c>
      <c r="CW108" s="196">
        <v>0.3</v>
      </c>
      <c r="CX108" s="196">
        <v>0.1</v>
      </c>
      <c r="CY108" s="196">
        <v>0.1</v>
      </c>
      <c r="CZ108" s="196">
        <v>0.1</v>
      </c>
      <c r="DA108" s="196">
        <v>0.1</v>
      </c>
      <c r="DB108" s="196">
        <v>0.1</v>
      </c>
      <c r="DC108" s="196">
        <v>-0.8</v>
      </c>
      <c r="DD108" s="196">
        <v>-0.9</v>
      </c>
      <c r="DE108" s="196">
        <v>-1</v>
      </c>
      <c r="DF108" s="196">
        <v>-1.1000000000000001</v>
      </c>
      <c r="DG108" s="196">
        <v>-1.1000000000000001</v>
      </c>
      <c r="DH108" s="196">
        <v>-1.1000000000000001</v>
      </c>
      <c r="DI108" s="196">
        <v>-1.2</v>
      </c>
      <c r="DJ108" s="196">
        <v>-1</v>
      </c>
      <c r="DK108" s="196">
        <v>-1</v>
      </c>
      <c r="DL108" s="196">
        <v>-1</v>
      </c>
      <c r="DM108" s="196">
        <v>-1</v>
      </c>
      <c r="DN108" s="196">
        <v>-0.9</v>
      </c>
      <c r="DO108" s="196">
        <v>0.6</v>
      </c>
      <c r="DP108" s="196">
        <v>0.7</v>
      </c>
      <c r="DQ108" s="196">
        <v>0.7</v>
      </c>
      <c r="DR108" s="196">
        <v>1.1000000000000001</v>
      </c>
      <c r="DS108" s="196">
        <v>1.1000000000000001</v>
      </c>
      <c r="DT108" s="196">
        <v>1.1000000000000001</v>
      </c>
      <c r="DU108" s="196">
        <v>1.1000000000000001</v>
      </c>
      <c r="DV108" s="196">
        <v>1.1000000000000001</v>
      </c>
      <c r="DW108" s="196">
        <v>1.1000000000000001</v>
      </c>
      <c r="DX108" s="196">
        <v>1.1000000000000001</v>
      </c>
      <c r="DY108" s="196">
        <v>1.1000000000000001</v>
      </c>
      <c r="DZ108" s="196">
        <v>1</v>
      </c>
      <c r="EA108" s="196">
        <v>0.3</v>
      </c>
      <c r="EB108" s="196">
        <v>0.3</v>
      </c>
      <c r="EC108" s="196">
        <v>0.7</v>
      </c>
      <c r="ED108" s="196">
        <v>0.4</v>
      </c>
      <c r="EE108" s="196">
        <v>0.4</v>
      </c>
      <c r="EF108" s="196">
        <v>0.5</v>
      </c>
      <c r="EG108" s="196">
        <v>0.4</v>
      </c>
      <c r="EH108" s="196">
        <v>0.3</v>
      </c>
      <c r="EI108" s="196">
        <v>0.3</v>
      </c>
      <c r="EJ108" s="196">
        <v>0.4</v>
      </c>
      <c r="EK108" s="196">
        <v>0.4</v>
      </c>
      <c r="EL108" s="196">
        <v>0.4</v>
      </c>
      <c r="EM108" s="196">
        <v>0.1</v>
      </c>
      <c r="EN108" s="196">
        <v>0.1</v>
      </c>
      <c r="EO108" s="196">
        <v>-0.2</v>
      </c>
      <c r="EP108" s="196">
        <v>0.8</v>
      </c>
      <c r="EQ108" s="196">
        <v>0.8</v>
      </c>
      <c r="ER108" s="196">
        <v>0.7</v>
      </c>
      <c r="ES108" s="196">
        <v>0.8</v>
      </c>
      <c r="ET108" s="196">
        <v>0.9</v>
      </c>
      <c r="EU108" s="196">
        <v>0.8</v>
      </c>
      <c r="EV108" s="196">
        <v>0.8</v>
      </c>
      <c r="EW108" s="196">
        <v>0.8</v>
      </c>
      <c r="EX108" s="196">
        <v>1</v>
      </c>
      <c r="EY108" s="196">
        <v>1.1000000000000001</v>
      </c>
      <c r="EZ108" s="196">
        <v>1.1000000000000001</v>
      </c>
      <c r="FA108" s="196">
        <v>1.2</v>
      </c>
      <c r="FB108" s="196">
        <v>0.3</v>
      </c>
      <c r="FC108" s="196">
        <v>0.3</v>
      </c>
      <c r="FD108" s="196">
        <v>0.3</v>
      </c>
      <c r="FE108" s="196">
        <v>0.4</v>
      </c>
      <c r="FF108" s="196">
        <v>0.4</v>
      </c>
      <c r="FG108" s="196">
        <v>-0.6</v>
      </c>
    </row>
    <row r="109" spans="1:163" ht="14.25" customHeight="1">
      <c r="A109" s="262">
        <f t="shared" si="9"/>
        <v>2.5</v>
      </c>
      <c r="B109" s="262">
        <f t="shared" si="10"/>
        <v>5.625</v>
      </c>
      <c r="C109" s="262">
        <f t="shared" si="11"/>
        <v>4.55</v>
      </c>
      <c r="D109" s="183" t="s">
        <v>1033</v>
      </c>
      <c r="E109" s="196">
        <v>2.6</v>
      </c>
      <c r="F109" s="196">
        <v>2.5</v>
      </c>
      <c r="G109" s="196">
        <v>2.7</v>
      </c>
      <c r="H109" s="196">
        <v>2.5</v>
      </c>
      <c r="I109" s="196">
        <v>2.1</v>
      </c>
      <c r="J109" s="196">
        <v>0.4</v>
      </c>
      <c r="K109" s="196">
        <v>1.9</v>
      </c>
      <c r="L109" s="196">
        <v>1.4</v>
      </c>
      <c r="M109" s="196">
        <v>1.4</v>
      </c>
      <c r="N109" s="196">
        <v>1.8</v>
      </c>
      <c r="O109" s="196">
        <v>1.9</v>
      </c>
      <c r="P109" s="196">
        <v>2</v>
      </c>
      <c r="Q109" s="196">
        <v>2.5</v>
      </c>
      <c r="R109" s="196">
        <v>3.4</v>
      </c>
      <c r="S109" s="196">
        <v>4.4000000000000004</v>
      </c>
      <c r="T109" s="196">
        <v>4.5</v>
      </c>
      <c r="U109" s="196">
        <v>6</v>
      </c>
      <c r="V109" s="196">
        <v>6.4</v>
      </c>
      <c r="W109" s="196">
        <v>6.5</v>
      </c>
      <c r="X109" s="196">
        <v>6.9</v>
      </c>
      <c r="Y109" s="196">
        <v>7.2</v>
      </c>
      <c r="Z109" s="196">
        <v>6.7</v>
      </c>
      <c r="AA109" s="196">
        <v>6.5</v>
      </c>
      <c r="AB109" s="196">
        <v>6.5</v>
      </c>
      <c r="AC109" s="196">
        <v>6.1</v>
      </c>
      <c r="AD109" s="196">
        <v>6.4</v>
      </c>
      <c r="AE109" s="196">
        <v>5.2</v>
      </c>
      <c r="AF109" s="196">
        <v>4.5999999999999996</v>
      </c>
      <c r="AG109" s="196">
        <v>3.6</v>
      </c>
      <c r="AH109" s="196">
        <v>4.5999999999999996</v>
      </c>
      <c r="AI109" s="196">
        <v>5</v>
      </c>
      <c r="AJ109" s="196">
        <v>4.4000000000000004</v>
      </c>
      <c r="AK109" s="196">
        <v>3.4</v>
      </c>
      <c r="AL109" s="196">
        <v>3.5</v>
      </c>
      <c r="AM109" s="196">
        <v>4.0999999999999996</v>
      </c>
      <c r="AN109" s="196">
        <v>3.7</v>
      </c>
      <c r="AO109" s="196">
        <v>4</v>
      </c>
      <c r="AP109" s="196">
        <v>2.8</v>
      </c>
      <c r="AQ109" s="196">
        <v>2.8</v>
      </c>
      <c r="AR109" s="196">
        <v>2.8</v>
      </c>
      <c r="AS109" s="196">
        <v>2.2999999999999998</v>
      </c>
      <c r="AT109" s="196">
        <v>2.2000000000000002</v>
      </c>
      <c r="AU109" s="196">
        <v>2</v>
      </c>
      <c r="AV109" s="196">
        <v>2.7</v>
      </c>
      <c r="AW109" s="196">
        <v>2.1</v>
      </c>
      <c r="AX109" s="196">
        <v>2.2000000000000002</v>
      </c>
      <c r="AY109" s="196">
        <v>1.1000000000000001</v>
      </c>
      <c r="AZ109" s="196">
        <v>0.3</v>
      </c>
      <c r="BA109" s="196">
        <v>0.1</v>
      </c>
      <c r="BB109" s="196">
        <v>0.1</v>
      </c>
      <c r="BC109" s="196">
        <v>0.2</v>
      </c>
      <c r="BD109" s="196">
        <v>0.5</v>
      </c>
      <c r="BE109" s="196">
        <v>0.3</v>
      </c>
      <c r="BF109" s="196">
        <v>1.3</v>
      </c>
      <c r="BG109" s="196">
        <v>1.9</v>
      </c>
      <c r="BH109" s="196">
        <v>2</v>
      </c>
      <c r="BI109" s="196">
        <v>0.7</v>
      </c>
      <c r="BJ109" s="196">
        <v>0.4</v>
      </c>
      <c r="BK109" s="196">
        <v>0.5</v>
      </c>
      <c r="BL109" s="196">
        <v>0.9</v>
      </c>
      <c r="BM109" s="196">
        <v>0.7</v>
      </c>
      <c r="BN109" s="196">
        <v>0.3</v>
      </c>
      <c r="BO109" s="196">
        <v>1.6</v>
      </c>
      <c r="BP109" s="196">
        <v>1.8</v>
      </c>
      <c r="BQ109" s="196">
        <v>-0.8</v>
      </c>
      <c r="BR109" s="196">
        <v>-2.2999999999999998</v>
      </c>
      <c r="BS109" s="196">
        <v>-4.3</v>
      </c>
      <c r="BT109" s="196">
        <v>-4.3</v>
      </c>
      <c r="BU109" s="196">
        <v>-1.2</v>
      </c>
      <c r="BV109" s="196">
        <v>1.1000000000000001</v>
      </c>
      <c r="BW109" s="196">
        <v>1</v>
      </c>
      <c r="BX109" s="196">
        <v>0.9</v>
      </c>
      <c r="BY109" s="196">
        <v>0.7</v>
      </c>
      <c r="BZ109" s="196">
        <v>1.1000000000000001</v>
      </c>
      <c r="CA109" s="196">
        <v>0.2</v>
      </c>
      <c r="CB109" s="196">
        <v>1.5</v>
      </c>
      <c r="CC109" s="196">
        <v>4</v>
      </c>
      <c r="CD109" s="196">
        <v>3.5</v>
      </c>
      <c r="CE109" s="196">
        <v>3.6</v>
      </c>
      <c r="CF109" s="196">
        <v>3.1</v>
      </c>
      <c r="CG109" s="196">
        <v>5.8</v>
      </c>
      <c r="CH109" s="196">
        <v>3.9</v>
      </c>
      <c r="CI109" s="196">
        <v>1.3</v>
      </c>
      <c r="CJ109" s="196">
        <v>-0.2</v>
      </c>
      <c r="CK109" s="196">
        <v>0.3</v>
      </c>
      <c r="CL109" s="196">
        <v>0.3</v>
      </c>
      <c r="CM109" s="196">
        <v>0.2</v>
      </c>
      <c r="CN109" s="196">
        <v>0.6</v>
      </c>
      <c r="CO109" s="196">
        <v>1.8</v>
      </c>
      <c r="CP109" s="196">
        <v>2.9</v>
      </c>
      <c r="CQ109" s="196">
        <v>0.9</v>
      </c>
      <c r="CR109" s="196">
        <v>1.1000000000000001</v>
      </c>
      <c r="CS109" s="196">
        <v>0.9</v>
      </c>
      <c r="CT109" s="196">
        <v>0.3</v>
      </c>
      <c r="CU109" s="196">
        <v>0.8</v>
      </c>
      <c r="CV109" s="196">
        <v>2.6</v>
      </c>
      <c r="CW109" s="196">
        <v>2.5</v>
      </c>
      <c r="CX109" s="196">
        <v>2</v>
      </c>
      <c r="CY109" s="196">
        <v>1.3</v>
      </c>
      <c r="CZ109" s="196">
        <v>1.6</v>
      </c>
      <c r="DA109" s="196">
        <v>1.6</v>
      </c>
      <c r="DB109" s="196">
        <v>2.2999999999999998</v>
      </c>
      <c r="DC109" s="196">
        <v>3.3</v>
      </c>
      <c r="DD109" s="196">
        <v>3.4</v>
      </c>
      <c r="DE109" s="196">
        <v>1.6</v>
      </c>
      <c r="DF109" s="196">
        <v>1.4</v>
      </c>
      <c r="DG109" s="196">
        <v>1.4</v>
      </c>
      <c r="DH109" s="196">
        <v>1.4</v>
      </c>
      <c r="DI109" s="196">
        <v>2.2999999999999998</v>
      </c>
      <c r="DJ109" s="196">
        <v>1.8</v>
      </c>
      <c r="DK109" s="196">
        <v>2</v>
      </c>
      <c r="DL109" s="196">
        <v>2</v>
      </c>
      <c r="DM109" s="196">
        <v>0.5</v>
      </c>
      <c r="DN109" s="196">
        <v>-1.2</v>
      </c>
      <c r="DO109" s="196">
        <v>-0.5</v>
      </c>
      <c r="DP109" s="196">
        <v>-0.9</v>
      </c>
      <c r="DQ109" s="196">
        <v>0.1</v>
      </c>
      <c r="DR109" s="196">
        <v>-0.3</v>
      </c>
      <c r="DS109" s="196">
        <v>0.8</v>
      </c>
      <c r="DT109" s="196">
        <v>1.1000000000000001</v>
      </c>
      <c r="DU109" s="196">
        <v>0.2</v>
      </c>
      <c r="DV109" s="196">
        <v>1</v>
      </c>
      <c r="DW109" s="196">
        <v>1.1000000000000001</v>
      </c>
      <c r="DX109" s="196">
        <v>1.9</v>
      </c>
      <c r="DY109" s="196">
        <v>1.7</v>
      </c>
      <c r="DZ109" s="196">
        <v>4.3</v>
      </c>
      <c r="EA109" s="196">
        <v>4.5999999999999996</v>
      </c>
      <c r="EB109" s="196">
        <v>5</v>
      </c>
      <c r="EC109" s="196">
        <v>4.2</v>
      </c>
      <c r="ED109" s="196">
        <v>4.3</v>
      </c>
      <c r="EE109" s="196">
        <v>3.9</v>
      </c>
      <c r="EF109" s="196">
        <v>3.4</v>
      </c>
      <c r="EG109" s="196">
        <v>3.3</v>
      </c>
      <c r="EH109" s="196">
        <v>2.6</v>
      </c>
      <c r="EI109" s="196">
        <v>2.7</v>
      </c>
      <c r="EJ109" s="196">
        <v>2.2000000000000002</v>
      </c>
      <c r="EK109" s="196">
        <v>1.6</v>
      </c>
      <c r="EL109" s="196">
        <v>1.5</v>
      </c>
      <c r="EM109" s="196">
        <v>3.4</v>
      </c>
      <c r="EN109" s="196">
        <v>2.6</v>
      </c>
      <c r="EO109" s="196">
        <v>2.6</v>
      </c>
      <c r="EP109" s="196">
        <v>2</v>
      </c>
      <c r="EQ109" s="196">
        <v>2.4</v>
      </c>
      <c r="ER109" s="196">
        <v>2.5</v>
      </c>
      <c r="ES109" s="196">
        <v>2.7</v>
      </c>
      <c r="ET109" s="196">
        <v>3</v>
      </c>
      <c r="EU109" s="196">
        <v>2.7</v>
      </c>
      <c r="EV109" s="196">
        <v>2.4</v>
      </c>
      <c r="EW109" s="196">
        <v>3.5</v>
      </c>
      <c r="EX109" s="196">
        <v>2.2000000000000002</v>
      </c>
      <c r="EY109" s="196">
        <v>2.1</v>
      </c>
      <c r="EZ109" s="196">
        <v>1.3</v>
      </c>
      <c r="FA109" s="196">
        <v>1.6</v>
      </c>
      <c r="FB109" s="196">
        <v>2.4</v>
      </c>
      <c r="FC109" s="196">
        <v>1.9</v>
      </c>
      <c r="FD109" s="196">
        <v>2.4</v>
      </c>
      <c r="FE109" s="196">
        <v>1.7</v>
      </c>
      <c r="FF109" s="196">
        <v>1.3</v>
      </c>
      <c r="FG109" s="196">
        <v>1.8</v>
      </c>
    </row>
    <row r="110" spans="1:163" ht="14.25" customHeight="1">
      <c r="A110" s="262">
        <f t="shared" si="9"/>
        <v>2.6</v>
      </c>
      <c r="B110" s="262">
        <f t="shared" si="10"/>
        <v>4.1083333333333334</v>
      </c>
      <c r="C110" s="262">
        <f t="shared" si="11"/>
        <v>3.6749999999999994</v>
      </c>
      <c r="D110" s="183" t="s">
        <v>1034</v>
      </c>
      <c r="E110" s="196">
        <v>2.7</v>
      </c>
      <c r="F110" s="196">
        <v>2.7</v>
      </c>
      <c r="G110" s="196">
        <v>2.7</v>
      </c>
      <c r="H110" s="196">
        <v>2.8</v>
      </c>
      <c r="I110" s="196">
        <v>3.1</v>
      </c>
      <c r="J110" s="196">
        <v>3</v>
      </c>
      <c r="K110" s="196">
        <v>3</v>
      </c>
      <c r="L110" s="196">
        <v>3.2</v>
      </c>
      <c r="M110" s="196">
        <v>3.1</v>
      </c>
      <c r="N110" s="196">
        <v>3.6</v>
      </c>
      <c r="O110" s="196">
        <v>3.9</v>
      </c>
      <c r="P110" s="196">
        <v>4.0999999999999996</v>
      </c>
      <c r="Q110" s="196">
        <v>3.6</v>
      </c>
      <c r="R110" s="196">
        <v>3.8</v>
      </c>
      <c r="S110" s="196">
        <v>3.9</v>
      </c>
      <c r="T110" s="196">
        <v>4.3</v>
      </c>
      <c r="U110" s="196">
        <v>4</v>
      </c>
      <c r="V110" s="196">
        <v>4.0999999999999996</v>
      </c>
      <c r="W110" s="196">
        <v>4.2</v>
      </c>
      <c r="X110" s="196">
        <v>4.2</v>
      </c>
      <c r="Y110" s="196">
        <v>4.2</v>
      </c>
      <c r="Z110" s="196">
        <v>4.2</v>
      </c>
      <c r="AA110" s="196">
        <v>4.4000000000000004</v>
      </c>
      <c r="AB110" s="196">
        <v>4.4000000000000004</v>
      </c>
      <c r="AC110" s="196">
        <v>4.3</v>
      </c>
      <c r="AD110" s="196">
        <v>4.2</v>
      </c>
      <c r="AE110" s="196">
        <v>4.0999999999999996</v>
      </c>
      <c r="AF110" s="196">
        <v>3.8</v>
      </c>
      <c r="AG110" s="196">
        <v>3.9</v>
      </c>
      <c r="AH110" s="196">
        <v>4</v>
      </c>
      <c r="AI110" s="196">
        <v>4</v>
      </c>
      <c r="AJ110" s="196">
        <v>3.8</v>
      </c>
      <c r="AK110" s="196">
        <v>3.4</v>
      </c>
      <c r="AL110" s="196">
        <v>3.2</v>
      </c>
      <c r="AM110" s="196">
        <v>2.8</v>
      </c>
      <c r="AN110" s="196">
        <v>2.6</v>
      </c>
      <c r="AO110" s="196">
        <v>2.7</v>
      </c>
      <c r="AP110" s="196">
        <v>2.2999999999999998</v>
      </c>
      <c r="AQ110" s="196">
        <v>2.2999999999999998</v>
      </c>
      <c r="AR110" s="196">
        <v>1.9</v>
      </c>
      <c r="AS110" s="196">
        <v>1.8</v>
      </c>
      <c r="AT110" s="196">
        <v>1.2</v>
      </c>
      <c r="AU110" s="196">
        <v>1.1000000000000001</v>
      </c>
      <c r="AV110" s="196">
        <v>1.1000000000000001</v>
      </c>
      <c r="AW110" s="196">
        <v>1.3</v>
      </c>
      <c r="AX110" s="196">
        <v>1.5</v>
      </c>
      <c r="AY110" s="196">
        <v>1.3</v>
      </c>
      <c r="AZ110" s="196">
        <v>1.2</v>
      </c>
      <c r="BA110" s="196">
        <v>1</v>
      </c>
      <c r="BB110" s="196">
        <v>1.2</v>
      </c>
      <c r="BC110" s="196">
        <v>1.3</v>
      </c>
      <c r="BD110" s="196">
        <v>1.4</v>
      </c>
      <c r="BE110" s="196">
        <v>1.4</v>
      </c>
      <c r="BF110" s="196">
        <v>1.8</v>
      </c>
      <c r="BG110" s="196">
        <v>1.8</v>
      </c>
      <c r="BH110" s="196">
        <v>1.8</v>
      </c>
      <c r="BI110" s="196">
        <v>1.9</v>
      </c>
      <c r="BJ110" s="196">
        <v>1.7</v>
      </c>
      <c r="BK110" s="196">
        <v>1.7</v>
      </c>
      <c r="BL110" s="196">
        <v>2</v>
      </c>
      <c r="BM110" s="196">
        <v>1.7</v>
      </c>
      <c r="BN110" s="196">
        <v>1.6</v>
      </c>
      <c r="BO110" s="196">
        <v>1.8</v>
      </c>
      <c r="BP110" s="196">
        <v>1.9</v>
      </c>
      <c r="BQ110" s="196">
        <v>2.4</v>
      </c>
      <c r="BR110" s="196">
        <v>2.4</v>
      </c>
      <c r="BS110" s="196">
        <v>2.4</v>
      </c>
      <c r="BT110" s="196">
        <v>2.2999999999999998</v>
      </c>
      <c r="BU110" s="196">
        <v>1.9</v>
      </c>
      <c r="BV110" s="196">
        <v>2.2000000000000002</v>
      </c>
      <c r="BW110" s="196">
        <v>2.2000000000000002</v>
      </c>
      <c r="BX110" s="196">
        <v>2.1</v>
      </c>
      <c r="BY110" s="196">
        <v>2.5</v>
      </c>
      <c r="BZ110" s="196">
        <v>2.2999999999999998</v>
      </c>
      <c r="CA110" s="196">
        <v>2</v>
      </c>
      <c r="CB110" s="196">
        <v>2</v>
      </c>
      <c r="CC110" s="196">
        <v>1.3</v>
      </c>
      <c r="CD110" s="196">
        <v>1.1000000000000001</v>
      </c>
      <c r="CE110" s="196">
        <v>1.2</v>
      </c>
      <c r="CF110" s="196">
        <v>1</v>
      </c>
      <c r="CG110" s="196">
        <v>1.4</v>
      </c>
      <c r="CH110" s="196">
        <v>1.3</v>
      </c>
      <c r="CI110" s="196">
        <v>1.3</v>
      </c>
      <c r="CJ110" s="196">
        <v>1</v>
      </c>
      <c r="CK110" s="196">
        <v>0.7</v>
      </c>
      <c r="CL110" s="196">
        <v>0.5</v>
      </c>
      <c r="CM110" s="196">
        <v>0.6</v>
      </c>
      <c r="CN110" s="196">
        <v>0.2</v>
      </c>
      <c r="CO110" s="196">
        <v>-0.1</v>
      </c>
      <c r="CP110" s="196">
        <v>0</v>
      </c>
      <c r="CQ110" s="196">
        <v>-0.1</v>
      </c>
      <c r="CR110" s="196">
        <v>-0.2</v>
      </c>
      <c r="CS110" s="196">
        <v>-0.4</v>
      </c>
      <c r="CT110" s="196">
        <v>-1.1000000000000001</v>
      </c>
      <c r="CU110" s="196">
        <v>-1</v>
      </c>
      <c r="CV110" s="196">
        <v>-0.8</v>
      </c>
      <c r="CW110" s="196">
        <v>-0.5</v>
      </c>
      <c r="CX110" s="196">
        <v>-0.3</v>
      </c>
      <c r="CY110" s="196">
        <v>-0.6</v>
      </c>
      <c r="CZ110" s="196">
        <v>-0.2</v>
      </c>
      <c r="DA110" s="196">
        <v>-0.1</v>
      </c>
      <c r="DB110" s="196">
        <v>0.3</v>
      </c>
      <c r="DC110" s="196">
        <v>0.2</v>
      </c>
      <c r="DD110" s="196">
        <v>0.6</v>
      </c>
      <c r="DE110" s="196">
        <v>0.3</v>
      </c>
      <c r="DF110" s="196">
        <v>0.5</v>
      </c>
      <c r="DG110" s="196">
        <v>0.3</v>
      </c>
      <c r="DH110" s="196">
        <v>0.2</v>
      </c>
      <c r="DI110" s="196">
        <v>0.2</v>
      </c>
      <c r="DJ110" s="196">
        <v>0.2</v>
      </c>
      <c r="DK110" s="196">
        <v>0.3</v>
      </c>
      <c r="DL110" s="196">
        <v>0.4</v>
      </c>
      <c r="DM110" s="196">
        <v>0.6</v>
      </c>
      <c r="DN110" s="196">
        <v>0.5</v>
      </c>
      <c r="DO110" s="196">
        <v>0.6</v>
      </c>
      <c r="DP110" s="196">
        <v>0.3</v>
      </c>
      <c r="DQ110" s="196">
        <v>0.7</v>
      </c>
      <c r="DR110" s="196">
        <v>0.7</v>
      </c>
      <c r="DS110" s="196">
        <v>0.8</v>
      </c>
      <c r="DT110" s="196">
        <v>0.9</v>
      </c>
      <c r="DU110" s="196">
        <v>0.9</v>
      </c>
      <c r="DV110" s="196">
        <v>0.8</v>
      </c>
      <c r="DW110" s="196">
        <v>0.9</v>
      </c>
      <c r="DX110" s="196">
        <v>0.8</v>
      </c>
      <c r="DY110" s="196">
        <v>0.5</v>
      </c>
      <c r="DZ110" s="196">
        <v>0.2</v>
      </c>
      <c r="EA110" s="196">
        <v>0</v>
      </c>
      <c r="EB110" s="196">
        <v>0.4</v>
      </c>
      <c r="EC110" s="196">
        <v>0.3</v>
      </c>
      <c r="ED110" s="196">
        <v>0.8</v>
      </c>
      <c r="EE110" s="196">
        <v>0.6</v>
      </c>
      <c r="EF110" s="196">
        <v>0.5</v>
      </c>
      <c r="EG110" s="196">
        <v>0.7</v>
      </c>
      <c r="EH110" s="196">
        <v>1</v>
      </c>
      <c r="EI110" s="196">
        <v>0.8</v>
      </c>
      <c r="EJ110" s="196">
        <v>0.7</v>
      </c>
      <c r="EK110" s="196">
        <v>0.9</v>
      </c>
      <c r="EL110" s="196">
        <v>1.1000000000000001</v>
      </c>
      <c r="EM110" s="196">
        <v>1.4</v>
      </c>
      <c r="EN110" s="196">
        <v>1.6</v>
      </c>
      <c r="EO110" s="196">
        <v>1.4</v>
      </c>
      <c r="EP110" s="196">
        <v>0.1</v>
      </c>
      <c r="EQ110" s="196">
        <v>0.3</v>
      </c>
      <c r="ER110" s="196">
        <v>0.2</v>
      </c>
      <c r="ES110" s="196">
        <v>0.1</v>
      </c>
      <c r="ET110" s="196">
        <v>0</v>
      </c>
      <c r="EU110" s="196">
        <v>0.2</v>
      </c>
      <c r="EV110" s="196">
        <v>0.2</v>
      </c>
      <c r="EW110" s="196">
        <v>0.3</v>
      </c>
      <c r="EX110" s="196">
        <v>0.1</v>
      </c>
      <c r="EY110" s="196">
        <v>0</v>
      </c>
      <c r="EZ110" s="196">
        <v>-0.3</v>
      </c>
      <c r="FA110" s="196">
        <v>0.5</v>
      </c>
      <c r="FB110" s="196">
        <v>1.8</v>
      </c>
      <c r="FC110" s="196">
        <v>1.4</v>
      </c>
      <c r="FD110" s="196">
        <v>1.6</v>
      </c>
      <c r="FE110" s="196">
        <v>1.9</v>
      </c>
      <c r="FF110" s="196">
        <v>2.2000000000000002</v>
      </c>
      <c r="FG110" s="196">
        <v>1.4</v>
      </c>
    </row>
    <row r="111" spans="1:163" ht="14.25" customHeight="1">
      <c r="A111" s="259"/>
      <c r="B111" s="259"/>
      <c r="C111" s="259"/>
      <c r="D111" s="259"/>
      <c r="E111" s="259"/>
      <c r="F111" s="259"/>
      <c r="G111" s="259"/>
      <c r="H111" s="259"/>
      <c r="I111" s="259"/>
      <c r="J111" s="259"/>
      <c r="K111" s="259"/>
      <c r="L111" s="259"/>
      <c r="M111" s="259"/>
      <c r="N111" s="259"/>
      <c r="O111" s="259"/>
      <c r="P111" s="259"/>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259"/>
      <c r="AQ111" s="259"/>
      <c r="AR111" s="259"/>
      <c r="AS111" s="259"/>
      <c r="AT111" s="259"/>
      <c r="AU111" s="259"/>
      <c r="AV111" s="259"/>
      <c r="AW111" s="259"/>
      <c r="AX111" s="259"/>
      <c r="AY111" s="259"/>
      <c r="AZ111" s="259"/>
      <c r="BA111" s="259"/>
      <c r="BB111" s="259"/>
      <c r="BC111" s="259"/>
      <c r="BD111" s="259"/>
      <c r="BE111" s="259"/>
      <c r="BF111" s="259"/>
      <c r="BG111" s="259"/>
      <c r="BH111" s="259"/>
      <c r="BI111" s="259"/>
      <c r="BJ111" s="259"/>
      <c r="BK111" s="259"/>
      <c r="BL111" s="259"/>
      <c r="BM111" s="259"/>
      <c r="BN111" s="259"/>
      <c r="BO111" s="259"/>
      <c r="BP111" s="259"/>
      <c r="BQ111" s="259"/>
      <c r="BR111" s="259"/>
      <c r="BS111" s="259"/>
      <c r="BT111" s="259"/>
      <c r="BU111" s="259"/>
      <c r="BV111" s="259"/>
      <c r="BW111" s="259"/>
      <c r="BX111" s="259"/>
      <c r="BY111" s="259"/>
      <c r="BZ111" s="259"/>
      <c r="CA111" s="259"/>
      <c r="CB111" s="259"/>
      <c r="CC111" s="259"/>
      <c r="CD111" s="259"/>
      <c r="CE111" s="259"/>
      <c r="CF111" s="259"/>
      <c r="CG111" s="259"/>
      <c r="CH111" s="259"/>
      <c r="CI111" s="259"/>
      <c r="CJ111" s="259"/>
      <c r="CK111" s="259"/>
      <c r="CL111" s="259"/>
      <c r="CM111" s="259"/>
      <c r="CN111" s="259"/>
      <c r="CO111" s="259"/>
      <c r="CP111" s="259"/>
      <c r="CQ111" s="259"/>
      <c r="CR111" s="259"/>
      <c r="CS111" s="259"/>
      <c r="CT111" s="259"/>
      <c r="CU111" s="259"/>
      <c r="CV111" s="259"/>
      <c r="CW111" s="259"/>
      <c r="CX111" s="259"/>
      <c r="CY111" s="259"/>
      <c r="CZ111" s="259"/>
      <c r="DA111" s="259"/>
      <c r="DB111" s="259"/>
      <c r="DC111" s="259"/>
      <c r="DD111" s="259"/>
      <c r="DE111" s="259"/>
      <c r="DF111" s="259"/>
      <c r="DG111" s="259"/>
      <c r="DH111" s="259"/>
      <c r="DI111" s="259"/>
      <c r="DJ111" s="259"/>
      <c r="DK111" s="259"/>
      <c r="DL111" s="259"/>
      <c r="DM111" s="259"/>
      <c r="DN111" s="259"/>
      <c r="DO111" s="259"/>
      <c r="DP111" s="259"/>
      <c r="DQ111" s="259"/>
      <c r="DR111" s="259"/>
      <c r="DS111" s="259"/>
      <c r="DT111" s="259"/>
      <c r="DU111" s="259"/>
      <c r="DV111" s="259"/>
      <c r="DW111" s="259"/>
      <c r="DX111" s="259"/>
      <c r="DY111" s="259"/>
      <c r="DZ111" s="259"/>
      <c r="EA111" s="259"/>
      <c r="EB111" s="259"/>
      <c r="EC111" s="259"/>
      <c r="ED111" s="259"/>
      <c r="EE111" s="259"/>
      <c r="EF111" s="259"/>
      <c r="EG111" s="259"/>
      <c r="EH111" s="259"/>
      <c r="EI111" s="259"/>
      <c r="EJ111" s="259"/>
      <c r="EK111" s="259"/>
      <c r="EL111" s="259"/>
      <c r="EM111" s="259"/>
      <c r="EN111" s="259"/>
      <c r="EO111" s="259"/>
      <c r="EP111" s="259"/>
      <c r="EQ111" s="259"/>
      <c r="ER111" s="259"/>
      <c r="ES111" s="259"/>
      <c r="ET111" s="259"/>
      <c r="EU111" s="259"/>
      <c r="EV111" s="259"/>
      <c r="EW111" s="259"/>
      <c r="EX111" s="259"/>
      <c r="EY111" s="259"/>
      <c r="EZ111" s="259"/>
      <c r="FA111" s="259"/>
      <c r="FB111" s="259"/>
      <c r="FC111" s="259"/>
      <c r="FD111" s="259"/>
      <c r="FE111" s="259"/>
      <c r="FF111" s="259"/>
      <c r="FG111" s="259"/>
    </row>
    <row r="112" spans="1:163" ht="14.25" customHeight="1">
      <c r="A112" s="269" t="s">
        <v>1035</v>
      </c>
      <c r="B112" s="259"/>
      <c r="C112" s="259"/>
      <c r="D112" s="259"/>
      <c r="E112" s="259"/>
      <c r="F112" s="259"/>
      <c r="G112" s="259"/>
      <c r="H112" s="259"/>
      <c r="I112" s="259"/>
      <c r="J112" s="259"/>
      <c r="K112" s="259"/>
      <c r="L112" s="259"/>
      <c r="M112" s="259"/>
      <c r="N112" s="259"/>
      <c r="O112" s="259"/>
      <c r="P112" s="259"/>
      <c r="Q112" s="259"/>
      <c r="R112" s="259"/>
      <c r="S112" s="259"/>
      <c r="T112" s="259"/>
      <c r="U112" s="259"/>
      <c r="V112" s="259"/>
      <c r="W112" s="259"/>
      <c r="X112" s="259"/>
      <c r="Y112" s="259"/>
      <c r="Z112" s="259"/>
      <c r="AA112" s="259"/>
      <c r="AB112" s="259"/>
      <c r="AC112" s="259"/>
      <c r="AD112" s="259"/>
      <c r="AE112" s="259"/>
      <c r="AF112" s="259"/>
      <c r="AG112" s="259"/>
      <c r="AH112" s="259"/>
      <c r="AI112" s="259"/>
      <c r="AJ112" s="259"/>
      <c r="AK112" s="259"/>
      <c r="AL112" s="259"/>
      <c r="AM112" s="259"/>
      <c r="AN112" s="259"/>
      <c r="AO112" s="259"/>
      <c r="AP112" s="259"/>
      <c r="AQ112" s="259"/>
      <c r="AR112" s="259"/>
      <c r="AS112" s="259"/>
      <c r="AT112" s="259"/>
      <c r="AU112" s="259"/>
      <c r="AV112" s="259"/>
      <c r="AW112" s="259"/>
      <c r="AX112" s="259"/>
      <c r="AY112" s="259"/>
      <c r="AZ112" s="259"/>
      <c r="BA112" s="259"/>
      <c r="BB112" s="259"/>
      <c r="BC112" s="259"/>
      <c r="BD112" s="259"/>
      <c r="BE112" s="259"/>
      <c r="BF112" s="259"/>
      <c r="BG112" s="259"/>
      <c r="BH112" s="259"/>
      <c r="BI112" s="259"/>
      <c r="BJ112" s="259"/>
      <c r="BK112" s="259"/>
      <c r="BL112" s="259"/>
      <c r="BM112" s="259"/>
      <c r="BN112" s="259"/>
      <c r="BO112" s="259"/>
      <c r="BP112" s="259"/>
      <c r="BQ112" s="259"/>
      <c r="BR112" s="259"/>
      <c r="BS112" s="259"/>
      <c r="BT112" s="259"/>
      <c r="BU112" s="259"/>
      <c r="BV112" s="259"/>
      <c r="BW112" s="259"/>
      <c r="BX112" s="259"/>
      <c r="BY112" s="259"/>
      <c r="BZ112" s="259"/>
      <c r="CA112" s="259"/>
      <c r="CB112" s="259"/>
      <c r="CC112" s="259"/>
      <c r="CD112" s="259"/>
      <c r="CE112" s="259"/>
      <c r="CF112" s="259"/>
      <c r="CG112" s="259"/>
      <c r="CH112" s="259"/>
      <c r="CI112" s="259"/>
      <c r="CJ112" s="259"/>
      <c r="CK112" s="259"/>
      <c r="CL112" s="259"/>
      <c r="CM112" s="259"/>
      <c r="CN112" s="259"/>
      <c r="CO112" s="259"/>
      <c r="CP112" s="259"/>
      <c r="CQ112" s="259"/>
      <c r="CR112" s="259"/>
      <c r="CS112" s="259"/>
      <c r="CT112" s="259"/>
      <c r="CU112" s="259"/>
      <c r="CV112" s="259"/>
      <c r="CW112" s="259"/>
      <c r="CX112" s="259"/>
      <c r="CY112" s="259"/>
      <c r="CZ112" s="259"/>
      <c r="DA112" s="259"/>
      <c r="DB112" s="259"/>
      <c r="DC112" s="259"/>
      <c r="DD112" s="259"/>
      <c r="DE112" s="259"/>
      <c r="DF112" s="259"/>
      <c r="DG112" s="259"/>
      <c r="DH112" s="259"/>
      <c r="DI112" s="259"/>
      <c r="DJ112" s="259"/>
      <c r="DK112" s="259"/>
      <c r="DL112" s="259"/>
      <c r="DM112" s="259"/>
      <c r="DN112" s="259"/>
      <c r="DO112" s="259"/>
      <c r="DP112" s="259"/>
      <c r="DQ112" s="259"/>
      <c r="DR112" s="259"/>
      <c r="DS112" s="259"/>
      <c r="DT112" s="259"/>
      <c r="DU112" s="259"/>
      <c r="DV112" s="259"/>
      <c r="DW112" s="259"/>
      <c r="DX112" s="259"/>
      <c r="DY112" s="259"/>
      <c r="DZ112" s="259"/>
      <c r="EA112" s="259"/>
      <c r="EB112" s="259"/>
      <c r="EC112" s="259"/>
      <c r="ED112" s="259"/>
      <c r="EE112" s="259"/>
      <c r="EF112" s="259"/>
      <c r="EG112" s="259"/>
      <c r="EH112" s="259"/>
      <c r="EI112" s="259"/>
      <c r="EJ112" s="259"/>
      <c r="EK112" s="259"/>
      <c r="EL112" s="259"/>
      <c r="EM112" s="259"/>
      <c r="EN112" s="259"/>
      <c r="EO112" s="259"/>
      <c r="EP112" s="259"/>
      <c r="EQ112" s="259"/>
      <c r="ER112" s="259"/>
      <c r="ES112" s="259"/>
      <c r="ET112" s="259"/>
      <c r="EU112" s="259"/>
      <c r="EV112" s="259"/>
      <c r="EW112" s="259"/>
      <c r="EX112" s="259"/>
      <c r="EY112" s="259"/>
      <c r="EZ112" s="259"/>
      <c r="FA112" s="259"/>
      <c r="FB112" s="259"/>
      <c r="FC112" s="259"/>
      <c r="FD112" s="259"/>
      <c r="FE112" s="259"/>
      <c r="FF112" s="259"/>
      <c r="FG112" s="259"/>
    </row>
    <row r="113" spans="1:163" ht="14.25" customHeight="1">
      <c r="A113" s="269" t="s">
        <v>1036</v>
      </c>
      <c r="B113" s="269" t="s">
        <v>1037</v>
      </c>
      <c r="C113" s="25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t="s">
        <v>1038</v>
      </c>
      <c r="AE113" s="259"/>
      <c r="AF113" s="259"/>
      <c r="AG113" s="259"/>
      <c r="AH113" s="259"/>
      <c r="AI113" s="259"/>
      <c r="AJ113" s="259"/>
      <c r="AK113" s="259"/>
      <c r="AL113" s="259"/>
      <c r="AM113" s="259"/>
      <c r="AN113" s="259"/>
      <c r="AO113" s="259"/>
      <c r="AP113" s="259"/>
      <c r="AQ113" s="259"/>
      <c r="AR113" s="259"/>
      <c r="AS113" s="259"/>
      <c r="AT113" s="259"/>
      <c r="AU113" s="259"/>
      <c r="AV113" s="259"/>
      <c r="AW113" s="259"/>
      <c r="AX113" s="259"/>
      <c r="AY113" s="259"/>
      <c r="AZ113" s="259"/>
      <c r="BA113" s="259"/>
      <c r="BB113" s="259"/>
      <c r="BC113" s="259"/>
      <c r="BD113" s="259"/>
      <c r="BE113" s="259"/>
      <c r="BF113" s="259"/>
      <c r="BG113" s="259"/>
      <c r="BH113" s="259"/>
      <c r="BI113" s="259"/>
      <c r="BJ113" s="259"/>
      <c r="BK113" s="259"/>
      <c r="BL113" s="259"/>
      <c r="BM113" s="259"/>
      <c r="BN113" s="259"/>
      <c r="BO113" s="259"/>
      <c r="BP113" s="259"/>
      <c r="BQ113" s="259"/>
      <c r="BR113" s="259"/>
      <c r="BS113" s="259"/>
      <c r="BT113" s="259"/>
      <c r="BU113" s="259"/>
      <c r="BV113" s="259"/>
      <c r="BW113" s="259"/>
      <c r="BX113" s="259"/>
      <c r="BY113" s="259"/>
      <c r="BZ113" s="259"/>
      <c r="CA113" s="259"/>
      <c r="CB113" s="259"/>
      <c r="CC113" s="259"/>
      <c r="CD113" s="259"/>
      <c r="CE113" s="259"/>
      <c r="CF113" s="259"/>
      <c r="CG113" s="259"/>
      <c r="CH113" s="259"/>
      <c r="CI113" s="259"/>
      <c r="CJ113" s="259"/>
      <c r="CK113" s="259"/>
      <c r="CL113" s="259"/>
      <c r="CM113" s="259"/>
      <c r="CN113" s="259"/>
      <c r="CO113" s="259"/>
      <c r="CP113" s="259"/>
      <c r="CQ113" s="259"/>
      <c r="CR113" s="259"/>
      <c r="CS113" s="259"/>
      <c r="CT113" s="259"/>
      <c r="CU113" s="259"/>
      <c r="CV113" s="259"/>
      <c r="CW113" s="259"/>
      <c r="CX113" s="259"/>
      <c r="CY113" s="259"/>
      <c r="CZ113" s="259"/>
      <c r="DA113" s="259"/>
      <c r="DB113" s="259"/>
      <c r="DC113" s="259"/>
      <c r="DD113" s="259"/>
      <c r="DE113" s="259"/>
      <c r="DF113" s="259"/>
      <c r="DG113" s="259"/>
      <c r="DH113" s="259"/>
      <c r="DI113" s="259"/>
      <c r="DJ113" s="259"/>
      <c r="DK113" s="259"/>
      <c r="DL113" s="259"/>
      <c r="DM113" s="259"/>
      <c r="DN113" s="259"/>
      <c r="DO113" s="259"/>
      <c r="DP113" s="259"/>
      <c r="DQ113" s="259"/>
      <c r="DR113" s="259"/>
      <c r="DS113" s="259"/>
      <c r="DT113" s="259"/>
      <c r="DU113" s="259"/>
      <c r="DV113" s="259"/>
      <c r="DW113" s="259"/>
      <c r="DX113" s="259"/>
      <c r="DY113" s="259"/>
      <c r="DZ113" s="259"/>
      <c r="EA113" s="259"/>
      <c r="EB113" s="259"/>
      <c r="EC113" s="259"/>
      <c r="ED113" s="259"/>
      <c r="EE113" s="259"/>
      <c r="EF113" s="259"/>
      <c r="EG113" s="259"/>
      <c r="EH113" s="259"/>
      <c r="EI113" s="259"/>
      <c r="EJ113" s="259"/>
      <c r="EK113" s="259"/>
      <c r="EL113" s="259"/>
      <c r="EM113" s="259"/>
      <c r="EN113" s="259"/>
      <c r="EO113" s="259"/>
      <c r="EP113" s="259"/>
      <c r="EQ113" s="259"/>
      <c r="ER113" s="259"/>
      <c r="ES113" s="259"/>
      <c r="ET113" s="259"/>
      <c r="EU113" s="259"/>
      <c r="EV113" s="259"/>
      <c r="EW113" s="259"/>
      <c r="EX113" s="259"/>
      <c r="EY113" s="259"/>
      <c r="EZ113" s="259"/>
      <c r="FA113" s="259"/>
      <c r="FB113" s="259"/>
      <c r="FC113" s="259"/>
      <c r="FD113" s="259"/>
      <c r="FE113" s="259"/>
      <c r="FF113" s="259"/>
      <c r="FG113" s="259"/>
    </row>
    <row r="114" spans="1:163" ht="14.25" customHeight="1">
      <c r="A114" s="259"/>
      <c r="B114" s="259"/>
      <c r="C114" s="259"/>
      <c r="D114" s="259"/>
      <c r="E114" s="259"/>
      <c r="F114" s="259"/>
      <c r="G114" s="259"/>
      <c r="H114" s="259"/>
      <c r="I114" s="259"/>
      <c r="J114" s="259"/>
      <c r="K114" s="259"/>
      <c r="L114" s="187" t="s">
        <v>1039</v>
      </c>
      <c r="M114" s="183" t="s">
        <v>1040</v>
      </c>
      <c r="N114" s="183" t="s">
        <v>1041</v>
      </c>
      <c r="O114" s="183" t="s">
        <v>1042</v>
      </c>
      <c r="P114" s="183" t="s">
        <v>1043</v>
      </c>
      <c r="Q114" s="183" t="s">
        <v>1044</v>
      </c>
      <c r="R114" s="183" t="s">
        <v>1045</v>
      </c>
      <c r="S114" s="183" t="s">
        <v>1046</v>
      </c>
      <c r="T114" s="183" t="s">
        <v>1047</v>
      </c>
      <c r="U114" s="183" t="s">
        <v>1048</v>
      </c>
      <c r="V114" s="183" t="s">
        <v>1049</v>
      </c>
      <c r="W114" s="259" t="s">
        <v>1050</v>
      </c>
      <c r="X114" s="259" t="s">
        <v>1051</v>
      </c>
      <c r="Y114" s="259" t="s">
        <v>995</v>
      </c>
      <c r="Z114" s="259" t="s">
        <v>996</v>
      </c>
      <c r="AA114" s="259" t="s">
        <v>1052</v>
      </c>
      <c r="AB114" s="259"/>
      <c r="AC114" s="259"/>
      <c r="AD114" s="259"/>
      <c r="AE114" s="259"/>
      <c r="AF114" s="259"/>
      <c r="AG114" s="259"/>
      <c r="AH114" s="259"/>
      <c r="AI114" s="259"/>
      <c r="AJ114" s="259"/>
      <c r="AK114" s="259"/>
      <c r="AL114" s="259"/>
      <c r="AM114" s="259"/>
      <c r="AN114" s="259"/>
      <c r="AO114" s="259"/>
      <c r="AP114" s="259"/>
      <c r="AQ114" s="259"/>
      <c r="AR114" s="259"/>
      <c r="AS114" s="259"/>
      <c r="AT114" s="259"/>
      <c r="AU114" s="259"/>
      <c r="AV114" s="259"/>
      <c r="AW114" s="259"/>
      <c r="AX114" s="259"/>
      <c r="AY114" s="259"/>
      <c r="AZ114" s="259"/>
      <c r="BA114" s="259"/>
      <c r="BB114" s="259"/>
      <c r="BC114" s="259"/>
      <c r="BD114" s="259"/>
      <c r="BE114" s="259"/>
      <c r="BF114" s="259"/>
      <c r="BG114" s="259"/>
      <c r="BH114" s="259"/>
      <c r="BI114" s="259"/>
      <c r="BJ114" s="259"/>
      <c r="BK114" s="259"/>
      <c r="BL114" s="259"/>
      <c r="BM114" s="259"/>
      <c r="BN114" s="259"/>
      <c r="BO114" s="259"/>
      <c r="BP114" s="259"/>
      <c r="BQ114" s="259"/>
      <c r="BR114" s="259"/>
      <c r="BS114" s="259"/>
      <c r="BT114" s="259"/>
      <c r="BU114" s="259"/>
      <c r="BV114" s="259"/>
      <c r="BW114" s="259"/>
      <c r="BX114" s="259"/>
      <c r="BY114" s="259"/>
      <c r="BZ114" s="259"/>
      <c r="CA114" s="259"/>
      <c r="CB114" s="259"/>
      <c r="CC114" s="259"/>
      <c r="CD114" s="259"/>
      <c r="CE114" s="259"/>
      <c r="CF114" s="259"/>
      <c r="CG114" s="259"/>
      <c r="CH114" s="259"/>
      <c r="CI114" s="259"/>
      <c r="CJ114" s="259"/>
      <c r="CK114" s="259"/>
      <c r="CL114" s="259"/>
      <c r="CM114" s="259"/>
      <c r="CN114" s="259"/>
      <c r="CO114" s="259"/>
      <c r="CP114" s="259"/>
      <c r="CQ114" s="259"/>
      <c r="CR114" s="259"/>
      <c r="CS114" s="259"/>
      <c r="CT114" s="259"/>
      <c r="CU114" s="259"/>
      <c r="CV114" s="259"/>
      <c r="CW114" s="259"/>
      <c r="CX114" s="259"/>
      <c r="CY114" s="259"/>
      <c r="CZ114" s="259"/>
      <c r="DA114" s="259"/>
      <c r="DB114" s="259"/>
      <c r="DC114" s="259"/>
      <c r="DD114" s="259"/>
      <c r="DE114" s="259"/>
      <c r="DF114" s="259"/>
      <c r="DG114" s="259"/>
      <c r="DH114" s="259"/>
      <c r="DI114" s="259"/>
      <c r="DJ114" s="259"/>
      <c r="DK114" s="259"/>
      <c r="DL114" s="259"/>
      <c r="DM114" s="259"/>
      <c r="DN114" s="259"/>
      <c r="DO114" s="259"/>
      <c r="DP114" s="259"/>
      <c r="DQ114" s="259"/>
      <c r="DR114" s="259"/>
      <c r="DS114" s="259"/>
      <c r="DT114" s="259"/>
      <c r="DU114" s="259"/>
      <c r="DV114" s="259"/>
      <c r="DW114" s="259"/>
      <c r="DX114" s="259"/>
      <c r="DY114" s="259"/>
      <c r="DZ114" s="259"/>
      <c r="EA114" s="259"/>
      <c r="EB114" s="259"/>
      <c r="EC114" s="259"/>
      <c r="ED114" s="259"/>
      <c r="EE114" s="259"/>
      <c r="EF114" s="259"/>
      <c r="EG114" s="259"/>
      <c r="EH114" s="259"/>
      <c r="EI114" s="259"/>
      <c r="EJ114" s="259"/>
      <c r="EK114" s="259"/>
      <c r="EL114" s="259"/>
      <c r="EM114" s="259"/>
      <c r="EN114" s="259"/>
      <c r="EO114" s="259"/>
      <c r="EP114" s="259"/>
      <c r="EQ114" s="259"/>
      <c r="ER114" s="259"/>
      <c r="ES114" s="259"/>
      <c r="ET114" s="259"/>
      <c r="EU114" s="259"/>
      <c r="EV114" s="259"/>
      <c r="EW114" s="259"/>
      <c r="EX114" s="259"/>
      <c r="EY114" s="259"/>
      <c r="EZ114" s="259"/>
      <c r="FA114" s="259"/>
      <c r="FB114" s="259"/>
      <c r="FC114" s="259"/>
      <c r="FD114" s="259"/>
      <c r="FE114" s="259"/>
      <c r="FF114" s="259"/>
      <c r="FG114" s="259"/>
    </row>
    <row r="115" spans="1:163" ht="14.25" customHeight="1">
      <c r="A115" s="259"/>
      <c r="B115" s="259"/>
      <c r="C115" s="259"/>
      <c r="D115" s="259"/>
      <c r="E115" s="259"/>
      <c r="F115" s="259"/>
      <c r="G115" s="259"/>
      <c r="H115" s="259"/>
      <c r="I115" s="259"/>
      <c r="J115" s="259"/>
      <c r="K115" s="259"/>
      <c r="L115" s="183" t="s">
        <v>1004</v>
      </c>
      <c r="M115" s="270">
        <v>1000</v>
      </c>
      <c r="N115" s="270">
        <v>1000</v>
      </c>
      <c r="O115" s="270">
        <v>1000</v>
      </c>
      <c r="P115" s="270">
        <v>1000</v>
      </c>
      <c r="Q115" s="270">
        <v>1000</v>
      </c>
      <c r="R115" s="270">
        <v>1000</v>
      </c>
      <c r="S115" s="270">
        <v>1000</v>
      </c>
      <c r="T115" s="270">
        <v>1000</v>
      </c>
      <c r="U115" s="270">
        <v>1000</v>
      </c>
      <c r="V115" s="270">
        <v>1000</v>
      </c>
      <c r="W115" s="259"/>
      <c r="X115" s="259"/>
      <c r="Y115" s="259"/>
      <c r="Z115" s="259"/>
      <c r="AA115" s="259"/>
      <c r="AB115" s="259"/>
      <c r="AC115" s="259"/>
      <c r="AD115" s="259" t="s">
        <v>1051</v>
      </c>
      <c r="AE115" s="259" t="s">
        <v>995</v>
      </c>
      <c r="AF115" s="259" t="s">
        <v>996</v>
      </c>
      <c r="AG115" s="259" t="s">
        <v>1052</v>
      </c>
      <c r="AH115" s="259"/>
      <c r="AI115" s="259"/>
      <c r="AJ115" s="259"/>
      <c r="AK115" s="259"/>
      <c r="AL115" s="259"/>
      <c r="AM115" s="259"/>
      <c r="AN115" s="259"/>
      <c r="AO115" s="259"/>
      <c r="AP115" s="259"/>
      <c r="AQ115" s="259"/>
      <c r="AR115" s="259"/>
      <c r="AS115" s="259"/>
      <c r="AT115" s="259"/>
      <c r="AU115" s="259"/>
      <c r="AV115" s="259"/>
      <c r="AW115" s="259"/>
      <c r="AX115" s="259"/>
      <c r="AY115" s="259"/>
      <c r="AZ115" s="259"/>
      <c r="BA115" s="259"/>
      <c r="BB115" s="259"/>
      <c r="BC115" s="259"/>
      <c r="BD115" s="259"/>
      <c r="BE115" s="259"/>
      <c r="BF115" s="259"/>
      <c r="BG115" s="259"/>
      <c r="BH115" s="259"/>
      <c r="BI115" s="259"/>
      <c r="BJ115" s="259"/>
      <c r="BK115" s="259"/>
      <c r="BL115" s="259"/>
      <c r="BM115" s="259"/>
      <c r="BN115" s="259"/>
      <c r="BO115" s="259"/>
      <c r="BP115" s="259"/>
      <c r="BQ115" s="259"/>
      <c r="BR115" s="259"/>
      <c r="BS115" s="259"/>
      <c r="BT115" s="259"/>
      <c r="BU115" s="259"/>
      <c r="BV115" s="259"/>
      <c r="BW115" s="259"/>
      <c r="BX115" s="259"/>
      <c r="BY115" s="259"/>
      <c r="BZ115" s="259"/>
      <c r="CA115" s="259"/>
      <c r="CB115" s="259"/>
      <c r="CC115" s="259"/>
      <c r="CD115" s="259"/>
      <c r="CE115" s="259"/>
      <c r="CF115" s="259"/>
      <c r="CG115" s="259"/>
      <c r="CH115" s="259"/>
      <c r="CI115" s="259"/>
      <c r="CJ115" s="259"/>
      <c r="CK115" s="259"/>
      <c r="CL115" s="259"/>
      <c r="CM115" s="259"/>
      <c r="CN115" s="259"/>
      <c r="CO115" s="259"/>
      <c r="CP115" s="259"/>
      <c r="CQ115" s="259"/>
      <c r="CR115" s="259"/>
      <c r="CS115" s="259"/>
      <c r="CT115" s="259"/>
      <c r="CU115" s="259"/>
      <c r="CV115" s="259"/>
      <c r="CW115" s="259"/>
      <c r="CX115" s="259"/>
      <c r="CY115" s="259"/>
      <c r="CZ115" s="259"/>
      <c r="DA115" s="259"/>
      <c r="DB115" s="259"/>
      <c r="DC115" s="259"/>
      <c r="DD115" s="259"/>
      <c r="DE115" s="259"/>
      <c r="DF115" s="259"/>
      <c r="DG115" s="259"/>
      <c r="DH115" s="259"/>
      <c r="DI115" s="259"/>
      <c r="DJ115" s="259"/>
      <c r="DK115" s="259"/>
      <c r="DL115" s="259"/>
      <c r="DM115" s="259"/>
      <c r="DN115" s="259"/>
      <c r="DO115" s="259"/>
      <c r="DP115" s="259"/>
      <c r="DQ115" s="259"/>
      <c r="DR115" s="259"/>
      <c r="DS115" s="259"/>
      <c r="DT115" s="259"/>
      <c r="DU115" s="259"/>
      <c r="DV115" s="259"/>
      <c r="DW115" s="259"/>
      <c r="DX115" s="259"/>
      <c r="DY115" s="259"/>
      <c r="DZ115" s="259"/>
      <c r="EA115" s="259"/>
      <c r="EB115" s="259"/>
      <c r="EC115" s="259"/>
      <c r="ED115" s="259"/>
      <c r="EE115" s="259"/>
      <c r="EF115" s="259"/>
      <c r="EG115" s="259"/>
      <c r="EH115" s="259"/>
      <c r="EI115" s="259"/>
      <c r="EJ115" s="259"/>
      <c r="EK115" s="259"/>
      <c r="EL115" s="259"/>
      <c r="EM115" s="259"/>
      <c r="EN115" s="259"/>
      <c r="EO115" s="259"/>
      <c r="EP115" s="259"/>
      <c r="EQ115" s="259"/>
      <c r="ER115" s="259"/>
      <c r="ES115" s="259"/>
      <c r="ET115" s="259"/>
      <c r="EU115" s="259"/>
      <c r="EV115" s="259"/>
      <c r="EW115" s="259"/>
      <c r="EX115" s="259"/>
      <c r="EY115" s="259"/>
      <c r="EZ115" s="259"/>
      <c r="FA115" s="259"/>
      <c r="FB115" s="259"/>
      <c r="FC115" s="259"/>
      <c r="FD115" s="259"/>
      <c r="FE115" s="259"/>
      <c r="FF115" s="259"/>
      <c r="FG115" s="259"/>
    </row>
    <row r="116" spans="1:163" ht="14.25" customHeight="1">
      <c r="A116" s="259"/>
      <c r="B116" s="259"/>
      <c r="C116" s="259"/>
      <c r="D116" s="259"/>
      <c r="E116" s="259"/>
      <c r="F116" s="259"/>
      <c r="G116" s="259"/>
      <c r="H116" s="259"/>
      <c r="I116" s="259"/>
      <c r="J116" s="259"/>
      <c r="K116" s="259"/>
      <c r="L116" s="183" t="s">
        <v>1007</v>
      </c>
      <c r="M116" s="270">
        <v>276.11</v>
      </c>
      <c r="N116" s="270">
        <v>252.43</v>
      </c>
      <c r="O116" s="270">
        <v>236.2</v>
      </c>
      <c r="P116" s="270">
        <v>228.75</v>
      </c>
      <c r="Q116" s="270">
        <v>211.36</v>
      </c>
      <c r="R116" s="270">
        <v>219.01</v>
      </c>
      <c r="S116" s="270">
        <v>207.99</v>
      </c>
      <c r="T116" s="270">
        <v>206.29</v>
      </c>
      <c r="U116" s="270">
        <v>205.35</v>
      </c>
      <c r="V116" s="270">
        <v>204</v>
      </c>
      <c r="W116" s="271">
        <f t="shared" ref="W116:W127" si="12">V116/1000</f>
        <v>0.20399999999999999</v>
      </c>
      <c r="X116" s="262">
        <f t="shared" ref="X116:Z116" si="13">A99</f>
        <v>-2</v>
      </c>
      <c r="Y116" s="262">
        <f t="shared" si="13"/>
        <v>9.6500000000000021</v>
      </c>
      <c r="Z116" s="262">
        <f t="shared" si="13"/>
        <v>1.7333333333333327</v>
      </c>
      <c r="AA116" s="262">
        <f t="shared" ref="AA116:AA127" si="14">Z116-Y116</f>
        <v>-7.9166666666666696</v>
      </c>
      <c r="AB116" s="259"/>
      <c r="AC116" s="259"/>
      <c r="AD116" s="272">
        <f t="shared" ref="AD116:AG116" si="15">SUMPRODUCT($W$116:$W$127,X116:X127)</f>
        <v>-0.82675099999999957</v>
      </c>
      <c r="AE116" s="272">
        <f t="shared" si="15"/>
        <v>5.4628502499999998</v>
      </c>
      <c r="AF116" s="272">
        <f t="shared" si="15"/>
        <v>2.861543666666666</v>
      </c>
      <c r="AG116" s="272">
        <f t="shared" si="15"/>
        <v>-2.6013065833333342</v>
      </c>
      <c r="AH116" s="259"/>
      <c r="AI116" s="259"/>
      <c r="AJ116" s="259"/>
      <c r="AK116" s="259"/>
      <c r="AL116" s="259"/>
      <c r="AM116" s="259"/>
      <c r="AN116" s="259"/>
      <c r="AO116" s="259"/>
      <c r="AP116" s="259"/>
      <c r="AQ116" s="259"/>
      <c r="AR116" s="259"/>
      <c r="AS116" s="259"/>
      <c r="AT116" s="259"/>
      <c r="AU116" s="259"/>
      <c r="AV116" s="259"/>
      <c r="AW116" s="259"/>
      <c r="AX116" s="259"/>
      <c r="AY116" s="259"/>
      <c r="AZ116" s="259"/>
      <c r="BA116" s="259"/>
      <c r="BB116" s="259"/>
      <c r="BC116" s="259"/>
      <c r="BD116" s="259"/>
      <c r="BE116" s="259"/>
      <c r="BF116" s="259"/>
      <c r="BG116" s="259"/>
      <c r="BH116" s="259"/>
      <c r="BI116" s="259"/>
      <c r="BJ116" s="259"/>
      <c r="BK116" s="259"/>
      <c r="BL116" s="259"/>
      <c r="BM116" s="259"/>
      <c r="BN116" s="259"/>
      <c r="BO116" s="259"/>
      <c r="BP116" s="259"/>
      <c r="BQ116" s="259"/>
      <c r="BR116" s="259"/>
      <c r="BS116" s="259"/>
      <c r="BT116" s="259"/>
      <c r="BU116" s="259"/>
      <c r="BV116" s="259"/>
      <c r="BW116" s="259"/>
      <c r="BX116" s="259"/>
      <c r="BY116" s="259"/>
      <c r="BZ116" s="259"/>
      <c r="CA116" s="259"/>
      <c r="CB116" s="259"/>
      <c r="CC116" s="259"/>
      <c r="CD116" s="259"/>
      <c r="CE116" s="259"/>
      <c r="CF116" s="259"/>
      <c r="CG116" s="259"/>
      <c r="CH116" s="259"/>
      <c r="CI116" s="259"/>
      <c r="CJ116" s="259"/>
      <c r="CK116" s="259"/>
      <c r="CL116" s="259"/>
      <c r="CM116" s="259"/>
      <c r="CN116" s="259"/>
      <c r="CO116" s="259"/>
      <c r="CP116" s="259"/>
      <c r="CQ116" s="259"/>
      <c r="CR116" s="259"/>
      <c r="CS116" s="259"/>
      <c r="CT116" s="259"/>
      <c r="CU116" s="259"/>
      <c r="CV116" s="259"/>
      <c r="CW116" s="259"/>
      <c r="CX116" s="259"/>
      <c r="CY116" s="259"/>
      <c r="CZ116" s="259"/>
      <c r="DA116" s="259"/>
      <c r="DB116" s="259"/>
      <c r="DC116" s="259"/>
      <c r="DD116" s="259"/>
      <c r="DE116" s="259"/>
      <c r="DF116" s="259"/>
      <c r="DG116" s="259"/>
      <c r="DH116" s="259"/>
      <c r="DI116" s="259"/>
      <c r="DJ116" s="259"/>
      <c r="DK116" s="259"/>
      <c r="DL116" s="259"/>
      <c r="DM116" s="259"/>
      <c r="DN116" s="259"/>
      <c r="DO116" s="259"/>
      <c r="DP116" s="259"/>
      <c r="DQ116" s="259"/>
      <c r="DR116" s="259"/>
      <c r="DS116" s="259"/>
      <c r="DT116" s="259"/>
      <c r="DU116" s="259"/>
      <c r="DV116" s="259"/>
      <c r="DW116" s="259"/>
      <c r="DX116" s="259"/>
      <c r="DY116" s="259"/>
      <c r="DZ116" s="259"/>
      <c r="EA116" s="259"/>
      <c r="EB116" s="259"/>
      <c r="EC116" s="259"/>
      <c r="ED116" s="259"/>
      <c r="EE116" s="259"/>
      <c r="EF116" s="259"/>
      <c r="EG116" s="259"/>
      <c r="EH116" s="259"/>
      <c r="EI116" s="259"/>
      <c r="EJ116" s="259"/>
      <c r="EK116" s="259"/>
      <c r="EL116" s="259"/>
      <c r="EM116" s="259"/>
      <c r="EN116" s="259"/>
      <c r="EO116" s="259"/>
      <c r="EP116" s="259"/>
      <c r="EQ116" s="259"/>
      <c r="ER116" s="259"/>
      <c r="ES116" s="259"/>
      <c r="ET116" s="259"/>
      <c r="EU116" s="259"/>
      <c r="EV116" s="259"/>
      <c r="EW116" s="259"/>
      <c r="EX116" s="259"/>
      <c r="EY116" s="259"/>
      <c r="EZ116" s="259"/>
      <c r="FA116" s="259"/>
      <c r="FB116" s="259"/>
      <c r="FC116" s="259"/>
      <c r="FD116" s="259"/>
      <c r="FE116" s="259"/>
      <c r="FF116" s="259"/>
      <c r="FG116" s="259"/>
    </row>
    <row r="117" spans="1:163" ht="14.25" customHeight="1">
      <c r="A117" s="259"/>
      <c r="B117" s="259"/>
      <c r="C117" s="259"/>
      <c r="D117" s="259"/>
      <c r="E117" s="259"/>
      <c r="F117" s="259"/>
      <c r="G117" s="259"/>
      <c r="H117" s="259"/>
      <c r="I117" s="259"/>
      <c r="J117" s="259"/>
      <c r="K117" s="259"/>
      <c r="L117" s="183" t="s">
        <v>1011</v>
      </c>
      <c r="M117" s="270">
        <v>66.97</v>
      </c>
      <c r="N117" s="270">
        <v>74.78</v>
      </c>
      <c r="O117" s="270">
        <v>68.099999999999994</v>
      </c>
      <c r="P117" s="270">
        <v>74.95</v>
      </c>
      <c r="Q117" s="270">
        <v>67.89</v>
      </c>
      <c r="R117" s="270">
        <v>63.76</v>
      </c>
      <c r="S117" s="270">
        <v>65.88</v>
      </c>
      <c r="T117" s="270">
        <v>67.83</v>
      </c>
      <c r="U117" s="270">
        <v>74.48</v>
      </c>
      <c r="V117" s="270">
        <v>70.52</v>
      </c>
      <c r="W117" s="271">
        <f t="shared" si="12"/>
        <v>7.0519999999999999E-2</v>
      </c>
      <c r="X117" s="262">
        <f t="shared" ref="X117:Z117" si="16">A100</f>
        <v>2.2000000000000002</v>
      </c>
      <c r="Y117" s="262">
        <f t="shared" si="16"/>
        <v>4.9999999999999991</v>
      </c>
      <c r="Z117" s="262">
        <f t="shared" si="16"/>
        <v>11.808333333333335</v>
      </c>
      <c r="AA117" s="262">
        <f t="shared" si="14"/>
        <v>6.8083333333333362</v>
      </c>
      <c r="AB117" s="259"/>
      <c r="AC117" s="259"/>
      <c r="AD117" s="259"/>
      <c r="AE117" s="259"/>
      <c r="AF117" s="259"/>
      <c r="AG117" s="259"/>
      <c r="AH117" s="259"/>
      <c r="AI117" s="259"/>
      <c r="AJ117" s="259"/>
      <c r="AK117" s="259"/>
      <c r="AL117" s="259"/>
      <c r="AM117" s="259"/>
      <c r="AN117" s="259"/>
      <c r="AO117" s="259"/>
      <c r="AP117" s="259"/>
      <c r="AQ117" s="259"/>
      <c r="AR117" s="259"/>
      <c r="AS117" s="259"/>
      <c r="AT117" s="259"/>
      <c r="AU117" s="259"/>
      <c r="AV117" s="259"/>
      <c r="AW117" s="259"/>
      <c r="AX117" s="259"/>
      <c r="AY117" s="259"/>
      <c r="AZ117" s="259"/>
      <c r="BA117" s="259"/>
      <c r="BB117" s="259"/>
      <c r="BC117" s="259"/>
      <c r="BD117" s="259"/>
      <c r="BE117" s="259"/>
      <c r="BF117" s="259"/>
      <c r="BG117" s="259"/>
      <c r="BH117" s="259"/>
      <c r="BI117" s="259"/>
      <c r="BJ117" s="259"/>
      <c r="BK117" s="259"/>
      <c r="BL117" s="259"/>
      <c r="BM117" s="259"/>
      <c r="BN117" s="259"/>
      <c r="BO117" s="259"/>
      <c r="BP117" s="259"/>
      <c r="BQ117" s="259"/>
      <c r="BR117" s="259"/>
      <c r="BS117" s="259"/>
      <c r="BT117" s="259"/>
      <c r="BU117" s="259"/>
      <c r="BV117" s="259"/>
      <c r="BW117" s="259"/>
      <c r="BX117" s="259"/>
      <c r="BY117" s="259"/>
      <c r="BZ117" s="259"/>
      <c r="CA117" s="259"/>
      <c r="CB117" s="259"/>
      <c r="CC117" s="259"/>
      <c r="CD117" s="259"/>
      <c r="CE117" s="259"/>
      <c r="CF117" s="259"/>
      <c r="CG117" s="259"/>
      <c r="CH117" s="259"/>
      <c r="CI117" s="259"/>
      <c r="CJ117" s="259"/>
      <c r="CK117" s="259"/>
      <c r="CL117" s="259"/>
      <c r="CM117" s="259"/>
      <c r="CN117" s="259"/>
      <c r="CO117" s="259"/>
      <c r="CP117" s="259"/>
      <c r="CQ117" s="259"/>
      <c r="CR117" s="259"/>
      <c r="CS117" s="259"/>
      <c r="CT117" s="259"/>
      <c r="CU117" s="259"/>
      <c r="CV117" s="259"/>
      <c r="CW117" s="259"/>
      <c r="CX117" s="259"/>
      <c r="CY117" s="259"/>
      <c r="CZ117" s="259"/>
      <c r="DA117" s="259"/>
      <c r="DB117" s="259"/>
      <c r="DC117" s="259"/>
      <c r="DD117" s="259"/>
      <c r="DE117" s="259"/>
      <c r="DF117" s="259"/>
      <c r="DG117" s="259"/>
      <c r="DH117" s="259"/>
      <c r="DI117" s="259"/>
      <c r="DJ117" s="259"/>
      <c r="DK117" s="259"/>
      <c r="DL117" s="259"/>
      <c r="DM117" s="259"/>
      <c r="DN117" s="259"/>
      <c r="DO117" s="259"/>
      <c r="DP117" s="259"/>
      <c r="DQ117" s="259"/>
      <c r="DR117" s="259"/>
      <c r="DS117" s="259"/>
      <c r="DT117" s="259"/>
      <c r="DU117" s="259"/>
      <c r="DV117" s="259"/>
      <c r="DW117" s="259"/>
      <c r="DX117" s="259"/>
      <c r="DY117" s="259"/>
      <c r="DZ117" s="259"/>
      <c r="EA117" s="259"/>
      <c r="EB117" s="259"/>
      <c r="EC117" s="259"/>
      <c r="ED117" s="259"/>
      <c r="EE117" s="259"/>
      <c r="EF117" s="259"/>
      <c r="EG117" s="259"/>
      <c r="EH117" s="259"/>
      <c r="EI117" s="259"/>
      <c r="EJ117" s="259"/>
      <c r="EK117" s="259"/>
      <c r="EL117" s="259"/>
      <c r="EM117" s="259"/>
      <c r="EN117" s="259"/>
      <c r="EO117" s="259"/>
      <c r="EP117" s="259"/>
      <c r="EQ117" s="259"/>
      <c r="ER117" s="259"/>
      <c r="ES117" s="259"/>
      <c r="ET117" s="259"/>
      <c r="EU117" s="259"/>
      <c r="EV117" s="259"/>
      <c r="EW117" s="259"/>
      <c r="EX117" s="259"/>
      <c r="EY117" s="259"/>
      <c r="EZ117" s="259"/>
      <c r="FA117" s="259"/>
      <c r="FB117" s="259"/>
      <c r="FC117" s="259"/>
      <c r="FD117" s="259"/>
      <c r="FE117" s="259"/>
      <c r="FF117" s="259"/>
      <c r="FG117" s="259"/>
    </row>
    <row r="118" spans="1:163" ht="14.25" customHeight="1">
      <c r="A118" s="259"/>
      <c r="B118" s="259"/>
      <c r="C118" s="259"/>
      <c r="D118" s="259"/>
      <c r="E118" s="259"/>
      <c r="F118" s="259"/>
      <c r="G118" s="259"/>
      <c r="H118" s="259"/>
      <c r="I118" s="259"/>
      <c r="J118" s="259"/>
      <c r="K118" s="259"/>
      <c r="L118" s="183" t="s">
        <v>1012</v>
      </c>
      <c r="M118" s="270">
        <v>69.14</v>
      </c>
      <c r="N118" s="270">
        <v>50.33</v>
      </c>
      <c r="O118" s="270">
        <v>48.3</v>
      </c>
      <c r="P118" s="270">
        <v>43.58</v>
      </c>
      <c r="Q118" s="270">
        <v>49.03</v>
      </c>
      <c r="R118" s="270">
        <v>50.88</v>
      </c>
      <c r="S118" s="270">
        <v>47.06</v>
      </c>
      <c r="T118" s="270">
        <v>49.43</v>
      </c>
      <c r="U118" s="270">
        <v>46.27</v>
      </c>
      <c r="V118" s="270">
        <v>46.76</v>
      </c>
      <c r="W118" s="271">
        <f t="shared" si="12"/>
        <v>4.6759999999999996E-2</v>
      </c>
      <c r="X118" s="262">
        <f t="shared" ref="X118:Z118" si="17">A101</f>
        <v>-4.4000000000000004</v>
      </c>
      <c r="Y118" s="262">
        <f t="shared" si="17"/>
        <v>2.7416666666666667</v>
      </c>
      <c r="Z118" s="262">
        <f t="shared" si="17"/>
        <v>-0.13333333333333339</v>
      </c>
      <c r="AA118" s="262">
        <f t="shared" si="14"/>
        <v>-2.875</v>
      </c>
      <c r="AB118" s="259"/>
      <c r="AC118" s="259"/>
      <c r="AD118" s="259"/>
      <c r="AE118" s="259"/>
      <c r="AF118" s="259"/>
      <c r="AG118" s="259"/>
      <c r="AH118" s="259"/>
      <c r="AI118" s="259"/>
      <c r="AJ118" s="259"/>
      <c r="AK118" s="259"/>
      <c r="AL118" s="259"/>
      <c r="AM118" s="259"/>
      <c r="AN118" s="259"/>
      <c r="AO118" s="259"/>
      <c r="AP118" s="259"/>
      <c r="AQ118" s="259"/>
      <c r="AR118" s="259"/>
      <c r="AS118" s="259"/>
      <c r="AT118" s="259"/>
      <c r="AU118" s="259"/>
      <c r="AV118" s="259"/>
      <c r="AW118" s="259"/>
      <c r="AX118" s="259"/>
      <c r="AY118" s="259"/>
      <c r="AZ118" s="259"/>
      <c r="BA118" s="259"/>
      <c r="BB118" s="259"/>
      <c r="BC118" s="259"/>
      <c r="BD118" s="259"/>
      <c r="BE118" s="259"/>
      <c r="BF118" s="259"/>
      <c r="BG118" s="259"/>
      <c r="BH118" s="259"/>
      <c r="BI118" s="259"/>
      <c r="BJ118" s="259"/>
      <c r="BK118" s="259"/>
      <c r="BL118" s="259"/>
      <c r="BM118" s="259"/>
      <c r="BN118" s="259"/>
      <c r="BO118" s="259"/>
      <c r="BP118" s="259"/>
      <c r="BQ118" s="259"/>
      <c r="BR118" s="259"/>
      <c r="BS118" s="259"/>
      <c r="BT118" s="259"/>
      <c r="BU118" s="259"/>
      <c r="BV118" s="259"/>
      <c r="BW118" s="259"/>
      <c r="BX118" s="259"/>
      <c r="BY118" s="259"/>
      <c r="BZ118" s="259"/>
      <c r="CA118" s="259"/>
      <c r="CB118" s="259"/>
      <c r="CC118" s="259"/>
      <c r="CD118" s="259"/>
      <c r="CE118" s="259"/>
      <c r="CF118" s="259"/>
      <c r="CG118" s="259"/>
      <c r="CH118" s="259"/>
      <c r="CI118" s="259"/>
      <c r="CJ118" s="259"/>
      <c r="CK118" s="259"/>
      <c r="CL118" s="259"/>
      <c r="CM118" s="259"/>
      <c r="CN118" s="259"/>
      <c r="CO118" s="259"/>
      <c r="CP118" s="259"/>
      <c r="CQ118" s="259"/>
      <c r="CR118" s="259"/>
      <c r="CS118" s="259"/>
      <c r="CT118" s="259"/>
      <c r="CU118" s="259"/>
      <c r="CV118" s="259"/>
      <c r="CW118" s="259"/>
      <c r="CX118" s="259"/>
      <c r="CY118" s="259"/>
      <c r="CZ118" s="259"/>
      <c r="DA118" s="259"/>
      <c r="DB118" s="259"/>
      <c r="DC118" s="259"/>
      <c r="DD118" s="259"/>
      <c r="DE118" s="259"/>
      <c r="DF118" s="259"/>
      <c r="DG118" s="259"/>
      <c r="DH118" s="259"/>
      <c r="DI118" s="259"/>
      <c r="DJ118" s="259"/>
      <c r="DK118" s="259"/>
      <c r="DL118" s="259"/>
      <c r="DM118" s="259"/>
      <c r="DN118" s="259"/>
      <c r="DO118" s="259"/>
      <c r="DP118" s="259"/>
      <c r="DQ118" s="259"/>
      <c r="DR118" s="259"/>
      <c r="DS118" s="259"/>
      <c r="DT118" s="259"/>
      <c r="DU118" s="259"/>
      <c r="DV118" s="259"/>
      <c r="DW118" s="259"/>
      <c r="DX118" s="259"/>
      <c r="DY118" s="259"/>
      <c r="DZ118" s="259"/>
      <c r="EA118" s="259"/>
      <c r="EB118" s="259"/>
      <c r="EC118" s="259"/>
      <c r="ED118" s="259"/>
      <c r="EE118" s="259"/>
      <c r="EF118" s="259"/>
      <c r="EG118" s="259"/>
      <c r="EH118" s="259"/>
      <c r="EI118" s="259"/>
      <c r="EJ118" s="259"/>
      <c r="EK118" s="259"/>
      <c r="EL118" s="259"/>
      <c r="EM118" s="259"/>
      <c r="EN118" s="259"/>
      <c r="EO118" s="259"/>
      <c r="EP118" s="259"/>
      <c r="EQ118" s="259"/>
      <c r="ER118" s="259"/>
      <c r="ES118" s="259"/>
      <c r="ET118" s="259"/>
      <c r="EU118" s="259"/>
      <c r="EV118" s="259"/>
      <c r="EW118" s="259"/>
      <c r="EX118" s="259"/>
      <c r="EY118" s="259"/>
      <c r="EZ118" s="259"/>
      <c r="FA118" s="259"/>
      <c r="FB118" s="259"/>
      <c r="FC118" s="259"/>
      <c r="FD118" s="259"/>
      <c r="FE118" s="259"/>
      <c r="FF118" s="259"/>
      <c r="FG118" s="259"/>
    </row>
    <row r="119" spans="1:163" ht="14.25" customHeight="1">
      <c r="A119" s="259"/>
      <c r="B119" s="259"/>
      <c r="C119" s="259"/>
      <c r="D119" s="259"/>
      <c r="E119" s="259"/>
      <c r="F119" s="259"/>
      <c r="G119" s="259"/>
      <c r="H119" s="259"/>
      <c r="I119" s="259"/>
      <c r="J119" s="259"/>
      <c r="K119" s="259"/>
      <c r="L119" s="183" t="s">
        <v>1016</v>
      </c>
      <c r="M119" s="270">
        <v>135.30000000000001</v>
      </c>
      <c r="N119" s="270">
        <v>132.09</v>
      </c>
      <c r="O119" s="270">
        <v>139.37</v>
      </c>
      <c r="P119" s="270">
        <v>145.57</v>
      </c>
      <c r="Q119" s="270">
        <v>139.79</v>
      </c>
      <c r="R119" s="270">
        <v>115.94</v>
      </c>
      <c r="S119" s="270">
        <v>117.89</v>
      </c>
      <c r="T119" s="270">
        <v>115.85</v>
      </c>
      <c r="U119" s="270">
        <v>115.98</v>
      </c>
      <c r="V119" s="270">
        <v>121.43</v>
      </c>
      <c r="W119" s="271">
        <f t="shared" si="12"/>
        <v>0.12143000000000001</v>
      </c>
      <c r="X119" s="262">
        <f t="shared" ref="X119:Z119" si="18">A102</f>
        <v>2.2000000000000002</v>
      </c>
      <c r="Y119" s="262">
        <f t="shared" si="18"/>
        <v>6.7666666666666666</v>
      </c>
      <c r="Z119" s="262">
        <f t="shared" si="18"/>
        <v>4.8583333333333334</v>
      </c>
      <c r="AA119" s="262">
        <f t="shared" si="14"/>
        <v>-1.9083333333333332</v>
      </c>
      <c r="AB119" s="259"/>
      <c r="AC119" s="259"/>
      <c r="AD119" s="259"/>
      <c r="AE119" s="259"/>
      <c r="AF119" s="259"/>
      <c r="AG119" s="259"/>
      <c r="AH119" s="259"/>
      <c r="AI119" s="259"/>
      <c r="AJ119" s="259"/>
      <c r="AK119" s="259"/>
      <c r="AL119" s="259"/>
      <c r="AM119" s="259"/>
      <c r="AN119" s="259"/>
      <c r="AO119" s="259"/>
      <c r="AP119" s="259"/>
      <c r="AQ119" s="259"/>
      <c r="AR119" s="259"/>
      <c r="AS119" s="259"/>
      <c r="AT119" s="259"/>
      <c r="AU119" s="259"/>
      <c r="AV119" s="259"/>
      <c r="AW119" s="259"/>
      <c r="AX119" s="259"/>
      <c r="AY119" s="259"/>
      <c r="AZ119" s="259"/>
      <c r="BA119" s="259"/>
      <c r="BB119" s="259"/>
      <c r="BC119" s="259"/>
      <c r="BD119" s="259"/>
      <c r="BE119" s="259"/>
      <c r="BF119" s="259"/>
      <c r="BG119" s="259"/>
      <c r="BH119" s="259"/>
      <c r="BI119" s="259"/>
      <c r="BJ119" s="259"/>
      <c r="BK119" s="259"/>
      <c r="BL119" s="259"/>
      <c r="BM119" s="259"/>
      <c r="BN119" s="259"/>
      <c r="BO119" s="259"/>
      <c r="BP119" s="259"/>
      <c r="BQ119" s="259"/>
      <c r="BR119" s="259"/>
      <c r="BS119" s="259"/>
      <c r="BT119" s="259"/>
      <c r="BU119" s="259"/>
      <c r="BV119" s="259"/>
      <c r="BW119" s="259"/>
      <c r="BX119" s="259"/>
      <c r="BY119" s="259"/>
      <c r="BZ119" s="259"/>
      <c r="CA119" s="259"/>
      <c r="CB119" s="259"/>
      <c r="CC119" s="259"/>
      <c r="CD119" s="259"/>
      <c r="CE119" s="259"/>
      <c r="CF119" s="259"/>
      <c r="CG119" s="259"/>
      <c r="CH119" s="259"/>
      <c r="CI119" s="259"/>
      <c r="CJ119" s="259"/>
      <c r="CK119" s="259"/>
      <c r="CL119" s="259"/>
      <c r="CM119" s="259"/>
      <c r="CN119" s="259"/>
      <c r="CO119" s="259"/>
      <c r="CP119" s="259"/>
      <c r="CQ119" s="259"/>
      <c r="CR119" s="259"/>
      <c r="CS119" s="259"/>
      <c r="CT119" s="259"/>
      <c r="CU119" s="259"/>
      <c r="CV119" s="259"/>
      <c r="CW119" s="259"/>
      <c r="CX119" s="259"/>
      <c r="CY119" s="259"/>
      <c r="CZ119" s="259"/>
      <c r="DA119" s="259"/>
      <c r="DB119" s="259"/>
      <c r="DC119" s="259"/>
      <c r="DD119" s="259"/>
      <c r="DE119" s="259"/>
      <c r="DF119" s="259"/>
      <c r="DG119" s="259"/>
      <c r="DH119" s="259"/>
      <c r="DI119" s="259"/>
      <c r="DJ119" s="259"/>
      <c r="DK119" s="259"/>
      <c r="DL119" s="259"/>
      <c r="DM119" s="259"/>
      <c r="DN119" s="259"/>
      <c r="DO119" s="259"/>
      <c r="DP119" s="259"/>
      <c r="DQ119" s="259"/>
      <c r="DR119" s="259"/>
      <c r="DS119" s="259"/>
      <c r="DT119" s="259"/>
      <c r="DU119" s="259"/>
      <c r="DV119" s="259"/>
      <c r="DW119" s="259"/>
      <c r="DX119" s="259"/>
      <c r="DY119" s="259"/>
      <c r="DZ119" s="259"/>
      <c r="EA119" s="259"/>
      <c r="EB119" s="259"/>
      <c r="EC119" s="259"/>
      <c r="ED119" s="259"/>
      <c r="EE119" s="259"/>
      <c r="EF119" s="259"/>
      <c r="EG119" s="259"/>
      <c r="EH119" s="259"/>
      <c r="EI119" s="259"/>
      <c r="EJ119" s="259"/>
      <c r="EK119" s="259"/>
      <c r="EL119" s="259"/>
      <c r="EM119" s="259"/>
      <c r="EN119" s="259"/>
      <c r="EO119" s="259"/>
      <c r="EP119" s="259"/>
      <c r="EQ119" s="259"/>
      <c r="ER119" s="259"/>
      <c r="ES119" s="259"/>
      <c r="ET119" s="259"/>
      <c r="EU119" s="259"/>
      <c r="EV119" s="259"/>
      <c r="EW119" s="259"/>
      <c r="EX119" s="259"/>
      <c r="EY119" s="259"/>
      <c r="EZ119" s="259"/>
      <c r="FA119" s="259"/>
      <c r="FB119" s="259"/>
      <c r="FC119" s="259"/>
      <c r="FD119" s="259"/>
      <c r="FE119" s="259"/>
      <c r="FF119" s="259"/>
      <c r="FG119" s="259"/>
    </row>
    <row r="120" spans="1:163" ht="14.25" customHeight="1">
      <c r="A120" s="259"/>
      <c r="B120" s="259"/>
      <c r="C120" s="259"/>
      <c r="D120" s="259"/>
      <c r="E120" s="259"/>
      <c r="F120" s="259"/>
      <c r="G120" s="259"/>
      <c r="H120" s="259"/>
      <c r="I120" s="259"/>
      <c r="J120" s="259"/>
      <c r="K120" s="259"/>
      <c r="L120" s="183" t="s">
        <v>1020</v>
      </c>
      <c r="M120" s="270">
        <v>59.1</v>
      </c>
      <c r="N120" s="270">
        <v>63.46</v>
      </c>
      <c r="O120" s="270">
        <v>54.04</v>
      </c>
      <c r="P120" s="270">
        <v>54.2</v>
      </c>
      <c r="Q120" s="270">
        <v>56.85</v>
      </c>
      <c r="R120" s="270">
        <v>60.31</v>
      </c>
      <c r="S120" s="270">
        <v>58.24</v>
      </c>
      <c r="T120" s="270">
        <v>51.51</v>
      </c>
      <c r="U120" s="270">
        <v>54.38</v>
      </c>
      <c r="V120" s="270">
        <v>56.2</v>
      </c>
      <c r="W120" s="271">
        <f t="shared" si="12"/>
        <v>5.62E-2</v>
      </c>
      <c r="X120" s="262">
        <f t="shared" ref="X120:Z120" si="19">A103</f>
        <v>0.5</v>
      </c>
      <c r="Y120" s="262">
        <f t="shared" si="19"/>
        <v>4.7666666666666666</v>
      </c>
      <c r="Z120" s="262">
        <f t="shared" si="19"/>
        <v>2.8499999999999996</v>
      </c>
      <c r="AA120" s="262">
        <f t="shared" si="14"/>
        <v>-1.916666666666667</v>
      </c>
      <c r="AB120" s="259"/>
      <c r="AC120" s="259"/>
      <c r="AD120" s="259"/>
      <c r="AE120" s="259"/>
      <c r="AF120" s="259"/>
      <c r="AG120" s="259"/>
      <c r="AH120" s="259"/>
      <c r="AI120" s="259"/>
      <c r="AJ120" s="259"/>
      <c r="AK120" s="259"/>
      <c r="AL120" s="259"/>
      <c r="AM120" s="259"/>
      <c r="AN120" s="259"/>
      <c r="AO120" s="259"/>
      <c r="AP120" s="259"/>
      <c r="AQ120" s="259"/>
      <c r="AR120" s="259"/>
      <c r="AS120" s="259"/>
      <c r="AT120" s="259"/>
      <c r="AU120" s="259"/>
      <c r="AV120" s="259"/>
      <c r="AW120" s="259"/>
      <c r="AX120" s="259"/>
      <c r="AY120" s="259"/>
      <c r="AZ120" s="259"/>
      <c r="BA120" s="259"/>
      <c r="BB120" s="259"/>
      <c r="BC120" s="259"/>
      <c r="BD120" s="259"/>
      <c r="BE120" s="259"/>
      <c r="BF120" s="259"/>
      <c r="BG120" s="259"/>
      <c r="BH120" s="259"/>
      <c r="BI120" s="259"/>
      <c r="BJ120" s="259"/>
      <c r="BK120" s="259"/>
      <c r="BL120" s="259"/>
      <c r="BM120" s="259"/>
      <c r="BN120" s="259"/>
      <c r="BO120" s="259"/>
      <c r="BP120" s="259"/>
      <c r="BQ120" s="259"/>
      <c r="BR120" s="259"/>
      <c r="BS120" s="259"/>
      <c r="BT120" s="259"/>
      <c r="BU120" s="259"/>
      <c r="BV120" s="259"/>
      <c r="BW120" s="259"/>
      <c r="BX120" s="259"/>
      <c r="BY120" s="259"/>
      <c r="BZ120" s="259"/>
      <c r="CA120" s="259"/>
      <c r="CB120" s="259"/>
      <c r="CC120" s="259"/>
      <c r="CD120" s="259"/>
      <c r="CE120" s="259"/>
      <c r="CF120" s="259"/>
      <c r="CG120" s="259"/>
      <c r="CH120" s="259"/>
      <c r="CI120" s="259"/>
      <c r="CJ120" s="259"/>
      <c r="CK120" s="259"/>
      <c r="CL120" s="259"/>
      <c r="CM120" s="259"/>
      <c r="CN120" s="259"/>
      <c r="CO120" s="259"/>
      <c r="CP120" s="259"/>
      <c r="CQ120" s="259"/>
      <c r="CR120" s="259"/>
      <c r="CS120" s="259"/>
      <c r="CT120" s="259"/>
      <c r="CU120" s="259"/>
      <c r="CV120" s="259"/>
      <c r="CW120" s="259"/>
      <c r="CX120" s="259"/>
      <c r="CY120" s="259"/>
      <c r="CZ120" s="259"/>
      <c r="DA120" s="259"/>
      <c r="DB120" s="259"/>
      <c r="DC120" s="259"/>
      <c r="DD120" s="259"/>
      <c r="DE120" s="259"/>
      <c r="DF120" s="259"/>
      <c r="DG120" s="259"/>
      <c r="DH120" s="259"/>
      <c r="DI120" s="259"/>
      <c r="DJ120" s="259"/>
      <c r="DK120" s="259"/>
      <c r="DL120" s="259"/>
      <c r="DM120" s="259"/>
      <c r="DN120" s="259"/>
      <c r="DO120" s="259"/>
      <c r="DP120" s="259"/>
      <c r="DQ120" s="259"/>
      <c r="DR120" s="259"/>
      <c r="DS120" s="259"/>
      <c r="DT120" s="259"/>
      <c r="DU120" s="259"/>
      <c r="DV120" s="259"/>
      <c r="DW120" s="259"/>
      <c r="DX120" s="259"/>
      <c r="DY120" s="259"/>
      <c r="DZ120" s="259"/>
      <c r="EA120" s="259"/>
      <c r="EB120" s="259"/>
      <c r="EC120" s="259"/>
      <c r="ED120" s="259"/>
      <c r="EE120" s="259"/>
      <c r="EF120" s="259"/>
      <c r="EG120" s="259"/>
      <c r="EH120" s="259"/>
      <c r="EI120" s="259"/>
      <c r="EJ120" s="259"/>
      <c r="EK120" s="259"/>
      <c r="EL120" s="259"/>
      <c r="EM120" s="259"/>
      <c r="EN120" s="259"/>
      <c r="EO120" s="259"/>
      <c r="EP120" s="259"/>
      <c r="EQ120" s="259"/>
      <c r="ER120" s="259"/>
      <c r="ES120" s="259"/>
      <c r="ET120" s="259"/>
      <c r="EU120" s="259"/>
      <c r="EV120" s="259"/>
      <c r="EW120" s="259"/>
      <c r="EX120" s="259"/>
      <c r="EY120" s="259"/>
      <c r="EZ120" s="259"/>
      <c r="FA120" s="259"/>
      <c r="FB120" s="259"/>
      <c r="FC120" s="259"/>
      <c r="FD120" s="259"/>
      <c r="FE120" s="259"/>
      <c r="FF120" s="259"/>
      <c r="FG120" s="259"/>
    </row>
    <row r="121" spans="1:163" ht="14.25" customHeight="1">
      <c r="A121" s="259"/>
      <c r="B121" s="259"/>
      <c r="C121" s="259"/>
      <c r="D121" s="259"/>
      <c r="E121" s="259"/>
      <c r="F121" s="259"/>
      <c r="G121" s="259"/>
      <c r="H121" s="259"/>
      <c r="I121" s="259"/>
      <c r="J121" s="259"/>
      <c r="K121" s="259"/>
      <c r="L121" s="183" t="s">
        <v>1024</v>
      </c>
      <c r="M121" s="270">
        <v>32.93</v>
      </c>
      <c r="N121" s="270">
        <v>35.83</v>
      </c>
      <c r="O121" s="270">
        <v>37.25</v>
      </c>
      <c r="P121" s="270">
        <v>42.09</v>
      </c>
      <c r="Q121" s="270">
        <v>49.3</v>
      </c>
      <c r="R121" s="270">
        <v>53.64</v>
      </c>
      <c r="S121" s="270">
        <v>51.6</v>
      </c>
      <c r="T121" s="270">
        <v>45.45</v>
      </c>
      <c r="U121" s="270">
        <v>48.23</v>
      </c>
      <c r="V121" s="270">
        <v>46.86</v>
      </c>
      <c r="W121" s="271">
        <f t="shared" si="12"/>
        <v>4.6859999999999999E-2</v>
      </c>
      <c r="X121" s="262">
        <f t="shared" ref="X121:Z121" si="20">A104</f>
        <v>3.7</v>
      </c>
      <c r="Y121" s="262">
        <f t="shared" si="20"/>
        <v>5.8166666666666664</v>
      </c>
      <c r="Z121" s="262">
        <f t="shared" si="20"/>
        <v>15.383333333333331</v>
      </c>
      <c r="AA121" s="262">
        <f t="shared" si="14"/>
        <v>9.5666666666666647</v>
      </c>
      <c r="AB121" s="259"/>
      <c r="AC121" s="259"/>
      <c r="AD121" s="259"/>
      <c r="AE121" s="259"/>
      <c r="AF121" s="259"/>
      <c r="AG121" s="259"/>
      <c r="AH121" s="259"/>
      <c r="AI121" s="259"/>
      <c r="AJ121" s="259"/>
      <c r="AK121" s="259"/>
      <c r="AL121" s="259"/>
      <c r="AM121" s="259"/>
      <c r="AN121" s="259"/>
      <c r="AO121" s="259"/>
      <c r="AP121" s="259"/>
      <c r="AQ121" s="259"/>
      <c r="AR121" s="259"/>
      <c r="AS121" s="259"/>
      <c r="AT121" s="259"/>
      <c r="AU121" s="259"/>
      <c r="AV121" s="259"/>
      <c r="AW121" s="259"/>
      <c r="AX121" s="259"/>
      <c r="AY121" s="259"/>
      <c r="AZ121" s="259"/>
      <c r="BA121" s="259"/>
      <c r="BB121" s="259"/>
      <c r="BC121" s="259"/>
      <c r="BD121" s="259"/>
      <c r="BE121" s="259"/>
      <c r="BF121" s="259"/>
      <c r="BG121" s="259"/>
      <c r="BH121" s="259"/>
      <c r="BI121" s="259"/>
      <c r="BJ121" s="259"/>
      <c r="BK121" s="259"/>
      <c r="BL121" s="259"/>
      <c r="BM121" s="259"/>
      <c r="BN121" s="259"/>
      <c r="BO121" s="259"/>
      <c r="BP121" s="259"/>
      <c r="BQ121" s="259"/>
      <c r="BR121" s="259"/>
      <c r="BS121" s="259"/>
      <c r="BT121" s="259"/>
      <c r="BU121" s="259"/>
      <c r="BV121" s="259"/>
      <c r="BW121" s="259"/>
      <c r="BX121" s="259"/>
      <c r="BY121" s="259"/>
      <c r="BZ121" s="259"/>
      <c r="CA121" s="259"/>
      <c r="CB121" s="259"/>
      <c r="CC121" s="259"/>
      <c r="CD121" s="259"/>
      <c r="CE121" s="259"/>
      <c r="CF121" s="259"/>
      <c r="CG121" s="259"/>
      <c r="CH121" s="259"/>
      <c r="CI121" s="259"/>
      <c r="CJ121" s="259"/>
      <c r="CK121" s="259"/>
      <c r="CL121" s="259"/>
      <c r="CM121" s="259"/>
      <c r="CN121" s="259"/>
      <c r="CO121" s="259"/>
      <c r="CP121" s="259"/>
      <c r="CQ121" s="259"/>
      <c r="CR121" s="259"/>
      <c r="CS121" s="259"/>
      <c r="CT121" s="259"/>
      <c r="CU121" s="259"/>
      <c r="CV121" s="259"/>
      <c r="CW121" s="259"/>
      <c r="CX121" s="259"/>
      <c r="CY121" s="259"/>
      <c r="CZ121" s="259"/>
      <c r="DA121" s="259"/>
      <c r="DB121" s="259"/>
      <c r="DC121" s="259"/>
      <c r="DD121" s="259"/>
      <c r="DE121" s="259"/>
      <c r="DF121" s="259"/>
      <c r="DG121" s="259"/>
      <c r="DH121" s="259"/>
      <c r="DI121" s="259"/>
      <c r="DJ121" s="259"/>
      <c r="DK121" s="259"/>
      <c r="DL121" s="259"/>
      <c r="DM121" s="259"/>
      <c r="DN121" s="259"/>
      <c r="DO121" s="259"/>
      <c r="DP121" s="259"/>
      <c r="DQ121" s="259"/>
      <c r="DR121" s="259"/>
      <c r="DS121" s="259"/>
      <c r="DT121" s="259"/>
      <c r="DU121" s="259"/>
      <c r="DV121" s="259"/>
      <c r="DW121" s="259"/>
      <c r="DX121" s="259"/>
      <c r="DY121" s="259"/>
      <c r="DZ121" s="259"/>
      <c r="EA121" s="259"/>
      <c r="EB121" s="259"/>
      <c r="EC121" s="259"/>
      <c r="ED121" s="259"/>
      <c r="EE121" s="259"/>
      <c r="EF121" s="259"/>
      <c r="EG121" s="259"/>
      <c r="EH121" s="259"/>
      <c r="EI121" s="259"/>
      <c r="EJ121" s="259"/>
      <c r="EK121" s="259"/>
      <c r="EL121" s="259"/>
      <c r="EM121" s="259"/>
      <c r="EN121" s="259"/>
      <c r="EO121" s="259"/>
      <c r="EP121" s="259"/>
      <c r="EQ121" s="259"/>
      <c r="ER121" s="259"/>
      <c r="ES121" s="259"/>
      <c r="ET121" s="259"/>
      <c r="EU121" s="259"/>
      <c r="EV121" s="259"/>
      <c r="EW121" s="259"/>
      <c r="EX121" s="259"/>
      <c r="EY121" s="259"/>
      <c r="EZ121" s="259"/>
      <c r="FA121" s="259"/>
      <c r="FB121" s="259"/>
      <c r="FC121" s="259"/>
      <c r="FD121" s="259"/>
      <c r="FE121" s="259"/>
      <c r="FF121" s="259"/>
      <c r="FG121" s="259"/>
    </row>
    <row r="122" spans="1:163" ht="14.25" customHeight="1">
      <c r="A122" s="259"/>
      <c r="B122" s="259"/>
      <c r="C122" s="259"/>
      <c r="D122" s="259"/>
      <c r="E122" s="259"/>
      <c r="F122" s="259"/>
      <c r="G122" s="259"/>
      <c r="H122" s="259"/>
      <c r="I122" s="259"/>
      <c r="J122" s="259"/>
      <c r="K122" s="259"/>
      <c r="L122" s="183" t="s">
        <v>603</v>
      </c>
      <c r="M122" s="270">
        <v>127.93</v>
      </c>
      <c r="N122" s="270">
        <v>134.26</v>
      </c>
      <c r="O122" s="270">
        <v>126.39</v>
      </c>
      <c r="P122" s="270">
        <v>122.83</v>
      </c>
      <c r="Q122" s="270">
        <v>119.84</v>
      </c>
      <c r="R122" s="270">
        <v>103.83</v>
      </c>
      <c r="S122" s="270">
        <v>110.17</v>
      </c>
      <c r="T122" s="270">
        <v>115.28</v>
      </c>
      <c r="U122" s="270">
        <v>107.53</v>
      </c>
      <c r="V122" s="270">
        <v>123.05</v>
      </c>
      <c r="W122" s="271">
        <f t="shared" si="12"/>
        <v>0.12304999999999999</v>
      </c>
      <c r="X122" s="262">
        <f t="shared" ref="X122:Z122" si="21">A105</f>
        <v>-10.7</v>
      </c>
      <c r="Y122" s="262">
        <f t="shared" si="21"/>
        <v>4.9249999999999998</v>
      </c>
      <c r="Z122" s="262">
        <f t="shared" si="21"/>
        <v>-6.1916666666666691</v>
      </c>
      <c r="AA122" s="262">
        <f t="shared" si="14"/>
        <v>-11.116666666666669</v>
      </c>
      <c r="AB122" s="259"/>
      <c r="AC122" s="259"/>
      <c r="AD122" s="259"/>
      <c r="AE122" s="259"/>
      <c r="AF122" s="259"/>
      <c r="AG122" s="259"/>
      <c r="AH122" s="259"/>
      <c r="AI122" s="259"/>
      <c r="AJ122" s="259"/>
      <c r="AK122" s="259"/>
      <c r="AL122" s="259"/>
      <c r="AM122" s="259"/>
      <c r="AN122" s="259"/>
      <c r="AO122" s="259"/>
      <c r="AP122" s="259"/>
      <c r="AQ122" s="259"/>
      <c r="AR122" s="259"/>
      <c r="AS122" s="259"/>
      <c r="AT122" s="259"/>
      <c r="AU122" s="259"/>
      <c r="AV122" s="259"/>
      <c r="AW122" s="259"/>
      <c r="AX122" s="259"/>
      <c r="AY122" s="259"/>
      <c r="AZ122" s="259"/>
      <c r="BA122" s="259"/>
      <c r="BB122" s="259"/>
      <c r="BC122" s="259"/>
      <c r="BD122" s="259"/>
      <c r="BE122" s="259"/>
      <c r="BF122" s="259"/>
      <c r="BG122" s="259"/>
      <c r="BH122" s="259"/>
      <c r="BI122" s="259"/>
      <c r="BJ122" s="259"/>
      <c r="BK122" s="259"/>
      <c r="BL122" s="259"/>
      <c r="BM122" s="259"/>
      <c r="BN122" s="259"/>
      <c r="BO122" s="259"/>
      <c r="BP122" s="259"/>
      <c r="BQ122" s="259"/>
      <c r="BR122" s="259"/>
      <c r="BS122" s="259"/>
      <c r="BT122" s="259"/>
      <c r="BU122" s="259"/>
      <c r="BV122" s="259"/>
      <c r="BW122" s="259"/>
      <c r="BX122" s="259"/>
      <c r="BY122" s="259"/>
      <c r="BZ122" s="259"/>
      <c r="CA122" s="259"/>
      <c r="CB122" s="259"/>
      <c r="CC122" s="259"/>
      <c r="CD122" s="259"/>
      <c r="CE122" s="259"/>
      <c r="CF122" s="259"/>
      <c r="CG122" s="259"/>
      <c r="CH122" s="259"/>
      <c r="CI122" s="259"/>
      <c r="CJ122" s="259"/>
      <c r="CK122" s="259"/>
      <c r="CL122" s="259"/>
      <c r="CM122" s="259"/>
      <c r="CN122" s="259"/>
      <c r="CO122" s="259"/>
      <c r="CP122" s="259"/>
      <c r="CQ122" s="259"/>
      <c r="CR122" s="259"/>
      <c r="CS122" s="259"/>
      <c r="CT122" s="259"/>
      <c r="CU122" s="259"/>
      <c r="CV122" s="259"/>
      <c r="CW122" s="259"/>
      <c r="CX122" s="259"/>
      <c r="CY122" s="259"/>
      <c r="CZ122" s="259"/>
      <c r="DA122" s="259"/>
      <c r="DB122" s="259"/>
      <c r="DC122" s="259"/>
      <c r="DD122" s="259"/>
      <c r="DE122" s="259"/>
      <c r="DF122" s="259"/>
      <c r="DG122" s="259"/>
      <c r="DH122" s="259"/>
      <c r="DI122" s="259"/>
      <c r="DJ122" s="259"/>
      <c r="DK122" s="259"/>
      <c r="DL122" s="259"/>
      <c r="DM122" s="259"/>
      <c r="DN122" s="259"/>
      <c r="DO122" s="259"/>
      <c r="DP122" s="259"/>
      <c r="DQ122" s="259"/>
      <c r="DR122" s="259"/>
      <c r="DS122" s="259"/>
      <c r="DT122" s="259"/>
      <c r="DU122" s="259"/>
      <c r="DV122" s="259"/>
      <c r="DW122" s="259"/>
      <c r="DX122" s="259"/>
      <c r="DY122" s="259"/>
      <c r="DZ122" s="259"/>
      <c r="EA122" s="259"/>
      <c r="EB122" s="259"/>
      <c r="EC122" s="259"/>
      <c r="ED122" s="259"/>
      <c r="EE122" s="259"/>
      <c r="EF122" s="259"/>
      <c r="EG122" s="259"/>
      <c r="EH122" s="259"/>
      <c r="EI122" s="259"/>
      <c r="EJ122" s="259"/>
      <c r="EK122" s="259"/>
      <c r="EL122" s="259"/>
      <c r="EM122" s="259"/>
      <c r="EN122" s="259"/>
      <c r="EO122" s="259"/>
      <c r="EP122" s="259"/>
      <c r="EQ122" s="259"/>
      <c r="ER122" s="259"/>
      <c r="ES122" s="259"/>
      <c r="ET122" s="259"/>
      <c r="EU122" s="259"/>
      <c r="EV122" s="259"/>
      <c r="EW122" s="259"/>
      <c r="EX122" s="259"/>
      <c r="EY122" s="259"/>
      <c r="EZ122" s="259"/>
      <c r="FA122" s="259"/>
      <c r="FB122" s="259"/>
      <c r="FC122" s="259"/>
      <c r="FD122" s="259"/>
      <c r="FE122" s="259"/>
      <c r="FF122" s="259"/>
      <c r="FG122" s="259"/>
    </row>
    <row r="123" spans="1:163" ht="14.25" customHeight="1">
      <c r="A123" s="259"/>
      <c r="B123" s="259"/>
      <c r="C123" s="259"/>
      <c r="D123" s="259"/>
      <c r="E123" s="259"/>
      <c r="F123" s="259"/>
      <c r="G123" s="259"/>
      <c r="H123" s="259"/>
      <c r="I123" s="259"/>
      <c r="J123" s="259"/>
      <c r="K123" s="259"/>
      <c r="L123" s="183" t="s">
        <v>1029</v>
      </c>
      <c r="M123" s="270">
        <v>29.38</v>
      </c>
      <c r="N123" s="270">
        <v>36.549999999999997</v>
      </c>
      <c r="O123" s="270">
        <v>40.33</v>
      </c>
      <c r="P123" s="270">
        <v>32.950000000000003</v>
      </c>
      <c r="Q123" s="270">
        <v>35.72</v>
      </c>
      <c r="R123" s="270">
        <v>36.46</v>
      </c>
      <c r="S123" s="270">
        <v>34.770000000000003</v>
      </c>
      <c r="T123" s="270">
        <v>39.840000000000003</v>
      </c>
      <c r="U123" s="270">
        <v>45.53</v>
      </c>
      <c r="V123" s="270">
        <v>46.2</v>
      </c>
      <c r="W123" s="271">
        <f t="shared" si="12"/>
        <v>4.6200000000000005E-2</v>
      </c>
      <c r="X123" s="262">
        <f t="shared" ref="X123:Z123" si="22">A106</f>
        <v>-1.7</v>
      </c>
      <c r="Y123" s="262">
        <f t="shared" si="22"/>
        <v>-1.3833333333333335</v>
      </c>
      <c r="Z123" s="262">
        <f t="shared" si="22"/>
        <v>-0.26666666666666666</v>
      </c>
      <c r="AA123" s="262">
        <f t="shared" si="14"/>
        <v>1.1166666666666669</v>
      </c>
      <c r="AB123" s="259"/>
      <c r="AC123" s="259"/>
      <c r="AD123" s="259"/>
      <c r="AE123" s="259"/>
      <c r="AF123" s="259"/>
      <c r="AG123" s="259"/>
      <c r="AH123" s="259"/>
      <c r="AI123" s="259"/>
      <c r="AJ123" s="259"/>
      <c r="AK123" s="259"/>
      <c r="AL123" s="259"/>
      <c r="AM123" s="259"/>
      <c r="AN123" s="259"/>
      <c r="AO123" s="259"/>
      <c r="AP123" s="259"/>
      <c r="AQ123" s="259"/>
      <c r="AR123" s="259"/>
      <c r="AS123" s="259"/>
      <c r="AT123" s="259"/>
      <c r="AU123" s="259"/>
      <c r="AV123" s="259"/>
      <c r="AW123" s="259"/>
      <c r="AX123" s="259"/>
      <c r="AY123" s="259"/>
      <c r="AZ123" s="259"/>
      <c r="BA123" s="259"/>
      <c r="BB123" s="259"/>
      <c r="BC123" s="259"/>
      <c r="BD123" s="259"/>
      <c r="BE123" s="259"/>
      <c r="BF123" s="259"/>
      <c r="BG123" s="259"/>
      <c r="BH123" s="259"/>
      <c r="BI123" s="259"/>
      <c r="BJ123" s="259"/>
      <c r="BK123" s="259"/>
      <c r="BL123" s="259"/>
      <c r="BM123" s="259"/>
      <c r="BN123" s="259"/>
      <c r="BO123" s="259"/>
      <c r="BP123" s="259"/>
      <c r="BQ123" s="259"/>
      <c r="BR123" s="259"/>
      <c r="BS123" s="259"/>
      <c r="BT123" s="259"/>
      <c r="BU123" s="259"/>
      <c r="BV123" s="259"/>
      <c r="BW123" s="259"/>
      <c r="BX123" s="259"/>
      <c r="BY123" s="259"/>
      <c r="BZ123" s="259"/>
      <c r="CA123" s="259"/>
      <c r="CB123" s="259"/>
      <c r="CC123" s="259"/>
      <c r="CD123" s="259"/>
      <c r="CE123" s="259"/>
      <c r="CF123" s="259"/>
      <c r="CG123" s="259"/>
      <c r="CH123" s="259"/>
      <c r="CI123" s="259"/>
      <c r="CJ123" s="259"/>
      <c r="CK123" s="259"/>
      <c r="CL123" s="259"/>
      <c r="CM123" s="259"/>
      <c r="CN123" s="259"/>
      <c r="CO123" s="259"/>
      <c r="CP123" s="259"/>
      <c r="CQ123" s="259"/>
      <c r="CR123" s="259"/>
      <c r="CS123" s="259"/>
      <c r="CT123" s="259"/>
      <c r="CU123" s="259"/>
      <c r="CV123" s="259"/>
      <c r="CW123" s="259"/>
      <c r="CX123" s="259"/>
      <c r="CY123" s="259"/>
      <c r="CZ123" s="259"/>
      <c r="DA123" s="259"/>
      <c r="DB123" s="259"/>
      <c r="DC123" s="259"/>
      <c r="DD123" s="259"/>
      <c r="DE123" s="259"/>
      <c r="DF123" s="259"/>
      <c r="DG123" s="259"/>
      <c r="DH123" s="259"/>
      <c r="DI123" s="259"/>
      <c r="DJ123" s="259"/>
      <c r="DK123" s="259"/>
      <c r="DL123" s="259"/>
      <c r="DM123" s="259"/>
      <c r="DN123" s="259"/>
      <c r="DO123" s="259"/>
      <c r="DP123" s="259"/>
      <c r="DQ123" s="259"/>
      <c r="DR123" s="259"/>
      <c r="DS123" s="259"/>
      <c r="DT123" s="259"/>
      <c r="DU123" s="259"/>
      <c r="DV123" s="259"/>
      <c r="DW123" s="259"/>
      <c r="DX123" s="259"/>
      <c r="DY123" s="259"/>
      <c r="DZ123" s="259"/>
      <c r="EA123" s="259"/>
      <c r="EB123" s="259"/>
      <c r="EC123" s="259"/>
      <c r="ED123" s="259"/>
      <c r="EE123" s="259"/>
      <c r="EF123" s="259"/>
      <c r="EG123" s="259"/>
      <c r="EH123" s="259"/>
      <c r="EI123" s="259"/>
      <c r="EJ123" s="259"/>
      <c r="EK123" s="259"/>
      <c r="EL123" s="259"/>
      <c r="EM123" s="259"/>
      <c r="EN123" s="259"/>
      <c r="EO123" s="259"/>
      <c r="EP123" s="259"/>
      <c r="EQ123" s="259"/>
      <c r="ER123" s="259"/>
      <c r="ES123" s="259"/>
      <c r="ET123" s="259"/>
      <c r="EU123" s="259"/>
      <c r="EV123" s="259"/>
      <c r="EW123" s="259"/>
      <c r="EX123" s="259"/>
      <c r="EY123" s="259"/>
      <c r="EZ123" s="259"/>
      <c r="FA123" s="259"/>
      <c r="FB123" s="259"/>
      <c r="FC123" s="259"/>
      <c r="FD123" s="259"/>
      <c r="FE123" s="259"/>
      <c r="FF123" s="259"/>
      <c r="FG123" s="259"/>
    </row>
    <row r="124" spans="1:163" ht="14.25" customHeight="1">
      <c r="A124" s="259"/>
      <c r="B124" s="259"/>
      <c r="C124" s="259"/>
      <c r="D124" s="259"/>
      <c r="E124" s="259"/>
      <c r="F124" s="259"/>
      <c r="G124" s="259"/>
      <c r="H124" s="259"/>
      <c r="I124" s="259"/>
      <c r="J124" s="259"/>
      <c r="K124" s="259"/>
      <c r="L124" s="183" t="s">
        <v>1031</v>
      </c>
      <c r="M124" s="270">
        <v>66.67</v>
      </c>
      <c r="N124" s="270">
        <v>75.3</v>
      </c>
      <c r="O124" s="270">
        <v>88.07</v>
      </c>
      <c r="P124" s="270">
        <v>88.55</v>
      </c>
      <c r="Q124" s="270">
        <v>91.86</v>
      </c>
      <c r="R124" s="270">
        <v>92.34</v>
      </c>
      <c r="S124" s="270">
        <v>91.93</v>
      </c>
      <c r="T124" s="270">
        <v>87.29</v>
      </c>
      <c r="U124" s="270">
        <v>90.23</v>
      </c>
      <c r="V124" s="270">
        <v>84.58</v>
      </c>
      <c r="W124" s="271">
        <f t="shared" si="12"/>
        <v>8.4580000000000002E-2</v>
      </c>
      <c r="X124" s="262">
        <f t="shared" ref="X124:Z124" si="23">A107</f>
        <v>0.7</v>
      </c>
      <c r="Y124" s="262">
        <f t="shared" si="23"/>
        <v>1.4833333333333332</v>
      </c>
      <c r="Z124" s="262">
        <f t="shared" si="23"/>
        <v>1.8666666666666665</v>
      </c>
      <c r="AA124" s="262">
        <f t="shared" si="14"/>
        <v>0.3833333333333333</v>
      </c>
      <c r="AB124" s="259"/>
      <c r="AC124" s="259"/>
      <c r="AD124" s="259"/>
      <c r="AE124" s="259"/>
      <c r="AF124" s="259"/>
      <c r="AG124" s="259"/>
      <c r="AH124" s="259"/>
      <c r="AI124" s="259"/>
      <c r="AJ124" s="259"/>
      <c r="AK124" s="259"/>
      <c r="AL124" s="259"/>
      <c r="AM124" s="259"/>
      <c r="AN124" s="259"/>
      <c r="AO124" s="259"/>
      <c r="AP124" s="259"/>
      <c r="AQ124" s="259"/>
      <c r="AR124" s="259"/>
      <c r="AS124" s="259"/>
      <c r="AT124" s="259"/>
      <c r="AU124" s="259"/>
      <c r="AV124" s="259"/>
      <c r="AW124" s="259"/>
      <c r="AX124" s="259"/>
      <c r="AY124" s="259"/>
      <c r="AZ124" s="259"/>
      <c r="BA124" s="259"/>
      <c r="BB124" s="259"/>
      <c r="BC124" s="259"/>
      <c r="BD124" s="259"/>
      <c r="BE124" s="259"/>
      <c r="BF124" s="259"/>
      <c r="BG124" s="259"/>
      <c r="BH124" s="259"/>
      <c r="BI124" s="259"/>
      <c r="BJ124" s="259"/>
      <c r="BK124" s="259"/>
      <c r="BL124" s="259"/>
      <c r="BM124" s="259"/>
      <c r="BN124" s="259"/>
      <c r="BO124" s="259"/>
      <c r="BP124" s="259"/>
      <c r="BQ124" s="259"/>
      <c r="BR124" s="259"/>
      <c r="BS124" s="259"/>
      <c r="BT124" s="259"/>
      <c r="BU124" s="259"/>
      <c r="BV124" s="259"/>
      <c r="BW124" s="259"/>
      <c r="BX124" s="259"/>
      <c r="BY124" s="259"/>
      <c r="BZ124" s="259"/>
      <c r="CA124" s="259"/>
      <c r="CB124" s="259"/>
      <c r="CC124" s="259"/>
      <c r="CD124" s="259"/>
      <c r="CE124" s="259"/>
      <c r="CF124" s="259"/>
      <c r="CG124" s="259"/>
      <c r="CH124" s="259"/>
      <c r="CI124" s="259"/>
      <c r="CJ124" s="259"/>
      <c r="CK124" s="259"/>
      <c r="CL124" s="259"/>
      <c r="CM124" s="259"/>
      <c r="CN124" s="259"/>
      <c r="CO124" s="259"/>
      <c r="CP124" s="259"/>
      <c r="CQ124" s="259"/>
      <c r="CR124" s="259"/>
      <c r="CS124" s="259"/>
      <c r="CT124" s="259"/>
      <c r="CU124" s="259"/>
      <c r="CV124" s="259"/>
      <c r="CW124" s="259"/>
      <c r="CX124" s="259"/>
      <c r="CY124" s="259"/>
      <c r="CZ124" s="259"/>
      <c r="DA124" s="259"/>
      <c r="DB124" s="259"/>
      <c r="DC124" s="259"/>
      <c r="DD124" s="259"/>
      <c r="DE124" s="259"/>
      <c r="DF124" s="259"/>
      <c r="DG124" s="259"/>
      <c r="DH124" s="259"/>
      <c r="DI124" s="259"/>
      <c r="DJ124" s="259"/>
      <c r="DK124" s="259"/>
      <c r="DL124" s="259"/>
      <c r="DM124" s="259"/>
      <c r="DN124" s="259"/>
      <c r="DO124" s="259"/>
      <c r="DP124" s="259"/>
      <c r="DQ124" s="259"/>
      <c r="DR124" s="259"/>
      <c r="DS124" s="259"/>
      <c r="DT124" s="259"/>
      <c r="DU124" s="259"/>
      <c r="DV124" s="259"/>
      <c r="DW124" s="259"/>
      <c r="DX124" s="259"/>
      <c r="DY124" s="259"/>
      <c r="DZ124" s="259"/>
      <c r="EA124" s="259"/>
      <c r="EB124" s="259"/>
      <c r="EC124" s="259"/>
      <c r="ED124" s="259"/>
      <c r="EE124" s="259"/>
      <c r="EF124" s="259"/>
      <c r="EG124" s="259"/>
      <c r="EH124" s="259"/>
      <c r="EI124" s="259"/>
      <c r="EJ124" s="259"/>
      <c r="EK124" s="259"/>
      <c r="EL124" s="259"/>
      <c r="EM124" s="259"/>
      <c r="EN124" s="259"/>
      <c r="EO124" s="259"/>
      <c r="EP124" s="259"/>
      <c r="EQ124" s="259"/>
      <c r="ER124" s="259"/>
      <c r="ES124" s="259"/>
      <c r="ET124" s="259"/>
      <c r="EU124" s="259"/>
      <c r="EV124" s="259"/>
      <c r="EW124" s="259"/>
      <c r="EX124" s="259"/>
      <c r="EY124" s="259"/>
      <c r="EZ124" s="259"/>
      <c r="FA124" s="259"/>
      <c r="FB124" s="259"/>
      <c r="FC124" s="259"/>
      <c r="FD124" s="259"/>
      <c r="FE124" s="259"/>
      <c r="FF124" s="259"/>
      <c r="FG124" s="259"/>
    </row>
    <row r="125" spans="1:163" ht="14.25" customHeight="1">
      <c r="A125" s="259"/>
      <c r="B125" s="259"/>
      <c r="C125" s="259"/>
      <c r="D125" s="259"/>
      <c r="E125" s="259"/>
      <c r="F125" s="259"/>
      <c r="G125" s="259"/>
      <c r="H125" s="259"/>
      <c r="I125" s="259"/>
      <c r="J125" s="259"/>
      <c r="K125" s="259"/>
      <c r="L125" s="183" t="s">
        <v>1032</v>
      </c>
      <c r="M125" s="270">
        <v>10.58</v>
      </c>
      <c r="N125" s="270">
        <v>10.39</v>
      </c>
      <c r="O125" s="270">
        <v>13.62</v>
      </c>
      <c r="P125" s="270">
        <v>17.36</v>
      </c>
      <c r="Q125" s="270">
        <v>17.399999999999999</v>
      </c>
      <c r="R125" s="270">
        <v>23.83</v>
      </c>
      <c r="S125" s="270">
        <v>22.81</v>
      </c>
      <c r="T125" s="270">
        <v>19.829999999999998</v>
      </c>
      <c r="U125" s="270">
        <v>17.21</v>
      </c>
      <c r="V125" s="270">
        <v>13.88</v>
      </c>
      <c r="W125" s="271">
        <f t="shared" si="12"/>
        <v>1.388E-2</v>
      </c>
      <c r="X125" s="262">
        <f t="shared" ref="X125:Z125" si="24">A108</f>
        <v>1.9</v>
      </c>
      <c r="Y125" s="262">
        <f t="shared" si="24"/>
        <v>2.4083333333333337</v>
      </c>
      <c r="Z125" s="262">
        <f t="shared" si="24"/>
        <v>2.5333333333333337</v>
      </c>
      <c r="AA125" s="262">
        <f t="shared" si="14"/>
        <v>0.125</v>
      </c>
      <c r="AB125" s="259"/>
      <c r="AC125" s="259"/>
      <c r="AD125" s="259"/>
      <c r="AE125" s="259"/>
      <c r="AF125" s="259"/>
      <c r="AG125" s="259"/>
      <c r="AH125" s="259"/>
      <c r="AI125" s="259"/>
      <c r="AJ125" s="259"/>
      <c r="AK125" s="259"/>
      <c r="AL125" s="259"/>
      <c r="AM125" s="259"/>
      <c r="AN125" s="259"/>
      <c r="AO125" s="259"/>
      <c r="AP125" s="259"/>
      <c r="AQ125" s="259"/>
      <c r="AR125" s="259"/>
      <c r="AS125" s="259"/>
      <c r="AT125" s="259"/>
      <c r="AU125" s="259"/>
      <c r="AV125" s="259"/>
      <c r="AW125" s="259"/>
      <c r="AX125" s="259"/>
      <c r="AY125" s="259"/>
      <c r="AZ125" s="259"/>
      <c r="BA125" s="259"/>
      <c r="BB125" s="259"/>
      <c r="BC125" s="259"/>
      <c r="BD125" s="259"/>
      <c r="BE125" s="259"/>
      <c r="BF125" s="259"/>
      <c r="BG125" s="259"/>
      <c r="BH125" s="259"/>
      <c r="BI125" s="259"/>
      <c r="BJ125" s="259"/>
      <c r="BK125" s="259"/>
      <c r="BL125" s="259"/>
      <c r="BM125" s="259"/>
      <c r="BN125" s="259"/>
      <c r="BO125" s="259"/>
      <c r="BP125" s="259"/>
      <c r="BQ125" s="259"/>
      <c r="BR125" s="259"/>
      <c r="BS125" s="259"/>
      <c r="BT125" s="259"/>
      <c r="BU125" s="259"/>
      <c r="BV125" s="259"/>
      <c r="BW125" s="259"/>
      <c r="BX125" s="259"/>
      <c r="BY125" s="259"/>
      <c r="BZ125" s="259"/>
      <c r="CA125" s="259"/>
      <c r="CB125" s="259"/>
      <c r="CC125" s="259"/>
      <c r="CD125" s="259"/>
      <c r="CE125" s="259"/>
      <c r="CF125" s="259"/>
      <c r="CG125" s="259"/>
      <c r="CH125" s="259"/>
      <c r="CI125" s="259"/>
      <c r="CJ125" s="259"/>
      <c r="CK125" s="259"/>
      <c r="CL125" s="259"/>
      <c r="CM125" s="259"/>
      <c r="CN125" s="259"/>
      <c r="CO125" s="259"/>
      <c r="CP125" s="259"/>
      <c r="CQ125" s="259"/>
      <c r="CR125" s="259"/>
      <c r="CS125" s="259"/>
      <c r="CT125" s="259"/>
      <c r="CU125" s="259"/>
      <c r="CV125" s="259"/>
      <c r="CW125" s="259"/>
      <c r="CX125" s="259"/>
      <c r="CY125" s="259"/>
      <c r="CZ125" s="259"/>
      <c r="DA125" s="259"/>
      <c r="DB125" s="259"/>
      <c r="DC125" s="259"/>
      <c r="DD125" s="259"/>
      <c r="DE125" s="259"/>
      <c r="DF125" s="259"/>
      <c r="DG125" s="259"/>
      <c r="DH125" s="259"/>
      <c r="DI125" s="259"/>
      <c r="DJ125" s="259"/>
      <c r="DK125" s="259"/>
      <c r="DL125" s="259"/>
      <c r="DM125" s="259"/>
      <c r="DN125" s="259"/>
      <c r="DO125" s="259"/>
      <c r="DP125" s="259"/>
      <c r="DQ125" s="259"/>
      <c r="DR125" s="259"/>
      <c r="DS125" s="259"/>
      <c r="DT125" s="259"/>
      <c r="DU125" s="259"/>
      <c r="DV125" s="259"/>
      <c r="DW125" s="259"/>
      <c r="DX125" s="259"/>
      <c r="DY125" s="259"/>
      <c r="DZ125" s="259"/>
      <c r="EA125" s="259"/>
      <c r="EB125" s="259"/>
      <c r="EC125" s="259"/>
      <c r="ED125" s="259"/>
      <c r="EE125" s="259"/>
      <c r="EF125" s="259"/>
      <c r="EG125" s="259"/>
      <c r="EH125" s="259"/>
      <c r="EI125" s="259"/>
      <c r="EJ125" s="259"/>
      <c r="EK125" s="259"/>
      <c r="EL125" s="259"/>
      <c r="EM125" s="259"/>
      <c r="EN125" s="259"/>
      <c r="EO125" s="259"/>
      <c r="EP125" s="259"/>
      <c r="EQ125" s="259"/>
      <c r="ER125" s="259"/>
      <c r="ES125" s="259"/>
      <c r="ET125" s="259"/>
      <c r="EU125" s="259"/>
      <c r="EV125" s="259"/>
      <c r="EW125" s="259"/>
      <c r="EX125" s="259"/>
      <c r="EY125" s="259"/>
      <c r="EZ125" s="259"/>
      <c r="FA125" s="259"/>
      <c r="FB125" s="259"/>
      <c r="FC125" s="259"/>
      <c r="FD125" s="259"/>
      <c r="FE125" s="259"/>
      <c r="FF125" s="259"/>
      <c r="FG125" s="259"/>
    </row>
    <row r="126" spans="1:163" ht="14.25" customHeight="1">
      <c r="A126" s="259"/>
      <c r="B126" s="259"/>
      <c r="C126" s="259"/>
      <c r="D126" s="259"/>
      <c r="E126" s="259"/>
      <c r="F126" s="259"/>
      <c r="G126" s="259"/>
      <c r="H126" s="259"/>
      <c r="I126" s="259"/>
      <c r="J126" s="259"/>
      <c r="K126" s="259"/>
      <c r="L126" s="183" t="s">
        <v>1033</v>
      </c>
      <c r="M126" s="270">
        <v>67.62</v>
      </c>
      <c r="N126" s="270">
        <v>72.150000000000006</v>
      </c>
      <c r="O126" s="270">
        <v>80.64</v>
      </c>
      <c r="P126" s="270">
        <v>89</v>
      </c>
      <c r="Q126" s="270">
        <v>96.06</v>
      </c>
      <c r="R126" s="270">
        <v>118.94</v>
      </c>
      <c r="S126" s="270">
        <v>127.15</v>
      </c>
      <c r="T126" s="270">
        <v>135.05000000000001</v>
      </c>
      <c r="U126" s="270">
        <v>131.03</v>
      </c>
      <c r="V126" s="270">
        <v>121.34</v>
      </c>
      <c r="W126" s="271">
        <f t="shared" si="12"/>
        <v>0.12134</v>
      </c>
      <c r="X126" s="262">
        <f t="shared" ref="X126:Z126" si="25">A109</f>
        <v>2.5</v>
      </c>
      <c r="Y126" s="262">
        <f t="shared" si="25"/>
        <v>5.625</v>
      </c>
      <c r="Z126" s="262">
        <f t="shared" si="25"/>
        <v>4.55</v>
      </c>
      <c r="AA126" s="262">
        <f t="shared" si="14"/>
        <v>-1.0750000000000002</v>
      </c>
      <c r="AB126" s="259"/>
      <c r="AC126" s="259"/>
      <c r="AD126" s="259"/>
      <c r="AE126" s="259"/>
      <c r="AF126" s="259"/>
      <c r="AG126" s="259"/>
      <c r="AH126" s="259"/>
      <c r="AI126" s="259"/>
      <c r="AJ126" s="259"/>
      <c r="AK126" s="259"/>
      <c r="AL126" s="259"/>
      <c r="AM126" s="259"/>
      <c r="AN126" s="259"/>
      <c r="AO126" s="259"/>
      <c r="AP126" s="259"/>
      <c r="AQ126" s="259"/>
      <c r="AR126" s="259"/>
      <c r="AS126" s="259"/>
      <c r="AT126" s="259"/>
      <c r="AU126" s="259"/>
      <c r="AV126" s="259"/>
      <c r="AW126" s="259"/>
      <c r="AX126" s="259"/>
      <c r="AY126" s="259"/>
      <c r="AZ126" s="259"/>
      <c r="BA126" s="259"/>
      <c r="BB126" s="259"/>
      <c r="BC126" s="259"/>
      <c r="BD126" s="259"/>
      <c r="BE126" s="259"/>
      <c r="BF126" s="259"/>
      <c r="BG126" s="259"/>
      <c r="BH126" s="259"/>
      <c r="BI126" s="259"/>
      <c r="BJ126" s="259"/>
      <c r="BK126" s="259"/>
      <c r="BL126" s="259"/>
      <c r="BM126" s="259"/>
      <c r="BN126" s="259"/>
      <c r="BO126" s="259"/>
      <c r="BP126" s="259"/>
      <c r="BQ126" s="259"/>
      <c r="BR126" s="259"/>
      <c r="BS126" s="259"/>
      <c r="BT126" s="259"/>
      <c r="BU126" s="259"/>
      <c r="BV126" s="259"/>
      <c r="BW126" s="259"/>
      <c r="BX126" s="259"/>
      <c r="BY126" s="259"/>
      <c r="BZ126" s="259"/>
      <c r="CA126" s="259"/>
      <c r="CB126" s="259"/>
      <c r="CC126" s="259"/>
      <c r="CD126" s="259"/>
      <c r="CE126" s="259"/>
      <c r="CF126" s="259"/>
      <c r="CG126" s="259"/>
      <c r="CH126" s="259"/>
      <c r="CI126" s="259"/>
      <c r="CJ126" s="259"/>
      <c r="CK126" s="259"/>
      <c r="CL126" s="259"/>
      <c r="CM126" s="259"/>
      <c r="CN126" s="259"/>
      <c r="CO126" s="259"/>
      <c r="CP126" s="259"/>
      <c r="CQ126" s="259"/>
      <c r="CR126" s="259"/>
      <c r="CS126" s="259"/>
      <c r="CT126" s="259"/>
      <c r="CU126" s="259"/>
      <c r="CV126" s="259"/>
      <c r="CW126" s="259"/>
      <c r="CX126" s="259"/>
      <c r="CY126" s="259"/>
      <c r="CZ126" s="259"/>
      <c r="DA126" s="259"/>
      <c r="DB126" s="259"/>
      <c r="DC126" s="259"/>
      <c r="DD126" s="259"/>
      <c r="DE126" s="259"/>
      <c r="DF126" s="259"/>
      <c r="DG126" s="259"/>
      <c r="DH126" s="259"/>
      <c r="DI126" s="259"/>
      <c r="DJ126" s="259"/>
      <c r="DK126" s="259"/>
      <c r="DL126" s="259"/>
      <c r="DM126" s="259"/>
      <c r="DN126" s="259"/>
      <c r="DO126" s="259"/>
      <c r="DP126" s="259"/>
      <c r="DQ126" s="259"/>
      <c r="DR126" s="259"/>
      <c r="DS126" s="259"/>
      <c r="DT126" s="259"/>
      <c r="DU126" s="259"/>
      <c r="DV126" s="259"/>
      <c r="DW126" s="259"/>
      <c r="DX126" s="259"/>
      <c r="DY126" s="259"/>
      <c r="DZ126" s="259"/>
      <c r="EA126" s="259"/>
      <c r="EB126" s="259"/>
      <c r="EC126" s="259"/>
      <c r="ED126" s="259"/>
      <c r="EE126" s="259"/>
      <c r="EF126" s="259"/>
      <c r="EG126" s="259"/>
      <c r="EH126" s="259"/>
      <c r="EI126" s="259"/>
      <c r="EJ126" s="259"/>
      <c r="EK126" s="259"/>
      <c r="EL126" s="259"/>
      <c r="EM126" s="259"/>
      <c r="EN126" s="259"/>
      <c r="EO126" s="259"/>
      <c r="EP126" s="259"/>
      <c r="EQ126" s="259"/>
      <c r="ER126" s="259"/>
      <c r="ES126" s="259"/>
      <c r="ET126" s="259"/>
      <c r="EU126" s="259"/>
      <c r="EV126" s="259"/>
      <c r="EW126" s="259"/>
      <c r="EX126" s="259"/>
      <c r="EY126" s="259"/>
      <c r="EZ126" s="259"/>
      <c r="FA126" s="259"/>
      <c r="FB126" s="259"/>
      <c r="FC126" s="259"/>
      <c r="FD126" s="259"/>
      <c r="FE126" s="259"/>
      <c r="FF126" s="259"/>
      <c r="FG126" s="259"/>
    </row>
    <row r="127" spans="1:163" ht="14.25" customHeight="1">
      <c r="A127" s="259"/>
      <c r="B127" s="259"/>
      <c r="C127" s="259"/>
      <c r="D127" s="259"/>
      <c r="E127" s="259"/>
      <c r="F127" s="259"/>
      <c r="G127" s="259"/>
      <c r="H127" s="259"/>
      <c r="I127" s="259"/>
      <c r="J127" s="259"/>
      <c r="K127" s="259"/>
      <c r="L127" s="183" t="s">
        <v>1034</v>
      </c>
      <c r="M127" s="270">
        <v>58.27</v>
      </c>
      <c r="N127" s="270">
        <v>62.43</v>
      </c>
      <c r="O127" s="270">
        <v>67.69</v>
      </c>
      <c r="P127" s="270">
        <v>60.17</v>
      </c>
      <c r="Q127" s="270">
        <v>64.900000000000006</v>
      </c>
      <c r="R127" s="270">
        <v>61.06</v>
      </c>
      <c r="S127" s="270">
        <v>64.510000000000005</v>
      </c>
      <c r="T127" s="270">
        <v>66.349999999999994</v>
      </c>
      <c r="U127" s="270">
        <v>63.78</v>
      </c>
      <c r="V127" s="270">
        <v>65.180000000000007</v>
      </c>
      <c r="W127" s="271">
        <f t="shared" si="12"/>
        <v>6.5180000000000002E-2</v>
      </c>
      <c r="X127" s="262">
        <f t="shared" ref="X127:Z127" si="26">A110</f>
        <v>2.6</v>
      </c>
      <c r="Y127" s="262">
        <f t="shared" si="26"/>
        <v>4.1083333333333334</v>
      </c>
      <c r="Z127" s="262">
        <f t="shared" si="26"/>
        <v>3.6749999999999994</v>
      </c>
      <c r="AA127" s="262">
        <f t="shared" si="14"/>
        <v>-0.43333333333333401</v>
      </c>
      <c r="AB127" s="259"/>
      <c r="AC127" s="259"/>
      <c r="AD127" s="259"/>
      <c r="AE127" s="259"/>
      <c r="AF127" s="259"/>
      <c r="AG127" s="259"/>
      <c r="AH127" s="259"/>
      <c r="AI127" s="259"/>
      <c r="AJ127" s="259"/>
      <c r="AK127" s="259"/>
      <c r="AL127" s="259"/>
      <c r="AM127" s="259"/>
      <c r="AN127" s="259"/>
      <c r="AO127" s="259"/>
      <c r="AP127" s="259"/>
      <c r="AQ127" s="259"/>
      <c r="AR127" s="259"/>
      <c r="AS127" s="259"/>
      <c r="AT127" s="259"/>
      <c r="AU127" s="259"/>
      <c r="AV127" s="259"/>
      <c r="AW127" s="259"/>
      <c r="AX127" s="259"/>
      <c r="AY127" s="259"/>
      <c r="AZ127" s="259"/>
      <c r="BA127" s="259"/>
      <c r="BB127" s="259"/>
      <c r="BC127" s="259"/>
      <c r="BD127" s="259"/>
      <c r="BE127" s="259"/>
      <c r="BF127" s="259"/>
      <c r="BG127" s="259"/>
      <c r="BH127" s="259"/>
      <c r="BI127" s="259"/>
      <c r="BJ127" s="259"/>
      <c r="BK127" s="259"/>
      <c r="BL127" s="259"/>
      <c r="BM127" s="259"/>
      <c r="BN127" s="259"/>
      <c r="BO127" s="259"/>
      <c r="BP127" s="259"/>
      <c r="BQ127" s="259"/>
      <c r="BR127" s="259"/>
      <c r="BS127" s="259"/>
      <c r="BT127" s="259"/>
      <c r="BU127" s="259"/>
      <c r="BV127" s="259"/>
      <c r="BW127" s="259"/>
      <c r="BX127" s="259"/>
      <c r="BY127" s="259"/>
      <c r="BZ127" s="259"/>
      <c r="CA127" s="259"/>
      <c r="CB127" s="259"/>
      <c r="CC127" s="259"/>
      <c r="CD127" s="259"/>
      <c r="CE127" s="259"/>
      <c r="CF127" s="259"/>
      <c r="CG127" s="259"/>
      <c r="CH127" s="259"/>
      <c r="CI127" s="259"/>
      <c r="CJ127" s="259"/>
      <c r="CK127" s="259"/>
      <c r="CL127" s="259"/>
      <c r="CM127" s="259"/>
      <c r="CN127" s="259"/>
      <c r="CO127" s="259"/>
      <c r="CP127" s="259"/>
      <c r="CQ127" s="259"/>
      <c r="CR127" s="259"/>
      <c r="CS127" s="259"/>
      <c r="CT127" s="259"/>
      <c r="CU127" s="259"/>
      <c r="CV127" s="259"/>
      <c r="CW127" s="259"/>
      <c r="CX127" s="259"/>
      <c r="CY127" s="259"/>
      <c r="CZ127" s="259"/>
      <c r="DA127" s="259"/>
      <c r="DB127" s="259"/>
      <c r="DC127" s="259"/>
      <c r="DD127" s="259"/>
      <c r="DE127" s="259"/>
      <c r="DF127" s="259"/>
      <c r="DG127" s="259"/>
      <c r="DH127" s="259"/>
      <c r="DI127" s="259"/>
      <c r="DJ127" s="259"/>
      <c r="DK127" s="259"/>
      <c r="DL127" s="259"/>
      <c r="DM127" s="259"/>
      <c r="DN127" s="259"/>
      <c r="DO127" s="259"/>
      <c r="DP127" s="259"/>
      <c r="DQ127" s="259"/>
      <c r="DR127" s="259"/>
      <c r="DS127" s="259"/>
      <c r="DT127" s="259"/>
      <c r="DU127" s="259"/>
      <c r="DV127" s="259"/>
      <c r="DW127" s="259"/>
      <c r="DX127" s="259"/>
      <c r="DY127" s="259"/>
      <c r="DZ127" s="259"/>
      <c r="EA127" s="259"/>
      <c r="EB127" s="259"/>
      <c r="EC127" s="259"/>
      <c r="ED127" s="259"/>
      <c r="EE127" s="259"/>
      <c r="EF127" s="259"/>
      <c r="EG127" s="259"/>
      <c r="EH127" s="259"/>
      <c r="EI127" s="259"/>
      <c r="EJ127" s="259"/>
      <c r="EK127" s="259"/>
      <c r="EL127" s="259"/>
      <c r="EM127" s="259"/>
      <c r="EN127" s="259"/>
      <c r="EO127" s="259"/>
      <c r="EP127" s="259"/>
      <c r="EQ127" s="259"/>
      <c r="ER127" s="259"/>
      <c r="ES127" s="259"/>
      <c r="ET127" s="259"/>
      <c r="EU127" s="259"/>
      <c r="EV127" s="259"/>
      <c r="EW127" s="259"/>
      <c r="EX127" s="259"/>
      <c r="EY127" s="259"/>
      <c r="EZ127" s="259"/>
      <c r="FA127" s="259"/>
      <c r="FB127" s="259"/>
      <c r="FC127" s="259"/>
      <c r="FD127" s="259"/>
      <c r="FE127" s="259"/>
      <c r="FF127" s="259"/>
      <c r="FG127" s="259"/>
    </row>
    <row r="128" spans="1:163" ht="14.25" customHeight="1">
      <c r="A128" s="259"/>
      <c r="B128" s="259"/>
      <c r="C128" s="259"/>
      <c r="D128" s="259"/>
      <c r="E128" s="259"/>
      <c r="F128" s="259"/>
      <c r="G128" s="259"/>
      <c r="H128" s="259"/>
      <c r="I128" s="259"/>
      <c r="J128" s="259"/>
      <c r="K128" s="259"/>
      <c r="L128" s="259"/>
      <c r="M128" s="259"/>
      <c r="N128" s="259"/>
      <c r="O128" s="259"/>
      <c r="P128" s="259"/>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259"/>
      <c r="AL128" s="259"/>
      <c r="AM128" s="259"/>
      <c r="AN128" s="259"/>
      <c r="AO128" s="259"/>
      <c r="AP128" s="259"/>
      <c r="AQ128" s="259"/>
      <c r="AR128" s="259"/>
      <c r="AS128" s="259"/>
      <c r="AT128" s="259"/>
      <c r="AU128" s="259"/>
      <c r="AV128" s="259"/>
      <c r="AW128" s="259"/>
      <c r="AX128" s="259"/>
      <c r="AY128" s="259"/>
      <c r="AZ128" s="259"/>
      <c r="BA128" s="259"/>
      <c r="BB128" s="259"/>
      <c r="BC128" s="259"/>
      <c r="BD128" s="259"/>
      <c r="BE128" s="259"/>
      <c r="BF128" s="259"/>
      <c r="BG128" s="259"/>
      <c r="BH128" s="259"/>
      <c r="BI128" s="259"/>
      <c r="BJ128" s="259"/>
      <c r="BK128" s="259"/>
      <c r="BL128" s="259"/>
      <c r="BM128" s="259"/>
      <c r="BN128" s="259"/>
      <c r="BO128" s="259"/>
      <c r="BP128" s="259"/>
      <c r="BQ128" s="259"/>
      <c r="BR128" s="259"/>
      <c r="BS128" s="259"/>
      <c r="BT128" s="259"/>
      <c r="BU128" s="259"/>
      <c r="BV128" s="259"/>
      <c r="BW128" s="259"/>
      <c r="BX128" s="259"/>
      <c r="BY128" s="259"/>
      <c r="BZ128" s="259"/>
      <c r="CA128" s="259"/>
      <c r="CB128" s="259"/>
      <c r="CC128" s="259"/>
      <c r="CD128" s="259"/>
      <c r="CE128" s="259"/>
      <c r="CF128" s="259"/>
      <c r="CG128" s="259"/>
      <c r="CH128" s="259"/>
      <c r="CI128" s="259"/>
      <c r="CJ128" s="259"/>
      <c r="CK128" s="259"/>
      <c r="CL128" s="259"/>
      <c r="CM128" s="259"/>
      <c r="CN128" s="259"/>
      <c r="CO128" s="259"/>
      <c r="CP128" s="259"/>
      <c r="CQ128" s="259"/>
      <c r="CR128" s="259"/>
      <c r="CS128" s="259"/>
      <c r="CT128" s="259"/>
      <c r="CU128" s="259"/>
      <c r="CV128" s="259"/>
      <c r="CW128" s="259"/>
      <c r="CX128" s="259"/>
      <c r="CY128" s="259"/>
      <c r="CZ128" s="259"/>
      <c r="DA128" s="259"/>
      <c r="DB128" s="259"/>
      <c r="DC128" s="259"/>
      <c r="DD128" s="259"/>
      <c r="DE128" s="259"/>
      <c r="DF128" s="259"/>
      <c r="DG128" s="259"/>
      <c r="DH128" s="259"/>
      <c r="DI128" s="259"/>
      <c r="DJ128" s="259"/>
      <c r="DK128" s="259"/>
      <c r="DL128" s="259"/>
      <c r="DM128" s="259"/>
      <c r="DN128" s="259"/>
      <c r="DO128" s="259"/>
      <c r="DP128" s="259"/>
      <c r="DQ128" s="259"/>
      <c r="DR128" s="259"/>
      <c r="DS128" s="259"/>
      <c r="DT128" s="259"/>
      <c r="DU128" s="259"/>
      <c r="DV128" s="259"/>
      <c r="DW128" s="259"/>
      <c r="DX128" s="259"/>
      <c r="DY128" s="259"/>
      <c r="DZ128" s="259"/>
      <c r="EA128" s="259"/>
      <c r="EB128" s="259"/>
      <c r="EC128" s="259"/>
      <c r="ED128" s="259"/>
      <c r="EE128" s="259"/>
      <c r="EF128" s="259"/>
      <c r="EG128" s="259"/>
      <c r="EH128" s="259"/>
      <c r="EI128" s="259"/>
      <c r="EJ128" s="259"/>
      <c r="EK128" s="259"/>
      <c r="EL128" s="259"/>
      <c r="EM128" s="259"/>
      <c r="EN128" s="259"/>
      <c r="EO128" s="259"/>
      <c r="EP128" s="259"/>
      <c r="EQ128" s="259"/>
      <c r="ER128" s="259"/>
      <c r="ES128" s="259"/>
      <c r="ET128" s="259"/>
      <c r="EU128" s="259"/>
      <c r="EV128" s="259"/>
      <c r="EW128" s="259"/>
      <c r="EX128" s="259"/>
      <c r="EY128" s="259"/>
      <c r="EZ128" s="259"/>
      <c r="FA128" s="259"/>
      <c r="FB128" s="259"/>
      <c r="FC128" s="259"/>
      <c r="FD128" s="259"/>
      <c r="FE128" s="259"/>
      <c r="FF128" s="259"/>
      <c r="FG128" s="259"/>
    </row>
    <row r="129" spans="1:163" ht="14.25" customHeight="1">
      <c r="A129" s="259"/>
      <c r="B129" s="259"/>
      <c r="C129" s="259"/>
      <c r="D129" s="259"/>
      <c r="E129" s="259"/>
      <c r="F129" s="259"/>
      <c r="G129" s="259"/>
      <c r="H129" s="259"/>
      <c r="I129" s="259"/>
      <c r="J129" s="259"/>
      <c r="K129" s="259"/>
      <c r="L129" s="259"/>
      <c r="M129" s="259"/>
      <c r="N129" s="259"/>
      <c r="O129" s="259"/>
      <c r="P129" s="259"/>
      <c r="Q129" s="259"/>
      <c r="R129" s="259"/>
      <c r="S129" s="259"/>
      <c r="T129" s="259"/>
      <c r="U129" s="259"/>
      <c r="V129" s="259"/>
      <c r="W129" s="259"/>
      <c r="X129" s="259"/>
      <c r="Y129" s="259"/>
      <c r="Z129" s="259"/>
      <c r="AA129" s="259"/>
      <c r="AB129" s="259"/>
      <c r="AC129" s="259"/>
      <c r="AD129" s="259"/>
      <c r="AE129" s="259"/>
      <c r="AF129" s="259"/>
      <c r="AG129" s="259"/>
      <c r="AH129" s="259"/>
      <c r="AI129" s="259"/>
      <c r="AJ129" s="259"/>
      <c r="AK129" s="259"/>
      <c r="AL129" s="259"/>
      <c r="AM129" s="259"/>
      <c r="AN129" s="259"/>
      <c r="AO129" s="259"/>
      <c r="AP129" s="259"/>
      <c r="AQ129" s="259"/>
      <c r="AR129" s="259"/>
      <c r="AS129" s="259"/>
      <c r="AT129" s="259"/>
      <c r="AU129" s="259"/>
      <c r="AV129" s="259"/>
      <c r="AW129" s="259"/>
      <c r="AX129" s="259"/>
      <c r="AY129" s="259"/>
      <c r="AZ129" s="259"/>
      <c r="BA129" s="259"/>
      <c r="BB129" s="259"/>
      <c r="BC129" s="259"/>
      <c r="BD129" s="259"/>
      <c r="BE129" s="259"/>
      <c r="BF129" s="259"/>
      <c r="BG129" s="259"/>
      <c r="BH129" s="259"/>
      <c r="BI129" s="259"/>
      <c r="BJ129" s="259"/>
      <c r="BK129" s="259"/>
      <c r="BL129" s="259"/>
      <c r="BM129" s="259"/>
      <c r="BN129" s="259"/>
      <c r="BO129" s="259"/>
      <c r="BP129" s="259"/>
      <c r="BQ129" s="259"/>
      <c r="BR129" s="259"/>
      <c r="BS129" s="259"/>
      <c r="BT129" s="259"/>
      <c r="BU129" s="259"/>
      <c r="BV129" s="259"/>
      <c r="BW129" s="259"/>
      <c r="BX129" s="259"/>
      <c r="BY129" s="259"/>
      <c r="BZ129" s="259"/>
      <c r="CA129" s="259"/>
      <c r="CB129" s="259"/>
      <c r="CC129" s="259"/>
      <c r="CD129" s="259"/>
      <c r="CE129" s="259"/>
      <c r="CF129" s="259"/>
      <c r="CG129" s="259"/>
      <c r="CH129" s="259"/>
      <c r="CI129" s="259"/>
      <c r="CJ129" s="259"/>
      <c r="CK129" s="259"/>
      <c r="CL129" s="259"/>
      <c r="CM129" s="259"/>
      <c r="CN129" s="259"/>
      <c r="CO129" s="259"/>
      <c r="CP129" s="259"/>
      <c r="CQ129" s="259"/>
      <c r="CR129" s="259"/>
      <c r="CS129" s="259"/>
      <c r="CT129" s="259"/>
      <c r="CU129" s="259"/>
      <c r="CV129" s="259"/>
      <c r="CW129" s="259"/>
      <c r="CX129" s="259"/>
      <c r="CY129" s="259"/>
      <c r="CZ129" s="259"/>
      <c r="DA129" s="259"/>
      <c r="DB129" s="259"/>
      <c r="DC129" s="259"/>
      <c r="DD129" s="259"/>
      <c r="DE129" s="259"/>
      <c r="DF129" s="259"/>
      <c r="DG129" s="259"/>
      <c r="DH129" s="259"/>
      <c r="DI129" s="259"/>
      <c r="DJ129" s="259"/>
      <c r="DK129" s="259"/>
      <c r="DL129" s="259"/>
      <c r="DM129" s="259"/>
      <c r="DN129" s="259"/>
      <c r="DO129" s="259"/>
      <c r="DP129" s="259"/>
      <c r="DQ129" s="259"/>
      <c r="DR129" s="259"/>
      <c r="DS129" s="259"/>
      <c r="DT129" s="259"/>
      <c r="DU129" s="259"/>
      <c r="DV129" s="259"/>
      <c r="DW129" s="259"/>
      <c r="DX129" s="259"/>
      <c r="DY129" s="259"/>
      <c r="DZ129" s="259"/>
      <c r="EA129" s="259"/>
      <c r="EB129" s="259"/>
      <c r="EC129" s="259"/>
      <c r="ED129" s="259"/>
      <c r="EE129" s="259"/>
      <c r="EF129" s="259"/>
      <c r="EG129" s="259"/>
      <c r="EH129" s="259"/>
      <c r="EI129" s="259"/>
      <c r="EJ129" s="259"/>
      <c r="EK129" s="259"/>
      <c r="EL129" s="259"/>
      <c r="EM129" s="259"/>
      <c r="EN129" s="259"/>
      <c r="EO129" s="259"/>
      <c r="EP129" s="259"/>
      <c r="EQ129" s="259"/>
      <c r="ER129" s="259"/>
      <c r="ES129" s="259"/>
      <c r="ET129" s="259"/>
      <c r="EU129" s="259"/>
      <c r="EV129" s="259"/>
      <c r="EW129" s="259"/>
      <c r="EX129" s="259"/>
      <c r="EY129" s="259"/>
      <c r="EZ129" s="259"/>
      <c r="FA129" s="259"/>
      <c r="FB129" s="259"/>
      <c r="FC129" s="259"/>
      <c r="FD129" s="259"/>
      <c r="FE129" s="259"/>
      <c r="FF129" s="259"/>
      <c r="FG129" s="259"/>
    </row>
    <row r="130" spans="1:163" ht="14.25" customHeight="1">
      <c r="A130" s="259"/>
      <c r="B130" s="259"/>
      <c r="C130" s="259"/>
      <c r="D130" s="259"/>
      <c r="E130" s="259"/>
      <c r="F130" s="259"/>
      <c r="G130" s="259"/>
      <c r="H130" s="259"/>
      <c r="I130" s="259"/>
      <c r="J130" s="259"/>
      <c r="K130" s="259"/>
      <c r="L130" s="259"/>
      <c r="M130" s="259"/>
      <c r="N130" s="259"/>
      <c r="O130" s="259"/>
      <c r="P130" s="259"/>
      <c r="Q130" s="259"/>
      <c r="R130" s="259"/>
      <c r="S130" s="259"/>
      <c r="T130" s="259"/>
      <c r="U130" s="259"/>
      <c r="V130" s="259"/>
      <c r="W130" s="259"/>
      <c r="X130" s="259"/>
      <c r="Y130" s="259"/>
      <c r="Z130" s="259"/>
      <c r="AA130" s="259"/>
      <c r="AB130" s="259"/>
      <c r="AC130" s="259"/>
      <c r="AD130" s="259"/>
      <c r="AE130" s="259"/>
      <c r="AF130" s="259"/>
      <c r="AG130" s="259"/>
      <c r="AH130" s="259"/>
      <c r="AI130" s="259"/>
      <c r="AJ130" s="259"/>
      <c r="AK130" s="259"/>
      <c r="AL130" s="259"/>
      <c r="AM130" s="259"/>
      <c r="AN130" s="259"/>
      <c r="AO130" s="259"/>
      <c r="AP130" s="259"/>
      <c r="AQ130" s="259"/>
      <c r="AR130" s="259"/>
      <c r="AS130" s="259"/>
      <c r="AT130" s="259"/>
      <c r="AU130" s="259"/>
      <c r="AV130" s="259"/>
      <c r="AW130" s="259"/>
      <c r="AX130" s="259"/>
      <c r="AY130" s="259"/>
      <c r="AZ130" s="259"/>
      <c r="BA130" s="259"/>
      <c r="BB130" s="259"/>
      <c r="BC130" s="259"/>
      <c r="BD130" s="259"/>
      <c r="BE130" s="259"/>
      <c r="BF130" s="259"/>
      <c r="BG130" s="259"/>
      <c r="BH130" s="259"/>
      <c r="BI130" s="259"/>
      <c r="BJ130" s="259"/>
      <c r="BK130" s="259"/>
      <c r="BL130" s="259"/>
      <c r="BM130" s="259"/>
      <c r="BN130" s="259"/>
      <c r="BO130" s="259"/>
      <c r="BP130" s="259"/>
      <c r="BQ130" s="259"/>
      <c r="BR130" s="259"/>
      <c r="BS130" s="259"/>
      <c r="BT130" s="259"/>
      <c r="BU130" s="259"/>
      <c r="BV130" s="259"/>
      <c r="BW130" s="259"/>
      <c r="BX130" s="259"/>
      <c r="BY130" s="259"/>
      <c r="BZ130" s="259"/>
      <c r="CA130" s="259"/>
      <c r="CB130" s="259"/>
      <c r="CC130" s="259"/>
      <c r="CD130" s="259"/>
      <c r="CE130" s="259"/>
      <c r="CF130" s="259"/>
      <c r="CG130" s="259"/>
      <c r="CH130" s="259"/>
      <c r="CI130" s="259"/>
      <c r="CJ130" s="259"/>
      <c r="CK130" s="259"/>
      <c r="CL130" s="259"/>
      <c r="CM130" s="259"/>
      <c r="CN130" s="259"/>
      <c r="CO130" s="259"/>
      <c r="CP130" s="259"/>
      <c r="CQ130" s="259"/>
      <c r="CR130" s="259"/>
      <c r="CS130" s="259"/>
      <c r="CT130" s="259"/>
      <c r="CU130" s="259"/>
      <c r="CV130" s="259"/>
      <c r="CW130" s="259"/>
      <c r="CX130" s="259"/>
      <c r="CY130" s="259"/>
      <c r="CZ130" s="259"/>
      <c r="DA130" s="259"/>
      <c r="DB130" s="259"/>
      <c r="DC130" s="259"/>
      <c r="DD130" s="259"/>
      <c r="DE130" s="259"/>
      <c r="DF130" s="259"/>
      <c r="DG130" s="259"/>
      <c r="DH130" s="259"/>
      <c r="DI130" s="259"/>
      <c r="DJ130" s="259"/>
      <c r="DK130" s="259"/>
      <c r="DL130" s="259"/>
      <c r="DM130" s="259"/>
      <c r="DN130" s="259"/>
      <c r="DO130" s="259"/>
      <c r="DP130" s="259"/>
      <c r="DQ130" s="259"/>
      <c r="DR130" s="259"/>
      <c r="DS130" s="259"/>
      <c r="DT130" s="259"/>
      <c r="DU130" s="259"/>
      <c r="DV130" s="259"/>
      <c r="DW130" s="259"/>
      <c r="DX130" s="259"/>
      <c r="DY130" s="259"/>
      <c r="DZ130" s="259"/>
      <c r="EA130" s="259"/>
      <c r="EB130" s="259"/>
      <c r="EC130" s="259"/>
      <c r="ED130" s="259"/>
      <c r="EE130" s="259"/>
      <c r="EF130" s="259"/>
      <c r="EG130" s="259"/>
      <c r="EH130" s="259"/>
      <c r="EI130" s="259"/>
      <c r="EJ130" s="259"/>
      <c r="EK130" s="259"/>
      <c r="EL130" s="259"/>
      <c r="EM130" s="259"/>
      <c r="EN130" s="259"/>
      <c r="EO130" s="259"/>
      <c r="EP130" s="259"/>
      <c r="EQ130" s="259"/>
      <c r="ER130" s="259"/>
      <c r="ES130" s="259"/>
      <c r="ET130" s="259"/>
      <c r="EU130" s="259"/>
      <c r="EV130" s="259"/>
      <c r="EW130" s="259"/>
      <c r="EX130" s="259"/>
      <c r="EY130" s="259"/>
      <c r="EZ130" s="259"/>
      <c r="FA130" s="259"/>
      <c r="FB130" s="259"/>
      <c r="FC130" s="259"/>
      <c r="FD130" s="259"/>
      <c r="FE130" s="259"/>
      <c r="FF130" s="259"/>
      <c r="FG130" s="259"/>
    </row>
    <row r="131" spans="1:163" ht="14.25" customHeight="1">
      <c r="A131" s="259"/>
      <c r="B131" s="259"/>
      <c r="C131" s="259"/>
      <c r="D131" s="259"/>
      <c r="E131" s="259"/>
      <c r="F131" s="259"/>
      <c r="G131" s="259"/>
      <c r="H131" s="259"/>
      <c r="I131" s="259"/>
      <c r="J131" s="259"/>
      <c r="K131" s="259"/>
      <c r="L131" s="259"/>
      <c r="M131" s="259"/>
      <c r="N131" s="259"/>
      <c r="O131" s="259"/>
      <c r="P131" s="259"/>
      <c r="Q131" s="259"/>
      <c r="R131" s="259"/>
      <c r="S131" s="259"/>
      <c r="T131" s="259"/>
      <c r="U131" s="259"/>
      <c r="V131" s="259"/>
      <c r="W131" s="259"/>
      <c r="X131" s="259"/>
      <c r="Y131" s="259"/>
      <c r="Z131" s="259"/>
      <c r="AA131" s="259"/>
      <c r="AB131" s="259"/>
      <c r="AC131" s="259"/>
      <c r="AD131" s="259"/>
      <c r="AE131" s="259"/>
      <c r="AF131" s="259"/>
      <c r="AG131" s="259"/>
      <c r="AH131" s="259"/>
      <c r="AI131" s="259"/>
      <c r="AJ131" s="259"/>
      <c r="AK131" s="259"/>
      <c r="AL131" s="259"/>
      <c r="AM131" s="259"/>
      <c r="AN131" s="259"/>
      <c r="AO131" s="259"/>
      <c r="AP131" s="259"/>
      <c r="AQ131" s="259"/>
      <c r="AR131" s="259"/>
      <c r="AS131" s="259"/>
      <c r="AT131" s="259"/>
      <c r="AU131" s="259"/>
      <c r="AV131" s="259"/>
      <c r="AW131" s="259"/>
      <c r="AX131" s="259"/>
      <c r="AY131" s="259"/>
      <c r="AZ131" s="259"/>
      <c r="BA131" s="259"/>
      <c r="BB131" s="259"/>
      <c r="BC131" s="259"/>
      <c r="BD131" s="259"/>
      <c r="BE131" s="259"/>
      <c r="BF131" s="259"/>
      <c r="BG131" s="259"/>
      <c r="BH131" s="259"/>
      <c r="BI131" s="259"/>
      <c r="BJ131" s="259"/>
      <c r="BK131" s="259"/>
      <c r="BL131" s="259"/>
      <c r="BM131" s="259"/>
      <c r="BN131" s="259"/>
      <c r="BO131" s="259"/>
      <c r="BP131" s="259"/>
      <c r="BQ131" s="259"/>
      <c r="BR131" s="259"/>
      <c r="BS131" s="259"/>
      <c r="BT131" s="259"/>
      <c r="BU131" s="259"/>
      <c r="BV131" s="259"/>
      <c r="BW131" s="259"/>
      <c r="BX131" s="259"/>
      <c r="BY131" s="259"/>
      <c r="BZ131" s="259"/>
      <c r="CA131" s="259"/>
      <c r="CB131" s="259"/>
      <c r="CC131" s="259"/>
      <c r="CD131" s="259"/>
      <c r="CE131" s="259"/>
      <c r="CF131" s="259"/>
      <c r="CG131" s="259"/>
      <c r="CH131" s="259"/>
      <c r="CI131" s="259"/>
      <c r="CJ131" s="259"/>
      <c r="CK131" s="259"/>
      <c r="CL131" s="259"/>
      <c r="CM131" s="259"/>
      <c r="CN131" s="259"/>
      <c r="CO131" s="259"/>
      <c r="CP131" s="259"/>
      <c r="CQ131" s="259"/>
      <c r="CR131" s="259"/>
      <c r="CS131" s="259"/>
      <c r="CT131" s="259"/>
      <c r="CU131" s="259"/>
      <c r="CV131" s="259"/>
      <c r="CW131" s="259"/>
      <c r="CX131" s="259"/>
      <c r="CY131" s="259"/>
      <c r="CZ131" s="259"/>
      <c r="DA131" s="259"/>
      <c r="DB131" s="259"/>
      <c r="DC131" s="259"/>
      <c r="DD131" s="259"/>
      <c r="DE131" s="259"/>
      <c r="DF131" s="259"/>
      <c r="DG131" s="259"/>
      <c r="DH131" s="259"/>
      <c r="DI131" s="259"/>
      <c r="DJ131" s="259"/>
      <c r="DK131" s="259"/>
      <c r="DL131" s="259"/>
      <c r="DM131" s="259"/>
      <c r="DN131" s="259"/>
      <c r="DO131" s="259"/>
      <c r="DP131" s="259"/>
      <c r="DQ131" s="259"/>
      <c r="DR131" s="259"/>
      <c r="DS131" s="259"/>
      <c r="DT131" s="259"/>
      <c r="DU131" s="259"/>
      <c r="DV131" s="259"/>
      <c r="DW131" s="259"/>
      <c r="DX131" s="259"/>
      <c r="DY131" s="259"/>
      <c r="DZ131" s="259"/>
      <c r="EA131" s="259"/>
      <c r="EB131" s="259"/>
      <c r="EC131" s="259"/>
      <c r="ED131" s="259"/>
      <c r="EE131" s="259"/>
      <c r="EF131" s="259"/>
      <c r="EG131" s="259"/>
      <c r="EH131" s="259"/>
      <c r="EI131" s="259"/>
      <c r="EJ131" s="259"/>
      <c r="EK131" s="259"/>
      <c r="EL131" s="259"/>
      <c r="EM131" s="259"/>
      <c r="EN131" s="259"/>
      <c r="EO131" s="259"/>
      <c r="EP131" s="259"/>
      <c r="EQ131" s="259"/>
      <c r="ER131" s="259"/>
      <c r="ES131" s="259"/>
      <c r="ET131" s="259"/>
      <c r="EU131" s="259"/>
      <c r="EV131" s="259"/>
      <c r="EW131" s="259"/>
      <c r="EX131" s="259"/>
      <c r="EY131" s="259"/>
      <c r="EZ131" s="259"/>
      <c r="FA131" s="259"/>
      <c r="FB131" s="259"/>
      <c r="FC131" s="259"/>
      <c r="FD131" s="259"/>
      <c r="FE131" s="259"/>
      <c r="FF131" s="259"/>
      <c r="FG131" s="259"/>
    </row>
    <row r="132" spans="1:163" ht="14.25" customHeight="1">
      <c r="A132" s="259"/>
      <c r="B132" s="259"/>
      <c r="C132" s="259"/>
      <c r="D132" s="259"/>
      <c r="E132" s="259"/>
      <c r="F132" s="259"/>
      <c r="G132" s="259"/>
      <c r="H132" s="259"/>
      <c r="I132" s="259"/>
      <c r="J132" s="259"/>
      <c r="K132" s="259"/>
      <c r="L132" s="259"/>
      <c r="M132" s="259"/>
      <c r="N132" s="259"/>
      <c r="O132" s="259"/>
      <c r="P132" s="259"/>
      <c r="Q132" s="259"/>
      <c r="R132" s="259"/>
      <c r="S132" s="259"/>
      <c r="T132" s="259"/>
      <c r="U132" s="259"/>
      <c r="V132" s="259"/>
      <c r="W132" s="259"/>
      <c r="X132" s="259"/>
      <c r="Y132" s="259"/>
      <c r="Z132" s="259"/>
      <c r="AA132" s="259"/>
      <c r="AB132" s="259"/>
      <c r="AC132" s="259"/>
      <c r="AD132" s="259"/>
      <c r="AE132" s="259"/>
      <c r="AF132" s="259"/>
      <c r="AG132" s="259"/>
      <c r="AH132" s="259"/>
      <c r="AI132" s="259"/>
      <c r="AJ132" s="259"/>
      <c r="AK132" s="259"/>
      <c r="AL132" s="259"/>
      <c r="AM132" s="259"/>
      <c r="AN132" s="259"/>
      <c r="AO132" s="259"/>
      <c r="AP132" s="259"/>
      <c r="AQ132" s="259"/>
      <c r="AR132" s="259"/>
      <c r="AS132" s="259"/>
      <c r="AT132" s="259"/>
      <c r="AU132" s="259"/>
      <c r="AV132" s="259"/>
      <c r="AW132" s="259"/>
      <c r="AX132" s="259"/>
      <c r="AY132" s="259"/>
      <c r="AZ132" s="259"/>
      <c r="BA132" s="259"/>
      <c r="BB132" s="259"/>
      <c r="BC132" s="259"/>
      <c r="BD132" s="259"/>
      <c r="BE132" s="259"/>
      <c r="BF132" s="259"/>
      <c r="BG132" s="259"/>
      <c r="BH132" s="259"/>
      <c r="BI132" s="259"/>
      <c r="BJ132" s="259"/>
      <c r="BK132" s="259"/>
      <c r="BL132" s="259"/>
      <c r="BM132" s="259"/>
      <c r="BN132" s="259"/>
      <c r="BO132" s="259"/>
      <c r="BP132" s="259"/>
      <c r="BQ132" s="259"/>
      <c r="BR132" s="259"/>
      <c r="BS132" s="259"/>
      <c r="BT132" s="259"/>
      <c r="BU132" s="259"/>
      <c r="BV132" s="259"/>
      <c r="BW132" s="259"/>
      <c r="BX132" s="259"/>
      <c r="BY132" s="259"/>
      <c r="BZ132" s="259"/>
      <c r="CA132" s="259"/>
      <c r="CB132" s="259"/>
      <c r="CC132" s="259"/>
      <c r="CD132" s="259"/>
      <c r="CE132" s="259"/>
      <c r="CF132" s="259"/>
      <c r="CG132" s="259"/>
      <c r="CH132" s="259"/>
      <c r="CI132" s="259"/>
      <c r="CJ132" s="259"/>
      <c r="CK132" s="259"/>
      <c r="CL132" s="259"/>
      <c r="CM132" s="259"/>
      <c r="CN132" s="259"/>
      <c r="CO132" s="259"/>
      <c r="CP132" s="259"/>
      <c r="CQ132" s="259"/>
      <c r="CR132" s="259"/>
      <c r="CS132" s="259"/>
      <c r="CT132" s="259"/>
      <c r="CU132" s="259"/>
      <c r="CV132" s="259"/>
      <c r="CW132" s="259"/>
      <c r="CX132" s="259"/>
      <c r="CY132" s="259"/>
      <c r="CZ132" s="259"/>
      <c r="DA132" s="259"/>
      <c r="DB132" s="259"/>
      <c r="DC132" s="259"/>
      <c r="DD132" s="259"/>
      <c r="DE132" s="259"/>
      <c r="DF132" s="259"/>
      <c r="DG132" s="259"/>
      <c r="DH132" s="259"/>
      <c r="DI132" s="259"/>
      <c r="DJ132" s="259"/>
      <c r="DK132" s="259"/>
      <c r="DL132" s="259"/>
      <c r="DM132" s="259"/>
      <c r="DN132" s="259"/>
      <c r="DO132" s="259"/>
      <c r="DP132" s="259"/>
      <c r="DQ132" s="259"/>
      <c r="DR132" s="259"/>
      <c r="DS132" s="259"/>
      <c r="DT132" s="259"/>
      <c r="DU132" s="259"/>
      <c r="DV132" s="259"/>
      <c r="DW132" s="259"/>
      <c r="DX132" s="259"/>
      <c r="DY132" s="259"/>
      <c r="DZ132" s="259"/>
      <c r="EA132" s="259"/>
      <c r="EB132" s="259"/>
      <c r="EC132" s="259"/>
      <c r="ED132" s="259"/>
      <c r="EE132" s="259"/>
      <c r="EF132" s="259"/>
      <c r="EG132" s="259"/>
      <c r="EH132" s="259"/>
      <c r="EI132" s="259"/>
      <c r="EJ132" s="259"/>
      <c r="EK132" s="259"/>
      <c r="EL132" s="259"/>
      <c r="EM132" s="259"/>
      <c r="EN132" s="259"/>
      <c r="EO132" s="259"/>
      <c r="EP132" s="259"/>
      <c r="EQ132" s="259"/>
      <c r="ER132" s="259"/>
      <c r="ES132" s="259"/>
      <c r="ET132" s="259"/>
      <c r="EU132" s="259"/>
      <c r="EV132" s="259"/>
      <c r="EW132" s="259"/>
      <c r="EX132" s="259"/>
      <c r="EY132" s="259"/>
      <c r="EZ132" s="259"/>
      <c r="FA132" s="259"/>
      <c r="FB132" s="259"/>
      <c r="FC132" s="259"/>
      <c r="FD132" s="259"/>
      <c r="FE132" s="259"/>
      <c r="FF132" s="259"/>
      <c r="FG132" s="259"/>
    </row>
    <row r="133" spans="1:163" ht="14.25" customHeight="1">
      <c r="A133" s="259"/>
      <c r="B133" s="259"/>
      <c r="C133" s="259"/>
      <c r="D133" s="259"/>
      <c r="E133" s="259"/>
      <c r="F133" s="259"/>
      <c r="G133" s="259"/>
      <c r="H133" s="259"/>
      <c r="I133" s="259"/>
      <c r="J133" s="259"/>
      <c r="K133" s="259"/>
      <c r="L133" s="259"/>
      <c r="M133" s="259"/>
      <c r="N133" s="259"/>
      <c r="O133" s="259"/>
      <c r="P133" s="259"/>
      <c r="Q133" s="259"/>
      <c r="R133" s="259"/>
      <c r="S133" s="259"/>
      <c r="T133" s="259"/>
      <c r="U133" s="259"/>
      <c r="V133" s="259"/>
      <c r="W133" s="259"/>
      <c r="X133" s="259"/>
      <c r="Y133" s="259"/>
      <c r="Z133" s="259"/>
      <c r="AA133" s="259"/>
      <c r="AB133" s="259"/>
      <c r="AC133" s="259"/>
      <c r="AD133" s="259"/>
      <c r="AE133" s="259"/>
      <c r="AF133" s="259"/>
      <c r="AG133" s="259"/>
      <c r="AH133" s="259"/>
      <c r="AI133" s="259"/>
      <c r="AJ133" s="259"/>
      <c r="AK133" s="259"/>
      <c r="AL133" s="259"/>
      <c r="AM133" s="259"/>
      <c r="AN133" s="259"/>
      <c r="AO133" s="259"/>
      <c r="AP133" s="259"/>
      <c r="AQ133" s="259"/>
      <c r="AR133" s="259"/>
      <c r="AS133" s="259"/>
      <c r="AT133" s="259"/>
      <c r="AU133" s="259"/>
      <c r="AV133" s="259"/>
      <c r="AW133" s="259"/>
      <c r="AX133" s="259"/>
      <c r="AY133" s="259"/>
      <c r="AZ133" s="259"/>
      <c r="BA133" s="259"/>
      <c r="BB133" s="259"/>
      <c r="BC133" s="259"/>
      <c r="BD133" s="259"/>
      <c r="BE133" s="259"/>
      <c r="BF133" s="259"/>
      <c r="BG133" s="259"/>
      <c r="BH133" s="259"/>
      <c r="BI133" s="259"/>
      <c r="BJ133" s="259"/>
      <c r="BK133" s="259"/>
      <c r="BL133" s="259"/>
      <c r="BM133" s="259"/>
      <c r="BN133" s="259"/>
      <c r="BO133" s="259"/>
      <c r="BP133" s="259"/>
      <c r="BQ133" s="259"/>
      <c r="BR133" s="259"/>
      <c r="BS133" s="259"/>
      <c r="BT133" s="259"/>
      <c r="BU133" s="259"/>
      <c r="BV133" s="259"/>
      <c r="BW133" s="259"/>
      <c r="BX133" s="259"/>
      <c r="BY133" s="259"/>
      <c r="BZ133" s="259"/>
      <c r="CA133" s="259"/>
      <c r="CB133" s="259"/>
      <c r="CC133" s="259"/>
      <c r="CD133" s="259"/>
      <c r="CE133" s="259"/>
      <c r="CF133" s="259"/>
      <c r="CG133" s="259"/>
      <c r="CH133" s="259"/>
      <c r="CI133" s="259"/>
      <c r="CJ133" s="259"/>
      <c r="CK133" s="259"/>
      <c r="CL133" s="259"/>
      <c r="CM133" s="259"/>
      <c r="CN133" s="259"/>
      <c r="CO133" s="259"/>
      <c r="CP133" s="259"/>
      <c r="CQ133" s="259"/>
      <c r="CR133" s="259"/>
      <c r="CS133" s="259"/>
      <c r="CT133" s="259"/>
      <c r="CU133" s="259"/>
      <c r="CV133" s="259"/>
      <c r="CW133" s="259"/>
      <c r="CX133" s="259"/>
      <c r="CY133" s="259"/>
      <c r="CZ133" s="259"/>
      <c r="DA133" s="259"/>
      <c r="DB133" s="259"/>
      <c r="DC133" s="259"/>
      <c r="DD133" s="259"/>
      <c r="DE133" s="259"/>
      <c r="DF133" s="259"/>
      <c r="DG133" s="259"/>
      <c r="DH133" s="259"/>
      <c r="DI133" s="259"/>
      <c r="DJ133" s="259"/>
      <c r="DK133" s="259"/>
      <c r="DL133" s="259"/>
      <c r="DM133" s="259"/>
      <c r="DN133" s="259"/>
      <c r="DO133" s="259"/>
      <c r="DP133" s="259"/>
      <c r="DQ133" s="259"/>
      <c r="DR133" s="259"/>
      <c r="DS133" s="259"/>
      <c r="DT133" s="259"/>
      <c r="DU133" s="259"/>
      <c r="DV133" s="259"/>
      <c r="DW133" s="259"/>
      <c r="DX133" s="259"/>
      <c r="DY133" s="259"/>
      <c r="DZ133" s="259"/>
      <c r="EA133" s="259"/>
      <c r="EB133" s="259"/>
      <c r="EC133" s="259"/>
      <c r="ED133" s="259"/>
      <c r="EE133" s="259"/>
      <c r="EF133" s="259"/>
      <c r="EG133" s="259"/>
      <c r="EH133" s="259"/>
      <c r="EI133" s="259"/>
      <c r="EJ133" s="259"/>
      <c r="EK133" s="259"/>
      <c r="EL133" s="259"/>
      <c r="EM133" s="259"/>
      <c r="EN133" s="259"/>
      <c r="EO133" s="259"/>
      <c r="EP133" s="259"/>
      <c r="EQ133" s="259"/>
      <c r="ER133" s="259"/>
      <c r="ES133" s="259"/>
      <c r="ET133" s="259"/>
      <c r="EU133" s="259"/>
      <c r="EV133" s="259"/>
      <c r="EW133" s="259"/>
      <c r="EX133" s="259"/>
      <c r="EY133" s="259"/>
      <c r="EZ133" s="259"/>
      <c r="FA133" s="259"/>
      <c r="FB133" s="259"/>
      <c r="FC133" s="259"/>
      <c r="FD133" s="259"/>
      <c r="FE133" s="259"/>
      <c r="FF133" s="259"/>
      <c r="FG133" s="259"/>
    </row>
    <row r="134" spans="1:163" ht="14.25" customHeight="1">
      <c r="A134" s="259"/>
      <c r="B134" s="259"/>
      <c r="C134" s="259"/>
      <c r="D134" s="259"/>
      <c r="E134" s="259"/>
      <c r="F134" s="259"/>
      <c r="G134" s="259"/>
      <c r="H134" s="259"/>
      <c r="I134" s="259"/>
      <c r="J134" s="259"/>
      <c r="K134" s="259"/>
      <c r="L134" s="259"/>
      <c r="M134" s="259"/>
      <c r="N134" s="259"/>
      <c r="O134" s="259"/>
      <c r="P134" s="259"/>
      <c r="Q134" s="259"/>
      <c r="R134" s="259"/>
      <c r="S134" s="259"/>
      <c r="T134" s="259"/>
      <c r="U134" s="259"/>
      <c r="V134" s="259"/>
      <c r="W134" s="259"/>
      <c r="X134" s="259"/>
      <c r="Y134" s="259"/>
      <c r="Z134" s="259"/>
      <c r="AA134" s="259"/>
      <c r="AB134" s="259"/>
      <c r="AC134" s="259"/>
      <c r="AD134" s="259"/>
      <c r="AE134" s="259"/>
      <c r="AF134" s="259"/>
      <c r="AG134" s="259"/>
      <c r="AH134" s="259"/>
      <c r="AI134" s="259"/>
      <c r="AJ134" s="259"/>
      <c r="AK134" s="259"/>
      <c r="AL134" s="259"/>
      <c r="AM134" s="259"/>
      <c r="AN134" s="259"/>
      <c r="AO134" s="259"/>
      <c r="AP134" s="259"/>
      <c r="AQ134" s="259"/>
      <c r="AR134" s="259"/>
      <c r="AS134" s="259"/>
      <c r="AT134" s="259"/>
      <c r="AU134" s="259"/>
      <c r="AV134" s="259"/>
      <c r="AW134" s="259"/>
      <c r="AX134" s="259"/>
      <c r="AY134" s="259"/>
      <c r="AZ134" s="259"/>
      <c r="BA134" s="259"/>
      <c r="BB134" s="259"/>
      <c r="BC134" s="259"/>
      <c r="BD134" s="259"/>
      <c r="BE134" s="259"/>
      <c r="BF134" s="259"/>
      <c r="BG134" s="259"/>
      <c r="BH134" s="259"/>
      <c r="BI134" s="259"/>
      <c r="BJ134" s="259"/>
      <c r="BK134" s="259"/>
      <c r="BL134" s="259"/>
      <c r="BM134" s="259"/>
      <c r="BN134" s="259"/>
      <c r="BO134" s="259"/>
      <c r="BP134" s="259"/>
      <c r="BQ134" s="259"/>
      <c r="BR134" s="259"/>
      <c r="BS134" s="259"/>
      <c r="BT134" s="259"/>
      <c r="BU134" s="259"/>
      <c r="BV134" s="259"/>
      <c r="BW134" s="259"/>
      <c r="BX134" s="259"/>
      <c r="BY134" s="259"/>
      <c r="BZ134" s="259"/>
      <c r="CA134" s="259"/>
      <c r="CB134" s="259"/>
      <c r="CC134" s="259"/>
      <c r="CD134" s="259"/>
      <c r="CE134" s="259"/>
      <c r="CF134" s="259"/>
      <c r="CG134" s="259"/>
      <c r="CH134" s="259"/>
      <c r="CI134" s="259"/>
      <c r="CJ134" s="259"/>
      <c r="CK134" s="259"/>
      <c r="CL134" s="259"/>
      <c r="CM134" s="259"/>
      <c r="CN134" s="259"/>
      <c r="CO134" s="259"/>
      <c r="CP134" s="259"/>
      <c r="CQ134" s="259"/>
      <c r="CR134" s="259"/>
      <c r="CS134" s="259"/>
      <c r="CT134" s="259"/>
      <c r="CU134" s="259"/>
      <c r="CV134" s="259"/>
      <c r="CW134" s="259"/>
      <c r="CX134" s="259"/>
      <c r="CY134" s="259"/>
      <c r="CZ134" s="259"/>
      <c r="DA134" s="259"/>
      <c r="DB134" s="259"/>
      <c r="DC134" s="259"/>
      <c r="DD134" s="259"/>
      <c r="DE134" s="259"/>
      <c r="DF134" s="259"/>
      <c r="DG134" s="259"/>
      <c r="DH134" s="259"/>
      <c r="DI134" s="259"/>
      <c r="DJ134" s="259"/>
      <c r="DK134" s="259"/>
      <c r="DL134" s="259"/>
      <c r="DM134" s="259"/>
      <c r="DN134" s="259"/>
      <c r="DO134" s="259"/>
      <c r="DP134" s="259"/>
      <c r="DQ134" s="259"/>
      <c r="DR134" s="259"/>
      <c r="DS134" s="259"/>
      <c r="DT134" s="259"/>
      <c r="DU134" s="259"/>
      <c r="DV134" s="259"/>
      <c r="DW134" s="259"/>
      <c r="DX134" s="259"/>
      <c r="DY134" s="259"/>
      <c r="DZ134" s="259"/>
      <c r="EA134" s="259"/>
      <c r="EB134" s="259"/>
      <c r="EC134" s="259"/>
      <c r="ED134" s="259"/>
      <c r="EE134" s="259"/>
      <c r="EF134" s="259"/>
      <c r="EG134" s="259"/>
      <c r="EH134" s="259"/>
      <c r="EI134" s="259"/>
      <c r="EJ134" s="259"/>
      <c r="EK134" s="259"/>
      <c r="EL134" s="259"/>
      <c r="EM134" s="259"/>
      <c r="EN134" s="259"/>
      <c r="EO134" s="259"/>
      <c r="EP134" s="259"/>
      <c r="EQ134" s="259"/>
      <c r="ER134" s="259"/>
      <c r="ES134" s="259"/>
      <c r="ET134" s="259"/>
      <c r="EU134" s="259"/>
      <c r="EV134" s="259"/>
      <c r="EW134" s="259"/>
      <c r="EX134" s="259"/>
      <c r="EY134" s="259"/>
      <c r="EZ134" s="259"/>
      <c r="FA134" s="259"/>
      <c r="FB134" s="259"/>
      <c r="FC134" s="259"/>
      <c r="FD134" s="259"/>
      <c r="FE134" s="259"/>
      <c r="FF134" s="259"/>
      <c r="FG134" s="259"/>
    </row>
    <row r="135" spans="1:163" ht="14.25" customHeight="1"/>
    <row r="136" spans="1:163" ht="14.25" customHeight="1"/>
    <row r="137" spans="1:163" ht="14.25" customHeight="1"/>
    <row r="138" spans="1:163" ht="14.25" customHeight="1"/>
    <row r="139" spans="1:163" ht="14.25" customHeight="1"/>
    <row r="140" spans="1:163" ht="14.25" customHeight="1"/>
    <row r="141" spans="1:163" ht="14.25" customHeight="1"/>
    <row r="142" spans="1:163" ht="14.25" customHeight="1"/>
    <row r="143" spans="1:163" ht="14.25" customHeight="1"/>
    <row r="144" spans="1:163"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
    <mergeCell ref="A1:F1"/>
    <mergeCell ref="G1:I1"/>
    <mergeCell ref="J1:L1"/>
    <mergeCell ref="A83:J83"/>
    <mergeCell ref="A88:J88"/>
  </mergeCells>
  <conditionalFormatting sqref="M116:V127">
    <cfRule type="colorScale" priority="1">
      <colorScale>
        <cfvo type="min"/>
        <cfvo type="percentile" val="50"/>
        <cfvo type="max"/>
        <color rgb="FFF8696B"/>
        <color rgb="FFFFEB84"/>
        <color rgb="FF63BE7B"/>
      </colorScale>
    </cfRule>
  </conditionalFormatting>
  <pageMargins left="0.7" right="0.7" top="0.75" bottom="0.75" header="0" footer="0"/>
  <pageSetup orientation="landscape"/>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000"/>
  <sheetViews>
    <sheetView topLeftCell="J1" workbookViewId="0">
      <pane ySplit="2" topLeftCell="A63" activePane="bottomLeft" state="frozen"/>
      <selection pane="bottomLeft" activeCell="Z3" sqref="Z3"/>
    </sheetView>
  </sheetViews>
  <sheetFormatPr defaultColWidth="12.59765625" defaultRowHeight="15" customHeight="1" outlineLevelRow="1"/>
  <cols>
    <col min="1" max="1" width="10.69921875" customWidth="1"/>
    <col min="2" max="6" width="9.19921875" customWidth="1"/>
    <col min="7" max="9" width="8.69921875" customWidth="1"/>
    <col min="10" max="10" width="1.8984375" customWidth="1"/>
    <col min="11" max="11" width="9.09765625" customWidth="1"/>
    <col min="12" max="16" width="8.69921875" customWidth="1"/>
    <col min="17" max="17" width="1.8984375" customWidth="1"/>
    <col min="18" max="18" width="9.09765625" customWidth="1"/>
    <col min="19" max="38" width="8.69921875" customWidth="1"/>
  </cols>
  <sheetData>
    <row r="1" spans="1:38" ht="14.25" customHeight="1">
      <c r="A1" s="3"/>
      <c r="B1" s="3"/>
      <c r="C1" s="3"/>
      <c r="D1" s="524" t="s">
        <v>5</v>
      </c>
      <c r="E1" s="507"/>
      <c r="F1" s="507"/>
      <c r="G1" s="507"/>
      <c r="H1" s="507"/>
      <c r="I1" s="508"/>
      <c r="J1" s="260"/>
      <c r="K1" s="525" t="s">
        <v>6</v>
      </c>
      <c r="L1" s="507"/>
      <c r="M1" s="507"/>
      <c r="N1" s="507"/>
      <c r="O1" s="507"/>
      <c r="P1" s="508"/>
      <c r="Q1" s="260"/>
      <c r="R1" s="526" t="s">
        <v>7</v>
      </c>
      <c r="S1" s="507"/>
      <c r="T1" s="507"/>
      <c r="U1" s="507"/>
      <c r="V1" s="507"/>
      <c r="W1" s="508"/>
      <c r="X1" s="193"/>
      <c r="Y1" s="193"/>
      <c r="Z1" s="193"/>
      <c r="AA1" s="193"/>
      <c r="AB1" s="193"/>
      <c r="AC1" s="193"/>
      <c r="AD1" s="193"/>
      <c r="AE1" s="193"/>
      <c r="AF1" s="3"/>
      <c r="AG1" s="3"/>
      <c r="AH1" s="3"/>
      <c r="AI1" s="3"/>
      <c r="AJ1" s="3"/>
      <c r="AK1" s="261" t="s">
        <v>998</v>
      </c>
      <c r="AL1" s="3"/>
    </row>
    <row r="2" spans="1:38" ht="14.25" customHeight="1">
      <c r="A2" s="193"/>
      <c r="B2" s="193"/>
      <c r="C2" s="3"/>
      <c r="D2" s="3" t="s">
        <v>9</v>
      </c>
      <c r="E2" s="263" t="s">
        <v>999</v>
      </c>
      <c r="F2" s="263" t="s">
        <v>1000</v>
      </c>
      <c r="G2" s="263" t="s">
        <v>1001</v>
      </c>
      <c r="H2" s="263" t="s">
        <v>1002</v>
      </c>
      <c r="I2" s="263" t="s">
        <v>1003</v>
      </c>
      <c r="J2" s="260"/>
      <c r="K2" s="3" t="s">
        <v>9</v>
      </c>
      <c r="L2" s="263" t="s">
        <v>999</v>
      </c>
      <c r="M2" s="263" t="s">
        <v>1000</v>
      </c>
      <c r="N2" s="263" t="s">
        <v>1001</v>
      </c>
      <c r="O2" s="263" t="s">
        <v>1002</v>
      </c>
      <c r="P2" s="263" t="s">
        <v>1003</v>
      </c>
      <c r="Q2" s="260"/>
      <c r="R2" s="3" t="s">
        <v>9</v>
      </c>
      <c r="S2" s="263" t="s">
        <v>999</v>
      </c>
      <c r="T2" s="263" t="s">
        <v>1000</v>
      </c>
      <c r="U2" s="263" t="s">
        <v>1001</v>
      </c>
      <c r="V2" s="263" t="s">
        <v>1002</v>
      </c>
      <c r="W2" s="263" t="s">
        <v>1003</v>
      </c>
      <c r="X2" s="193"/>
      <c r="Y2" s="3" t="s">
        <v>9</v>
      </c>
      <c r="Z2" s="263" t="s">
        <v>32</v>
      </c>
      <c r="AA2" s="193"/>
      <c r="AB2" s="193"/>
      <c r="AC2" s="193"/>
      <c r="AD2" s="193"/>
      <c r="AE2" s="193"/>
      <c r="AF2" s="3"/>
      <c r="AG2" s="3"/>
      <c r="AH2" s="3"/>
      <c r="AI2" s="3"/>
      <c r="AJ2" s="193"/>
      <c r="AK2" s="264" t="s">
        <v>1005</v>
      </c>
      <c r="AL2" s="193"/>
    </row>
    <row r="3" spans="1:38" ht="14.25" customHeight="1" outlineLevel="1">
      <c r="A3" s="193"/>
      <c r="B3" s="193"/>
      <c r="C3" s="3"/>
      <c r="D3" s="18">
        <v>37711</v>
      </c>
      <c r="E3" s="265">
        <v>14.384349827387808</v>
      </c>
      <c r="F3" s="265">
        <f>place!B23*100</f>
        <v>6.9702132758422852</v>
      </c>
      <c r="G3" s="265">
        <f>(inflacija!C11+nezaposlenost!V16)-(inflacija!C7+nezaposlenost!V12)</f>
        <v>-5.5640198288558445</v>
      </c>
      <c r="H3" s="265"/>
      <c r="I3" s="265">
        <f>krediti!H11</f>
        <v>28.706081426335817</v>
      </c>
      <c r="J3" s="260"/>
      <c r="K3" s="18">
        <v>37711</v>
      </c>
      <c r="L3" s="265">
        <v>14.384349827387808</v>
      </c>
      <c r="M3" s="265">
        <f>place!I23*100</f>
        <v>6.9702132758422852</v>
      </c>
      <c r="N3" s="265">
        <f>(inflacija!G11+nezaposlenost!W16)-(inflacija!G7+nezaposlenost!W12)</f>
        <v>-5.5640198288558445</v>
      </c>
      <c r="O3" s="265"/>
      <c r="P3" s="265">
        <f t="shared" ref="P3:P5" si="0">+I3</f>
        <v>28.706081426335817</v>
      </c>
      <c r="Q3" s="260"/>
      <c r="R3" s="18">
        <v>37711</v>
      </c>
      <c r="S3" s="265">
        <v>14.384349827387808</v>
      </c>
      <c r="T3" s="265">
        <f>place!P23*100</f>
        <v>6.9702132758422852</v>
      </c>
      <c r="U3" s="265">
        <f t="shared" ref="U3:U4" si="1">+N3</f>
        <v>-5.5640198288558445</v>
      </c>
      <c r="V3" s="265"/>
      <c r="W3" s="265">
        <f t="shared" ref="W3:W4" si="2">+P3</f>
        <v>28.706081426335817</v>
      </c>
      <c r="X3" s="193"/>
      <c r="Y3" s="18">
        <v>37711</v>
      </c>
      <c r="Z3" s="265">
        <v>14.384349827387808</v>
      </c>
      <c r="AA3" s="193"/>
      <c r="AB3" s="193"/>
      <c r="AC3" s="193"/>
      <c r="AD3" s="193"/>
      <c r="AE3" s="193"/>
      <c r="AF3" s="3"/>
      <c r="AG3" s="3"/>
      <c r="AH3" s="3"/>
      <c r="AI3" s="3"/>
      <c r="AJ3" s="193"/>
      <c r="AK3" s="264" t="s">
        <v>1006</v>
      </c>
      <c r="AL3" s="193"/>
    </row>
    <row r="4" spans="1:38" ht="14.25" customHeight="1" outlineLevel="1">
      <c r="A4" s="193"/>
      <c r="B4" s="193"/>
      <c r="C4" s="3"/>
      <c r="D4" s="18">
        <v>37802</v>
      </c>
      <c r="E4" s="265">
        <v>19.078509647371945</v>
      </c>
      <c r="F4" s="265">
        <f>place!B24*100</f>
        <v>3.8224224778289351</v>
      </c>
      <c r="G4" s="265">
        <f>(inflacija!C12+nezaposlenost!V17)-(inflacija!C8+nezaposlenost!V13)</f>
        <v>-2.6074656574342789</v>
      </c>
      <c r="H4" s="265"/>
      <c r="I4" s="265">
        <f>krediti!H12</f>
        <v>22.507895967338442</v>
      </c>
      <c r="J4" s="260"/>
      <c r="K4" s="18">
        <v>37802</v>
      </c>
      <c r="L4" s="265">
        <v>19.078509647371945</v>
      </c>
      <c r="M4" s="265">
        <f>place!I24*100</f>
        <v>3.8224224778289351</v>
      </c>
      <c r="N4" s="265">
        <f>(inflacija!G12+nezaposlenost!W17)-(inflacija!G8+nezaposlenost!W13)</f>
        <v>-2.6074656574342789</v>
      </c>
      <c r="O4" s="265"/>
      <c r="P4" s="265">
        <f t="shared" si="0"/>
        <v>22.507895967338442</v>
      </c>
      <c r="Q4" s="260"/>
      <c r="R4" s="18">
        <v>37802</v>
      </c>
      <c r="S4" s="265">
        <v>19.078509647371945</v>
      </c>
      <c r="T4" s="265">
        <f>place!P24*100</f>
        <v>3.8224224778289351</v>
      </c>
      <c r="U4" s="265">
        <f t="shared" si="1"/>
        <v>-2.6074656574342789</v>
      </c>
      <c r="V4" s="265"/>
      <c r="W4" s="265">
        <f t="shared" si="2"/>
        <v>22.507895967338442</v>
      </c>
      <c r="X4" s="193"/>
      <c r="Y4" s="18">
        <v>37802</v>
      </c>
      <c r="Z4" s="265">
        <v>19.078509647371945</v>
      </c>
      <c r="AA4" s="193"/>
      <c r="AB4" s="193"/>
      <c r="AC4" s="193"/>
      <c r="AD4" s="193"/>
      <c r="AE4" s="193"/>
      <c r="AF4" s="3"/>
      <c r="AG4" s="3"/>
      <c r="AH4" s="3"/>
      <c r="AI4" s="3"/>
      <c r="AJ4" s="193"/>
      <c r="AK4" s="266"/>
      <c r="AL4" s="193"/>
    </row>
    <row r="5" spans="1:38" ht="14.25" customHeight="1" outlineLevel="1">
      <c r="A5" s="193"/>
      <c r="B5" s="193"/>
      <c r="C5" s="3"/>
      <c r="D5" s="18">
        <v>37894</v>
      </c>
      <c r="E5" s="265">
        <v>13.867464190146393</v>
      </c>
      <c r="F5" s="265">
        <f>place!B25*100</f>
        <v>4.4618497348130504</v>
      </c>
      <c r="G5" s="265">
        <f>(inflacija!C13+nezaposlenost!V18)-(inflacija!C9+nezaposlenost!V14)</f>
        <v>-3.7978322124602251</v>
      </c>
      <c r="H5" s="265"/>
      <c r="I5" s="265">
        <f>krediti!H13</f>
        <v>17.651335654884505</v>
      </c>
      <c r="J5" s="260"/>
      <c r="K5" s="18">
        <v>37894</v>
      </c>
      <c r="L5" s="265">
        <v>13.867464190146393</v>
      </c>
      <c r="M5" s="265">
        <f>place!I25*100</f>
        <v>4.4618497348130504</v>
      </c>
      <c r="N5" s="265">
        <f>(inflacija!G13+nezaposlenost!W18)-(inflacija!G9+nezaposlenost!W14)</f>
        <v>-3.7978322124602251</v>
      </c>
      <c r="O5" s="265"/>
      <c r="P5" s="265">
        <f t="shared" si="0"/>
        <v>17.651335654884505</v>
      </c>
      <c r="Q5" s="260"/>
      <c r="R5" s="18">
        <v>37894</v>
      </c>
      <c r="S5" s="265">
        <v>13.867464190146393</v>
      </c>
      <c r="T5" s="265">
        <f>place!P25*100</f>
        <v>4.4618497348130504</v>
      </c>
      <c r="U5" s="265">
        <f>(inflacija!J13+nezaposlenost!X18)-(inflacija!J9+nezaposlenost!X14)</f>
        <v>-3.7978322124602251</v>
      </c>
      <c r="V5" s="265"/>
      <c r="W5" s="265">
        <f>krediti!J13</f>
        <v>17.651335654884505</v>
      </c>
      <c r="X5" s="193"/>
      <c r="Y5" s="18">
        <v>37894</v>
      </c>
      <c r="Z5" s="265">
        <v>13.867464190146393</v>
      </c>
      <c r="AA5" s="193"/>
      <c r="AB5" s="193"/>
      <c r="AC5" s="193"/>
      <c r="AD5" s="193"/>
      <c r="AE5" s="193"/>
      <c r="AF5" s="3"/>
      <c r="AG5" s="3"/>
      <c r="AH5" s="3"/>
      <c r="AI5" s="3"/>
      <c r="AJ5" s="193"/>
      <c r="AK5" s="264" t="s">
        <v>1008</v>
      </c>
      <c r="AL5" s="193"/>
    </row>
    <row r="6" spans="1:38" ht="14.25" customHeight="1" outlineLevel="1">
      <c r="A6" s="193"/>
      <c r="B6" s="193"/>
      <c r="C6" s="3"/>
      <c r="D6" s="18">
        <v>37986</v>
      </c>
      <c r="E6" s="265">
        <v>20.901126408010001</v>
      </c>
      <c r="F6" s="265">
        <f>place!B26*100</f>
        <v>2.8696878569142825</v>
      </c>
      <c r="G6" s="265">
        <f>(inflacija!C14+nezaposlenost!V19)-(inflacija!C10+nezaposlenost!V15)</f>
        <v>-0.66500616897555886</v>
      </c>
      <c r="H6" s="265"/>
      <c r="I6" s="265">
        <f>krediti!H14</f>
        <v>14.649778309674577</v>
      </c>
      <c r="J6" s="260"/>
      <c r="K6" s="18">
        <v>37986</v>
      </c>
      <c r="L6" s="265">
        <v>20.901126408010001</v>
      </c>
      <c r="M6" s="265">
        <f>place!I26*100</f>
        <v>2.8696878569142825</v>
      </c>
      <c r="N6" s="265">
        <f>(inflacija!G14+nezaposlenost!W19)-(inflacija!G10+nezaposlenost!W15)</f>
        <v>-0.66500616897555886</v>
      </c>
      <c r="O6" s="265"/>
      <c r="P6" s="265">
        <f>krediti!I14</f>
        <v>14.649778309674577</v>
      </c>
      <c r="Q6" s="260"/>
      <c r="R6" s="18">
        <v>37986</v>
      </c>
      <c r="S6" s="265">
        <v>20.901126408010001</v>
      </c>
      <c r="T6" s="265">
        <f>place!P26*100</f>
        <v>2.8696878569142825</v>
      </c>
      <c r="U6" s="265">
        <f>(inflacija!J14+nezaposlenost!X19)-(inflacija!J10+nezaposlenost!X15)</f>
        <v>-0.66500616897555886</v>
      </c>
      <c r="V6" s="265"/>
      <c r="W6" s="265">
        <f>krediti!J14</f>
        <v>14.649778309674577</v>
      </c>
      <c r="X6" s="193"/>
      <c r="Y6" s="18">
        <v>37986</v>
      </c>
      <c r="Z6" s="265">
        <v>20.901126408010001</v>
      </c>
      <c r="AA6" s="193"/>
      <c r="AB6" s="193"/>
      <c r="AC6" s="193"/>
      <c r="AD6" s="193"/>
      <c r="AE6" s="193"/>
      <c r="AF6" s="3"/>
      <c r="AG6" s="3"/>
      <c r="AH6" s="3"/>
      <c r="AI6" s="3"/>
      <c r="AJ6" s="193"/>
      <c r="AK6" s="264" t="s">
        <v>1009</v>
      </c>
      <c r="AL6" s="193"/>
    </row>
    <row r="7" spans="1:38" ht="14.25" customHeight="1" outlineLevel="1">
      <c r="A7" s="3"/>
      <c r="B7" s="3"/>
      <c r="C7" s="3"/>
      <c r="D7" s="18">
        <v>38077</v>
      </c>
      <c r="E7" s="265">
        <v>13.222190284564533</v>
      </c>
      <c r="F7" s="265">
        <f>place!B27*100</f>
        <v>5.4262553136249725</v>
      </c>
      <c r="G7" s="265">
        <f>(inflacija!C15+nezaposlenost!V20)-(inflacija!C11+nezaposlenost!V16)</f>
        <v>-0.6167966654019601</v>
      </c>
      <c r="H7" s="265">
        <v>-0.37000000000000011</v>
      </c>
      <c r="I7" s="265">
        <f>krediti!H15</f>
        <v>10.384637360180605</v>
      </c>
      <c r="J7" s="260"/>
      <c r="K7" s="18">
        <v>38077</v>
      </c>
      <c r="L7" s="265">
        <v>13.222190284564533</v>
      </c>
      <c r="M7" s="265">
        <f>place!I27*100</f>
        <v>5.4262553136249725</v>
      </c>
      <c r="N7" s="265">
        <f>(inflacija!G15+nezaposlenost!W20)-(inflacija!G11+nezaposlenost!W16)</f>
        <v>-0.6167966654019601</v>
      </c>
      <c r="O7" s="265">
        <v>-0.37000000000000011</v>
      </c>
      <c r="P7" s="265">
        <f>krediti!I15</f>
        <v>10.384637360180605</v>
      </c>
      <c r="Q7" s="260"/>
      <c r="R7" s="18">
        <v>38077</v>
      </c>
      <c r="S7" s="265">
        <v>13.222190284564533</v>
      </c>
      <c r="T7" s="265">
        <f>place!P27*100</f>
        <v>5.4262553136249725</v>
      </c>
      <c r="U7" s="265">
        <f>(inflacija!J15+nezaposlenost!X20)-(inflacija!J11+nezaposlenost!X16)</f>
        <v>-0.6167966654019601</v>
      </c>
      <c r="V7" s="265">
        <v>-0.37000000000000011</v>
      </c>
      <c r="W7" s="265">
        <f>krediti!J15</f>
        <v>10.384637360180605</v>
      </c>
      <c r="X7" s="193"/>
      <c r="Y7" s="18">
        <v>38077</v>
      </c>
      <c r="Z7" s="265">
        <v>13.222190284564533</v>
      </c>
      <c r="AA7" s="193"/>
      <c r="AB7" s="193"/>
      <c r="AC7" s="193"/>
      <c r="AD7" s="193"/>
      <c r="AE7" s="193"/>
      <c r="AF7" s="3"/>
      <c r="AG7" s="3"/>
      <c r="AH7" s="3"/>
      <c r="AI7" s="3"/>
      <c r="AJ7" s="193"/>
      <c r="AK7" s="264" t="s">
        <v>1010</v>
      </c>
      <c r="AL7" s="193"/>
    </row>
    <row r="8" spans="1:38" ht="14.25" customHeight="1" outlineLevel="1">
      <c r="A8" s="3"/>
      <c r="B8" s="3"/>
      <c r="C8" s="3"/>
      <c r="D8" s="18">
        <v>38168</v>
      </c>
      <c r="E8" s="265">
        <v>13.703031149601898</v>
      </c>
      <c r="F8" s="265">
        <f>place!B28*100</f>
        <v>6.6121885122037982</v>
      </c>
      <c r="G8" s="265">
        <f>(inflacija!C16+nezaposlenost!V21)-(inflacija!C12+nezaposlenost!V17)</f>
        <v>0.28513879077738835</v>
      </c>
      <c r="H8" s="265">
        <v>-1</v>
      </c>
      <c r="I8" s="265">
        <f>krediti!H16</f>
        <v>12.316470325074613</v>
      </c>
      <c r="J8" s="260"/>
      <c r="K8" s="18">
        <v>38168</v>
      </c>
      <c r="L8" s="265">
        <v>13.703031149601898</v>
      </c>
      <c r="M8" s="265">
        <f>place!I28*100</f>
        <v>6.6121885122037982</v>
      </c>
      <c r="N8" s="265">
        <f>(inflacija!G16+nezaposlenost!W21)-(inflacija!G12+nezaposlenost!W17)</f>
        <v>0.28513879077738835</v>
      </c>
      <c r="O8" s="265">
        <v>-1</v>
      </c>
      <c r="P8" s="265">
        <f>krediti!I16</f>
        <v>12.316470325074613</v>
      </c>
      <c r="Q8" s="260"/>
      <c r="R8" s="18">
        <v>38168</v>
      </c>
      <c r="S8" s="265">
        <v>13.703031149601898</v>
      </c>
      <c r="T8" s="265">
        <f>place!P28*100</f>
        <v>6.6121885122037982</v>
      </c>
      <c r="U8" s="265">
        <f>(inflacija!J16+nezaposlenost!X21)-(inflacija!J12+nezaposlenost!X17)</f>
        <v>0.28513879077738835</v>
      </c>
      <c r="V8" s="265">
        <v>-1</v>
      </c>
      <c r="W8" s="265">
        <f>krediti!J16</f>
        <v>12.316470325074613</v>
      </c>
      <c r="X8" s="193"/>
      <c r="Y8" s="18">
        <v>38168</v>
      </c>
      <c r="Z8" s="265">
        <v>13.703031149601898</v>
      </c>
      <c r="AA8" s="193"/>
      <c r="AB8" s="193"/>
      <c r="AC8" s="193"/>
      <c r="AD8" s="193"/>
      <c r="AE8" s="193"/>
      <c r="AF8" s="3"/>
      <c r="AG8" s="3"/>
      <c r="AH8" s="3"/>
      <c r="AI8" s="3"/>
      <c r="AJ8" s="193"/>
      <c r="AK8" s="266"/>
      <c r="AL8" s="193"/>
    </row>
    <row r="9" spans="1:38" ht="14.25" customHeight="1" outlineLevel="1">
      <c r="A9" s="3"/>
      <c r="B9" s="3"/>
      <c r="C9" s="3"/>
      <c r="D9" s="18">
        <v>38260</v>
      </c>
      <c r="E9" s="265">
        <v>16.505391208183568</v>
      </c>
      <c r="F9" s="265">
        <f>place!B29*100</f>
        <v>6.3933945927444613</v>
      </c>
      <c r="G9" s="265">
        <f>(inflacija!C17+nezaposlenost!V22)-(inflacija!C13+nezaposlenost!V18)</f>
        <v>1.5602039519295268</v>
      </c>
      <c r="H9" s="265">
        <v>-1.3699999999999992</v>
      </c>
      <c r="I9" s="265">
        <f>krediti!H17</f>
        <v>12.664669131773598</v>
      </c>
      <c r="J9" s="260"/>
      <c r="K9" s="18">
        <v>38260</v>
      </c>
      <c r="L9" s="265">
        <v>16.505391208183568</v>
      </c>
      <c r="M9" s="265">
        <f>place!I29*100</f>
        <v>6.3933945927444613</v>
      </c>
      <c r="N9" s="265">
        <f>(inflacija!G17+nezaposlenost!W22)-(inflacija!G13+nezaposlenost!W18)</f>
        <v>1.5602039519295268</v>
      </c>
      <c r="O9" s="265">
        <v>-1.3699999999999992</v>
      </c>
      <c r="P9" s="265">
        <f>krediti!I17</f>
        <v>12.664669131773598</v>
      </c>
      <c r="Q9" s="260"/>
      <c r="R9" s="18">
        <v>38260</v>
      </c>
      <c r="S9" s="265">
        <v>16.505391208183568</v>
      </c>
      <c r="T9" s="265">
        <f>place!P29*100</f>
        <v>6.3933945927444613</v>
      </c>
      <c r="U9" s="265">
        <f>(inflacija!J17+nezaposlenost!X22)-(inflacija!J13+nezaposlenost!X18)</f>
        <v>1.5602039519295268</v>
      </c>
      <c r="V9" s="265">
        <v>-1.3699999999999992</v>
      </c>
      <c r="W9" s="265">
        <f>krediti!J17</f>
        <v>12.664669131773598</v>
      </c>
      <c r="X9" s="193"/>
      <c r="Y9" s="18">
        <v>38260</v>
      </c>
      <c r="Z9" s="265">
        <v>16.505391208183568</v>
      </c>
      <c r="AA9" s="193"/>
      <c r="AB9" s="193"/>
      <c r="AC9" s="193"/>
      <c r="AD9" s="193"/>
      <c r="AE9" s="193"/>
      <c r="AF9" s="3"/>
      <c r="AG9" s="3"/>
      <c r="AH9" s="3"/>
      <c r="AI9" s="3"/>
      <c r="AJ9" s="193"/>
      <c r="AK9" s="264" t="s">
        <v>518</v>
      </c>
      <c r="AL9" s="193"/>
    </row>
    <row r="10" spans="1:38" ht="14.25" customHeight="1" outlineLevel="1">
      <c r="A10" s="3"/>
      <c r="B10" s="3"/>
      <c r="C10" s="3"/>
      <c r="D10" s="18">
        <v>38352</v>
      </c>
      <c r="E10" s="265">
        <v>15.799689440993788</v>
      </c>
      <c r="F10" s="265">
        <f>place!B30*100</f>
        <v>6.332888023447758</v>
      </c>
      <c r="G10" s="265">
        <f>(inflacija!C18+nezaposlenost!V23)-(inflacija!C14+nezaposlenost!V19)</f>
        <v>-0.35949935827587609</v>
      </c>
      <c r="H10" s="265">
        <v>-0.30999999999999961</v>
      </c>
      <c r="I10" s="265">
        <f>krediti!H18</f>
        <v>14.155481335172325</v>
      </c>
      <c r="J10" s="260"/>
      <c r="K10" s="18">
        <v>38352</v>
      </c>
      <c r="L10" s="265">
        <v>15.799689440993788</v>
      </c>
      <c r="M10" s="265">
        <f>place!I30*100</f>
        <v>6.332888023447758</v>
      </c>
      <c r="N10" s="265">
        <f>(inflacija!G18+nezaposlenost!W23)-(inflacija!G14+nezaposlenost!W19)</f>
        <v>-0.35949935827587609</v>
      </c>
      <c r="O10" s="265">
        <v>-0.30999999999999961</v>
      </c>
      <c r="P10" s="265">
        <f>krediti!I18</f>
        <v>14.155481335172325</v>
      </c>
      <c r="Q10" s="260"/>
      <c r="R10" s="18">
        <v>38352</v>
      </c>
      <c r="S10" s="265">
        <v>15.799689440993788</v>
      </c>
      <c r="T10" s="265">
        <f>place!P30*100</f>
        <v>6.332888023447758</v>
      </c>
      <c r="U10" s="265">
        <f>(inflacija!J18+nezaposlenost!X23)-(inflacija!J14+nezaposlenost!X19)</f>
        <v>-0.35949935827587609</v>
      </c>
      <c r="V10" s="265">
        <v>-0.30999999999999961</v>
      </c>
      <c r="W10" s="265">
        <f>krediti!J18</f>
        <v>14.155481335172325</v>
      </c>
      <c r="X10" s="193"/>
      <c r="Y10" s="18">
        <v>38352</v>
      </c>
      <c r="Z10" s="265">
        <v>15.799689440993788</v>
      </c>
      <c r="AA10" s="193"/>
      <c r="AB10" s="193"/>
      <c r="AC10" s="193"/>
      <c r="AD10" s="193"/>
      <c r="AE10" s="193"/>
      <c r="AF10" s="3"/>
      <c r="AG10" s="3"/>
      <c r="AH10" s="3"/>
      <c r="AI10" s="3"/>
      <c r="AJ10" s="193"/>
      <c r="AK10" s="264" t="s">
        <v>1013</v>
      </c>
      <c r="AL10" s="193"/>
    </row>
    <row r="11" spans="1:38" ht="14.25" customHeight="1" outlineLevel="1">
      <c r="A11" s="3"/>
      <c r="B11" s="3"/>
      <c r="C11" s="3"/>
      <c r="D11" s="18">
        <v>38442</v>
      </c>
      <c r="E11" s="265">
        <v>13.632901751713632</v>
      </c>
      <c r="F11" s="265">
        <f>place!B31*100</f>
        <v>4.7608096954072643</v>
      </c>
      <c r="G11" s="265">
        <f>(inflacija!C19+nezaposlenost!V24)-(inflacija!C15+nezaposlenost!V20)</f>
        <v>3.4264293855641128</v>
      </c>
      <c r="H11" s="265">
        <v>-1.3699999999999992</v>
      </c>
      <c r="I11" s="265">
        <f>krediti!H19</f>
        <v>13.32149727629437</v>
      </c>
      <c r="J11" s="260"/>
      <c r="K11" s="18">
        <v>38442</v>
      </c>
      <c r="L11" s="265">
        <v>13.632901751713632</v>
      </c>
      <c r="M11" s="265">
        <f>place!I31*100</f>
        <v>4.7608096954072643</v>
      </c>
      <c r="N11" s="265">
        <f>(inflacija!G19+nezaposlenost!W24)-(inflacija!G15+nezaposlenost!W20)</f>
        <v>3.4264293855641128</v>
      </c>
      <c r="O11" s="265">
        <v>-1.3699999999999992</v>
      </c>
      <c r="P11" s="265">
        <f>krediti!I19</f>
        <v>13.32149727629437</v>
      </c>
      <c r="Q11" s="260"/>
      <c r="R11" s="18">
        <v>38442</v>
      </c>
      <c r="S11" s="265">
        <v>13.632901751713632</v>
      </c>
      <c r="T11" s="265">
        <f>place!P31*100</f>
        <v>4.7608096954072643</v>
      </c>
      <c r="U11" s="265">
        <f>(inflacija!J19+nezaposlenost!X24)-(inflacija!J15+nezaposlenost!X20)</f>
        <v>3.4264293855641128</v>
      </c>
      <c r="V11" s="265">
        <v>-1.3699999999999992</v>
      </c>
      <c r="W11" s="265">
        <f>krediti!J19</f>
        <v>13.32149727629437</v>
      </c>
      <c r="X11" s="193"/>
      <c r="Y11" s="18">
        <v>38442</v>
      </c>
      <c r="Z11" s="265">
        <v>13.632901751713632</v>
      </c>
      <c r="AA11" s="193"/>
      <c r="AB11" s="193"/>
      <c r="AC11" s="193"/>
      <c r="AD11" s="193"/>
      <c r="AE11" s="193"/>
      <c r="AF11" s="3"/>
      <c r="AG11" s="3"/>
      <c r="AH11" s="3"/>
      <c r="AI11" s="3"/>
      <c r="AJ11" s="193"/>
      <c r="AK11" s="264" t="s">
        <v>1014</v>
      </c>
      <c r="AL11" s="193"/>
    </row>
    <row r="12" spans="1:38" ht="14.25" customHeight="1" outlineLevel="1">
      <c r="A12" s="3"/>
      <c r="B12" s="3"/>
      <c r="C12" s="3"/>
      <c r="D12" s="18">
        <v>38533</v>
      </c>
      <c r="E12" s="265">
        <v>14.594594594594582</v>
      </c>
      <c r="F12" s="265">
        <f>place!B32*100</f>
        <v>5.2845531415469882</v>
      </c>
      <c r="G12" s="265">
        <f>(inflacija!C20+nezaposlenost!V25)-(inflacija!C16+nezaposlenost!V21)</f>
        <v>1.2743333368840197</v>
      </c>
      <c r="H12" s="265">
        <v>-1</v>
      </c>
      <c r="I12" s="265">
        <f>krediti!H20</f>
        <v>14.731427300288447</v>
      </c>
      <c r="J12" s="260"/>
      <c r="K12" s="18">
        <v>38533</v>
      </c>
      <c r="L12" s="265">
        <v>14.594594594594582</v>
      </c>
      <c r="M12" s="265">
        <f>place!I32*100</f>
        <v>5.2845531415469882</v>
      </c>
      <c r="N12" s="265">
        <f>(inflacija!G20+nezaposlenost!W25)-(inflacija!G16+nezaposlenost!W21)</f>
        <v>1.2743333368840197</v>
      </c>
      <c r="O12" s="265">
        <v>-1</v>
      </c>
      <c r="P12" s="265">
        <f>krediti!I20</f>
        <v>14.731427300288447</v>
      </c>
      <c r="Q12" s="260"/>
      <c r="R12" s="18">
        <v>38533</v>
      </c>
      <c r="S12" s="265">
        <v>14.594594594594582</v>
      </c>
      <c r="T12" s="265">
        <f>place!P32*100</f>
        <v>5.2845531415469882</v>
      </c>
      <c r="U12" s="265">
        <f>(inflacija!J20+nezaposlenost!X25)-(inflacija!J16+nezaposlenost!X21)</f>
        <v>1.2743333368840197</v>
      </c>
      <c r="V12" s="265">
        <v>-1</v>
      </c>
      <c r="W12" s="265">
        <f>krediti!J20</f>
        <v>14.731427300288447</v>
      </c>
      <c r="X12" s="193"/>
      <c r="Y12" s="18">
        <v>38533</v>
      </c>
      <c r="Z12" s="265">
        <v>14.594594594594582</v>
      </c>
      <c r="AA12" s="193"/>
      <c r="AB12" s="193"/>
      <c r="AC12" s="193"/>
      <c r="AD12" s="193"/>
      <c r="AE12" s="193"/>
      <c r="AF12" s="3"/>
      <c r="AG12" s="3"/>
      <c r="AH12" s="3"/>
      <c r="AI12" s="3"/>
      <c r="AJ12" s="193"/>
      <c r="AK12" s="264" t="s">
        <v>1015</v>
      </c>
      <c r="AL12" s="193"/>
    </row>
    <row r="13" spans="1:38" ht="14.25" customHeight="1" outlineLevel="1">
      <c r="A13" s="3"/>
      <c r="B13" s="3"/>
      <c r="C13" s="3"/>
      <c r="D13" s="18">
        <v>38625</v>
      </c>
      <c r="E13" s="265">
        <v>12.529663028001892</v>
      </c>
      <c r="F13" s="265">
        <f>place!B33*100</f>
        <v>4.4342728707009949</v>
      </c>
      <c r="G13" s="265">
        <f>(inflacija!C21+nezaposlenost!V26)-(inflacija!C17+nezaposlenost!V22)</f>
        <v>-2.0688081858139888</v>
      </c>
      <c r="H13" s="265">
        <v>-0.61000000000000032</v>
      </c>
      <c r="I13" s="265">
        <f>krediti!H21</f>
        <v>16.93765887210763</v>
      </c>
      <c r="J13" s="260"/>
      <c r="K13" s="18">
        <v>38625</v>
      </c>
      <c r="L13" s="265">
        <v>12.529663028001892</v>
      </c>
      <c r="M13" s="265">
        <f>place!I33*100</f>
        <v>4.4342728707009949</v>
      </c>
      <c r="N13" s="265">
        <f>(inflacija!G21+nezaposlenost!W26)-(inflacija!G17+nezaposlenost!W22)</f>
        <v>-2.0688081858139888</v>
      </c>
      <c r="O13" s="265">
        <v>-0.61000000000000032</v>
      </c>
      <c r="P13" s="265">
        <f>krediti!I21</f>
        <v>16.93765887210763</v>
      </c>
      <c r="Q13" s="260"/>
      <c r="R13" s="18">
        <v>38625</v>
      </c>
      <c r="S13" s="265">
        <v>12.529663028001892</v>
      </c>
      <c r="T13" s="265">
        <f>place!P33*100</f>
        <v>4.4342728707009949</v>
      </c>
      <c r="U13" s="265">
        <f>(inflacija!J21+nezaposlenost!X26)-(inflacija!J17+nezaposlenost!X22)</f>
        <v>-2.0688081858139888</v>
      </c>
      <c r="V13" s="265">
        <v>-0.61000000000000032</v>
      </c>
      <c r="W13" s="265">
        <f>krediti!J21</f>
        <v>16.93765887210763</v>
      </c>
      <c r="X13" s="193"/>
      <c r="Y13" s="18">
        <v>38625</v>
      </c>
      <c r="Z13" s="265">
        <v>12.529663028001892</v>
      </c>
      <c r="AA13" s="193"/>
      <c r="AB13" s="193"/>
      <c r="AC13" s="193"/>
      <c r="AD13" s="193"/>
      <c r="AE13" s="193"/>
      <c r="AF13" s="3"/>
      <c r="AG13" s="3"/>
      <c r="AH13" s="3"/>
      <c r="AI13" s="3"/>
      <c r="AJ13" s="193"/>
      <c r="AK13" s="264" t="s">
        <v>1017</v>
      </c>
      <c r="AL13" s="193"/>
    </row>
    <row r="14" spans="1:38" ht="14.25" customHeight="1" outlineLevel="1">
      <c r="A14" s="3"/>
      <c r="B14" s="3"/>
      <c r="C14" s="3"/>
      <c r="D14" s="18">
        <v>38717</v>
      </c>
      <c r="E14" s="265">
        <v>11.353223823890943</v>
      </c>
      <c r="F14" s="265">
        <f>place!B34*100</f>
        <v>5.0433574272420678</v>
      </c>
      <c r="G14" s="265">
        <f>(inflacija!C22+nezaposlenost!V27)-(inflacija!C18+nezaposlenost!V23)</f>
        <v>-0.57873337227163191</v>
      </c>
      <c r="H14" s="265">
        <v>-0.75999999999999979</v>
      </c>
      <c r="I14" s="265">
        <f>krediti!H22</f>
        <v>17.278977973044761</v>
      </c>
      <c r="J14" s="260"/>
      <c r="K14" s="18">
        <v>38717</v>
      </c>
      <c r="L14" s="265">
        <v>11.353223823890943</v>
      </c>
      <c r="M14" s="265">
        <f>place!I34*100</f>
        <v>5.0433574272420678</v>
      </c>
      <c r="N14" s="265">
        <f>(inflacija!G22+nezaposlenost!W27)-(inflacija!G18+nezaposlenost!W23)</f>
        <v>-0.57873337227163191</v>
      </c>
      <c r="O14" s="265">
        <v>-0.75999999999999979</v>
      </c>
      <c r="P14" s="265">
        <f>krediti!I22</f>
        <v>17.278977973044761</v>
      </c>
      <c r="Q14" s="260"/>
      <c r="R14" s="18">
        <v>38717</v>
      </c>
      <c r="S14" s="265">
        <v>11.353223823890943</v>
      </c>
      <c r="T14" s="265">
        <f>place!P34*100</f>
        <v>5.0433574272420678</v>
      </c>
      <c r="U14" s="265">
        <f>(inflacija!J22+nezaposlenost!X27)-(inflacija!J18+nezaposlenost!X23)</f>
        <v>-0.57873337227163191</v>
      </c>
      <c r="V14" s="265">
        <v>-0.75999999999999979</v>
      </c>
      <c r="W14" s="265">
        <f>krediti!J22</f>
        <v>17.278977973044761</v>
      </c>
      <c r="X14" s="193"/>
      <c r="Y14" s="18">
        <v>38717</v>
      </c>
      <c r="Z14" s="265">
        <v>11.353223823890943</v>
      </c>
      <c r="AA14" s="193"/>
      <c r="AB14" s="193"/>
      <c r="AC14" s="193"/>
      <c r="AD14" s="193"/>
      <c r="AE14" s="193"/>
      <c r="AF14" s="3"/>
      <c r="AG14" s="3"/>
      <c r="AH14" s="3"/>
      <c r="AI14" s="3"/>
      <c r="AJ14" s="193"/>
      <c r="AK14" s="264" t="s">
        <v>1018</v>
      </c>
      <c r="AL14" s="193"/>
    </row>
    <row r="15" spans="1:38" ht="14.25" customHeight="1" outlineLevel="1">
      <c r="A15" s="3"/>
      <c r="B15" s="3"/>
      <c r="C15" s="3"/>
      <c r="D15" s="18">
        <v>38807</v>
      </c>
      <c r="E15" s="265">
        <v>15.77301161751565</v>
      </c>
      <c r="F15" s="265">
        <f>place!B35*100</f>
        <v>5.7728360329998507</v>
      </c>
      <c r="G15" s="265">
        <f>(inflacija!C23+nezaposlenost!V28)-(inflacija!C19+nezaposlenost!V24)</f>
        <v>-3.1752350271414684</v>
      </c>
      <c r="H15" s="265">
        <v>-0.54</v>
      </c>
      <c r="I15" s="265">
        <f>krediti!H23</f>
        <v>22.299405752243008</v>
      </c>
      <c r="J15" s="260"/>
      <c r="K15" s="18">
        <v>38807</v>
      </c>
      <c r="L15" s="265">
        <v>15.77301161751565</v>
      </c>
      <c r="M15" s="265">
        <f>place!I35*100</f>
        <v>5.7728360329998507</v>
      </c>
      <c r="N15" s="265">
        <f>(inflacija!G23+nezaposlenost!W28)-(inflacija!G19+nezaposlenost!W24)</f>
        <v>-3.1752350271414684</v>
      </c>
      <c r="O15" s="265">
        <v>-0.54</v>
      </c>
      <c r="P15" s="265">
        <f>krediti!I23</f>
        <v>22.299405752243008</v>
      </c>
      <c r="Q15" s="260"/>
      <c r="R15" s="18">
        <v>38807</v>
      </c>
      <c r="S15" s="265">
        <v>15.77301161751565</v>
      </c>
      <c r="T15" s="265">
        <f>place!P35*100</f>
        <v>5.7728360329998507</v>
      </c>
      <c r="U15" s="265">
        <f>(inflacija!J23+nezaposlenost!X28)-(inflacija!J19+nezaposlenost!X24)</f>
        <v>-3.1752350271414684</v>
      </c>
      <c r="V15" s="265">
        <v>-0.54</v>
      </c>
      <c r="W15" s="265">
        <f>krediti!J23</f>
        <v>22.299405752243008</v>
      </c>
      <c r="X15" s="193"/>
      <c r="Y15" s="18">
        <v>38807</v>
      </c>
      <c r="Z15" s="265">
        <v>15.77301161751565</v>
      </c>
      <c r="AA15" s="193"/>
      <c r="AB15" s="193"/>
      <c r="AC15" s="193"/>
      <c r="AD15" s="193"/>
      <c r="AE15" s="193"/>
      <c r="AF15" s="3"/>
      <c r="AG15" s="3"/>
      <c r="AH15" s="3"/>
      <c r="AI15" s="3"/>
      <c r="AJ15" s="193"/>
      <c r="AK15" s="264" t="s">
        <v>1019</v>
      </c>
      <c r="AL15" s="193"/>
    </row>
    <row r="16" spans="1:38" ht="14.25" customHeight="1" outlineLevel="1">
      <c r="A16" s="3"/>
      <c r="B16" s="3"/>
      <c r="C16" s="3"/>
      <c r="D16" s="18">
        <v>38898</v>
      </c>
      <c r="E16" s="265">
        <v>12.650085763293319</v>
      </c>
      <c r="F16" s="265">
        <f>place!B36*100</f>
        <v>6.0269007667216101</v>
      </c>
      <c r="G16" s="265">
        <f>(inflacija!C24+nezaposlenost!V29)-(inflacija!C20+nezaposlenost!V25)</f>
        <v>-1.5731399658275222</v>
      </c>
      <c r="H16" s="265">
        <v>-0.28999999999999915</v>
      </c>
      <c r="I16" s="265">
        <f>krediti!H24</f>
        <v>23.300449534493083</v>
      </c>
      <c r="J16" s="260"/>
      <c r="K16" s="18">
        <v>38898</v>
      </c>
      <c r="L16" s="265">
        <v>12.650085763293319</v>
      </c>
      <c r="M16" s="265">
        <f>place!I36*100</f>
        <v>6.0269007667216101</v>
      </c>
      <c r="N16" s="265">
        <f>(inflacija!G24+nezaposlenost!W29)-(inflacija!G20+nezaposlenost!W25)</f>
        <v>-1.5731399658275222</v>
      </c>
      <c r="O16" s="265">
        <v>-0.28999999999999915</v>
      </c>
      <c r="P16" s="265">
        <f>krediti!I24</f>
        <v>23.300449534493083</v>
      </c>
      <c r="Q16" s="260"/>
      <c r="R16" s="18">
        <v>38898</v>
      </c>
      <c r="S16" s="265">
        <v>12.650085763293319</v>
      </c>
      <c r="T16" s="265">
        <f>place!P36*100</f>
        <v>6.0269007667216101</v>
      </c>
      <c r="U16" s="265">
        <f>(inflacija!J24+nezaposlenost!X29)-(inflacija!J20+nezaposlenost!X25)</f>
        <v>-1.5731399658275222</v>
      </c>
      <c r="V16" s="265">
        <v>-0.28999999999999915</v>
      </c>
      <c r="W16" s="265">
        <f>krediti!J24</f>
        <v>23.300449534493083</v>
      </c>
      <c r="X16" s="193"/>
      <c r="Y16" s="18">
        <v>38898</v>
      </c>
      <c r="Z16" s="265">
        <v>12.650085763293319</v>
      </c>
      <c r="AA16" s="193"/>
      <c r="AB16" s="193"/>
      <c r="AC16" s="193"/>
      <c r="AD16" s="193"/>
      <c r="AE16" s="193"/>
      <c r="AF16" s="3"/>
      <c r="AG16" s="3"/>
      <c r="AH16" s="3"/>
      <c r="AI16" s="3"/>
      <c r="AJ16" s="193"/>
      <c r="AK16" s="264" t="s">
        <v>1021</v>
      </c>
      <c r="AL16" s="193"/>
    </row>
    <row r="17" spans="1:38" ht="14.25" customHeight="1" outlineLevel="1">
      <c r="A17" s="3"/>
      <c r="B17" s="3"/>
      <c r="C17" s="3"/>
      <c r="D17" s="18">
        <v>38990</v>
      </c>
      <c r="E17" s="265">
        <v>13.443694643610286</v>
      </c>
      <c r="F17" s="265">
        <f>place!B37*100</f>
        <v>5.8846614563225597</v>
      </c>
      <c r="G17" s="265">
        <f>(inflacija!C25+nezaposlenost!V30)-(inflacija!C21+nezaposlenost!V26)</f>
        <v>-0.70050860156290184</v>
      </c>
      <c r="H17" s="265">
        <v>-0.25999999999999979</v>
      </c>
      <c r="I17" s="265">
        <f>krediti!H25</f>
        <v>22.631795556214552</v>
      </c>
      <c r="J17" s="260"/>
      <c r="K17" s="18">
        <v>38990</v>
      </c>
      <c r="L17" s="265">
        <v>13.443694643610286</v>
      </c>
      <c r="M17" s="265">
        <f>place!I37*100</f>
        <v>5.8846614563225597</v>
      </c>
      <c r="N17" s="265">
        <f>(inflacija!G25+nezaposlenost!W30)-(inflacija!G21+nezaposlenost!W26)</f>
        <v>-0.70050860156290184</v>
      </c>
      <c r="O17" s="265">
        <v>-0.25999999999999979</v>
      </c>
      <c r="P17" s="265">
        <f>krediti!I25</f>
        <v>22.631795556214552</v>
      </c>
      <c r="Q17" s="260"/>
      <c r="R17" s="18">
        <v>38990</v>
      </c>
      <c r="S17" s="265">
        <v>13.443694643610286</v>
      </c>
      <c r="T17" s="265">
        <f>place!P37*100</f>
        <v>5.8846614563225597</v>
      </c>
      <c r="U17" s="265">
        <f>(inflacija!J25+nezaposlenost!X30)-(inflacija!J21+nezaposlenost!X26)</f>
        <v>-0.70050860156290184</v>
      </c>
      <c r="V17" s="265">
        <v>-0.25999999999999979</v>
      </c>
      <c r="W17" s="265">
        <f>krediti!J25</f>
        <v>22.631795556214552</v>
      </c>
      <c r="X17" s="193"/>
      <c r="Y17" s="18">
        <v>38990</v>
      </c>
      <c r="Z17" s="265">
        <v>13.443694643610286</v>
      </c>
      <c r="AA17" s="193"/>
      <c r="AB17" s="193"/>
      <c r="AC17" s="193"/>
      <c r="AD17" s="193"/>
      <c r="AE17" s="193"/>
      <c r="AF17" s="3"/>
      <c r="AG17" s="3"/>
      <c r="AH17" s="3"/>
      <c r="AI17" s="3"/>
      <c r="AJ17" s="193"/>
      <c r="AK17" s="264" t="s">
        <v>1022</v>
      </c>
      <c r="AL17" s="193"/>
    </row>
    <row r="18" spans="1:38" ht="14.25" customHeight="1" outlineLevel="1">
      <c r="A18" s="3"/>
      <c r="B18" s="3"/>
      <c r="C18" s="3"/>
      <c r="D18" s="18">
        <v>39082</v>
      </c>
      <c r="E18" s="265">
        <v>15.253386853988957</v>
      </c>
      <c r="F18" s="265">
        <f>place!B38*100</f>
        <v>7.9200915330848387</v>
      </c>
      <c r="G18" s="265">
        <f>(inflacija!C26+nezaposlenost!V31)-(inflacija!C22+nezaposlenost!V27)</f>
        <v>-2.6847930589214286</v>
      </c>
      <c r="H18" s="265">
        <v>-0.20000000000000018</v>
      </c>
      <c r="I18" s="265">
        <f>krediti!H26</f>
        <v>23.327638624370529</v>
      </c>
      <c r="J18" s="260"/>
      <c r="K18" s="18">
        <v>39082</v>
      </c>
      <c r="L18" s="265">
        <v>15.253386853988957</v>
      </c>
      <c r="M18" s="265">
        <f>place!I38*100</f>
        <v>7.9200915330848387</v>
      </c>
      <c r="N18" s="265">
        <f>(inflacija!G26+nezaposlenost!W31)-(inflacija!G22+nezaposlenost!W27)</f>
        <v>-2.6847930589214286</v>
      </c>
      <c r="O18" s="265">
        <v>-0.20000000000000018</v>
      </c>
      <c r="P18" s="265">
        <f>krediti!I26</f>
        <v>23.327638624370529</v>
      </c>
      <c r="Q18" s="260"/>
      <c r="R18" s="18">
        <v>39082</v>
      </c>
      <c r="S18" s="265">
        <v>15.253386853988957</v>
      </c>
      <c r="T18" s="265">
        <f>place!P38*100</f>
        <v>7.9200915330848387</v>
      </c>
      <c r="U18" s="265">
        <f>(inflacija!J26+nezaposlenost!X31)-(inflacija!J22+nezaposlenost!X27)</f>
        <v>-2.6847930589214286</v>
      </c>
      <c r="V18" s="265">
        <v>-0.20000000000000018</v>
      </c>
      <c r="W18" s="265">
        <f>krediti!J26</f>
        <v>23.327638624370529</v>
      </c>
      <c r="X18" s="193"/>
      <c r="Y18" s="18">
        <v>39082</v>
      </c>
      <c r="Z18" s="265">
        <v>15.253386853988957</v>
      </c>
      <c r="AA18" s="193"/>
      <c r="AB18" s="193"/>
      <c r="AC18" s="193"/>
      <c r="AD18" s="193"/>
      <c r="AE18" s="193"/>
      <c r="AF18" s="3"/>
      <c r="AG18" s="3"/>
      <c r="AH18" s="3"/>
      <c r="AI18" s="3"/>
      <c r="AJ18" s="193"/>
      <c r="AK18" s="266"/>
      <c r="AL18" s="193"/>
    </row>
    <row r="19" spans="1:38" ht="14.25" customHeight="1" outlineLevel="1">
      <c r="A19" s="3"/>
      <c r="B19" s="3"/>
      <c r="C19" s="3"/>
      <c r="D19" s="18">
        <v>39172</v>
      </c>
      <c r="E19" s="265">
        <v>14.164415283674245</v>
      </c>
      <c r="F19" s="265">
        <f>place!B39*100</f>
        <v>6.3324469093005042</v>
      </c>
      <c r="G19" s="265">
        <f>(inflacija!C27+nezaposlenost!V32)-(inflacija!C23+nezaposlenost!V28)</f>
        <v>-0.78083878741682256</v>
      </c>
      <c r="H19" s="265">
        <v>-3.0000000000000249E-2</v>
      </c>
      <c r="I19" s="265">
        <f>krediti!H27</f>
        <v>22.744249383353999</v>
      </c>
      <c r="J19" s="260"/>
      <c r="K19" s="18">
        <v>39172</v>
      </c>
      <c r="L19" s="265">
        <v>14.164415283674245</v>
      </c>
      <c r="M19" s="265">
        <f>place!I39*100</f>
        <v>6.3324469093005042</v>
      </c>
      <c r="N19" s="265">
        <f>(inflacija!G27+nezaposlenost!W32)-(inflacija!G23+nezaposlenost!W28)</f>
        <v>-0.78083878741682256</v>
      </c>
      <c r="O19" s="265">
        <v>-3.0000000000000249E-2</v>
      </c>
      <c r="P19" s="265">
        <f>krediti!I27</f>
        <v>22.744249383353999</v>
      </c>
      <c r="Q19" s="260"/>
      <c r="R19" s="18">
        <v>39172</v>
      </c>
      <c r="S19" s="265">
        <v>14.164415283674245</v>
      </c>
      <c r="T19" s="265">
        <f>place!P39*100</f>
        <v>6.3324469093005042</v>
      </c>
      <c r="U19" s="265">
        <f>(inflacija!J27+nezaposlenost!X32)-(inflacija!J23+nezaposlenost!X28)</f>
        <v>-0.78083878741682256</v>
      </c>
      <c r="V19" s="265">
        <v>-3.0000000000000249E-2</v>
      </c>
      <c r="W19" s="265">
        <f>krediti!J27</f>
        <v>22.744249383353999</v>
      </c>
      <c r="X19" s="193"/>
      <c r="Y19" s="18">
        <v>39172</v>
      </c>
      <c r="Z19" s="265">
        <v>14.164415283674245</v>
      </c>
      <c r="AA19" s="193"/>
      <c r="AB19" s="193"/>
      <c r="AC19" s="193"/>
      <c r="AD19" s="193"/>
      <c r="AE19" s="193"/>
      <c r="AF19" s="3"/>
      <c r="AG19" s="3"/>
      <c r="AH19" s="3"/>
      <c r="AI19" s="3"/>
      <c r="AJ19" s="193"/>
      <c r="AK19" s="264" t="s">
        <v>1023</v>
      </c>
      <c r="AL19" s="193"/>
    </row>
    <row r="20" spans="1:38" ht="14.25" customHeight="1" outlineLevel="1">
      <c r="A20" s="3"/>
      <c r="B20" s="3"/>
      <c r="C20" s="3"/>
      <c r="D20" s="18">
        <v>39263</v>
      </c>
      <c r="E20" s="265">
        <v>17.072706509326224</v>
      </c>
      <c r="F20" s="265">
        <f>place!B40*100</f>
        <v>4.9892829099720926</v>
      </c>
      <c r="G20" s="265">
        <f>(inflacija!C28+nezaposlenost!V33)-(inflacija!C24+nezaposlenost!V29)</f>
        <v>-2.4736683375471245</v>
      </c>
      <c r="H20" s="265">
        <v>0.12999999999999989</v>
      </c>
      <c r="I20" s="265">
        <f>krediti!H28</f>
        <v>21.600186313204329</v>
      </c>
      <c r="J20" s="260"/>
      <c r="K20" s="18">
        <v>39263</v>
      </c>
      <c r="L20" s="265">
        <v>17.072706509326224</v>
      </c>
      <c r="M20" s="265">
        <f>place!I40*100</f>
        <v>4.9892829099720926</v>
      </c>
      <c r="N20" s="265">
        <f>(inflacija!G28+nezaposlenost!W33)-(inflacija!G24+nezaposlenost!W29)</f>
        <v>-2.4736683375471245</v>
      </c>
      <c r="O20" s="265">
        <v>0.12999999999999989</v>
      </c>
      <c r="P20" s="265">
        <f>krediti!I28</f>
        <v>21.600186313204329</v>
      </c>
      <c r="Q20" s="260"/>
      <c r="R20" s="18">
        <v>39263</v>
      </c>
      <c r="S20" s="265">
        <v>17.072706509326224</v>
      </c>
      <c r="T20" s="265">
        <f>place!P40*100</f>
        <v>4.9892829099720926</v>
      </c>
      <c r="U20" s="265">
        <f>(inflacija!J28+nezaposlenost!X33)-(inflacija!J24+nezaposlenost!X29)</f>
        <v>-2.4736683375471245</v>
      </c>
      <c r="V20" s="265">
        <v>0.12999999999999989</v>
      </c>
      <c r="W20" s="265">
        <f>krediti!J28</f>
        <v>21.600186313204329</v>
      </c>
      <c r="X20" s="193"/>
      <c r="Y20" s="18">
        <v>39263</v>
      </c>
      <c r="Z20" s="265">
        <v>17.072706509326224</v>
      </c>
      <c r="AA20" s="193"/>
      <c r="AB20" s="193"/>
      <c r="AC20" s="193"/>
      <c r="AD20" s="193"/>
      <c r="AE20" s="193"/>
      <c r="AF20" s="3"/>
      <c r="AG20" s="3"/>
      <c r="AH20" s="3"/>
      <c r="AI20" s="3"/>
      <c r="AJ20" s="193"/>
      <c r="AK20" s="264" t="s">
        <v>1025</v>
      </c>
      <c r="AL20" s="193"/>
    </row>
    <row r="21" spans="1:38" ht="14.25" customHeight="1" outlineLevel="1">
      <c r="A21" s="3"/>
      <c r="B21" s="3"/>
      <c r="C21" s="267"/>
      <c r="D21" s="18">
        <v>39355</v>
      </c>
      <c r="E21" s="265">
        <v>16.256157635467972</v>
      </c>
      <c r="F21" s="265">
        <f>place!B41*100</f>
        <v>6.2322299451748053</v>
      </c>
      <c r="G21" s="265">
        <f>(inflacija!C29+nezaposlenost!V34)-(inflacija!C25+nezaposlenost!V30)</f>
        <v>0.83833467606209666</v>
      </c>
      <c r="H21" s="265">
        <v>9.9999999999999645E-2</v>
      </c>
      <c r="I21" s="265">
        <f>krediti!H29</f>
        <v>17.762938152163123</v>
      </c>
      <c r="J21" s="260"/>
      <c r="K21" s="18">
        <v>39355</v>
      </c>
      <c r="L21" s="265">
        <v>16.256157635467972</v>
      </c>
      <c r="M21" s="265">
        <f>place!I41*100</f>
        <v>6.2322299451748053</v>
      </c>
      <c r="N21" s="265">
        <f>(inflacija!G29+nezaposlenost!W34)-(inflacija!G25+nezaposlenost!W30)</f>
        <v>0.83833467606209666</v>
      </c>
      <c r="O21" s="265">
        <v>9.9999999999999645E-2</v>
      </c>
      <c r="P21" s="265">
        <f>krediti!I29</f>
        <v>17.762938152163123</v>
      </c>
      <c r="Q21" s="260"/>
      <c r="R21" s="18">
        <v>39355</v>
      </c>
      <c r="S21" s="265">
        <v>16.256157635467972</v>
      </c>
      <c r="T21" s="265">
        <f>place!P41*100</f>
        <v>6.2322299451748053</v>
      </c>
      <c r="U21" s="265">
        <f>(inflacija!J29+nezaposlenost!X34)-(inflacija!J25+nezaposlenost!X30)</f>
        <v>0.83833467606209666</v>
      </c>
      <c r="V21" s="265">
        <v>9.9999999999999645E-2</v>
      </c>
      <c r="W21" s="265">
        <f>krediti!J29</f>
        <v>17.762938152163123</v>
      </c>
      <c r="X21" s="193"/>
      <c r="Y21" s="18">
        <v>39355</v>
      </c>
      <c r="Z21" s="265">
        <v>16.256157635467972</v>
      </c>
      <c r="AA21" s="193"/>
      <c r="AB21" s="193"/>
      <c r="AC21" s="193"/>
      <c r="AD21" s="193"/>
      <c r="AE21" s="193"/>
      <c r="AF21" s="3"/>
      <c r="AG21" s="3"/>
      <c r="AH21" s="3"/>
      <c r="AI21" s="3"/>
      <c r="AJ21" s="193"/>
      <c r="AK21" s="264" t="s">
        <v>1026</v>
      </c>
      <c r="AL21" s="193"/>
    </row>
    <row r="22" spans="1:38" ht="14.25" customHeight="1" outlineLevel="1">
      <c r="A22" s="3"/>
      <c r="B22" s="3"/>
      <c r="C22" s="267"/>
      <c r="D22" s="18">
        <v>39447</v>
      </c>
      <c r="E22" s="265">
        <v>8.3761427949499421</v>
      </c>
      <c r="F22" s="265">
        <f>place!B42*100</f>
        <v>6.1425114097440225</v>
      </c>
      <c r="G22" s="265">
        <f>(inflacija!C30+nezaposlenost!V35)-(inflacija!C26+nezaposlenost!V31)</f>
        <v>6.6027186542814604</v>
      </c>
      <c r="H22" s="265">
        <v>0.37000000000000011</v>
      </c>
      <c r="I22" s="265">
        <f>krediti!H30</f>
        <v>15.363870394136892</v>
      </c>
      <c r="J22" s="260"/>
      <c r="K22" s="18">
        <v>39447</v>
      </c>
      <c r="L22" s="265">
        <v>8.3761427949499421</v>
      </c>
      <c r="M22" s="265">
        <f>place!I42*100</f>
        <v>6.1425114097440225</v>
      </c>
      <c r="N22" s="265">
        <f>(inflacija!G30+nezaposlenost!W35)-(inflacija!G26+nezaposlenost!W31)</f>
        <v>6.6027186542814604</v>
      </c>
      <c r="O22" s="265">
        <v>0.37000000000000011</v>
      </c>
      <c r="P22" s="265">
        <f>krediti!I30</f>
        <v>15.363870394136892</v>
      </c>
      <c r="Q22" s="260"/>
      <c r="R22" s="18">
        <v>39447</v>
      </c>
      <c r="S22" s="265">
        <v>8.3761427949499421</v>
      </c>
      <c r="T22" s="265">
        <f>place!P42*100</f>
        <v>6.1425114097440225</v>
      </c>
      <c r="U22" s="265">
        <f>(inflacija!J30+nezaposlenost!X35)-(inflacija!J26+nezaposlenost!X31)</f>
        <v>6.6027186542814604</v>
      </c>
      <c r="V22" s="265">
        <v>0.37000000000000011</v>
      </c>
      <c r="W22" s="265">
        <f>krediti!J30</f>
        <v>15.363870394136892</v>
      </c>
      <c r="X22" s="193"/>
      <c r="Y22" s="18">
        <v>39447</v>
      </c>
      <c r="Z22" s="265">
        <v>8.3761427949499421</v>
      </c>
      <c r="AA22" s="193"/>
      <c r="AB22" s="193"/>
      <c r="AC22" s="193"/>
      <c r="AD22" s="193"/>
      <c r="AE22" s="193"/>
      <c r="AF22" s="3"/>
      <c r="AG22" s="3"/>
      <c r="AH22" s="3"/>
      <c r="AI22" s="3"/>
      <c r="AJ22" s="193"/>
      <c r="AK22" s="268" t="s">
        <v>1027</v>
      </c>
      <c r="AL22" s="193"/>
    </row>
    <row r="23" spans="1:38" ht="14.25" customHeight="1" outlineLevel="1">
      <c r="A23" s="3"/>
      <c r="B23" s="3"/>
      <c r="C23" s="267"/>
      <c r="D23" s="18">
        <v>39538</v>
      </c>
      <c r="E23" s="265">
        <v>4.1159567275185935</v>
      </c>
      <c r="F23" s="265">
        <f>place!B43*100</f>
        <v>7.4754357187970744</v>
      </c>
      <c r="G23" s="265">
        <f>(inflacija!C31+nezaposlenost!V36)-(inflacija!C27+nezaposlenost!V32)</f>
        <v>-2.1275203754413461</v>
      </c>
      <c r="H23" s="265">
        <v>0.78000000000000025</v>
      </c>
      <c r="I23" s="265">
        <f>krediti!H31</f>
        <v>13.390549315164208</v>
      </c>
      <c r="J23" s="260"/>
      <c r="K23" s="18">
        <v>39538</v>
      </c>
      <c r="L23" s="265">
        <v>4.1159567275185935</v>
      </c>
      <c r="M23" s="265">
        <f>place!I43*100</f>
        <v>7.4754357187970744</v>
      </c>
      <c r="N23" s="265">
        <f>(inflacija!G31+nezaposlenost!W36)-(inflacija!G27+nezaposlenost!W32)</f>
        <v>-2.1275203754413461</v>
      </c>
      <c r="O23" s="265">
        <v>0.78000000000000025</v>
      </c>
      <c r="P23" s="265">
        <f>krediti!I31</f>
        <v>13.390549315164208</v>
      </c>
      <c r="Q23" s="260"/>
      <c r="R23" s="18">
        <v>39538</v>
      </c>
      <c r="S23" s="265">
        <v>4.1159567275185935</v>
      </c>
      <c r="T23" s="265">
        <f>place!P43*100</f>
        <v>7.4754357187970744</v>
      </c>
      <c r="U23" s="265">
        <f>(inflacija!J31+nezaposlenost!X36)-(inflacija!J27+nezaposlenost!X32)</f>
        <v>-2.1275203754413461</v>
      </c>
      <c r="V23" s="265">
        <v>0.78000000000000025</v>
      </c>
      <c r="W23" s="265">
        <f>krediti!J31</f>
        <v>13.390549315164208</v>
      </c>
      <c r="X23" s="193"/>
      <c r="Y23" s="18">
        <v>39538</v>
      </c>
      <c r="Z23" s="265">
        <v>4.1159567275185935</v>
      </c>
      <c r="AA23" s="193"/>
      <c r="AB23" s="193"/>
      <c r="AC23" s="193"/>
      <c r="AD23" s="193"/>
      <c r="AE23" s="193"/>
      <c r="AF23" s="3"/>
      <c r="AG23" s="3"/>
      <c r="AH23" s="3"/>
      <c r="AI23" s="3"/>
      <c r="AJ23" s="193"/>
      <c r="AK23" s="193"/>
      <c r="AL23" s="193"/>
    </row>
    <row r="24" spans="1:38" ht="14.25" customHeight="1" outlineLevel="1">
      <c r="A24" s="3"/>
      <c r="B24" s="3"/>
      <c r="C24" s="267"/>
      <c r="D24" s="18">
        <v>39629</v>
      </c>
      <c r="E24" s="265">
        <v>0.80474719557797414</v>
      </c>
      <c r="F24" s="265">
        <f>place!B44*100</f>
        <v>8.4432599386018445</v>
      </c>
      <c r="G24" s="265">
        <f>(inflacija!C32+nezaposlenost!V37)-(inflacija!C28+nezaposlenost!V33)</f>
        <v>3.6755509076673576</v>
      </c>
      <c r="H24" s="265">
        <v>0.98999999999999932</v>
      </c>
      <c r="I24" s="265">
        <f>krediti!H32</f>
        <v>10.872020773374217</v>
      </c>
      <c r="J24" s="260"/>
      <c r="K24" s="18">
        <v>39629</v>
      </c>
      <c r="L24" s="265">
        <v>0.80474719557797414</v>
      </c>
      <c r="M24" s="265">
        <f>place!I44*100</f>
        <v>8.4432599386018445</v>
      </c>
      <c r="N24" s="265">
        <f>(inflacija!G32+nezaposlenost!W37)-(inflacija!G28+nezaposlenost!W33)</f>
        <v>3.6755509076673576</v>
      </c>
      <c r="O24" s="265">
        <v>0.98999999999999932</v>
      </c>
      <c r="P24" s="265">
        <f>krediti!I32</f>
        <v>10.872020773374217</v>
      </c>
      <c r="Q24" s="260"/>
      <c r="R24" s="18">
        <v>39629</v>
      </c>
      <c r="S24" s="265">
        <v>0.80474719557797414</v>
      </c>
      <c r="T24" s="265">
        <f>place!P44*100</f>
        <v>8.4432599386018445</v>
      </c>
      <c r="U24" s="265">
        <f>(inflacija!J32+nezaposlenost!X37)-(inflacija!J28+nezaposlenost!X33)</f>
        <v>3.6755509076673576</v>
      </c>
      <c r="V24" s="265">
        <v>0.98999999999999932</v>
      </c>
      <c r="W24" s="265">
        <f>krediti!J32</f>
        <v>10.872020773374217</v>
      </c>
      <c r="X24" s="193"/>
      <c r="Y24" s="18">
        <v>39629</v>
      </c>
      <c r="Z24" s="265">
        <v>0.80474719557797414</v>
      </c>
      <c r="AA24" s="193"/>
      <c r="AB24" s="193"/>
      <c r="AC24" s="193"/>
      <c r="AD24" s="193"/>
      <c r="AE24" s="193"/>
      <c r="AF24" s="3"/>
      <c r="AG24" s="3"/>
      <c r="AH24" s="3"/>
      <c r="AI24" s="3"/>
      <c r="AJ24" s="193"/>
      <c r="AK24" s="193"/>
      <c r="AL24" s="193" t="s">
        <v>1028</v>
      </c>
    </row>
    <row r="25" spans="1:38" ht="14.25" customHeight="1" outlineLevel="1">
      <c r="A25" s="193"/>
      <c r="B25" s="193"/>
      <c r="C25" s="267"/>
      <c r="D25" s="18">
        <v>39721</v>
      </c>
      <c r="E25" s="265">
        <v>1.0073552926127292</v>
      </c>
      <c r="F25" s="265">
        <f>place!B45*100</f>
        <v>6.9229336317290446</v>
      </c>
      <c r="G25" s="265">
        <f>(inflacija!C33+nezaposlenost!V38)-(inflacija!C29+nezaposlenost!V34)</f>
        <v>-1.826474518855747</v>
      </c>
      <c r="H25" s="265">
        <v>1.0200000000000005</v>
      </c>
      <c r="I25" s="265">
        <f>krediti!H33</f>
        <v>12.041973135024406</v>
      </c>
      <c r="J25" s="260"/>
      <c r="K25" s="18">
        <v>39721</v>
      </c>
      <c r="L25" s="265">
        <v>1.0073552926127292</v>
      </c>
      <c r="M25" s="265">
        <f>place!I45*100</f>
        <v>6.9229336317290446</v>
      </c>
      <c r="N25" s="265">
        <f>(inflacija!G33+nezaposlenost!W38)-(inflacija!G29+nezaposlenost!W34)</f>
        <v>-1.826474518855747</v>
      </c>
      <c r="O25" s="265">
        <v>1.0200000000000005</v>
      </c>
      <c r="P25" s="265">
        <f>krediti!I33</f>
        <v>12.041973135024406</v>
      </c>
      <c r="Q25" s="260"/>
      <c r="R25" s="18">
        <v>39721</v>
      </c>
      <c r="S25" s="265">
        <v>1.0073552926127292</v>
      </c>
      <c r="T25" s="265">
        <f>place!P45*100</f>
        <v>6.9229336317290446</v>
      </c>
      <c r="U25" s="265">
        <f>(inflacija!J33+nezaposlenost!X38)-(inflacija!J29+nezaposlenost!X34)</f>
        <v>-1.826474518855747</v>
      </c>
      <c r="V25" s="265">
        <v>1.0200000000000005</v>
      </c>
      <c r="W25" s="265">
        <f>krediti!J33</f>
        <v>12.041973135024406</v>
      </c>
      <c r="X25" s="193"/>
      <c r="Y25" s="18">
        <v>39721</v>
      </c>
      <c r="Z25" s="265">
        <v>1.0073552926127292</v>
      </c>
      <c r="AA25" s="193"/>
      <c r="AB25" s="193"/>
      <c r="AC25" s="193"/>
      <c r="AD25" s="193"/>
      <c r="AE25" s="193"/>
      <c r="AF25" s="3"/>
      <c r="AG25" s="3"/>
      <c r="AH25" s="3"/>
      <c r="AI25" s="3"/>
      <c r="AJ25" s="193"/>
      <c r="AK25" s="193" t="s">
        <v>73</v>
      </c>
      <c r="AL25" s="193">
        <v>-0.84738298287399405</v>
      </c>
    </row>
    <row r="26" spans="1:38" ht="14.25" customHeight="1" outlineLevel="1">
      <c r="A26" s="193"/>
      <c r="B26" s="193"/>
      <c r="C26" s="3"/>
      <c r="D26" s="18">
        <v>39813</v>
      </c>
      <c r="E26" s="265">
        <v>-1.1649393428135255</v>
      </c>
      <c r="F26" s="265">
        <f>place!B46*100</f>
        <v>5.6602970440929878</v>
      </c>
      <c r="G26" s="265">
        <f>(inflacija!C34+nezaposlenost!V39)-(inflacija!C30+nezaposlenost!V35)</f>
        <v>-9.3143981970166934</v>
      </c>
      <c r="H26" s="265">
        <v>0.96</v>
      </c>
      <c r="I26" s="265">
        <f>krediti!H34</f>
        <v>8.7039305515353931</v>
      </c>
      <c r="J26" s="260"/>
      <c r="K26" s="18">
        <v>39813</v>
      </c>
      <c r="L26" s="265">
        <v>-1.1649393428135255</v>
      </c>
      <c r="M26" s="265">
        <f>place!I46*100</f>
        <v>5.6602970440929878</v>
      </c>
      <c r="N26" s="265">
        <f>(inflacija!G34+nezaposlenost!W39)-(inflacija!G30+nezaposlenost!W35)</f>
        <v>-9.3143981970166934</v>
      </c>
      <c r="O26" s="265">
        <v>0.96</v>
      </c>
      <c r="P26" s="265">
        <f>krediti!I34</f>
        <v>8.7039305515353931</v>
      </c>
      <c r="Q26" s="260"/>
      <c r="R26" s="18">
        <v>39813</v>
      </c>
      <c r="S26" s="265">
        <v>-1.1649393428135255</v>
      </c>
      <c r="T26" s="265">
        <f>place!P46*100</f>
        <v>5.6602970440929878</v>
      </c>
      <c r="U26" s="265">
        <f>(inflacija!J34+nezaposlenost!X39)-(inflacija!J30+nezaposlenost!X35)</f>
        <v>-9.3143981970166934</v>
      </c>
      <c r="V26" s="265">
        <v>0.96</v>
      </c>
      <c r="W26" s="265">
        <f>krediti!J34</f>
        <v>8.7039305515353931</v>
      </c>
      <c r="X26" s="193"/>
      <c r="Y26" s="18">
        <v>39813</v>
      </c>
      <c r="Z26" s="265">
        <v>-1.1649393428135255</v>
      </c>
      <c r="AA26" s="193"/>
      <c r="AB26" s="193"/>
      <c r="AC26" s="193"/>
      <c r="AD26" s="193"/>
      <c r="AE26" s="193"/>
      <c r="AF26" s="3"/>
      <c r="AG26" s="3"/>
      <c r="AH26" s="3"/>
      <c r="AI26" s="3"/>
      <c r="AJ26" s="193"/>
      <c r="AK26" s="193" t="s">
        <v>1030</v>
      </c>
      <c r="AL26" s="193">
        <v>0.71677717792342399</v>
      </c>
    </row>
    <row r="27" spans="1:38" ht="14.25" customHeight="1" outlineLevel="1">
      <c r="A27" s="193"/>
      <c r="B27" s="193"/>
      <c r="C27" s="3"/>
      <c r="D27" s="18">
        <v>39903</v>
      </c>
      <c r="E27" s="265">
        <v>-0.49517006250506768</v>
      </c>
      <c r="F27" s="265">
        <f>place!B47*100</f>
        <v>4.6324415493260274</v>
      </c>
      <c r="G27" s="265">
        <f>(inflacija!C35+nezaposlenost!V40)-(inflacija!C31+nezaposlenost!V36)</f>
        <v>0.55465360819174947</v>
      </c>
      <c r="H27" s="265">
        <v>0.54</v>
      </c>
      <c r="I27" s="265">
        <f>krediti!H35</f>
        <v>6.5478294595665005</v>
      </c>
      <c r="J27" s="260"/>
      <c r="K27" s="18">
        <v>39903</v>
      </c>
      <c r="L27" s="265">
        <v>-0.49517006250506768</v>
      </c>
      <c r="M27" s="265">
        <f>place!I47*100</f>
        <v>4.6324415493260274</v>
      </c>
      <c r="N27" s="265">
        <f>(inflacija!G35+nezaposlenost!W40)-(inflacija!G31+nezaposlenost!W36)</f>
        <v>0.55465360819174947</v>
      </c>
      <c r="O27" s="265">
        <v>0.54</v>
      </c>
      <c r="P27" s="265">
        <f>krediti!I35</f>
        <v>6.5478294595665005</v>
      </c>
      <c r="Q27" s="260"/>
      <c r="R27" s="18">
        <v>39903</v>
      </c>
      <c r="S27" s="265">
        <v>-0.49517006250506768</v>
      </c>
      <c r="T27" s="265">
        <f>place!P47*100</f>
        <v>4.6324415493260274</v>
      </c>
      <c r="U27" s="265">
        <f>(inflacija!J35+nezaposlenost!X40)-(inflacija!J31+nezaposlenost!X36)</f>
        <v>0.55465360819174947</v>
      </c>
      <c r="V27" s="265">
        <v>0.54</v>
      </c>
      <c r="W27" s="265">
        <f>krediti!J35</f>
        <v>6.5478294595665005</v>
      </c>
      <c r="X27" s="193"/>
      <c r="Y27" s="18">
        <v>39903</v>
      </c>
      <c r="Z27" s="265">
        <v>-0.49517006250506768</v>
      </c>
      <c r="AA27" s="193"/>
      <c r="AB27" s="193"/>
      <c r="AC27" s="193"/>
      <c r="AD27" s="193"/>
      <c r="AE27" s="193"/>
      <c r="AF27" s="3"/>
      <c r="AG27" s="3"/>
      <c r="AH27" s="3"/>
      <c r="AI27" s="3"/>
      <c r="AJ27" s="193"/>
      <c r="AK27" s="193" t="s">
        <v>1001</v>
      </c>
      <c r="AL27" s="193">
        <v>-0.39957549353223598</v>
      </c>
    </row>
    <row r="28" spans="1:38" ht="14.25" customHeight="1" outlineLevel="1">
      <c r="A28" s="193"/>
      <c r="B28" s="193"/>
      <c r="C28" s="3"/>
      <c r="D28" s="18">
        <v>39994</v>
      </c>
      <c r="E28" s="265">
        <v>-4.4593177969518507</v>
      </c>
      <c r="F28" s="265">
        <f>place!B48*100</f>
        <v>2.4761213995123654</v>
      </c>
      <c r="G28" s="265">
        <f>(inflacija!C36+nezaposlenost!V41)-(inflacija!C32+nezaposlenost!V37)</f>
        <v>-1.8045519092945206</v>
      </c>
      <c r="H28" s="265">
        <v>0.4300000000000006</v>
      </c>
      <c r="I28" s="265">
        <f>krediti!H36</f>
        <v>3.4683884842165185</v>
      </c>
      <c r="J28" s="260"/>
      <c r="K28" s="18">
        <v>39994</v>
      </c>
      <c r="L28" s="265">
        <v>-4.4593177969518507</v>
      </c>
      <c r="M28" s="265">
        <f>place!I48*100</f>
        <v>2.4761213995123654</v>
      </c>
      <c r="N28" s="265">
        <f>(inflacija!G36+nezaposlenost!W41)-(inflacija!G32+nezaposlenost!W37)</f>
        <v>-1.8045519092945206</v>
      </c>
      <c r="O28" s="265">
        <v>0.4300000000000006</v>
      </c>
      <c r="P28" s="265">
        <f>krediti!I36</f>
        <v>3.4683884842165185</v>
      </c>
      <c r="Q28" s="260"/>
      <c r="R28" s="18">
        <v>39994</v>
      </c>
      <c r="S28" s="265">
        <v>-4.4593177969518507</v>
      </c>
      <c r="T28" s="265">
        <f>place!P48*100</f>
        <v>2.4761213995123654</v>
      </c>
      <c r="U28" s="265">
        <f>(inflacija!J36+nezaposlenost!X41)-(inflacija!J32+nezaposlenost!X37)</f>
        <v>-1.8045519092945206</v>
      </c>
      <c r="V28" s="265">
        <v>0.4300000000000006</v>
      </c>
      <c r="W28" s="265">
        <f>krediti!J36</f>
        <v>3.4683884842165185</v>
      </c>
      <c r="X28" s="193"/>
      <c r="Y28" s="18">
        <v>39994</v>
      </c>
      <c r="Z28" s="265">
        <v>-4.4593177969518507</v>
      </c>
      <c r="AA28" s="193"/>
      <c r="AB28" s="193"/>
      <c r="AC28" s="193"/>
      <c r="AD28" s="193"/>
      <c r="AE28" s="193"/>
      <c r="AF28" s="3"/>
      <c r="AG28" s="3"/>
      <c r="AH28" s="3"/>
      <c r="AI28" s="3"/>
      <c r="AJ28" s="193"/>
      <c r="AK28" s="193" t="s">
        <v>1002</v>
      </c>
      <c r="AL28" s="193">
        <v>-1.76652136977332</v>
      </c>
    </row>
    <row r="29" spans="1:38" ht="14.25" customHeight="1" outlineLevel="1">
      <c r="A29" s="193"/>
      <c r="B29" s="193"/>
      <c r="C29" s="3"/>
      <c r="D29" s="18">
        <v>40086</v>
      </c>
      <c r="E29" s="265">
        <v>-7.8914041475383812</v>
      </c>
      <c r="F29" s="265">
        <f>place!B49*100</f>
        <v>1.6202029416767294</v>
      </c>
      <c r="G29" s="265">
        <f>(inflacija!C37+nezaposlenost!V42)-(inflacija!C33+nezaposlenost!V38)</f>
        <v>-4.850995461141407</v>
      </c>
      <c r="H29" s="265">
        <v>0.5699999999999994</v>
      </c>
      <c r="I29" s="265">
        <f>krediti!H37</f>
        <v>-0.28058039842994731</v>
      </c>
      <c r="J29" s="260"/>
      <c r="K29" s="18">
        <v>40086</v>
      </c>
      <c r="L29" s="265">
        <v>-7.8914041475383812</v>
      </c>
      <c r="M29" s="265">
        <f>place!I49*100</f>
        <v>1.6202029416767294</v>
      </c>
      <c r="N29" s="265">
        <f>(inflacija!G37+nezaposlenost!W42)-(inflacija!G33+nezaposlenost!W38)</f>
        <v>-4.850995461141407</v>
      </c>
      <c r="O29" s="265">
        <v>0.5699999999999994</v>
      </c>
      <c r="P29" s="265">
        <f>krediti!I37</f>
        <v>-0.28058039842994731</v>
      </c>
      <c r="Q29" s="260"/>
      <c r="R29" s="18">
        <v>40086</v>
      </c>
      <c r="S29" s="265">
        <v>-7.8914041475383812</v>
      </c>
      <c r="T29" s="265">
        <f>place!P49*100</f>
        <v>1.6202029416767294</v>
      </c>
      <c r="U29" s="265">
        <f>(inflacija!J37+nezaposlenost!X42)-(inflacija!J33+nezaposlenost!X38)</f>
        <v>-4.850995461141407</v>
      </c>
      <c r="V29" s="265">
        <v>0.5699999999999994</v>
      </c>
      <c r="W29" s="265">
        <f>krediti!J37</f>
        <v>-0.28058039842994731</v>
      </c>
      <c r="X29" s="193"/>
      <c r="Y29" s="18">
        <v>40086</v>
      </c>
      <c r="Z29" s="265">
        <v>-7.8914041475383812</v>
      </c>
      <c r="AA29" s="193"/>
      <c r="AB29" s="193"/>
      <c r="AC29" s="193"/>
      <c r="AD29" s="193"/>
      <c r="AE29" s="193"/>
      <c r="AF29" s="3"/>
      <c r="AG29" s="3"/>
      <c r="AH29" s="3"/>
      <c r="AI29" s="3"/>
      <c r="AJ29" s="193"/>
      <c r="AK29" s="193" t="s">
        <v>1003</v>
      </c>
      <c r="AL29" s="193">
        <v>0.147096122931551</v>
      </c>
    </row>
    <row r="30" spans="1:38" ht="14.25" customHeight="1" outlineLevel="1">
      <c r="A30" s="3"/>
      <c r="B30" s="3"/>
      <c r="C30" s="3"/>
      <c r="D30" s="18">
        <v>40178</v>
      </c>
      <c r="E30" s="265">
        <v>-7.1045358478296237</v>
      </c>
      <c r="F30" s="265">
        <f>place!B50*100</f>
        <v>-0.81159233077969795</v>
      </c>
      <c r="G30" s="265">
        <f>(inflacija!C38+nezaposlenost!V43)-(inflacija!C34+nezaposlenost!V39)</f>
        <v>-1.5435424011606642</v>
      </c>
      <c r="H30" s="265">
        <v>0.37000000000000011</v>
      </c>
      <c r="I30" s="265">
        <f>krediti!H38</f>
        <v>-0.33655687572895943</v>
      </c>
      <c r="J30" s="260"/>
      <c r="K30" s="18">
        <v>40178</v>
      </c>
      <c r="L30" s="265">
        <v>-7.1045358478296237</v>
      </c>
      <c r="M30" s="265">
        <f>place!I50*100</f>
        <v>-0.81159233077969795</v>
      </c>
      <c r="N30" s="265">
        <f>(inflacija!G38+nezaposlenost!W43)-(inflacija!G34+nezaposlenost!W39)</f>
        <v>-1.5435424011606642</v>
      </c>
      <c r="O30" s="265">
        <v>0.37000000000000011</v>
      </c>
      <c r="P30" s="265">
        <f>krediti!I38</f>
        <v>-0.33655687572895943</v>
      </c>
      <c r="Q30" s="260"/>
      <c r="R30" s="18">
        <v>40178</v>
      </c>
      <c r="S30" s="265">
        <v>-7.1045358478296237</v>
      </c>
      <c r="T30" s="265">
        <f>place!P50*100</f>
        <v>-0.81159233077969795</v>
      </c>
      <c r="U30" s="265">
        <f>(inflacija!J38+nezaposlenost!X43)-(inflacija!J34+nezaposlenost!X39)</f>
        <v>-1.5435424011606642</v>
      </c>
      <c r="V30" s="265">
        <v>0.37000000000000011</v>
      </c>
      <c r="W30" s="265">
        <f>krediti!J38</f>
        <v>-0.33655687572895943</v>
      </c>
      <c r="X30" s="193"/>
      <c r="Y30" s="18">
        <v>40178</v>
      </c>
      <c r="Z30" s="265">
        <v>-7.1045358478296237</v>
      </c>
      <c r="AA30" s="193"/>
      <c r="AB30" s="193"/>
      <c r="AC30" s="193"/>
      <c r="AD30" s="193"/>
      <c r="AE30" s="193"/>
      <c r="AF30" s="3"/>
      <c r="AG30" s="3"/>
      <c r="AH30" s="3"/>
      <c r="AI30" s="3"/>
      <c r="AJ30" s="193"/>
      <c r="AK30" s="193"/>
      <c r="AL30" s="193"/>
    </row>
    <row r="31" spans="1:38" ht="14.25" customHeight="1" outlineLevel="1">
      <c r="A31" s="3"/>
      <c r="B31" s="3"/>
      <c r="C31" s="3"/>
      <c r="D31" s="18">
        <v>40268</v>
      </c>
      <c r="E31" s="265">
        <v>-8.5739924946973503</v>
      </c>
      <c r="F31" s="265">
        <f>place!B51*100</f>
        <v>-1.8293632725485343</v>
      </c>
      <c r="G31" s="265">
        <f>(inflacija!C39+nezaposlenost!V44)-(inflacija!C35+nezaposlenost!V40)</f>
        <v>-1.2225345527921458</v>
      </c>
      <c r="H31" s="265">
        <v>0.21999999999999975</v>
      </c>
      <c r="I31" s="265">
        <f>krediti!H39</f>
        <v>0.63999509884550321</v>
      </c>
      <c r="J31" s="260"/>
      <c r="K31" s="18">
        <v>40268</v>
      </c>
      <c r="L31" s="265">
        <v>-8.5739924946973503</v>
      </c>
      <c r="M31" s="265">
        <f>place!I51*100</f>
        <v>-1.8293632725485343</v>
      </c>
      <c r="N31" s="265">
        <f>(inflacija!G39+nezaposlenost!W44)-(inflacija!G35+nezaposlenost!W40)</f>
        <v>-1.2225345527921458</v>
      </c>
      <c r="O31" s="265">
        <v>0.21999999999999975</v>
      </c>
      <c r="P31" s="265">
        <f>krediti!I39</f>
        <v>0.63999509884550321</v>
      </c>
      <c r="Q31" s="260"/>
      <c r="R31" s="18">
        <v>40268</v>
      </c>
      <c r="S31" s="265">
        <v>-8.5739924946973503</v>
      </c>
      <c r="T31" s="265">
        <f>place!P51*100</f>
        <v>-1.8293632725485343</v>
      </c>
      <c r="U31" s="265">
        <f>(inflacija!J39+nezaposlenost!X44)-(inflacija!J35+nezaposlenost!X40)</f>
        <v>-1.2225345527921458</v>
      </c>
      <c r="V31" s="265">
        <v>0.21999999999999975</v>
      </c>
      <c r="W31" s="265">
        <f>krediti!J39</f>
        <v>0.63999509884550321</v>
      </c>
      <c r="X31" s="193"/>
      <c r="Y31" s="18">
        <v>40268</v>
      </c>
      <c r="Z31" s="265">
        <v>-8.5739924946973503</v>
      </c>
      <c r="AA31" s="193"/>
      <c r="AB31" s="193"/>
      <c r="AC31" s="193"/>
      <c r="AD31" s="193"/>
      <c r="AE31" s="193"/>
      <c r="AF31" s="3"/>
      <c r="AG31" s="3"/>
      <c r="AH31" s="3"/>
      <c r="AI31" s="3"/>
      <c r="AJ31" s="193"/>
      <c r="AK31" s="193"/>
      <c r="AL31" s="193"/>
    </row>
    <row r="32" spans="1:38" ht="14.25" customHeight="1" outlineLevel="1">
      <c r="A32" s="3"/>
      <c r="B32" s="3"/>
      <c r="C32" s="3"/>
      <c r="D32" s="18">
        <v>40359</v>
      </c>
      <c r="E32" s="265">
        <v>-6.743754220121545</v>
      </c>
      <c r="F32" s="265">
        <f>place!B52*100</f>
        <v>-1.0239337944161986</v>
      </c>
      <c r="G32" s="265">
        <f>(inflacija!C40+nezaposlenost!V45)-(inflacija!C36+nezaposlenost!V41)</f>
        <v>-1.3971078557874215</v>
      </c>
      <c r="H32" s="265">
        <v>0.17999999999999972</v>
      </c>
      <c r="I32" s="265">
        <f>krediti!H40</f>
        <v>2.0169068936327363</v>
      </c>
      <c r="J32" s="260"/>
      <c r="K32" s="18">
        <v>40359</v>
      </c>
      <c r="L32" s="265">
        <v>-6.743754220121545</v>
      </c>
      <c r="M32" s="265">
        <f>place!I52*100</f>
        <v>-1.0239337944161986</v>
      </c>
      <c r="N32" s="265">
        <f>(inflacija!G40+nezaposlenost!W45)-(inflacija!G36+nezaposlenost!W41)</f>
        <v>-1.3971078557874215</v>
      </c>
      <c r="O32" s="265">
        <v>0.17999999999999972</v>
      </c>
      <c r="P32" s="265">
        <f>krediti!I40</f>
        <v>2.0169068936327363</v>
      </c>
      <c r="Q32" s="260"/>
      <c r="R32" s="18">
        <v>40359</v>
      </c>
      <c r="S32" s="265">
        <v>-6.743754220121545</v>
      </c>
      <c r="T32" s="265">
        <f>place!P52*100</f>
        <v>-1.0239337944161986</v>
      </c>
      <c r="U32" s="265">
        <f>(inflacija!J40+nezaposlenost!X45)-(inflacija!J36+nezaposlenost!X41)</f>
        <v>-1.3971078557874215</v>
      </c>
      <c r="V32" s="265">
        <v>0.17999999999999972</v>
      </c>
      <c r="W32" s="265">
        <f>krediti!J40</f>
        <v>2.0169068936327363</v>
      </c>
      <c r="X32" s="193"/>
      <c r="Y32" s="18">
        <v>40359</v>
      </c>
      <c r="Z32" s="265">
        <v>-6.743754220121545</v>
      </c>
      <c r="AA32" s="193"/>
      <c r="AB32" s="193"/>
      <c r="AC32" s="193"/>
      <c r="AD32" s="193"/>
      <c r="AE32" s="193"/>
      <c r="AF32" s="3"/>
      <c r="AG32" s="3"/>
      <c r="AH32" s="3"/>
      <c r="AI32" s="3"/>
      <c r="AJ32" s="193"/>
      <c r="AK32" s="193"/>
      <c r="AL32" s="193"/>
    </row>
    <row r="33" spans="1:38" ht="14.25" customHeight="1" outlineLevel="1">
      <c r="A33" s="3"/>
      <c r="B33" s="3"/>
      <c r="C33" s="3"/>
      <c r="D33" s="18">
        <v>40451</v>
      </c>
      <c r="E33" s="265">
        <v>-5.8863968376729474</v>
      </c>
      <c r="F33" s="265">
        <f>place!B53*100</f>
        <v>0.19494514443529898</v>
      </c>
      <c r="G33" s="265">
        <f>(inflacija!C41+nezaposlenost!V46)-(inflacija!C37+nezaposlenost!V42)</f>
        <v>6.6110724918813997</v>
      </c>
      <c r="H33" s="265">
        <v>-0.21999999999999975</v>
      </c>
      <c r="I33" s="265">
        <f>krediti!H41</f>
        <v>3.4382928180565813</v>
      </c>
      <c r="J33" s="260"/>
      <c r="K33" s="18">
        <v>40451</v>
      </c>
      <c r="L33" s="265">
        <v>-5.8863968376729474</v>
      </c>
      <c r="M33" s="265">
        <f>place!I53*100</f>
        <v>0.19494514443529898</v>
      </c>
      <c r="N33" s="265">
        <f>(inflacija!G41+nezaposlenost!W46)-(inflacija!G37+nezaposlenost!W42)</f>
        <v>6.6110724918813997</v>
      </c>
      <c r="O33" s="265">
        <v>-0.21999999999999975</v>
      </c>
      <c r="P33" s="265">
        <f>krediti!I41</f>
        <v>3.4382928180565813</v>
      </c>
      <c r="Q33" s="260"/>
      <c r="R33" s="18">
        <v>40451</v>
      </c>
      <c r="S33" s="265">
        <v>-5.8863968376729474</v>
      </c>
      <c r="T33" s="265">
        <f>place!P53*100</f>
        <v>0.19494514443529898</v>
      </c>
      <c r="U33" s="265">
        <f>(inflacija!J41+nezaposlenost!X46)-(inflacija!J37+nezaposlenost!X42)</f>
        <v>6.6110724918813997</v>
      </c>
      <c r="V33" s="265">
        <v>-0.21999999999999975</v>
      </c>
      <c r="W33" s="265">
        <f>krediti!J41</f>
        <v>3.4382928180565813</v>
      </c>
      <c r="X33" s="193"/>
      <c r="Y33" s="18">
        <v>40451</v>
      </c>
      <c r="Z33" s="265">
        <v>-5.8863968376729474</v>
      </c>
      <c r="AA33" s="193"/>
      <c r="AB33" s="193"/>
      <c r="AC33" s="193"/>
      <c r="AD33" s="193"/>
      <c r="AE33" s="193"/>
      <c r="AF33" s="3"/>
      <c r="AG33" s="3"/>
      <c r="AH33" s="3"/>
      <c r="AI33" s="3"/>
      <c r="AJ33" s="193"/>
      <c r="AK33" s="193"/>
      <c r="AL33" s="193"/>
    </row>
    <row r="34" spans="1:38" ht="14.25" customHeight="1" outlineLevel="1">
      <c r="A34" s="3"/>
      <c r="B34" s="3"/>
      <c r="C34" s="3"/>
      <c r="D34" s="18">
        <v>40543</v>
      </c>
      <c r="E34" s="265">
        <v>-3.9201960098004918</v>
      </c>
      <c r="F34" s="265">
        <f>place!B54*100</f>
        <v>0.61342761120628531</v>
      </c>
      <c r="G34" s="265">
        <f>(inflacija!C42+nezaposlenost!V47)-(inflacija!C38+nezaposlenost!V43)</f>
        <v>4.427011481234139</v>
      </c>
      <c r="H34" s="265">
        <v>-0.4300000000000006</v>
      </c>
      <c r="I34" s="265">
        <f>krediti!H42</f>
        <v>2.263464407623573</v>
      </c>
      <c r="J34" s="260"/>
      <c r="K34" s="18">
        <v>40543</v>
      </c>
      <c r="L34" s="265">
        <v>-3.9201960098004918</v>
      </c>
      <c r="M34" s="265">
        <f>place!I54*100</f>
        <v>0.61342761120628531</v>
      </c>
      <c r="N34" s="265">
        <f>(inflacija!G42+nezaposlenost!W47)-(inflacija!G38+nezaposlenost!W43)</f>
        <v>4.427011481234139</v>
      </c>
      <c r="O34" s="265">
        <v>-0.4300000000000006</v>
      </c>
      <c r="P34" s="265">
        <f>krediti!I42</f>
        <v>2.263464407623573</v>
      </c>
      <c r="Q34" s="260"/>
      <c r="R34" s="18">
        <v>40543</v>
      </c>
      <c r="S34" s="265">
        <v>-3.9201960098004918</v>
      </c>
      <c r="T34" s="265">
        <f>place!P54*100</f>
        <v>0.61342761120628531</v>
      </c>
      <c r="U34" s="265">
        <f>(inflacija!J42+nezaposlenost!X47)-(inflacija!J38+nezaposlenost!X43)</f>
        <v>4.427011481234139</v>
      </c>
      <c r="V34" s="265">
        <v>-0.4300000000000006</v>
      </c>
      <c r="W34" s="265">
        <f>krediti!J42</f>
        <v>2.263464407623573</v>
      </c>
      <c r="X34" s="193"/>
      <c r="Y34" s="18">
        <v>40543</v>
      </c>
      <c r="Z34" s="265">
        <v>-3.9201960098004918</v>
      </c>
      <c r="AA34" s="193"/>
      <c r="AB34" s="193"/>
      <c r="AC34" s="193"/>
      <c r="AD34" s="193"/>
      <c r="AE34" s="193"/>
      <c r="AF34" s="3"/>
      <c r="AG34" s="3"/>
      <c r="AH34" s="3"/>
      <c r="AI34" s="3"/>
      <c r="AJ34" s="193"/>
      <c r="AK34" s="193"/>
      <c r="AL34" s="193"/>
    </row>
    <row r="35" spans="1:38" ht="14.25" customHeight="1" outlineLevel="1">
      <c r="A35" s="3"/>
      <c r="B35" s="3"/>
      <c r="C35" s="3"/>
      <c r="D35" s="18">
        <v>40633</v>
      </c>
      <c r="E35" s="265">
        <v>-2.9088962255733009</v>
      </c>
      <c r="F35" s="265">
        <f>place!B55*100</f>
        <v>0.29895240254913524</v>
      </c>
      <c r="G35" s="265">
        <f>(inflacija!C43+nezaposlenost!V48)-(inflacija!C39+nezaposlenost!V44)</f>
        <v>7.2082539044505385</v>
      </c>
      <c r="H35" s="265">
        <v>-0.48000000000000043</v>
      </c>
      <c r="I35" s="265">
        <f>krediti!H43</f>
        <v>2.0821402429715334</v>
      </c>
      <c r="J35" s="260"/>
      <c r="K35" s="18">
        <v>40633</v>
      </c>
      <c r="L35" s="265">
        <v>-2.9088962255733009</v>
      </c>
      <c r="M35" s="265">
        <f>place!I55*100</f>
        <v>0.29895240254913524</v>
      </c>
      <c r="N35" s="265">
        <f>(inflacija!G43+nezaposlenost!W48)-(inflacija!G39+nezaposlenost!W44)</f>
        <v>7.2082539044505385</v>
      </c>
      <c r="O35" s="265">
        <v>-0.48000000000000043</v>
      </c>
      <c r="P35" s="265">
        <f>krediti!I43</f>
        <v>2.0821402429715334</v>
      </c>
      <c r="Q35" s="260"/>
      <c r="R35" s="18">
        <v>40633</v>
      </c>
      <c r="S35" s="265">
        <v>-2.9088962255733009</v>
      </c>
      <c r="T35" s="265">
        <f>place!P55*100</f>
        <v>0.29895240254913524</v>
      </c>
      <c r="U35" s="265">
        <f>(inflacija!J43+nezaposlenost!X48)-(inflacija!J39+nezaposlenost!X44)</f>
        <v>7.2082539044505385</v>
      </c>
      <c r="V35" s="265">
        <v>-0.48000000000000043</v>
      </c>
      <c r="W35" s="265">
        <f>krediti!J43</f>
        <v>2.0821402429715334</v>
      </c>
      <c r="X35" s="193"/>
      <c r="Y35" s="18">
        <v>40633</v>
      </c>
      <c r="Z35" s="265">
        <v>-2.9088962255733009</v>
      </c>
      <c r="AA35" s="193"/>
      <c r="AB35" s="193"/>
      <c r="AC35" s="193"/>
      <c r="AD35" s="193"/>
      <c r="AE35" s="193"/>
      <c r="AF35" s="3"/>
      <c r="AG35" s="3"/>
      <c r="AH35" s="3"/>
      <c r="AI35" s="3"/>
      <c r="AJ35" s="193"/>
      <c r="AK35" s="193"/>
      <c r="AL35" s="193"/>
    </row>
    <row r="36" spans="1:38" ht="14.25" customHeight="1" outlineLevel="1">
      <c r="A36" s="3"/>
      <c r="B36" s="3"/>
      <c r="C36" s="3"/>
      <c r="D36" s="18">
        <v>40724</v>
      </c>
      <c r="E36" s="265">
        <v>3.6202371255328103E-2</v>
      </c>
      <c r="F36" s="265">
        <f>place!B56*100</f>
        <v>0.90136141357723965</v>
      </c>
      <c r="G36" s="265">
        <f>(inflacija!C44+nezaposlenost!V49)-(inflacija!C40+nezaposlenost!V45)</f>
        <v>0.91414092644830092</v>
      </c>
      <c r="H36" s="265">
        <v>-1.21</v>
      </c>
      <c r="I36" s="265">
        <f>krediti!H44</f>
        <v>1.8813782447935523</v>
      </c>
      <c r="J36" s="260"/>
      <c r="K36" s="18">
        <v>40724</v>
      </c>
      <c r="L36" s="265">
        <v>3.6202371255328103E-2</v>
      </c>
      <c r="M36" s="265">
        <f>place!I56*100</f>
        <v>0.90136141357723965</v>
      </c>
      <c r="N36" s="265">
        <f>(inflacija!G44+nezaposlenost!W49)-(inflacija!G40+nezaposlenost!W45)</f>
        <v>0.91414092644830092</v>
      </c>
      <c r="O36" s="265">
        <v>-1.21</v>
      </c>
      <c r="P36" s="265">
        <f>krediti!I44</f>
        <v>1.8813782447935523</v>
      </c>
      <c r="Q36" s="260"/>
      <c r="R36" s="18">
        <v>40724</v>
      </c>
      <c r="S36" s="265">
        <v>3.6202371255328103E-2</v>
      </c>
      <c r="T36" s="265">
        <f>place!P56*100</f>
        <v>0.90136141357723965</v>
      </c>
      <c r="U36" s="265">
        <f>(inflacija!J44+nezaposlenost!X49)-(inflacija!J40+nezaposlenost!X45)</f>
        <v>0.91414092644830092</v>
      </c>
      <c r="V36" s="265">
        <v>-1.21</v>
      </c>
      <c r="W36" s="265">
        <f>krediti!J44</f>
        <v>1.8813782447935523</v>
      </c>
      <c r="X36" s="193"/>
      <c r="Y36" s="18">
        <v>40724</v>
      </c>
      <c r="Z36" s="265">
        <v>3.6202371255328103E-2</v>
      </c>
      <c r="AA36" s="193"/>
      <c r="AB36" s="193"/>
      <c r="AC36" s="193"/>
      <c r="AD36" s="193"/>
      <c r="AE36" s="193"/>
      <c r="AF36" s="3"/>
      <c r="AG36" s="3"/>
      <c r="AH36" s="3"/>
      <c r="AI36" s="3"/>
      <c r="AJ36" s="193"/>
      <c r="AK36" s="193"/>
      <c r="AL36" s="193"/>
    </row>
    <row r="37" spans="1:38" ht="14.25" customHeight="1" outlineLevel="1">
      <c r="A37" s="3"/>
      <c r="B37" s="3"/>
      <c r="C37" s="3"/>
      <c r="D37" s="18">
        <v>40816</v>
      </c>
      <c r="E37" s="265">
        <v>1.6344046749452161</v>
      </c>
      <c r="F37" s="265">
        <f>place!B57*100</f>
        <v>1.8225423872560986</v>
      </c>
      <c r="G37" s="265">
        <f>(inflacija!C45+nezaposlenost!V50)-(inflacija!C41+nezaposlenost!V46)</f>
        <v>0.51046223641040811</v>
      </c>
      <c r="H37" s="265">
        <v>-1.1799999999999997</v>
      </c>
      <c r="I37" s="265">
        <f>krediti!H45</f>
        <v>1.9485258562609289</v>
      </c>
      <c r="J37" s="260"/>
      <c r="K37" s="18">
        <v>40816</v>
      </c>
      <c r="L37" s="265">
        <v>1.6344046749452161</v>
      </c>
      <c r="M37" s="265">
        <f>place!I57*100</f>
        <v>1.8225423872560986</v>
      </c>
      <c r="N37" s="265">
        <f>(inflacija!G45+nezaposlenost!W50)-(inflacija!G41+nezaposlenost!W46)</f>
        <v>0.51046223641040811</v>
      </c>
      <c r="O37" s="265">
        <v>-1.1799999999999997</v>
      </c>
      <c r="P37" s="265">
        <f>krediti!I45</f>
        <v>1.9485258562609289</v>
      </c>
      <c r="Q37" s="260"/>
      <c r="R37" s="18">
        <v>40816</v>
      </c>
      <c r="S37" s="265">
        <v>1.6344046749452161</v>
      </c>
      <c r="T37" s="265">
        <f>place!P57*100</f>
        <v>1.8225423872560986</v>
      </c>
      <c r="U37" s="265">
        <f>(inflacija!J45+nezaposlenost!X50)-(inflacija!J41+nezaposlenost!X46)</f>
        <v>0.51046223641040811</v>
      </c>
      <c r="V37" s="265">
        <v>-1.1799999999999997</v>
      </c>
      <c r="W37" s="265">
        <f>krediti!J45</f>
        <v>1.9485258562609289</v>
      </c>
      <c r="X37" s="193"/>
      <c r="Y37" s="18">
        <v>40816</v>
      </c>
      <c r="Z37" s="265">
        <v>1.6344046749452161</v>
      </c>
      <c r="AA37" s="193"/>
      <c r="AB37" s="193"/>
      <c r="AC37" s="193"/>
      <c r="AD37" s="193"/>
      <c r="AE37" s="193"/>
      <c r="AF37" s="3"/>
      <c r="AG37" s="3"/>
      <c r="AH37" s="3"/>
      <c r="AI37" s="3"/>
      <c r="AJ37" s="193"/>
      <c r="AK37" s="193"/>
      <c r="AL37" s="193"/>
    </row>
    <row r="38" spans="1:38" ht="14.25" customHeight="1" outlineLevel="1">
      <c r="A38" s="3"/>
      <c r="B38" s="3"/>
      <c r="C38" s="3"/>
      <c r="D38" s="18">
        <v>40908</v>
      </c>
      <c r="E38" s="265">
        <v>1.9945355191256766</v>
      </c>
      <c r="F38" s="265">
        <f>place!B58*100</f>
        <v>3.2690629555404138</v>
      </c>
      <c r="G38" s="265">
        <f>(inflacija!C46+nezaposlenost!V51)-(inflacija!C42+nezaposlenost!V47)</f>
        <v>3.6363666215511614</v>
      </c>
      <c r="H38" s="265">
        <v>-0.38999999999999968</v>
      </c>
      <c r="I38" s="265">
        <f>krediti!H46</f>
        <v>3.4904656111675081</v>
      </c>
      <c r="J38" s="260"/>
      <c r="K38" s="18">
        <v>40908</v>
      </c>
      <c r="L38" s="265">
        <v>1.9945355191256766</v>
      </c>
      <c r="M38" s="265">
        <f>place!I58*100</f>
        <v>3.2690629555404138</v>
      </c>
      <c r="N38" s="265">
        <f>(inflacija!G46+nezaposlenost!W51)-(inflacija!G42+nezaposlenost!W47)</f>
        <v>3.6363666215511614</v>
      </c>
      <c r="O38" s="265">
        <v>-0.38999999999999968</v>
      </c>
      <c r="P38" s="265">
        <f>krediti!I46</f>
        <v>3.4904656111675081</v>
      </c>
      <c r="Q38" s="260"/>
      <c r="R38" s="18">
        <v>40908</v>
      </c>
      <c r="S38" s="265">
        <v>1.9945355191256766</v>
      </c>
      <c r="T38" s="265">
        <f>place!P58*100</f>
        <v>3.2690629555404138</v>
      </c>
      <c r="U38" s="265">
        <f>(inflacija!J46+nezaposlenost!X51)-(inflacija!J42+nezaposlenost!X47)</f>
        <v>3.6363666215511614</v>
      </c>
      <c r="V38" s="265">
        <v>-0.38999999999999968</v>
      </c>
      <c r="W38" s="265">
        <f>krediti!J46</f>
        <v>3.4904656111675081</v>
      </c>
      <c r="X38" s="193"/>
      <c r="Y38" s="18">
        <v>40908</v>
      </c>
      <c r="Z38" s="265">
        <v>1.9945355191256766</v>
      </c>
      <c r="AA38" s="193"/>
      <c r="AB38" s="193"/>
      <c r="AC38" s="193"/>
      <c r="AD38" s="193"/>
      <c r="AE38" s="193"/>
      <c r="AF38" s="3"/>
      <c r="AG38" s="3"/>
      <c r="AH38" s="3"/>
      <c r="AI38" s="3"/>
      <c r="AJ38" s="193"/>
      <c r="AK38" s="193"/>
      <c r="AL38" s="193"/>
    </row>
    <row r="39" spans="1:38" ht="14.25" customHeight="1" outlineLevel="1">
      <c r="A39" s="3"/>
      <c r="B39" s="3"/>
      <c r="C39" s="3"/>
      <c r="D39" s="18">
        <v>40999</v>
      </c>
      <c r="E39" s="265">
        <v>2.343534601599103</v>
      </c>
      <c r="F39" s="265">
        <f>place!B59*100</f>
        <v>1.6243548607388414</v>
      </c>
      <c r="G39" s="265">
        <f>(inflacija!C47+nezaposlenost!V52)-(inflacija!C43+nezaposlenost!V48)</f>
        <v>-4.8626321675522881</v>
      </c>
      <c r="H39" s="265">
        <v>-0.59999999999999964</v>
      </c>
      <c r="I39" s="265">
        <f>krediti!H47</f>
        <v>3.5858524652855976</v>
      </c>
      <c r="J39" s="260"/>
      <c r="K39" s="18">
        <v>40999</v>
      </c>
      <c r="L39" s="265">
        <v>2.343534601599103</v>
      </c>
      <c r="M39" s="265">
        <f>place!I59*100</f>
        <v>1.6243548607388414</v>
      </c>
      <c r="N39" s="265">
        <f>(inflacija!G47+nezaposlenost!W52)-(inflacija!G43+nezaposlenost!W48)</f>
        <v>-4.8626321675522881</v>
      </c>
      <c r="O39" s="265">
        <v>-0.59999999999999964</v>
      </c>
      <c r="P39" s="265">
        <f>krediti!I47</f>
        <v>3.5858524652855976</v>
      </c>
      <c r="Q39" s="260"/>
      <c r="R39" s="18">
        <v>40999</v>
      </c>
      <c r="S39" s="265">
        <v>2.343534601599103</v>
      </c>
      <c r="T39" s="265">
        <f>place!P59*100</f>
        <v>1.6243548607388414</v>
      </c>
      <c r="U39" s="265">
        <f>(inflacija!J47+nezaposlenost!X52)-(inflacija!J43+nezaposlenost!X48)</f>
        <v>-4.8626321675522881</v>
      </c>
      <c r="V39" s="265">
        <v>-0.59999999999999964</v>
      </c>
      <c r="W39" s="265">
        <f>krediti!J47</f>
        <v>3.5858524652855976</v>
      </c>
      <c r="X39" s="193"/>
      <c r="Y39" s="18">
        <v>40999</v>
      </c>
      <c r="Z39" s="265">
        <v>2.343534601599103</v>
      </c>
      <c r="AA39" s="193"/>
      <c r="AB39" s="193"/>
      <c r="AC39" s="193"/>
      <c r="AD39" s="193"/>
      <c r="AE39" s="193"/>
      <c r="AF39" s="3"/>
      <c r="AG39" s="3"/>
      <c r="AH39" s="3"/>
      <c r="AI39" s="3"/>
      <c r="AJ39" s="193"/>
      <c r="AK39" s="193"/>
      <c r="AL39" s="193"/>
    </row>
    <row r="40" spans="1:38" ht="14.25" customHeight="1" outlineLevel="1">
      <c r="A40" s="3"/>
      <c r="B40" s="3"/>
      <c r="C40" s="3"/>
      <c r="D40" s="18">
        <v>41090</v>
      </c>
      <c r="E40" s="265">
        <v>-0.60617027051479511</v>
      </c>
      <c r="F40" s="265">
        <f>place!B60*100</f>
        <v>1.969003851009421</v>
      </c>
      <c r="G40" s="265">
        <f>(inflacija!C48+nezaposlenost!V53)-(inflacija!C44+nezaposlenost!V49)</f>
        <v>2.3818974133211661</v>
      </c>
      <c r="H40" s="265">
        <v>0.17999999999999972</v>
      </c>
      <c r="I40" s="265">
        <f>krediti!H48</f>
        <v>2.1212537292004043</v>
      </c>
      <c r="J40" s="260"/>
      <c r="K40" s="18">
        <v>41090</v>
      </c>
      <c r="L40" s="265">
        <v>-0.60617027051479511</v>
      </c>
      <c r="M40" s="265">
        <f>place!I60*100</f>
        <v>1.969003851009421</v>
      </c>
      <c r="N40" s="265">
        <f>(inflacija!G48+nezaposlenost!W53)-(inflacija!G44+nezaposlenost!W49)</f>
        <v>2.3818974133211661</v>
      </c>
      <c r="O40" s="265">
        <v>0.17999999999999972</v>
      </c>
      <c r="P40" s="265">
        <f>krediti!I48</f>
        <v>2.1212537292004043</v>
      </c>
      <c r="Q40" s="260"/>
      <c r="R40" s="18">
        <v>41090</v>
      </c>
      <c r="S40" s="265">
        <v>-0.60617027051479511</v>
      </c>
      <c r="T40" s="265">
        <f>place!P60*100</f>
        <v>1.969003851009421</v>
      </c>
      <c r="U40" s="265">
        <f>(inflacija!J48+nezaposlenost!X53)-(inflacija!J44+nezaposlenost!X49)</f>
        <v>2.3818974133211661</v>
      </c>
      <c r="V40" s="265">
        <v>0.17999999999999972</v>
      </c>
      <c r="W40" s="265">
        <f>krediti!J48</f>
        <v>2.1212537292004043</v>
      </c>
      <c r="X40" s="193"/>
      <c r="Y40" s="18">
        <v>41090</v>
      </c>
      <c r="Z40" s="265">
        <v>-0.60617027051479511</v>
      </c>
      <c r="AA40" s="193"/>
      <c r="AB40" s="193"/>
      <c r="AC40" s="193"/>
      <c r="AD40" s="193"/>
      <c r="AE40" s="193"/>
      <c r="AF40" s="3"/>
      <c r="AG40" s="3"/>
      <c r="AH40" s="3"/>
      <c r="AI40" s="3"/>
      <c r="AJ40" s="193"/>
      <c r="AK40" s="193"/>
      <c r="AL40" s="193"/>
    </row>
    <row r="41" spans="1:38" ht="14.25" customHeight="1" outlineLevel="1">
      <c r="A41" s="3"/>
      <c r="B41" s="3"/>
      <c r="C41" s="3"/>
      <c r="D41" s="18">
        <v>41182</v>
      </c>
      <c r="E41" s="265">
        <v>-1.9944299703530675</v>
      </c>
      <c r="F41" s="265">
        <f>place!B61*100</f>
        <v>0.7934504277647747</v>
      </c>
      <c r="G41" s="265">
        <f>(inflacija!C49+nezaposlenost!V54)-(inflacija!C45+nezaposlenost!V50)</f>
        <v>1.0964946090090777</v>
      </c>
      <c r="H41" s="265">
        <v>0.4399999999999995</v>
      </c>
      <c r="I41" s="265">
        <f>krediti!H49</f>
        <v>0.92266626850106093</v>
      </c>
      <c r="J41" s="260"/>
      <c r="K41" s="18">
        <v>41182</v>
      </c>
      <c r="L41" s="265">
        <v>-1.9944299703530675</v>
      </c>
      <c r="M41" s="265">
        <f>place!I61*100</f>
        <v>0.7934504277647747</v>
      </c>
      <c r="N41" s="265">
        <f>(inflacija!G49+nezaposlenost!W54)-(inflacija!G45+nezaposlenost!W50)</f>
        <v>1.0964946090090777</v>
      </c>
      <c r="O41" s="265">
        <v>0.4399999999999995</v>
      </c>
      <c r="P41" s="265">
        <f>krediti!I49</f>
        <v>0.92266626850106093</v>
      </c>
      <c r="Q41" s="260"/>
      <c r="R41" s="18">
        <v>41182</v>
      </c>
      <c r="S41" s="265">
        <v>-1.9944299703530675</v>
      </c>
      <c r="T41" s="265">
        <f>place!P61*100</f>
        <v>0.7934504277647747</v>
      </c>
      <c r="U41" s="265">
        <f>(inflacija!J49+nezaposlenost!X54)-(inflacija!J45+nezaposlenost!X50)</f>
        <v>1.0964946090090777</v>
      </c>
      <c r="V41" s="265">
        <v>0.4399999999999995</v>
      </c>
      <c r="W41" s="265">
        <f>krediti!J49</f>
        <v>0.92266626850106093</v>
      </c>
      <c r="X41" s="193"/>
      <c r="Y41" s="18">
        <v>41182</v>
      </c>
      <c r="Z41" s="265">
        <v>-1.9944299703530675</v>
      </c>
      <c r="AA41" s="193"/>
      <c r="AB41" s="193"/>
      <c r="AC41" s="193"/>
      <c r="AD41" s="193"/>
      <c r="AE41" s="193"/>
      <c r="AF41" s="3"/>
      <c r="AG41" s="3"/>
      <c r="AH41" s="3"/>
      <c r="AI41" s="3"/>
      <c r="AJ41" s="193"/>
      <c r="AK41" s="193"/>
      <c r="AL41" s="193"/>
    </row>
    <row r="42" spans="1:38" ht="14.25" customHeight="1" outlineLevel="1">
      <c r="A42" s="3"/>
      <c r="B42" s="3"/>
      <c r="C42" s="3"/>
      <c r="D42" s="18">
        <v>41274</v>
      </c>
      <c r="E42" s="265">
        <v>-5.8844539691043707</v>
      </c>
      <c r="F42" s="265">
        <f>place!B62*100</f>
        <v>-0.48695747681695156</v>
      </c>
      <c r="G42" s="265">
        <f>(inflacija!C50+nezaposlenost!V55)-(inflacija!C46+nezaposlenost!V51)</f>
        <v>2.5514459970828618</v>
      </c>
      <c r="H42" s="265">
        <v>-0.41000000000000014</v>
      </c>
      <c r="I42" s="265">
        <f>krediti!H50</f>
        <v>-1.1882587997532141</v>
      </c>
      <c r="J42" s="260"/>
      <c r="K42" s="18">
        <v>41274</v>
      </c>
      <c r="L42" s="265">
        <v>-5.8844539691043707</v>
      </c>
      <c r="M42" s="265">
        <f>place!I62*100</f>
        <v>-0.48695747681695156</v>
      </c>
      <c r="N42" s="265">
        <f>(inflacija!G50+nezaposlenost!W55)-(inflacija!G46+nezaposlenost!W51)</f>
        <v>2.5514459970828618</v>
      </c>
      <c r="O42" s="265">
        <v>-0.41000000000000014</v>
      </c>
      <c r="P42" s="265">
        <f>krediti!I50</f>
        <v>-1.1882587997532141</v>
      </c>
      <c r="Q42" s="260"/>
      <c r="R42" s="18">
        <v>41274</v>
      </c>
      <c r="S42" s="265">
        <v>-5.8844539691043707</v>
      </c>
      <c r="T42" s="265">
        <f>place!P62*100</f>
        <v>-0.48695747681695156</v>
      </c>
      <c r="U42" s="265">
        <f>(inflacija!J50+nezaposlenost!X55)-(inflacija!J46+nezaposlenost!X51)</f>
        <v>2.5514459970828618</v>
      </c>
      <c r="V42" s="265">
        <v>-0.41000000000000014</v>
      </c>
      <c r="W42" s="265">
        <f>krediti!J50</f>
        <v>-1.1882587997532141</v>
      </c>
      <c r="X42" s="193"/>
      <c r="Y42" s="18">
        <v>41274</v>
      </c>
      <c r="Z42" s="265">
        <v>-5.8844539691043707</v>
      </c>
      <c r="AA42" s="193"/>
      <c r="AB42" s="193"/>
      <c r="AC42" s="193"/>
      <c r="AD42" s="193"/>
      <c r="AE42" s="193"/>
      <c r="AF42" s="3"/>
      <c r="AG42" s="3"/>
      <c r="AH42" s="3"/>
      <c r="AI42" s="3"/>
      <c r="AJ42" s="193"/>
      <c r="AK42" s="193"/>
      <c r="AL42" s="193"/>
    </row>
    <row r="43" spans="1:38" ht="14.25" customHeight="1" outlineLevel="1">
      <c r="A43" s="193"/>
      <c r="B43" s="193"/>
      <c r="C43" s="3"/>
      <c r="D43" s="18">
        <v>41364</v>
      </c>
      <c r="E43" s="265">
        <v>-5.4597701149425291</v>
      </c>
      <c r="F43" s="265">
        <f>place!B63*100</f>
        <v>2.9817611605632788</v>
      </c>
      <c r="G43" s="265">
        <f>(inflacija!C51+nezaposlenost!V56)-(inflacija!C47+nezaposlenost!V52)</f>
        <v>2.3786920964193889</v>
      </c>
      <c r="H43" s="265">
        <v>-0.37000000000000011</v>
      </c>
      <c r="I43" s="265">
        <f>krediti!H51</f>
        <v>-1.5941280272353424</v>
      </c>
      <c r="J43" s="260"/>
      <c r="K43" s="18">
        <v>41364</v>
      </c>
      <c r="L43" s="265">
        <v>-5.4597701149425291</v>
      </c>
      <c r="M43" s="265">
        <f>place!I63*100</f>
        <v>2.9817611605632788</v>
      </c>
      <c r="N43" s="265">
        <f>(inflacija!G51+nezaposlenost!W56)-(inflacija!G47+nezaposlenost!W52)</f>
        <v>2.3786920964193889</v>
      </c>
      <c r="O43" s="265">
        <v>-0.37000000000000011</v>
      </c>
      <c r="P43" s="265">
        <f>krediti!I51</f>
        <v>-1.5941280272353424</v>
      </c>
      <c r="Q43" s="260"/>
      <c r="R43" s="18">
        <v>41364</v>
      </c>
      <c r="S43" s="265">
        <v>-5.4597701149425291</v>
      </c>
      <c r="T43" s="265">
        <f>place!P63*100</f>
        <v>2.9817611605632788</v>
      </c>
      <c r="U43" s="265">
        <f>(inflacija!J51+nezaposlenost!X56)-(inflacija!J47+nezaposlenost!X52)</f>
        <v>2.3786920964193889</v>
      </c>
      <c r="V43" s="265">
        <v>-0.37000000000000011</v>
      </c>
      <c r="W43" s="265">
        <f>krediti!J51</f>
        <v>-1.5941280272353424</v>
      </c>
      <c r="X43" s="193"/>
      <c r="Y43" s="18">
        <v>41364</v>
      </c>
      <c r="Z43" s="265">
        <v>-5.4597701149425291</v>
      </c>
      <c r="AA43" s="193"/>
      <c r="AB43" s="193"/>
      <c r="AC43" s="193"/>
      <c r="AD43" s="193"/>
      <c r="AE43" s="193"/>
      <c r="AF43" s="3"/>
      <c r="AG43" s="3"/>
      <c r="AH43" s="3"/>
      <c r="AI43" s="3"/>
      <c r="AJ43" s="193"/>
      <c r="AK43" s="193"/>
      <c r="AL43" s="193"/>
    </row>
    <row r="44" spans="1:38" ht="14.25" customHeight="1" outlineLevel="1">
      <c r="A44" s="193"/>
      <c r="B44" s="193"/>
      <c r="C44" s="3"/>
      <c r="D44" s="18">
        <v>41455</v>
      </c>
      <c r="E44" s="265">
        <v>-4.7606044056071397</v>
      </c>
      <c r="F44" s="265">
        <f>place!B64*100</f>
        <v>1.0937483746707555</v>
      </c>
      <c r="G44" s="265">
        <f>(inflacija!C52+nezaposlenost!V57)-(inflacija!C48+nezaposlenost!V53)</f>
        <v>1.414189555371788</v>
      </c>
      <c r="H44" s="265">
        <v>-0.44999999999999929</v>
      </c>
      <c r="I44" s="265">
        <f>krediti!H52</f>
        <v>-0.13619033831960792</v>
      </c>
      <c r="J44" s="260"/>
      <c r="K44" s="18">
        <v>41455</v>
      </c>
      <c r="L44" s="265">
        <v>-4.7606044056071397</v>
      </c>
      <c r="M44" s="265">
        <f>place!I64*100</f>
        <v>1.0937483746707555</v>
      </c>
      <c r="N44" s="265">
        <f>(inflacija!G52+nezaposlenost!W57)-(inflacija!G48+nezaposlenost!W53)</f>
        <v>1.414189555371788</v>
      </c>
      <c r="O44" s="265">
        <v>-0.44999999999999929</v>
      </c>
      <c r="P44" s="265">
        <f>krediti!I52</f>
        <v>-0.13619033831960792</v>
      </c>
      <c r="Q44" s="260"/>
      <c r="R44" s="18">
        <v>41455</v>
      </c>
      <c r="S44" s="265">
        <v>-4.7606044056071397</v>
      </c>
      <c r="T44" s="265">
        <f>place!P64*100</f>
        <v>1.0937483746707555</v>
      </c>
      <c r="U44" s="265">
        <f>(inflacija!J52+nezaposlenost!X57)-(inflacija!J48+nezaposlenost!X53)</f>
        <v>1.414189555371788</v>
      </c>
      <c r="V44" s="265">
        <v>-0.44999999999999929</v>
      </c>
      <c r="W44" s="265">
        <f>krediti!J52</f>
        <v>-0.13619033831960792</v>
      </c>
      <c r="X44" s="193"/>
      <c r="Y44" s="18">
        <v>41455</v>
      </c>
      <c r="Z44" s="265">
        <v>-4.7606044056071397</v>
      </c>
      <c r="AA44" s="193"/>
      <c r="AB44" s="193"/>
      <c r="AC44" s="193"/>
      <c r="AD44" s="193"/>
      <c r="AE44" s="193"/>
      <c r="AF44" s="3"/>
      <c r="AG44" s="3"/>
      <c r="AH44" s="3"/>
      <c r="AI44" s="3"/>
      <c r="AJ44" s="193"/>
      <c r="AK44" s="193"/>
      <c r="AL44" s="193"/>
    </row>
    <row r="45" spans="1:38" ht="14.25" customHeight="1" outlineLevel="1">
      <c r="A45" s="193"/>
      <c r="B45" s="193"/>
      <c r="C45" s="3"/>
      <c r="D45" s="18">
        <v>41547</v>
      </c>
      <c r="E45" s="265">
        <v>-3.7766981391511649</v>
      </c>
      <c r="F45" s="265">
        <f>place!B65*100</f>
        <v>0.1148185264712609</v>
      </c>
      <c r="G45" s="265">
        <f>(inflacija!C53+nezaposlenost!V58)-(inflacija!C49+nezaposlenost!V54)</f>
        <v>0.93082536705511743</v>
      </c>
      <c r="H45" s="265">
        <v>-0.80999999999999961</v>
      </c>
      <c r="I45" s="265">
        <f>krediti!H53</f>
        <v>-0.33567215663687477</v>
      </c>
      <c r="J45" s="260"/>
      <c r="K45" s="18">
        <v>41547</v>
      </c>
      <c r="L45" s="265">
        <v>-3.7766981391511649</v>
      </c>
      <c r="M45" s="265">
        <f>place!I65*100</f>
        <v>0.1148185264712609</v>
      </c>
      <c r="N45" s="265">
        <f>(inflacija!G53+nezaposlenost!W58)-(inflacija!G49+nezaposlenost!W54)</f>
        <v>0.93082536705511743</v>
      </c>
      <c r="O45" s="265">
        <v>-0.80999999999999961</v>
      </c>
      <c r="P45" s="265">
        <f>krediti!I53</f>
        <v>-0.33567215663687477</v>
      </c>
      <c r="Q45" s="260"/>
      <c r="R45" s="18">
        <v>41547</v>
      </c>
      <c r="S45" s="265">
        <v>-3.7766981391511649</v>
      </c>
      <c r="T45" s="265">
        <f>place!P65*100</f>
        <v>0.1148185264712609</v>
      </c>
      <c r="U45" s="265">
        <f>(inflacija!J53+nezaposlenost!X58)-(inflacija!J49+nezaposlenost!X54)</f>
        <v>0.93082536705511743</v>
      </c>
      <c r="V45" s="265">
        <v>-0.80999999999999961</v>
      </c>
      <c r="W45" s="265">
        <f>krediti!J53</f>
        <v>-0.33567215663687477</v>
      </c>
      <c r="X45" s="193"/>
      <c r="Y45" s="18">
        <v>41547</v>
      </c>
      <c r="Z45" s="265">
        <v>-3.7766981391511649</v>
      </c>
      <c r="AA45" s="193"/>
      <c r="AB45" s="193"/>
      <c r="AC45" s="193"/>
      <c r="AD45" s="193"/>
      <c r="AE45" s="193"/>
      <c r="AF45" s="3"/>
      <c r="AG45" s="3"/>
      <c r="AH45" s="3"/>
      <c r="AI45" s="3"/>
      <c r="AJ45" s="193"/>
      <c r="AK45" s="193"/>
      <c r="AL45" s="193"/>
    </row>
    <row r="46" spans="1:38" ht="14.25" customHeight="1" outlineLevel="1">
      <c r="A46" s="193"/>
      <c r="B46" s="193"/>
      <c r="C46" s="3"/>
      <c r="D46" s="18">
        <v>41639</v>
      </c>
      <c r="E46" s="265">
        <v>-1.6793168880455482</v>
      </c>
      <c r="F46" s="265">
        <f>place!B66*100</f>
        <v>-5.7103102885835977E-2</v>
      </c>
      <c r="G46" s="265">
        <f>(inflacija!C54+nezaposlenost!V59)-(inflacija!C50+nezaposlenost!V55)</f>
        <v>-5.7646597782113531</v>
      </c>
      <c r="H46" s="265">
        <v>-9.9999999999999645E-2</v>
      </c>
      <c r="I46" s="265">
        <f>krediti!H54</f>
        <v>0.80127183753349129</v>
      </c>
      <c r="J46" s="260"/>
      <c r="K46" s="18">
        <v>41639</v>
      </c>
      <c r="L46" s="265">
        <v>-1.6793168880455482</v>
      </c>
      <c r="M46" s="265">
        <f>place!I66*100</f>
        <v>-5.7103102885835977E-2</v>
      </c>
      <c r="N46" s="265">
        <f>(inflacija!G54+nezaposlenost!W59)-(inflacija!G50+nezaposlenost!W55)</f>
        <v>-5.7646597782113531</v>
      </c>
      <c r="O46" s="265">
        <v>-9.9999999999999645E-2</v>
      </c>
      <c r="P46" s="265">
        <f>krediti!I54</f>
        <v>0.80127183753349129</v>
      </c>
      <c r="Q46" s="260"/>
      <c r="R46" s="18">
        <v>41639</v>
      </c>
      <c r="S46" s="265">
        <v>-1.6793168880455482</v>
      </c>
      <c r="T46" s="265">
        <f>place!P66*100</f>
        <v>-5.7103102885835977E-2</v>
      </c>
      <c r="U46" s="265">
        <f>(inflacija!J54+nezaposlenost!X59)-(inflacija!J50+nezaposlenost!X55)</f>
        <v>-5.7646597782113531</v>
      </c>
      <c r="V46" s="265">
        <v>-9.9999999999999645E-2</v>
      </c>
      <c r="W46" s="265">
        <f>krediti!J54</f>
        <v>0.80127183753349129</v>
      </c>
      <c r="X46" s="193"/>
      <c r="Y46" s="18">
        <v>41639</v>
      </c>
      <c r="Z46" s="265">
        <v>-1.6793168880455482</v>
      </c>
      <c r="AA46" s="193"/>
      <c r="AB46" s="193"/>
      <c r="AC46" s="193"/>
      <c r="AD46" s="193"/>
      <c r="AE46" s="193"/>
      <c r="AF46" s="3"/>
      <c r="AG46" s="3"/>
      <c r="AH46" s="3"/>
      <c r="AI46" s="3"/>
      <c r="AJ46" s="193"/>
      <c r="AK46" s="193"/>
      <c r="AL46" s="193"/>
    </row>
    <row r="47" spans="1:38" ht="14.25" customHeight="1" outlineLevel="1">
      <c r="A47" s="193"/>
      <c r="B47" s="193"/>
      <c r="C47" s="3"/>
      <c r="D47" s="18">
        <v>41729</v>
      </c>
      <c r="E47" s="265">
        <v>-2.2226443768996944</v>
      </c>
      <c r="F47" s="265">
        <f>place!B67*100</f>
        <v>-0.94584056577006193</v>
      </c>
      <c r="G47" s="265">
        <f>(inflacija!C55+nezaposlenost!V60)-(inflacija!C51+nezaposlenost!V56)</f>
        <v>-0.16026020212135705</v>
      </c>
      <c r="H47" s="265">
        <v>-0.33000000000000007</v>
      </c>
      <c r="I47" s="265">
        <f>krediti!H55</f>
        <v>0.3024998421784062</v>
      </c>
      <c r="J47" s="260"/>
      <c r="K47" s="18">
        <v>41729</v>
      </c>
      <c r="L47" s="265">
        <v>-2.2226443768996944</v>
      </c>
      <c r="M47" s="265">
        <f>place!I67*100</f>
        <v>-0.94584056577006193</v>
      </c>
      <c r="N47" s="265">
        <f>(inflacija!G55+nezaposlenost!W60)-(inflacija!G51+nezaposlenost!W56)</f>
        <v>-0.16026020212135705</v>
      </c>
      <c r="O47" s="265">
        <v>-0.33000000000000007</v>
      </c>
      <c r="P47" s="265">
        <f>krediti!I55</f>
        <v>0.3024998421784062</v>
      </c>
      <c r="Q47" s="260"/>
      <c r="R47" s="18">
        <v>41729</v>
      </c>
      <c r="S47" s="265">
        <v>-2.2226443768996944</v>
      </c>
      <c r="T47" s="265">
        <f>place!P67*100</f>
        <v>-0.94584056577006193</v>
      </c>
      <c r="U47" s="265">
        <f>(inflacija!J55+nezaposlenost!X60)-(inflacija!J51+nezaposlenost!X56)</f>
        <v>-0.16026020212135705</v>
      </c>
      <c r="V47" s="265">
        <v>-0.33000000000000007</v>
      </c>
      <c r="W47" s="265">
        <f>krediti!J55</f>
        <v>0.3024998421784062</v>
      </c>
      <c r="X47" s="193"/>
      <c r="Y47" s="18">
        <v>41729</v>
      </c>
      <c r="Z47" s="265">
        <v>-2.2226443768996944</v>
      </c>
      <c r="AA47" s="193"/>
      <c r="AB47" s="193"/>
      <c r="AC47" s="193"/>
      <c r="AD47" s="193"/>
      <c r="AE47" s="193"/>
      <c r="AF47" s="3"/>
      <c r="AG47" s="3"/>
      <c r="AH47" s="3"/>
      <c r="AI47" s="3"/>
      <c r="AJ47" s="193"/>
      <c r="AK47" s="193"/>
      <c r="AL47" s="193"/>
    </row>
    <row r="48" spans="1:38" ht="14.25" customHeight="1" outlineLevel="1">
      <c r="A48" s="3"/>
      <c r="B48" s="3"/>
      <c r="C48" s="3"/>
      <c r="D48" s="18">
        <v>41820</v>
      </c>
      <c r="E48" s="265">
        <v>-0.77415655165822272</v>
      </c>
      <c r="F48" s="265">
        <f>place!B68*100</f>
        <v>-1.1120271786917768</v>
      </c>
      <c r="G48" s="265">
        <f>(inflacija!C56+nezaposlenost!V61)-(inflacija!C52+nezaposlenost!V57)</f>
        <v>-4.5916779881882306</v>
      </c>
      <c r="H48" s="265">
        <v>0.28999999999999915</v>
      </c>
      <c r="I48" s="265">
        <f>krediti!H56</f>
        <v>-0.99523758808408047</v>
      </c>
      <c r="J48" s="260"/>
      <c r="K48" s="18">
        <v>41820</v>
      </c>
      <c r="L48" s="265">
        <v>-0.77415655165822272</v>
      </c>
      <c r="M48" s="265">
        <f>place!I68*100</f>
        <v>-1.1120271786917768</v>
      </c>
      <c r="N48" s="265">
        <f>(inflacija!G56+nezaposlenost!W61)-(inflacija!G52+nezaposlenost!W57)</f>
        <v>-4.5916779881882306</v>
      </c>
      <c r="O48" s="265">
        <v>0.28999999999999915</v>
      </c>
      <c r="P48" s="265">
        <f>krediti!I56</f>
        <v>-0.99523758808408047</v>
      </c>
      <c r="Q48" s="260"/>
      <c r="R48" s="18">
        <v>41820</v>
      </c>
      <c r="S48" s="265">
        <v>-0.77415655165822272</v>
      </c>
      <c r="T48" s="265">
        <f>place!P68*100</f>
        <v>-1.1120271786917768</v>
      </c>
      <c r="U48" s="265">
        <f>(inflacija!J56+nezaposlenost!X61)-(inflacija!J52+nezaposlenost!X57)</f>
        <v>-4.5916779881882306</v>
      </c>
      <c r="V48" s="265">
        <v>0.28999999999999915</v>
      </c>
      <c r="W48" s="265">
        <f>krediti!J56</f>
        <v>-0.99523758808408047</v>
      </c>
      <c r="X48" s="193"/>
      <c r="Y48" s="18">
        <v>41820</v>
      </c>
      <c r="Z48" s="265">
        <v>-0.77415655165822272</v>
      </c>
      <c r="AA48" s="193"/>
      <c r="AB48" s="193"/>
      <c r="AC48" s="193"/>
      <c r="AD48" s="193"/>
      <c r="AE48" s="193"/>
      <c r="AF48" s="3"/>
      <c r="AG48" s="3"/>
      <c r="AH48" s="3"/>
      <c r="AI48" s="3"/>
      <c r="AJ48" s="193"/>
      <c r="AK48" s="193"/>
      <c r="AL48" s="193"/>
    </row>
    <row r="49" spans="1:38" ht="14.25" customHeight="1" outlineLevel="1">
      <c r="A49" s="3"/>
      <c r="B49" s="3"/>
      <c r="C49" s="3"/>
      <c r="D49" s="18">
        <v>41912</v>
      </c>
      <c r="E49" s="265">
        <v>-1.8767266838144252</v>
      </c>
      <c r="F49" s="265">
        <f>place!B69*100</f>
        <v>0.81628701579137264</v>
      </c>
      <c r="G49" s="265">
        <f>(inflacija!C57+nezaposlenost!V62)-(inflacija!C53+nezaposlenost!V58)</f>
        <v>-1.4545257180970808</v>
      </c>
      <c r="H49" s="265">
        <v>0.38999999999999968</v>
      </c>
      <c r="I49" s="265">
        <f>krediti!H57</f>
        <v>-0.89402284902550377</v>
      </c>
      <c r="J49" s="260"/>
      <c r="K49" s="18">
        <v>41912</v>
      </c>
      <c r="L49" s="265">
        <v>-1.8767266838144252</v>
      </c>
      <c r="M49" s="265">
        <f>place!I69*100</f>
        <v>0.81628701579137264</v>
      </c>
      <c r="N49" s="265">
        <f>(inflacija!G57+nezaposlenost!W62)-(inflacija!G53+nezaposlenost!W58)</f>
        <v>-1.4545257180970808</v>
      </c>
      <c r="O49" s="265">
        <v>0.38999999999999968</v>
      </c>
      <c r="P49" s="265">
        <f>krediti!I57</f>
        <v>-0.89402284902550377</v>
      </c>
      <c r="Q49" s="260"/>
      <c r="R49" s="18">
        <v>41912</v>
      </c>
      <c r="S49" s="265">
        <v>-1.8767266838144252</v>
      </c>
      <c r="T49" s="265">
        <f>place!P69*100</f>
        <v>0.81628701579137264</v>
      </c>
      <c r="U49" s="265">
        <f>(inflacija!J57+nezaposlenost!X62)-(inflacija!J53+nezaposlenost!X58)</f>
        <v>-1.4545257180970808</v>
      </c>
      <c r="V49" s="265">
        <v>0.38999999999999968</v>
      </c>
      <c r="W49" s="265">
        <f>krediti!J57</f>
        <v>-0.89402284902550377</v>
      </c>
      <c r="X49" s="193"/>
      <c r="Y49" s="18">
        <v>41912</v>
      </c>
      <c r="Z49" s="265">
        <v>-1.8767266838144252</v>
      </c>
      <c r="AA49" s="193"/>
      <c r="AB49" s="193"/>
      <c r="AC49" s="193"/>
      <c r="AD49" s="193"/>
      <c r="AE49" s="193"/>
      <c r="AF49" s="3"/>
      <c r="AG49" s="3"/>
      <c r="AH49" s="3"/>
      <c r="AI49" s="3"/>
      <c r="AJ49" s="193"/>
      <c r="AK49" s="193"/>
      <c r="AL49" s="193"/>
    </row>
    <row r="50" spans="1:38" ht="14.25" customHeight="1" outlineLevel="1">
      <c r="A50" s="3"/>
      <c r="B50" s="3"/>
      <c r="C50" s="3"/>
      <c r="D50" s="18">
        <v>42004</v>
      </c>
      <c r="E50" s="265">
        <v>-1.4378075846762499</v>
      </c>
      <c r="F50" s="265">
        <f>place!B70*100</f>
        <v>1.0747345927294649</v>
      </c>
      <c r="G50" s="265">
        <f>(inflacija!C58+nezaposlenost!V63)-(inflacija!C54+nezaposlenost!V59)</f>
        <v>-0.66858873114981776</v>
      </c>
      <c r="H50" s="265">
        <v>9.9999999999997868E-3</v>
      </c>
      <c r="I50" s="265">
        <f>krediti!H58</f>
        <v>-1.49794183246469</v>
      </c>
      <c r="J50" s="260"/>
      <c r="K50" s="18">
        <v>42004</v>
      </c>
      <c r="L50" s="265">
        <v>-1.4378075846762499</v>
      </c>
      <c r="M50" s="265">
        <f>place!I70*100</f>
        <v>1.0747345927294649</v>
      </c>
      <c r="N50" s="265">
        <f>(inflacija!G58+nezaposlenost!W63)-(inflacija!G54+nezaposlenost!W59)</f>
        <v>-0.66858873114981776</v>
      </c>
      <c r="O50" s="265">
        <v>9.9999999999997868E-3</v>
      </c>
      <c r="P50" s="265">
        <f>krediti!I58</f>
        <v>-1.49794183246469</v>
      </c>
      <c r="Q50" s="260"/>
      <c r="R50" s="18">
        <v>42004</v>
      </c>
      <c r="S50" s="265">
        <v>-1.4378075846762499</v>
      </c>
      <c r="T50" s="265">
        <f>place!P70*100</f>
        <v>1.0747345927294649</v>
      </c>
      <c r="U50" s="265">
        <f>(inflacija!J58+nezaposlenost!X63)-(inflacija!J54+nezaposlenost!X59)</f>
        <v>-0.66858873114981776</v>
      </c>
      <c r="V50" s="265">
        <v>9.9999999999997868E-3</v>
      </c>
      <c r="W50" s="265">
        <f>krediti!J58</f>
        <v>-1.49794183246469</v>
      </c>
      <c r="X50" s="193"/>
      <c r="Y50" s="18">
        <v>42004</v>
      </c>
      <c r="Z50" s="265">
        <v>-1.4378075846762499</v>
      </c>
      <c r="AA50" s="193"/>
      <c r="AB50" s="193"/>
      <c r="AC50" s="193"/>
      <c r="AD50" s="193"/>
      <c r="AE50" s="193"/>
      <c r="AF50" s="3"/>
      <c r="AG50" s="3"/>
      <c r="AH50" s="3"/>
      <c r="AI50" s="3"/>
      <c r="AJ50" s="193"/>
      <c r="AK50" s="193"/>
      <c r="AL50" s="193"/>
    </row>
    <row r="51" spans="1:38" ht="14.25" customHeight="1" outlineLevel="1">
      <c r="A51" s="3"/>
      <c r="B51" s="3"/>
      <c r="C51" s="3"/>
      <c r="D51" s="18">
        <v>42094</v>
      </c>
      <c r="E51" s="265">
        <v>-1.836020983096958</v>
      </c>
      <c r="F51" s="265">
        <f>place!B71*100</f>
        <v>-4.3300833802127459</v>
      </c>
      <c r="G51" s="265">
        <f>(inflacija!C59+nezaposlenost!V64)-(inflacija!C55+nezaposlenost!V60)</f>
        <v>-1.0146524464718922</v>
      </c>
      <c r="H51" s="265">
        <v>0.37999999999999989</v>
      </c>
      <c r="I51" s="265">
        <f>krediti!H59</f>
        <v>-1.6046080166230041</v>
      </c>
      <c r="J51" s="260"/>
      <c r="K51" s="18">
        <v>42094</v>
      </c>
      <c r="L51" s="265">
        <v>-1.836020983096958</v>
      </c>
      <c r="M51" s="265">
        <f>place!I71*100</f>
        <v>-4.3300833802127459</v>
      </c>
      <c r="N51" s="265">
        <f>(inflacija!G59+nezaposlenost!W64)-(inflacija!G55+nezaposlenost!W60)</f>
        <v>-1.0146524464718922</v>
      </c>
      <c r="O51" s="265">
        <v>0.37999999999999989</v>
      </c>
      <c r="P51" s="265">
        <f>krediti!I59</f>
        <v>-1.6046080166230041</v>
      </c>
      <c r="Q51" s="260"/>
      <c r="R51" s="18">
        <v>42094</v>
      </c>
      <c r="S51" s="265">
        <v>-1.836020983096958</v>
      </c>
      <c r="T51" s="265">
        <f>place!P71*100</f>
        <v>-4.3300833802127459</v>
      </c>
      <c r="U51" s="265">
        <f>(inflacija!J59+nezaposlenost!X64)-(inflacija!J55+nezaposlenost!X60)</f>
        <v>-1.0146524464718922</v>
      </c>
      <c r="V51" s="265">
        <v>0.37999999999999989</v>
      </c>
      <c r="W51" s="265">
        <f>krediti!J59</f>
        <v>-1.6046080166230041</v>
      </c>
      <c r="X51" s="193"/>
      <c r="Y51" s="18">
        <v>42094</v>
      </c>
      <c r="Z51" s="265">
        <v>-1.836020983096958</v>
      </c>
      <c r="AA51" s="193"/>
      <c r="AB51" s="193"/>
      <c r="AC51" s="193"/>
      <c r="AD51" s="193"/>
      <c r="AE51" s="193"/>
      <c r="AF51" s="3"/>
      <c r="AG51" s="3"/>
      <c r="AH51" s="3"/>
      <c r="AI51" s="3"/>
      <c r="AJ51" s="193"/>
      <c r="AK51" s="193"/>
      <c r="AL51" s="193"/>
    </row>
    <row r="52" spans="1:38" ht="14.25" customHeight="1" outlineLevel="1">
      <c r="A52" s="3"/>
      <c r="B52" s="3"/>
      <c r="C52" s="3"/>
      <c r="D52" s="18">
        <v>42185</v>
      </c>
      <c r="E52" s="265">
        <v>-4.5174340204199552</v>
      </c>
      <c r="F52" s="265">
        <f>place!B72*100</f>
        <v>-3.5465549519204109</v>
      </c>
      <c r="G52" s="265">
        <f>(inflacija!C60+nezaposlenost!V65)-(inflacija!C56+nezaposlenost!V61)</f>
        <v>-0.33339141536036365</v>
      </c>
      <c r="H52" s="265">
        <v>-0.29999999999999982</v>
      </c>
      <c r="I52" s="265">
        <f>krediti!H60</f>
        <v>-1.9168879288737202</v>
      </c>
      <c r="J52" s="260"/>
      <c r="K52" s="18">
        <v>42185</v>
      </c>
      <c r="L52" s="265">
        <v>-4.5174340204199552</v>
      </c>
      <c r="M52" s="265">
        <f>place!I72*100</f>
        <v>-3.5465549519204109</v>
      </c>
      <c r="N52" s="265">
        <f>(inflacija!G60+nezaposlenost!W65)-(inflacija!G56+nezaposlenost!W61)</f>
        <v>-0.33339141536036365</v>
      </c>
      <c r="O52" s="265">
        <v>-0.29999999999999982</v>
      </c>
      <c r="P52" s="265">
        <f>krediti!I60</f>
        <v>-1.9168879288737202</v>
      </c>
      <c r="Q52" s="260"/>
      <c r="R52" s="18">
        <v>42185</v>
      </c>
      <c r="S52" s="265">
        <v>-4.5174340204199552</v>
      </c>
      <c r="T52" s="265">
        <f>place!P72*100</f>
        <v>-3.5465549519204109</v>
      </c>
      <c r="U52" s="265">
        <f>(inflacija!J60+nezaposlenost!X65)-(inflacija!J56+nezaposlenost!X61)</f>
        <v>-0.33339141536036365</v>
      </c>
      <c r="V52" s="265">
        <v>-0.29999999999999982</v>
      </c>
      <c r="W52" s="265">
        <f>krediti!J60</f>
        <v>-1.9168879288737202</v>
      </c>
      <c r="X52" s="193"/>
      <c r="Y52" s="18">
        <v>42185</v>
      </c>
      <c r="Z52" s="265">
        <v>-4.5174340204199552</v>
      </c>
      <c r="AA52" s="193"/>
      <c r="AB52" s="193"/>
      <c r="AC52" s="193"/>
      <c r="AD52" s="193"/>
      <c r="AE52" s="193"/>
      <c r="AF52" s="3"/>
      <c r="AG52" s="3"/>
      <c r="AH52" s="3"/>
      <c r="AI52" s="3"/>
      <c r="AJ52" s="193"/>
      <c r="AK52" s="193"/>
      <c r="AL52" s="193"/>
    </row>
    <row r="53" spans="1:38" ht="14.25" customHeight="1" outlineLevel="1">
      <c r="A53" s="3"/>
      <c r="B53" s="3"/>
      <c r="C53" s="3"/>
      <c r="D53" s="18">
        <v>42277</v>
      </c>
      <c r="E53" s="265">
        <v>-3.0485436893203968</v>
      </c>
      <c r="F53" s="265">
        <f>place!B73*100</f>
        <v>-4.3665600328341885</v>
      </c>
      <c r="G53" s="265">
        <f>(inflacija!C61+nezaposlenost!V66)-(inflacija!C57+nezaposlenost!V62)</f>
        <v>-4.2275800668489936</v>
      </c>
      <c r="H53" s="265">
        <v>-0.29000000000000004</v>
      </c>
      <c r="I53" s="265">
        <f>krediti!H61</f>
        <v>-1.9763381704152465</v>
      </c>
      <c r="J53" s="260"/>
      <c r="K53" s="18">
        <v>42277</v>
      </c>
      <c r="L53" s="265">
        <v>-3.0485436893203968</v>
      </c>
      <c r="M53" s="265">
        <f>place!I73*100</f>
        <v>-4.3665600328341885</v>
      </c>
      <c r="N53" s="265">
        <f>(inflacija!G61+nezaposlenost!W66)-(inflacija!G57+nezaposlenost!W62)</f>
        <v>-4.2275800668489936</v>
      </c>
      <c r="O53" s="265">
        <v>-0.29000000000000004</v>
      </c>
      <c r="P53" s="265">
        <f>krediti!I61</f>
        <v>-1.9763381704152465</v>
      </c>
      <c r="Q53" s="260"/>
      <c r="R53" s="18">
        <v>42277</v>
      </c>
      <c r="S53" s="265">
        <v>-3.0485436893203968</v>
      </c>
      <c r="T53" s="265">
        <f>place!P73*100</f>
        <v>-4.3665600328341885</v>
      </c>
      <c r="U53" s="265">
        <f>(inflacija!J61+nezaposlenost!X66)-(inflacija!J57+nezaposlenost!X62)</f>
        <v>-4.2275800668489936</v>
      </c>
      <c r="V53" s="265">
        <v>-0.29000000000000004</v>
      </c>
      <c r="W53" s="265">
        <f>krediti!J61</f>
        <v>-1.9763381704152465</v>
      </c>
      <c r="X53" s="193"/>
      <c r="Y53" s="18">
        <v>42277</v>
      </c>
      <c r="Z53" s="265">
        <v>-3.0485436893203968</v>
      </c>
      <c r="AA53" s="193"/>
      <c r="AB53" s="193"/>
      <c r="AC53" s="193"/>
      <c r="AD53" s="193"/>
      <c r="AE53" s="193"/>
      <c r="AF53" s="3"/>
      <c r="AG53" s="3"/>
      <c r="AH53" s="3"/>
      <c r="AI53" s="3"/>
      <c r="AJ53" s="193"/>
      <c r="AK53" s="193"/>
      <c r="AL53" s="193"/>
    </row>
    <row r="54" spans="1:38" ht="14.25" customHeight="1" outlineLevel="1">
      <c r="A54" s="3"/>
      <c r="B54" s="3"/>
      <c r="C54" s="3"/>
      <c r="D54" s="18">
        <v>42369</v>
      </c>
      <c r="E54" s="265">
        <v>-2.13432543567653</v>
      </c>
      <c r="F54" s="265">
        <f>place!B74*100</f>
        <v>-3.9898269610761261</v>
      </c>
      <c r="G54" s="265">
        <f>(inflacija!C62+nezaposlenost!V67)-(inflacija!C58+nezaposlenost!V63)</f>
        <v>-3.0763411050329506</v>
      </c>
      <c r="H54" s="265">
        <v>0.5</v>
      </c>
      <c r="I54" s="265">
        <f>krediti!H62</f>
        <v>-2.2821843390586309</v>
      </c>
      <c r="J54" s="260"/>
      <c r="K54" s="18">
        <v>42369</v>
      </c>
      <c r="L54" s="265">
        <v>-2.13432543567653</v>
      </c>
      <c r="M54" s="265">
        <f>place!I74*100</f>
        <v>-3.9898269610761261</v>
      </c>
      <c r="N54" s="265">
        <f>(inflacija!G62+nezaposlenost!W67)-(inflacija!G58+nezaposlenost!W63)</f>
        <v>-3.0763411050329506</v>
      </c>
      <c r="O54" s="265">
        <v>0.5</v>
      </c>
      <c r="P54" s="265">
        <f>krediti!I62</f>
        <v>-2.2821843390586309</v>
      </c>
      <c r="Q54" s="260"/>
      <c r="R54" s="18">
        <v>42369</v>
      </c>
      <c r="S54" s="265">
        <v>-2.13432543567653</v>
      </c>
      <c r="T54" s="265">
        <f>place!P74*100</f>
        <v>-3.9898269610761261</v>
      </c>
      <c r="U54" s="265">
        <f>(inflacija!J62+nezaposlenost!X67)-(inflacija!J58+nezaposlenost!X63)</f>
        <v>-3.0763411050329506</v>
      </c>
      <c r="V54" s="265">
        <v>0.5</v>
      </c>
      <c r="W54" s="265">
        <f>krediti!J62</f>
        <v>-2.2821843390586309</v>
      </c>
      <c r="X54" s="193"/>
      <c r="Y54" s="18">
        <v>42369</v>
      </c>
      <c r="Z54" s="265">
        <v>-2.13432543567653</v>
      </c>
      <c r="AA54" s="193"/>
      <c r="AB54" s="193"/>
      <c r="AC54" s="193"/>
      <c r="AD54" s="193"/>
      <c r="AE54" s="193"/>
      <c r="AF54" s="3"/>
      <c r="AG54" s="3"/>
      <c r="AH54" s="3"/>
      <c r="AI54" s="3"/>
      <c r="AJ54" s="193"/>
      <c r="AK54" s="193"/>
      <c r="AL54" s="193"/>
    </row>
    <row r="55" spans="1:38" ht="14.25" customHeight="1" outlineLevel="1">
      <c r="A55" s="3"/>
      <c r="B55" s="3"/>
      <c r="C55" s="3"/>
      <c r="D55" s="18">
        <v>42460</v>
      </c>
      <c r="E55" s="265">
        <v>0.15833745670460075</v>
      </c>
      <c r="F55" s="265">
        <f>place!B75*100</f>
        <v>1.9532965554471371</v>
      </c>
      <c r="G55" s="265">
        <f>(inflacija!C63+nezaposlenost!V68)-(inflacija!C59+nezaposlenost!V64)</f>
        <v>-4.525337637466853</v>
      </c>
      <c r="H55" s="265">
        <v>0.5600000000000005</v>
      </c>
      <c r="I55" s="265">
        <f>krediti!H63</f>
        <v>-0.87373908172831705</v>
      </c>
      <c r="J55" s="260"/>
      <c r="K55" s="18">
        <v>42460</v>
      </c>
      <c r="L55" s="265">
        <v>0.15833745670460075</v>
      </c>
      <c r="M55" s="265">
        <f>place!I75*100</f>
        <v>1.9532965554471371</v>
      </c>
      <c r="N55" s="265">
        <f>(inflacija!G63+nezaposlenost!W68)-(inflacija!G59+nezaposlenost!W64)</f>
        <v>-4.525337637466853</v>
      </c>
      <c r="O55" s="265">
        <v>0.5600000000000005</v>
      </c>
      <c r="P55" s="265">
        <f>krediti!I63</f>
        <v>-0.87373908172831705</v>
      </c>
      <c r="Q55" s="260"/>
      <c r="R55" s="18">
        <v>42460</v>
      </c>
      <c r="S55" s="265">
        <v>0.15833745670460075</v>
      </c>
      <c r="T55" s="265">
        <f>place!P75*100</f>
        <v>1.9532965554471371</v>
      </c>
      <c r="U55" s="265">
        <f>(inflacija!J63+nezaposlenost!X68)-(inflacija!J59+nezaposlenost!X64)</f>
        <v>-4.525337637466853</v>
      </c>
      <c r="V55" s="265">
        <v>0.5600000000000005</v>
      </c>
      <c r="W55" s="265">
        <f>krediti!J63</f>
        <v>-0.87373908172831705</v>
      </c>
      <c r="X55" s="193"/>
      <c r="Y55" s="18">
        <v>42460</v>
      </c>
      <c r="Z55" s="265">
        <v>0.15833745670460075</v>
      </c>
      <c r="AA55" s="193"/>
      <c r="AB55" s="193"/>
      <c r="AC55" s="193"/>
      <c r="AD55" s="193"/>
      <c r="AE55" s="193"/>
      <c r="AF55" s="3"/>
      <c r="AG55" s="3"/>
      <c r="AH55" s="3"/>
      <c r="AI55" s="3"/>
      <c r="AJ55" s="193"/>
      <c r="AK55" s="193"/>
      <c r="AL55" s="193"/>
    </row>
    <row r="56" spans="1:38" ht="14.25" customHeight="1" outlineLevel="1">
      <c r="A56" s="3"/>
      <c r="B56" s="3"/>
      <c r="C56" s="3"/>
      <c r="D56" s="18">
        <v>42551</v>
      </c>
      <c r="E56" s="265">
        <v>1.16009280742459</v>
      </c>
      <c r="F56" s="265">
        <f>place!B76*100</f>
        <v>1.9483546358210369</v>
      </c>
      <c r="G56" s="265">
        <f>(inflacija!C64+nezaposlenost!V69)-(inflacija!C60+nezaposlenost!V65)</f>
        <v>-3.9352126815864406</v>
      </c>
      <c r="H56" s="265">
        <v>-0.16000000000000014</v>
      </c>
      <c r="I56" s="265">
        <f>krediti!H64</f>
        <v>-0.19383711145928828</v>
      </c>
      <c r="J56" s="260"/>
      <c r="K56" s="18">
        <v>42551</v>
      </c>
      <c r="L56" s="265">
        <v>1.16009280742459</v>
      </c>
      <c r="M56" s="265">
        <f>place!I76*100</f>
        <v>1.9483546358210369</v>
      </c>
      <c r="N56" s="265">
        <f>(inflacija!G64+nezaposlenost!W69)-(inflacija!G60+nezaposlenost!W65)</f>
        <v>-3.9352126815864406</v>
      </c>
      <c r="O56" s="265">
        <v>-0.16000000000000014</v>
      </c>
      <c r="P56" s="265">
        <f>krediti!I64</f>
        <v>-0.19383711145928828</v>
      </c>
      <c r="Q56" s="260"/>
      <c r="R56" s="18">
        <v>42551</v>
      </c>
      <c r="S56" s="265">
        <v>1.16009280742459</v>
      </c>
      <c r="T56" s="265">
        <f>place!P76*100</f>
        <v>1.9483546358210369</v>
      </c>
      <c r="U56" s="265">
        <f>(inflacija!J64+nezaposlenost!X69)-(inflacija!J60+nezaposlenost!X65)</f>
        <v>-3.9352126815864406</v>
      </c>
      <c r="V56" s="265">
        <v>-0.16000000000000014</v>
      </c>
      <c r="W56" s="265">
        <f>krediti!J64</f>
        <v>-0.19383711145928828</v>
      </c>
      <c r="X56" s="193"/>
      <c r="Y56" s="18">
        <v>42551</v>
      </c>
      <c r="Z56" s="265">
        <v>1.16009280742459</v>
      </c>
      <c r="AA56" s="193"/>
      <c r="AB56" s="193"/>
      <c r="AC56" s="193"/>
      <c r="AD56" s="193"/>
      <c r="AE56" s="193"/>
      <c r="AF56" s="3"/>
      <c r="AG56" s="3"/>
      <c r="AH56" s="3"/>
      <c r="AI56" s="3"/>
      <c r="AJ56" s="193"/>
      <c r="AK56" s="193"/>
      <c r="AL56" s="193"/>
    </row>
    <row r="57" spans="1:38" ht="14.25" customHeight="1" outlineLevel="1">
      <c r="A57" s="3"/>
      <c r="B57" s="3"/>
      <c r="C57" s="3"/>
      <c r="D57" s="18">
        <v>42643</v>
      </c>
      <c r="E57" s="265">
        <v>1.452032845984391</v>
      </c>
      <c r="F57" s="265">
        <f>place!B77*100</f>
        <v>1.2541411130300828</v>
      </c>
      <c r="G57" s="265">
        <f>(inflacija!C65+nezaposlenost!V70)-(inflacija!C61+nezaposlenost!V66)</f>
        <v>2.4952240560168093E-2</v>
      </c>
      <c r="H57" s="265">
        <v>-0.54</v>
      </c>
      <c r="I57" s="265">
        <f>krediti!H65</f>
        <v>0.43816731632175276</v>
      </c>
      <c r="J57" s="260"/>
      <c r="K57" s="18">
        <v>42643</v>
      </c>
      <c r="L57" s="265">
        <v>1.452032845984391</v>
      </c>
      <c r="M57" s="265">
        <f>place!I77*100</f>
        <v>1.2541411130300828</v>
      </c>
      <c r="N57" s="265">
        <f>(inflacija!G65+nezaposlenost!W70)-(inflacija!G61+nezaposlenost!W66)</f>
        <v>2.4952240560168093E-2</v>
      </c>
      <c r="O57" s="265">
        <v>-0.54</v>
      </c>
      <c r="P57" s="265">
        <f>krediti!I65</f>
        <v>0.43816731632175276</v>
      </c>
      <c r="Q57" s="260"/>
      <c r="R57" s="18">
        <v>42643</v>
      </c>
      <c r="S57" s="265">
        <v>1.452032845984391</v>
      </c>
      <c r="T57" s="265">
        <f>place!P77*100</f>
        <v>1.2541411130300828</v>
      </c>
      <c r="U57" s="265">
        <f>(inflacija!J65+nezaposlenost!X70)-(inflacija!J61+nezaposlenost!X66)</f>
        <v>2.4952240560168093E-2</v>
      </c>
      <c r="V57" s="265">
        <v>-0.54</v>
      </c>
      <c r="W57" s="265">
        <f>krediti!J65</f>
        <v>0.43816731632175276</v>
      </c>
      <c r="X57" s="193"/>
      <c r="Y57" s="18">
        <v>42643</v>
      </c>
      <c r="Z57" s="265">
        <v>1.452032845984391</v>
      </c>
      <c r="AA57" s="193"/>
      <c r="AB57" s="193"/>
      <c r="AC57" s="193"/>
      <c r="AD57" s="193"/>
      <c r="AE57" s="193"/>
      <c r="AF57" s="3"/>
      <c r="AG57" s="3"/>
      <c r="AH57" s="3"/>
      <c r="AI57" s="3"/>
      <c r="AJ57" s="193"/>
      <c r="AK57" s="193"/>
      <c r="AL57" s="193"/>
    </row>
    <row r="58" spans="1:38" ht="14.25" customHeight="1" outlineLevel="1">
      <c r="A58" s="193"/>
      <c r="B58" s="193"/>
      <c r="C58" s="3"/>
      <c r="D58" s="18">
        <v>42735</v>
      </c>
      <c r="E58" s="265">
        <v>0.79031612645059113</v>
      </c>
      <c r="F58" s="265">
        <f>place!B78*100</f>
        <v>1.984059976565411</v>
      </c>
      <c r="G58" s="265">
        <f>(inflacija!C66+nezaposlenost!V71)-(inflacija!C62+nezaposlenost!V67)</f>
        <v>-0.59704473613201614</v>
      </c>
      <c r="H58" s="265">
        <v>-1.63</v>
      </c>
      <c r="I58" s="265">
        <f>krediti!H66</f>
        <v>1.1071854037444098</v>
      </c>
      <c r="J58" s="260"/>
      <c r="K58" s="18">
        <v>42735</v>
      </c>
      <c r="L58" s="265">
        <v>0.79031612645059113</v>
      </c>
      <c r="M58" s="265">
        <f>place!I78*100</f>
        <v>1.984059976565411</v>
      </c>
      <c r="N58" s="265">
        <f>(inflacija!G66+nezaposlenost!W71)-(inflacija!G62+nezaposlenost!W67)</f>
        <v>-0.59704473613201614</v>
      </c>
      <c r="O58" s="265">
        <v>-1.63</v>
      </c>
      <c r="P58" s="265">
        <f>krediti!I66</f>
        <v>1.1071854037444098</v>
      </c>
      <c r="Q58" s="260"/>
      <c r="R58" s="18">
        <v>42735</v>
      </c>
      <c r="S58" s="265">
        <v>0.79031612645059113</v>
      </c>
      <c r="T58" s="265">
        <f>place!P78*100</f>
        <v>1.984059976565411</v>
      </c>
      <c r="U58" s="265">
        <f>(inflacija!J66+nezaposlenost!X71)-(inflacija!J62+nezaposlenost!X67)</f>
        <v>-0.59704473613201614</v>
      </c>
      <c r="V58" s="265">
        <v>-1.63</v>
      </c>
      <c r="W58" s="265">
        <f>krediti!J66</f>
        <v>1.1071854037444098</v>
      </c>
      <c r="X58" s="193"/>
      <c r="Y58" s="18">
        <v>42735</v>
      </c>
      <c r="Z58" s="265">
        <v>0.79031612645059113</v>
      </c>
      <c r="AA58" s="193"/>
      <c r="AB58" s="193"/>
      <c r="AC58" s="193"/>
      <c r="AD58" s="193"/>
      <c r="AE58" s="193"/>
      <c r="AF58" s="3"/>
      <c r="AG58" s="3"/>
      <c r="AH58" s="3"/>
      <c r="AI58" s="3"/>
      <c r="AJ58" s="193"/>
      <c r="AK58" s="193"/>
      <c r="AL58" s="193"/>
    </row>
    <row r="59" spans="1:38" ht="14.25" customHeight="1" outlineLevel="1">
      <c r="A59" s="193"/>
      <c r="B59" s="193"/>
      <c r="C59" s="3"/>
      <c r="D59" s="18">
        <v>42825</v>
      </c>
      <c r="E59" s="265">
        <v>-0.35569607746269583</v>
      </c>
      <c r="F59" s="265">
        <f>place!B79*100</f>
        <v>3.4599141067207739</v>
      </c>
      <c r="G59" s="265">
        <f>(inflacija!C67+nezaposlenost!V72)-(inflacija!C63+nezaposlenost!V68)</f>
        <v>0.86284811250608229</v>
      </c>
      <c r="H59" s="265">
        <v>-1.8200000000000003</v>
      </c>
      <c r="I59" s="265">
        <f>krediti!H67</f>
        <v>0.83939530992257971</v>
      </c>
      <c r="J59" s="260"/>
      <c r="K59" s="18">
        <v>42825</v>
      </c>
      <c r="L59" s="265">
        <v>-0.35569607746269583</v>
      </c>
      <c r="M59" s="265">
        <f>place!I79*100</f>
        <v>3.4599141067207739</v>
      </c>
      <c r="N59" s="265">
        <f>(inflacija!G67+nezaposlenost!W72)-(inflacija!G63+nezaposlenost!W68)</f>
        <v>0.86284811250608229</v>
      </c>
      <c r="O59" s="265">
        <v>-1.8200000000000003</v>
      </c>
      <c r="P59" s="265">
        <f>krediti!I67</f>
        <v>0.83939530992257971</v>
      </c>
      <c r="Q59" s="260"/>
      <c r="R59" s="18">
        <v>42825</v>
      </c>
      <c r="S59" s="265">
        <v>-0.35569607746269583</v>
      </c>
      <c r="T59" s="265">
        <f>place!P79*100</f>
        <v>3.4599141067207739</v>
      </c>
      <c r="U59" s="265">
        <f>(inflacija!J67+nezaposlenost!X72)-(inflacija!J63+nezaposlenost!X68)</f>
        <v>0.86284811250608229</v>
      </c>
      <c r="V59" s="265">
        <v>-1.8200000000000003</v>
      </c>
      <c r="W59" s="265">
        <f>krediti!J67</f>
        <v>0.83939530992257971</v>
      </c>
      <c r="X59" s="193"/>
      <c r="Y59" s="18">
        <v>42825</v>
      </c>
      <c r="Z59" s="265">
        <v>-0.35569607746269583</v>
      </c>
      <c r="AA59" s="193"/>
      <c r="AB59" s="193"/>
      <c r="AC59" s="193"/>
      <c r="AD59" s="193"/>
      <c r="AE59" s="193"/>
      <c r="AF59" s="3"/>
      <c r="AG59" s="3"/>
      <c r="AH59" s="3"/>
      <c r="AI59" s="3"/>
      <c r="AJ59" s="193"/>
      <c r="AK59" s="193"/>
      <c r="AL59" s="193"/>
    </row>
    <row r="60" spans="1:38" ht="14.25" customHeight="1" outlineLevel="1">
      <c r="A60" s="193"/>
      <c r="B60" s="193"/>
      <c r="C60" s="3"/>
      <c r="D60" s="18">
        <v>42916</v>
      </c>
      <c r="E60" s="265">
        <v>4.258077383326679</v>
      </c>
      <c r="F60" s="265">
        <f>place!B80*100</f>
        <v>3.4408831137661355</v>
      </c>
      <c r="G60" s="265">
        <f>(inflacija!C68+nezaposlenost!V73)-(inflacija!C64+nezaposlenost!V69)</f>
        <v>-1.2590569771977993</v>
      </c>
      <c r="H60" s="265">
        <v>-0.95999999999999952</v>
      </c>
      <c r="I60" s="265">
        <f>krediti!H68</f>
        <v>1.7238004938552933</v>
      </c>
      <c r="J60" s="260"/>
      <c r="K60" s="18">
        <v>42916</v>
      </c>
      <c r="L60" s="265">
        <v>4.258077383326679</v>
      </c>
      <c r="M60" s="265">
        <f>place!I80*100</f>
        <v>3.4408831137661355</v>
      </c>
      <c r="N60" s="265">
        <f>(inflacija!G68+nezaposlenost!W73)-(inflacija!G64+nezaposlenost!W69)</f>
        <v>-1.2590569771977993</v>
      </c>
      <c r="O60" s="265">
        <v>-0.95999999999999952</v>
      </c>
      <c r="P60" s="265">
        <f>krediti!I68</f>
        <v>1.7238004938552933</v>
      </c>
      <c r="Q60" s="260"/>
      <c r="R60" s="18">
        <v>42916</v>
      </c>
      <c r="S60" s="265">
        <v>4.258077383326679</v>
      </c>
      <c r="T60" s="265">
        <f>place!P80*100</f>
        <v>3.4408831137661355</v>
      </c>
      <c r="U60" s="265">
        <f>(inflacija!J68+nezaposlenost!X73)-(inflacija!J64+nezaposlenost!X69)</f>
        <v>-1.2590569771977993</v>
      </c>
      <c r="V60" s="265">
        <v>-0.95999999999999952</v>
      </c>
      <c r="W60" s="265">
        <f>krediti!J68</f>
        <v>1.7238004938552933</v>
      </c>
      <c r="X60" s="193"/>
      <c r="Y60" s="18">
        <v>42916</v>
      </c>
      <c r="Z60" s="265">
        <v>4.258077383326679</v>
      </c>
      <c r="AA60" s="193"/>
      <c r="AB60" s="193"/>
      <c r="AC60" s="193"/>
      <c r="AD60" s="193"/>
      <c r="AE60" s="193"/>
      <c r="AF60" s="3"/>
      <c r="AG60" s="3"/>
      <c r="AH60" s="3"/>
      <c r="AI60" s="3"/>
      <c r="AJ60" s="193"/>
      <c r="AK60" s="193"/>
      <c r="AL60" s="193"/>
    </row>
    <row r="61" spans="1:38" ht="14.25" customHeight="1" outlineLevel="1">
      <c r="A61" s="193"/>
      <c r="B61" s="193"/>
      <c r="C61" s="3"/>
      <c r="D61" s="18">
        <v>43008</v>
      </c>
      <c r="E61" s="265">
        <v>3.7706050735366574</v>
      </c>
      <c r="F61" s="265">
        <f>place!B81*100</f>
        <v>4.7355946115209768</v>
      </c>
      <c r="G61" s="265">
        <f>(inflacija!C69+nezaposlenost!V74)-(inflacija!C65+nezaposlenost!V70)</f>
        <v>-3.9734243441413462</v>
      </c>
      <c r="H61" s="265">
        <v>-0.67999999999999972</v>
      </c>
      <c r="I61" s="265">
        <f>krediti!H69</f>
        <v>1.8781511318490089</v>
      </c>
      <c r="J61" s="260"/>
      <c r="K61" s="18">
        <v>43008</v>
      </c>
      <c r="L61" s="265">
        <v>3.7706050735366574</v>
      </c>
      <c r="M61" s="265">
        <f>place!I81*100</f>
        <v>4.7355946115209768</v>
      </c>
      <c r="N61" s="265">
        <f>(inflacija!G69+nezaposlenost!W74)-(inflacija!G65+nezaposlenost!W70)</f>
        <v>-3.9734243441413462</v>
      </c>
      <c r="O61" s="265">
        <v>-0.67999999999999972</v>
      </c>
      <c r="P61" s="265">
        <f>krediti!I69</f>
        <v>1.8781511318490089</v>
      </c>
      <c r="Q61" s="260"/>
      <c r="R61" s="18">
        <v>43008</v>
      </c>
      <c r="S61" s="265">
        <v>3.7706050735366574</v>
      </c>
      <c r="T61" s="265">
        <f>place!P81*100</f>
        <v>4.7355946115209768</v>
      </c>
      <c r="U61" s="265">
        <f>(inflacija!J69+nezaposlenost!X74)-(inflacija!J65+nezaposlenost!X70)</f>
        <v>-3.9734243441413462</v>
      </c>
      <c r="V61" s="265">
        <v>-0.67999999999999972</v>
      </c>
      <c r="W61" s="265">
        <f>krediti!J69</f>
        <v>1.8781511318490089</v>
      </c>
      <c r="X61" s="193"/>
      <c r="Y61" s="18">
        <v>43008</v>
      </c>
      <c r="Z61" s="265">
        <v>3.7706050735366574</v>
      </c>
      <c r="AA61" s="193"/>
      <c r="AB61" s="193"/>
      <c r="AC61" s="193"/>
      <c r="AD61" s="193"/>
      <c r="AE61" s="193"/>
      <c r="AF61" s="3"/>
      <c r="AG61" s="3"/>
      <c r="AH61" s="3"/>
      <c r="AI61" s="3"/>
      <c r="AJ61" s="193"/>
      <c r="AK61" s="193"/>
      <c r="AL61" s="193"/>
    </row>
    <row r="62" spans="1:38" ht="14.25" customHeight="1" outlineLevel="1">
      <c r="A62" s="193"/>
      <c r="B62" s="193"/>
      <c r="C62" s="3"/>
      <c r="D62" s="18">
        <v>43100</v>
      </c>
      <c r="E62" s="265">
        <v>7.6426799007444117</v>
      </c>
      <c r="F62" s="265">
        <f>place!B82*100</f>
        <v>5.4568120233337902</v>
      </c>
      <c r="G62" s="265">
        <f>(inflacija!C70+nezaposlenost!V75)-(inflacija!C66+nezaposlenost!V71)</f>
        <v>-3.2803605917825021</v>
      </c>
      <c r="H62" s="265">
        <v>-0.43999999999999995</v>
      </c>
      <c r="I62" s="265">
        <f>krediti!H70</f>
        <v>2.8526205813892602</v>
      </c>
      <c r="J62" s="260"/>
      <c r="K62" s="18">
        <v>43100</v>
      </c>
      <c r="L62" s="265">
        <v>7.6426799007444117</v>
      </c>
      <c r="M62" s="265">
        <f>place!I82*100</f>
        <v>5.4568120233337902</v>
      </c>
      <c r="N62" s="265">
        <f>(inflacija!G70+nezaposlenost!W75)-(inflacija!G66+nezaposlenost!W71)</f>
        <v>-3.2803605917825021</v>
      </c>
      <c r="O62" s="265">
        <v>-0.43999999999999995</v>
      </c>
      <c r="P62" s="265">
        <f>krediti!I70</f>
        <v>2.8526205813892602</v>
      </c>
      <c r="Q62" s="260"/>
      <c r="R62" s="18">
        <v>43100</v>
      </c>
      <c r="S62" s="265">
        <v>7.6426799007444117</v>
      </c>
      <c r="T62" s="265">
        <f>place!P82*100</f>
        <v>5.4568120233337902</v>
      </c>
      <c r="U62" s="265">
        <f>(inflacija!J70+nezaposlenost!X75)-(inflacija!J66+nezaposlenost!X71)</f>
        <v>-3.2803605917825021</v>
      </c>
      <c r="V62" s="265">
        <v>-0.43999999999999995</v>
      </c>
      <c r="W62" s="265">
        <f>krediti!J70</f>
        <v>2.8526205813892602</v>
      </c>
      <c r="X62" s="193"/>
      <c r="Y62" s="18">
        <v>43100</v>
      </c>
      <c r="Z62" s="265">
        <v>7.6426799007444117</v>
      </c>
      <c r="AA62" s="193"/>
      <c r="AB62" s="193"/>
      <c r="AC62" s="193"/>
      <c r="AD62" s="193"/>
      <c r="AE62" s="193"/>
      <c r="AF62" s="3"/>
      <c r="AG62" s="3"/>
      <c r="AH62" s="3"/>
      <c r="AI62" s="3"/>
      <c r="AJ62" s="193"/>
      <c r="AK62" s="193"/>
      <c r="AL62" s="193"/>
    </row>
    <row r="63" spans="1:38" ht="14.25" customHeight="1" outlineLevel="1">
      <c r="A63" s="3"/>
      <c r="B63" s="3"/>
      <c r="C63" s="3"/>
      <c r="D63" s="18">
        <v>43190</v>
      </c>
      <c r="E63" s="265">
        <v>8.5176003966286515</v>
      </c>
      <c r="F63" s="265">
        <f>place!B83*100</f>
        <v>4.1521690189609606</v>
      </c>
      <c r="G63" s="265">
        <f>(inflacija!C71+nezaposlenost!V76)-(inflacija!C67+nezaposlenost!V72)</f>
        <v>-5.4134648128829816</v>
      </c>
      <c r="H63" s="265">
        <v>-0.2799999999999998</v>
      </c>
      <c r="I63" s="265">
        <f>krediti!H71</f>
        <v>3.0508764767163967</v>
      </c>
      <c r="J63" s="260"/>
      <c r="K63" s="18">
        <v>43190</v>
      </c>
      <c r="L63" s="265">
        <v>8.5176003966286515</v>
      </c>
      <c r="M63" s="265">
        <f>place!I83*100</f>
        <v>4.1521690189609606</v>
      </c>
      <c r="N63" s="265">
        <f>(inflacija!G71+nezaposlenost!W76)-(inflacija!G67+nezaposlenost!W72)</f>
        <v>-5.4134648128829816</v>
      </c>
      <c r="O63" s="265">
        <v>-0.2799999999999998</v>
      </c>
      <c r="P63" s="265">
        <f>krediti!I71</f>
        <v>3.0508764767163967</v>
      </c>
      <c r="Q63" s="260"/>
      <c r="R63" s="18">
        <v>43190</v>
      </c>
      <c r="S63" s="265">
        <v>8.5176003966286515</v>
      </c>
      <c r="T63" s="265">
        <f>place!P83*100</f>
        <v>4.1521690189609606</v>
      </c>
      <c r="U63" s="265">
        <f>(inflacija!J71+nezaposlenost!X76)-(inflacija!J67+nezaposlenost!X72)</f>
        <v>-5.4134648128829816</v>
      </c>
      <c r="V63" s="265">
        <v>-0.2799999999999998</v>
      </c>
      <c r="W63" s="265">
        <f>krediti!J71</f>
        <v>3.0508764767163967</v>
      </c>
      <c r="X63" s="193"/>
      <c r="Y63" s="18">
        <v>43190</v>
      </c>
      <c r="Z63" s="265">
        <v>8.5176003966286515</v>
      </c>
      <c r="AA63" s="193"/>
      <c r="AB63" s="193"/>
      <c r="AC63" s="193"/>
      <c r="AD63" s="193"/>
      <c r="AE63" s="193"/>
      <c r="AF63" s="3"/>
      <c r="AG63" s="3"/>
      <c r="AH63" s="3"/>
      <c r="AI63" s="3"/>
      <c r="AJ63" s="193"/>
      <c r="AK63" s="193"/>
      <c r="AL63" s="193"/>
    </row>
    <row r="64" spans="1:38" ht="14.25" customHeight="1" outlineLevel="1">
      <c r="A64" s="3"/>
      <c r="B64" s="3"/>
      <c r="C64" s="3"/>
      <c r="D64" s="18">
        <v>43281</v>
      </c>
      <c r="E64" s="265">
        <v>4.505021520803453</v>
      </c>
      <c r="F64" s="265">
        <f>place!B84*100</f>
        <v>6.4494672721802315</v>
      </c>
      <c r="G64" s="265">
        <f>(inflacija!C72+nezaposlenost!V77)-(inflacija!C68+nezaposlenost!V73)</f>
        <v>-1.9720395491024547</v>
      </c>
      <c r="H64" s="265">
        <v>-0.43000000000000016</v>
      </c>
      <c r="I64" s="265">
        <f>krediti!H72</f>
        <v>4.1054483670102542</v>
      </c>
      <c r="J64" s="260"/>
      <c r="K64" s="18">
        <v>43281</v>
      </c>
      <c r="L64" s="265">
        <v>4.505021520803453</v>
      </c>
      <c r="M64" s="265">
        <f>place!I84*100</f>
        <v>6.4494672721802315</v>
      </c>
      <c r="N64" s="265">
        <f>(inflacija!G72+nezaposlenost!W77)-(inflacija!G68+nezaposlenost!W73)</f>
        <v>-1.9720395491024547</v>
      </c>
      <c r="O64" s="265">
        <v>-0.43000000000000016</v>
      </c>
      <c r="P64" s="265">
        <f>krediti!I72</f>
        <v>4.1054483670102542</v>
      </c>
      <c r="Q64" s="260"/>
      <c r="R64" s="18">
        <v>43281</v>
      </c>
      <c r="S64" s="265">
        <v>4.505021520803453</v>
      </c>
      <c r="T64" s="265">
        <f>place!P84*100</f>
        <v>6.4494672721802315</v>
      </c>
      <c r="U64" s="265">
        <f>(inflacija!J72+nezaposlenost!X77)-(inflacija!J68+nezaposlenost!X73)</f>
        <v>-1.9720395491024547</v>
      </c>
      <c r="V64" s="265">
        <v>-0.43000000000000016</v>
      </c>
      <c r="W64" s="265">
        <f>krediti!J72</f>
        <v>4.1054483670102542</v>
      </c>
      <c r="X64" s="193"/>
      <c r="Y64" s="18">
        <v>43281</v>
      </c>
      <c r="Z64" s="265">
        <v>4.505021520803453</v>
      </c>
      <c r="AA64" s="193"/>
      <c r="AB64" s="193"/>
      <c r="AC64" s="193"/>
      <c r="AD64" s="193"/>
      <c r="AE64" s="193"/>
      <c r="AF64" s="3"/>
      <c r="AG64" s="3"/>
      <c r="AH64" s="3"/>
      <c r="AI64" s="3"/>
      <c r="AJ64" s="193"/>
      <c r="AK64" s="193"/>
      <c r="AL64" s="193"/>
    </row>
    <row r="65" spans="1:38" ht="14.25" customHeight="1" outlineLevel="1">
      <c r="A65" s="3"/>
      <c r="B65" s="3"/>
      <c r="C65" s="3"/>
      <c r="D65" s="18">
        <v>43373</v>
      </c>
      <c r="E65" s="265">
        <v>6.8391515266812348</v>
      </c>
      <c r="F65" s="265">
        <f>place!B85*100</f>
        <v>4.8266186344143591</v>
      </c>
      <c r="G65" s="265">
        <f>(inflacija!C73+nezaposlenost!V78)-(inflacija!C69+nezaposlenost!V74)</f>
        <v>-3.5987939092383243</v>
      </c>
      <c r="H65" s="265">
        <v>-1.0000000000000231E-2</v>
      </c>
      <c r="I65" s="265">
        <f>krediti!H73</f>
        <v>4.5564374132871279</v>
      </c>
      <c r="J65" s="260"/>
      <c r="K65" s="18">
        <v>43373</v>
      </c>
      <c r="L65" s="265">
        <v>6.8391515266812348</v>
      </c>
      <c r="M65" s="265">
        <f>place!I85*100</f>
        <v>4.8266186344143591</v>
      </c>
      <c r="N65" s="265">
        <f>(inflacija!G73+nezaposlenost!W78)-(inflacija!G69+nezaposlenost!W74)</f>
        <v>-3.5987939092383243</v>
      </c>
      <c r="O65" s="265">
        <v>-1.0000000000000231E-2</v>
      </c>
      <c r="P65" s="265">
        <f>krediti!I73</f>
        <v>4.5564374132871279</v>
      </c>
      <c r="Q65" s="260"/>
      <c r="R65" s="18">
        <v>43373</v>
      </c>
      <c r="S65" s="265">
        <v>6.8391515266812348</v>
      </c>
      <c r="T65" s="265">
        <f>place!P85*100</f>
        <v>4.8266186344143591</v>
      </c>
      <c r="U65" s="265">
        <f>(inflacija!J73+nezaposlenost!X78)-(inflacija!J69+nezaposlenost!X74)</f>
        <v>-3.5987939092383243</v>
      </c>
      <c r="V65" s="265">
        <v>-1.0000000000000231E-2</v>
      </c>
      <c r="W65" s="265">
        <f>krediti!J73</f>
        <v>4.5564374132871279</v>
      </c>
      <c r="X65" s="193"/>
      <c r="Y65" s="18">
        <v>43373</v>
      </c>
      <c r="Z65" s="265">
        <v>6.8391515266812348</v>
      </c>
      <c r="AA65" s="193"/>
      <c r="AB65" s="193"/>
      <c r="AC65" s="193"/>
      <c r="AD65" s="193"/>
      <c r="AE65" s="193"/>
      <c r="AF65" s="3"/>
      <c r="AG65" s="3"/>
      <c r="AH65" s="3"/>
      <c r="AI65" s="3"/>
      <c r="AJ65" s="193"/>
      <c r="AK65" s="193"/>
      <c r="AL65" s="193"/>
    </row>
    <row r="66" spans="1:38" ht="14.25" customHeight="1" outlineLevel="1">
      <c r="A66" s="3"/>
      <c r="B66" s="3"/>
      <c r="C66" s="3"/>
      <c r="D66" s="18">
        <v>43465</v>
      </c>
      <c r="E66" s="265">
        <v>4.6934071000461159</v>
      </c>
      <c r="F66" s="265">
        <f>place!B86*100</f>
        <v>1.0503535982684387</v>
      </c>
      <c r="G66" s="265">
        <f>(inflacija!C74+nezaposlenost!V79)-(inflacija!C70+nezaposlenost!V75)</f>
        <v>9.2216988203215777E-2</v>
      </c>
      <c r="H66" s="265">
        <v>-0.14999999999999991</v>
      </c>
      <c r="I66" s="265">
        <f>krediti!H74</f>
        <v>4.3974496686121682</v>
      </c>
      <c r="J66" s="260"/>
      <c r="K66" s="18">
        <v>43465</v>
      </c>
      <c r="L66" s="265">
        <v>4.6934071000461159</v>
      </c>
      <c r="M66" s="265">
        <f>place!I86*100</f>
        <v>1.0503535982684387</v>
      </c>
      <c r="N66" s="265">
        <f>(inflacija!G74+nezaposlenost!W79)-(inflacija!G70+nezaposlenost!W75)</f>
        <v>9.2216988203215777E-2</v>
      </c>
      <c r="O66" s="265">
        <v>-0.14999999999999991</v>
      </c>
      <c r="P66" s="265">
        <f>krediti!I74</f>
        <v>4.3974496686121682</v>
      </c>
      <c r="Q66" s="260"/>
      <c r="R66" s="18">
        <v>43465</v>
      </c>
      <c r="S66" s="265">
        <v>4.6934071000461159</v>
      </c>
      <c r="T66" s="265">
        <f>place!P86*100</f>
        <v>1.0503535982684387</v>
      </c>
      <c r="U66" s="265">
        <f>(inflacija!J74+nezaposlenost!X79)-(inflacija!J70+nezaposlenost!X75)</f>
        <v>9.2216988203215777E-2</v>
      </c>
      <c r="V66" s="265">
        <v>-0.14999999999999991</v>
      </c>
      <c r="W66" s="265">
        <f>krediti!J74</f>
        <v>4.3974496686121682</v>
      </c>
      <c r="X66" s="193"/>
      <c r="Y66" s="18">
        <v>43465</v>
      </c>
      <c r="Z66" s="265">
        <v>4.6934071000461159</v>
      </c>
      <c r="AA66" s="193"/>
      <c r="AB66" s="193"/>
      <c r="AC66" s="193"/>
      <c r="AD66" s="193"/>
      <c r="AE66" s="193"/>
      <c r="AF66" s="3"/>
      <c r="AG66" s="3"/>
      <c r="AH66" s="3"/>
      <c r="AI66" s="3"/>
      <c r="AJ66" s="193"/>
      <c r="AK66" s="193"/>
      <c r="AL66" s="193"/>
    </row>
    <row r="67" spans="1:38" ht="14.25" customHeight="1" outlineLevel="1">
      <c r="A67" s="3"/>
      <c r="B67" s="3"/>
      <c r="C67" s="3"/>
      <c r="D67" s="18">
        <v>43555</v>
      </c>
      <c r="E67" s="265">
        <v>7.4104532163742647</v>
      </c>
      <c r="F67" s="265">
        <f>place!B87*100</f>
        <v>4.4051410463139318</v>
      </c>
      <c r="G67" s="265">
        <f>(inflacija!C75+nezaposlenost!V80)-(inflacija!C71+nezaposlenost!V76)</f>
        <v>-2.1136048266042318</v>
      </c>
      <c r="H67" s="265">
        <v>-0.26000000000000023</v>
      </c>
      <c r="I67" s="265">
        <f>krediti!H75</f>
        <v>4.5609377229903316</v>
      </c>
      <c r="J67" s="260"/>
      <c r="K67" s="18">
        <v>43555</v>
      </c>
      <c r="L67" s="265">
        <v>7.4104532163742647</v>
      </c>
      <c r="M67" s="265">
        <f>place!I87*100</f>
        <v>4.4051410463139318</v>
      </c>
      <c r="N67" s="265">
        <f>(inflacija!G75+nezaposlenost!W80)-(inflacija!G71+nezaposlenost!W76)</f>
        <v>-2.1136048266042318</v>
      </c>
      <c r="O67" s="265">
        <v>-0.26000000000000023</v>
      </c>
      <c r="P67" s="265">
        <f>krediti!I75</f>
        <v>4.5609377229903316</v>
      </c>
      <c r="Q67" s="260"/>
      <c r="R67" s="18">
        <v>43555</v>
      </c>
      <c r="S67" s="265">
        <v>7.4104532163742647</v>
      </c>
      <c r="T67" s="265">
        <f>place!P87*100</f>
        <v>4.4051410463139318</v>
      </c>
      <c r="U67" s="265">
        <f>(inflacija!J75+nezaposlenost!X80)-(inflacija!J71+nezaposlenost!X76)</f>
        <v>-2.1136048266042318</v>
      </c>
      <c r="V67" s="265">
        <v>-0.26000000000000023</v>
      </c>
      <c r="W67" s="265">
        <f>krediti!J75</f>
        <v>4.5609377229903316</v>
      </c>
      <c r="X67" s="193"/>
      <c r="Y67" s="18">
        <v>43555</v>
      </c>
      <c r="Z67" s="265">
        <v>7.4104532163742647</v>
      </c>
      <c r="AA67" s="193"/>
      <c r="AB67" s="193"/>
      <c r="AC67" s="193"/>
      <c r="AD67" s="193"/>
      <c r="AE67" s="193"/>
      <c r="AF67" s="3"/>
      <c r="AG67" s="3"/>
      <c r="AH67" s="3"/>
      <c r="AI67" s="3"/>
      <c r="AJ67" s="193"/>
      <c r="AK67" s="193"/>
      <c r="AL67" s="193"/>
    </row>
    <row r="68" spans="1:38" ht="14.25" customHeight="1" outlineLevel="1">
      <c r="A68" s="3"/>
      <c r="B68" s="3"/>
      <c r="C68" s="3"/>
      <c r="D68" s="18">
        <v>43646</v>
      </c>
      <c r="E68" s="265">
        <v>10.378912685337724</v>
      </c>
      <c r="F68" s="265">
        <f>place!B88*100</f>
        <v>2.1162009264757753</v>
      </c>
      <c r="G68" s="265">
        <f>(inflacija!C76+nezaposlenost!V81)-(inflacija!C72+nezaposlenost!V77)</f>
        <v>-0.80372543334508606</v>
      </c>
      <c r="H68" s="265">
        <v>-0.33000000000000007</v>
      </c>
      <c r="I68" s="265">
        <f>krediti!H76</f>
        <v>3.5782051666062098</v>
      </c>
      <c r="J68" s="260"/>
      <c r="K68" s="18">
        <v>43646</v>
      </c>
      <c r="L68" s="265">
        <v>10.378912685337724</v>
      </c>
      <c r="M68" s="265">
        <f>place!I88*100</f>
        <v>2.1162009264757753</v>
      </c>
      <c r="N68" s="265">
        <f>(inflacija!G76+nezaposlenost!W81)-(inflacija!G72+nezaposlenost!W77)</f>
        <v>-0.80372543334508606</v>
      </c>
      <c r="O68" s="265">
        <v>-0.33000000000000007</v>
      </c>
      <c r="P68" s="265">
        <f>krediti!I76</f>
        <v>3.5782051666062098</v>
      </c>
      <c r="Q68" s="260"/>
      <c r="R68" s="18">
        <v>43646</v>
      </c>
      <c r="S68" s="265">
        <v>10.378912685337724</v>
      </c>
      <c r="T68" s="265">
        <f>place!P88*100</f>
        <v>2.1162009264757753</v>
      </c>
      <c r="U68" s="265">
        <f>(inflacija!J76+nezaposlenost!X81)-(inflacija!J72+nezaposlenost!X77)</f>
        <v>-0.80372543334508606</v>
      </c>
      <c r="V68" s="265">
        <v>-0.33000000000000007</v>
      </c>
      <c r="W68" s="265">
        <f>krediti!J76</f>
        <v>3.5782051666062098</v>
      </c>
      <c r="X68" s="193"/>
      <c r="Y68" s="18">
        <v>43646</v>
      </c>
      <c r="Z68" s="265">
        <v>10.378912685337724</v>
      </c>
      <c r="AA68" s="193"/>
      <c r="AB68" s="193"/>
      <c r="AC68" s="193"/>
      <c r="AD68" s="193"/>
      <c r="AE68" s="193"/>
      <c r="AF68" s="3"/>
      <c r="AG68" s="3"/>
      <c r="AH68" s="3"/>
      <c r="AI68" s="3"/>
      <c r="AJ68" s="193"/>
      <c r="AK68" s="193"/>
      <c r="AL68" s="193"/>
    </row>
    <row r="69" spans="1:38" ht="14.25" customHeight="1" outlineLevel="1">
      <c r="A69" s="249"/>
      <c r="B69" s="105" t="s">
        <v>189</v>
      </c>
      <c r="C69" s="3"/>
      <c r="D69" s="18">
        <v>43738</v>
      </c>
      <c r="E69" s="265">
        <v>8.0484330484330542</v>
      </c>
      <c r="F69" s="265">
        <f>place!B89*100</f>
        <v>3.7749571122218883</v>
      </c>
      <c r="G69" s="265">
        <f>(inflacija!C77+nezaposlenost!V82)-(inflacija!C73+nezaposlenost!V78)</f>
        <v>1.1973816330416245</v>
      </c>
      <c r="H69" s="265">
        <v>-0.67999999999999972</v>
      </c>
      <c r="I69" s="265">
        <f>krediti!H77</f>
        <v>2.9502087381398918</v>
      </c>
      <c r="J69" s="260"/>
      <c r="K69" s="18">
        <v>43738</v>
      </c>
      <c r="L69" s="265">
        <v>8.0484330484330542</v>
      </c>
      <c r="M69" s="265">
        <f>place!I89*100</f>
        <v>3.7749571122218883</v>
      </c>
      <c r="N69" s="265">
        <f>(inflacija!G77+nezaposlenost!W82)-(inflacija!G73+nezaposlenost!W78)</f>
        <v>1.1973816330416245</v>
      </c>
      <c r="O69" s="265">
        <v>-0.67999999999999972</v>
      </c>
      <c r="P69" s="265">
        <f>krediti!I77</f>
        <v>2.9502087381398918</v>
      </c>
      <c r="Q69" s="260"/>
      <c r="R69" s="18">
        <v>43738</v>
      </c>
      <c r="S69" s="265">
        <v>8.0484330484330542</v>
      </c>
      <c r="T69" s="265">
        <f>place!P89*100</f>
        <v>3.7749571122218883</v>
      </c>
      <c r="U69" s="265">
        <f>(inflacija!J77+nezaposlenost!X82)-(inflacija!J73+nezaposlenost!X78)</f>
        <v>1.1973816330416245</v>
      </c>
      <c r="V69" s="265">
        <v>-0.67999999999999972</v>
      </c>
      <c r="W69" s="265">
        <f>krediti!J77</f>
        <v>2.9502087381398918</v>
      </c>
      <c r="X69" s="193"/>
      <c r="Y69" s="18">
        <v>43738</v>
      </c>
      <c r="Z69" s="265">
        <v>8.0484330484330542</v>
      </c>
      <c r="AA69" s="193"/>
      <c r="AB69" s="193"/>
      <c r="AC69" s="193"/>
      <c r="AD69" s="193"/>
      <c r="AE69" s="193"/>
      <c r="AF69" s="3"/>
      <c r="AG69" s="3"/>
      <c r="AH69" s="3"/>
      <c r="AI69" s="3"/>
      <c r="AJ69" s="193"/>
      <c r="AK69" s="193"/>
      <c r="AL69" s="193"/>
    </row>
    <row r="70" spans="1:38" ht="14.25" customHeight="1">
      <c r="A70" s="105" t="s">
        <v>73</v>
      </c>
      <c r="B70" s="250">
        <v>-3.0048261191141701</v>
      </c>
      <c r="C70" s="3"/>
      <c r="D70" s="18">
        <v>43830</v>
      </c>
      <c r="E70" s="265">
        <v>6.8874405495860316</v>
      </c>
      <c r="F70" s="265">
        <f>place!B90*100</f>
        <v>5.611200615055556</v>
      </c>
      <c r="G70" s="265">
        <f>(inflacija!C78+nezaposlenost!V83)-(inflacija!C74+nezaposlenost!V79)</f>
        <v>-3.0165088340870589</v>
      </c>
      <c r="H70" s="265">
        <v>-0.4700000000000002</v>
      </c>
      <c r="I70" s="265">
        <f>krediti!H78</f>
        <v>4.1832089500657466</v>
      </c>
      <c r="J70" s="260"/>
      <c r="K70" s="18">
        <v>43830</v>
      </c>
      <c r="L70" s="265">
        <v>6.8874405495860316</v>
      </c>
      <c r="M70" s="265">
        <f>place!I90*100</f>
        <v>5.611200615055556</v>
      </c>
      <c r="N70" s="265">
        <f>(inflacija!G78+nezaposlenost!W83)-(inflacija!G74+nezaposlenost!W79)</f>
        <v>-3.0165088340870589</v>
      </c>
      <c r="O70" s="265">
        <v>-0.4700000000000002</v>
      </c>
      <c r="P70" s="265">
        <f>krediti!I78</f>
        <v>4.1832089500657466</v>
      </c>
      <c r="Q70" s="260"/>
      <c r="R70" s="18">
        <v>43830</v>
      </c>
      <c r="S70" s="265">
        <v>6.8874405495860316</v>
      </c>
      <c r="T70" s="265">
        <f>place!P90*100</f>
        <v>5.611200615055556</v>
      </c>
      <c r="U70" s="265">
        <f>(inflacija!J78+nezaposlenost!X83)-(inflacija!J74+nezaposlenost!X79)</f>
        <v>-3.0165088340870589</v>
      </c>
      <c r="V70" s="265">
        <v>-0.4700000000000002</v>
      </c>
      <c r="W70" s="265">
        <f>krediti!J78</f>
        <v>4.1832089500657466</v>
      </c>
      <c r="X70" s="193"/>
      <c r="Y70" s="18">
        <v>43830</v>
      </c>
      <c r="Z70" s="265">
        <v>6.8874405495860316</v>
      </c>
      <c r="AA70" s="193"/>
      <c r="AB70" s="193"/>
      <c r="AC70" s="193"/>
      <c r="AD70" s="193"/>
      <c r="AE70" s="193"/>
      <c r="AF70" s="3"/>
      <c r="AG70" s="3"/>
      <c r="AH70" s="3"/>
      <c r="AI70" s="3"/>
      <c r="AJ70" s="193"/>
      <c r="AK70" s="193"/>
      <c r="AL70" s="193"/>
    </row>
    <row r="71" spans="1:38" ht="14.25" customHeight="1">
      <c r="A71" s="105" t="s">
        <v>1000</v>
      </c>
      <c r="B71" s="250">
        <v>0.66989152012636299</v>
      </c>
      <c r="C71" s="3"/>
      <c r="D71" s="199">
        <v>43921</v>
      </c>
      <c r="E71" s="291">
        <f t="shared" ref="E71:E74" si="3">+$B$70+$B$71*F71+$B$72*G71+$B$73*H71+$B$74*I71</f>
        <v>0.76164751172238532</v>
      </c>
      <c r="F71" s="292">
        <f>place!B91*100</f>
        <v>4.4381386326842343</v>
      </c>
      <c r="G71" s="292">
        <f>(inflacija!C79+nezaposlenost!V84)-(inflacija!C75+nezaposlenost!V80)</f>
        <v>2.1227884452670187</v>
      </c>
      <c r="H71" s="292">
        <f>(kstope!C75-kstope!C74)/4</f>
        <v>0.11969237016355316</v>
      </c>
      <c r="I71" s="292">
        <f>krediti!P107</f>
        <v>6</v>
      </c>
      <c r="J71" s="260"/>
      <c r="K71" s="199">
        <v>43921</v>
      </c>
      <c r="L71" s="291">
        <f t="shared" ref="L71:L74" si="4">+$B$70+$B$71*M71+$B$72*N71+$B$73*O71+$B$74*P71</f>
        <v>0.78687935744913284</v>
      </c>
      <c r="M71" s="292">
        <f>place!I91*100</f>
        <v>4.4275225057713641</v>
      </c>
      <c r="N71" s="292">
        <f>(inflacija!G79+nezaposlenost!W84)-(inflacija!G75+nezaposlenost!W80)</f>
        <v>2.0826222474543821</v>
      </c>
      <c r="O71" s="292">
        <f>(kstope!G75-kstope!G74)/4</f>
        <v>0.11969237016355316</v>
      </c>
      <c r="P71" s="292">
        <f>krediti!V107</f>
        <v>6</v>
      </c>
      <c r="Q71" s="260"/>
      <c r="R71" s="199">
        <v>43921</v>
      </c>
      <c r="S71" s="291">
        <f t="shared" ref="S71:S74" si="5">+$B$70+$B$71*T71+$B$72*U71+$B$73*V71+$B$74*W71</f>
        <v>0.80802871901415596</v>
      </c>
      <c r="T71" s="292">
        <f>place!P91*100</f>
        <v>4.4186240562115522</v>
      </c>
      <c r="U71" s="292">
        <f>(inflacija!J79+nezaposlenost!X84)-(inflacija!J75+nezaposlenost!X80)</f>
        <v>2.048954895115938</v>
      </c>
      <c r="V71" s="292">
        <f>(kstope!J75-kstope!J74)/4</f>
        <v>0.11969237016355316</v>
      </c>
      <c r="W71" s="292">
        <f>krediti!AB107</f>
        <v>6</v>
      </c>
      <c r="X71" s="193"/>
      <c r="Y71" s="193"/>
      <c r="Z71" s="193"/>
      <c r="AA71" s="193"/>
      <c r="AB71" s="193"/>
      <c r="AC71" s="193"/>
      <c r="AD71" s="193"/>
      <c r="AE71" s="193"/>
      <c r="AF71" s="3"/>
      <c r="AG71" s="3"/>
      <c r="AH71" s="3"/>
      <c r="AI71" s="3"/>
      <c r="AJ71" s="193"/>
      <c r="AK71" s="193"/>
      <c r="AL71" s="193"/>
    </row>
    <row r="72" spans="1:38" ht="14.25" customHeight="1">
      <c r="A72" s="105" t="s">
        <v>1001</v>
      </c>
      <c r="B72" s="250">
        <v>-0.80524174264980097</v>
      </c>
      <c r="C72" s="3"/>
      <c r="D72" s="199">
        <v>44012</v>
      </c>
      <c r="E72" s="291">
        <f t="shared" si="3"/>
        <v>-3.8854874217307054</v>
      </c>
      <c r="F72" s="292">
        <f>place!B92*100</f>
        <v>2.758678279262031</v>
      </c>
      <c r="G72" s="292">
        <f>(inflacija!C80+nezaposlenost!V85)-(inflacija!C76+nezaposlenost!V81)</f>
        <v>1.0961718369679367</v>
      </c>
      <c r="H72" s="292">
        <f>(kstope!C76-kstope!C75)/4</f>
        <v>-2.7998625000000166E-2</v>
      </c>
      <c r="I72" s="292">
        <f>krediti!P108</f>
        <v>-4</v>
      </c>
      <c r="J72" s="260"/>
      <c r="K72" s="199">
        <v>44012</v>
      </c>
      <c r="L72" s="291">
        <f t="shared" si="4"/>
        <v>-1.5344155797903714</v>
      </c>
      <c r="M72" s="292">
        <f>place!I92*100</f>
        <v>2.9782903189552217</v>
      </c>
      <c r="N72" s="292">
        <f>(inflacija!G80+nezaposlenost!W85)-(inflacija!G76+nezaposlenost!W81)</f>
        <v>1.3736808599606398</v>
      </c>
      <c r="O72" s="292">
        <f>(kstope!G76-kstope!G75)/4</f>
        <v>-2.7998625000000166E-2</v>
      </c>
      <c r="P72" s="292">
        <f>krediti!V108</f>
        <v>1</v>
      </c>
      <c r="Q72" s="260"/>
      <c r="R72" s="199">
        <v>44012</v>
      </c>
      <c r="S72" s="291">
        <f t="shared" si="5"/>
        <v>-0.70654879337912724</v>
      </c>
      <c r="T72" s="292">
        <f>place!P92*100</f>
        <v>3.3517220144973199</v>
      </c>
      <c r="U72" s="292">
        <f>(inflacija!J80+nezaposlenost!X85)-(inflacija!J76+nezaposlenost!X81)</f>
        <v>1.8620545969304647</v>
      </c>
      <c r="V72" s="292">
        <f>(kstope!J76-kstope!J75)/4</f>
        <v>-2.7998625000000166E-2</v>
      </c>
      <c r="W72" s="292">
        <f>krediti!AB108</f>
        <v>3</v>
      </c>
      <c r="X72" s="193"/>
      <c r="Y72" s="301" t="s">
        <v>9</v>
      </c>
      <c r="Z72" s="301" t="s">
        <v>1162</v>
      </c>
      <c r="AA72" s="301" t="s">
        <v>1164</v>
      </c>
      <c r="AB72" s="301" t="s">
        <v>1163</v>
      </c>
      <c r="AC72" s="193"/>
      <c r="AD72" s="193"/>
      <c r="AE72" s="193"/>
      <c r="AF72" s="3"/>
      <c r="AG72" s="3"/>
      <c r="AH72" s="3"/>
      <c r="AI72" s="3"/>
      <c r="AJ72" s="193"/>
      <c r="AK72" s="193"/>
      <c r="AL72" s="193"/>
    </row>
    <row r="73" spans="1:38" ht="14.25" customHeight="1">
      <c r="A73" s="105" t="s">
        <v>1002</v>
      </c>
      <c r="B73" s="250">
        <v>-3.42662506030412</v>
      </c>
      <c r="C73" s="3"/>
      <c r="D73" s="199">
        <v>44104</v>
      </c>
      <c r="E73" s="291">
        <f t="shared" si="3"/>
        <v>-8.1272554884749741</v>
      </c>
      <c r="F73" s="292">
        <f>place!B93*100</f>
        <v>-1.6728630786620129</v>
      </c>
      <c r="G73" s="292">
        <f>(inflacija!C81+nezaposlenost!V86)-(inflacija!C77+nezaposlenost!V82)</f>
        <v>4.3970784496301203</v>
      </c>
      <c r="H73" s="292">
        <f>(kstope!C77-kstope!C76)/4</f>
        <v>-7.1212997942695644E-3</v>
      </c>
      <c r="I73" s="292">
        <f>krediti!P109</f>
        <v>-1</v>
      </c>
      <c r="J73" s="260"/>
      <c r="K73" s="199">
        <v>44104</v>
      </c>
      <c r="L73" s="291">
        <f t="shared" si="4"/>
        <v>-6.0140606017974925</v>
      </c>
      <c r="M73" s="292">
        <f>place!I93*100</f>
        <v>-0.69377503622424974</v>
      </c>
      <c r="N73" s="292">
        <f>(inflacija!G81+nezaposlenost!W86)-(inflacija!G77+nezaposlenost!W82)</f>
        <v>3.7970080014666134</v>
      </c>
      <c r="O73" s="292">
        <f>(kstope!G77-kstope!G76)/4</f>
        <v>-8.0386330014325935E-3</v>
      </c>
      <c r="P73" s="292">
        <f>krediti!V109</f>
        <v>1</v>
      </c>
      <c r="Q73" s="260"/>
      <c r="R73" s="199">
        <v>44104</v>
      </c>
      <c r="S73" s="291">
        <f t="shared" si="5"/>
        <v>-3.7393743782913091</v>
      </c>
      <c r="T73" s="292">
        <f>place!P93*100</f>
        <v>0.47308561959815248</v>
      </c>
      <c r="U73" s="292">
        <f>(inflacija!J81+nezaposlenost!X86)-(inflacija!J77+nezaposlenost!X82)</f>
        <v>3.1527959693434351</v>
      </c>
      <c r="V73" s="292">
        <f>(kstope!J77-kstope!J76)/4</f>
        <v>-9.0024870320157824E-3</v>
      </c>
      <c r="W73" s="292">
        <f>krediti!AB109</f>
        <v>3</v>
      </c>
      <c r="X73" s="193"/>
      <c r="Y73" s="305">
        <v>43830</v>
      </c>
      <c r="Z73" s="486">
        <f>$E$70</f>
        <v>6.8874405495860316</v>
      </c>
      <c r="AA73" s="486">
        <f t="shared" ref="AA73:AB73" si="6">$E$70</f>
        <v>6.8874405495860316</v>
      </c>
      <c r="AB73" s="486">
        <f t="shared" si="6"/>
        <v>6.8874405495860316</v>
      </c>
      <c r="AC73" s="193"/>
      <c r="AD73" s="193"/>
      <c r="AE73" s="193"/>
      <c r="AF73" s="3"/>
      <c r="AG73" s="3"/>
      <c r="AH73" s="3"/>
      <c r="AI73" s="3"/>
      <c r="AJ73" s="193"/>
      <c r="AK73" s="193"/>
      <c r="AL73" s="193"/>
    </row>
    <row r="74" spans="1:38" ht="14.25" customHeight="1">
      <c r="A74" s="105" t="s">
        <v>1003</v>
      </c>
      <c r="B74" s="250">
        <v>0.48548348962158</v>
      </c>
      <c r="C74" s="3"/>
      <c r="D74" s="199">
        <v>44196</v>
      </c>
      <c r="E74" s="291">
        <f t="shared" si="3"/>
        <v>-12.238850275894697</v>
      </c>
      <c r="F74" s="292">
        <f>place!B94*100</f>
        <v>-6.74642964707198</v>
      </c>
      <c r="G74" s="292">
        <f>(inflacija!C82+nezaposlenost!V87)-(inflacija!C78+nezaposlenost!V83)</f>
        <v>5.8321009885443349</v>
      </c>
      <c r="H74" s="292">
        <f>(kstope!C78-kstope!C77)/4</f>
        <v>5.3688341820552488E-3</v>
      </c>
      <c r="I74" s="292">
        <f>krediti!P110</f>
        <v>0</v>
      </c>
      <c r="J74" s="260"/>
      <c r="K74" s="199">
        <v>44196</v>
      </c>
      <c r="L74" s="291">
        <f t="shared" si="4"/>
        <v>-9.9216550764053704</v>
      </c>
      <c r="M74" s="292">
        <f>place!I94*100</f>
        <v>-5.0293602063581595</v>
      </c>
      <c r="N74" s="292">
        <f>(inflacija!G82+nezaposlenost!W87)-(inflacija!G78+nezaposlenost!W83)</f>
        <v>4.9911751261145074</v>
      </c>
      <c r="O74" s="292">
        <f>(kstope!G78-kstope!G77)/4</f>
        <v>4.1102064981790587E-3</v>
      </c>
      <c r="P74" s="292">
        <f>krediti!V110</f>
        <v>1</v>
      </c>
      <c r="Q74" s="260"/>
      <c r="R74" s="199">
        <v>44196</v>
      </c>
      <c r="S74" s="291">
        <f t="shared" si="5"/>
        <v>-7.4938095432073073</v>
      </c>
      <c r="T74" s="292">
        <f>place!P94*100</f>
        <v>-3.0831580283802742</v>
      </c>
      <c r="U74" s="292">
        <f>(inflacija!J82+nezaposlenost!X87)-(inflacija!J78+nezaposlenost!X83)</f>
        <v>4.2036342308195067</v>
      </c>
      <c r="V74" s="292">
        <f>(kstope!J78-kstope!J77)/4</f>
        <v>2.8095374480585633E-3</v>
      </c>
      <c r="W74" s="292">
        <f>krediti!AB110</f>
        <v>2</v>
      </c>
      <c r="X74" s="193"/>
      <c r="Y74" s="314">
        <v>43921</v>
      </c>
      <c r="Z74" s="487">
        <f>E71</f>
        <v>0.76164751172238532</v>
      </c>
      <c r="AA74" s="345">
        <f>L71</f>
        <v>0.78687935744913284</v>
      </c>
      <c r="AB74" s="345">
        <f>S71</f>
        <v>0.80802871901415596</v>
      </c>
      <c r="AC74" s="193"/>
      <c r="AD74" s="193"/>
      <c r="AE74" s="193"/>
      <c r="AF74" s="3"/>
      <c r="AG74" s="3"/>
      <c r="AH74" s="3"/>
      <c r="AI74" s="3"/>
      <c r="AJ74" s="193"/>
      <c r="AK74" s="193"/>
      <c r="AL74" s="193"/>
    </row>
    <row r="75" spans="1:38" ht="14.25" customHeight="1">
      <c r="A75" s="3"/>
      <c r="B75" s="3"/>
      <c r="C75" s="3"/>
      <c r="D75" s="3"/>
      <c r="E75" s="265"/>
      <c r="F75" s="265"/>
      <c r="G75" s="265"/>
      <c r="H75" s="265"/>
      <c r="I75" s="265"/>
      <c r="J75" s="260"/>
      <c r="K75" s="3"/>
      <c r="L75" s="265"/>
      <c r="M75" s="265"/>
      <c r="N75" s="265"/>
      <c r="O75" s="265"/>
      <c r="P75" s="265"/>
      <c r="Q75" s="260"/>
      <c r="R75" s="3"/>
      <c r="S75" s="265"/>
      <c r="T75" s="265"/>
      <c r="U75" s="265"/>
      <c r="V75" s="265"/>
      <c r="W75" s="265"/>
      <c r="X75" s="193"/>
      <c r="Y75" s="314">
        <v>44012</v>
      </c>
      <c r="Z75" s="487">
        <f t="shared" ref="Z75:Z77" si="7">E72</f>
        <v>-3.8854874217307054</v>
      </c>
      <c r="AA75" s="345">
        <f t="shared" ref="AA75:AA77" si="8">L72</f>
        <v>-1.5344155797903714</v>
      </c>
      <c r="AB75" s="345">
        <f t="shared" ref="AB75:AB77" si="9">S72</f>
        <v>-0.70654879337912724</v>
      </c>
      <c r="AC75" s="193"/>
      <c r="AD75" s="193"/>
      <c r="AE75" s="193"/>
      <c r="AF75" s="3"/>
      <c r="AG75" s="3"/>
      <c r="AH75" s="3"/>
      <c r="AI75" s="3"/>
      <c r="AJ75" s="3"/>
      <c r="AK75" s="3"/>
      <c r="AL75" s="3"/>
    </row>
    <row r="76" spans="1:38" ht="14.25" customHeight="1">
      <c r="A76" s="3"/>
      <c r="B76" s="3"/>
      <c r="C76" s="3"/>
      <c r="D76" s="3"/>
      <c r="E76" s="265"/>
      <c r="F76" s="265"/>
      <c r="G76" s="265"/>
      <c r="H76" s="265"/>
      <c r="I76" s="265"/>
      <c r="J76" s="260"/>
      <c r="K76" s="3"/>
      <c r="L76" s="265"/>
      <c r="M76" s="265"/>
      <c r="N76" s="265"/>
      <c r="O76" s="265"/>
      <c r="P76" s="265"/>
      <c r="Q76" s="260"/>
      <c r="R76" s="3"/>
      <c r="S76" s="265"/>
      <c r="T76" s="265"/>
      <c r="U76" s="265"/>
      <c r="V76" s="265"/>
      <c r="W76" s="265"/>
      <c r="X76" s="193"/>
      <c r="Y76" s="314">
        <v>44104</v>
      </c>
      <c r="Z76" s="487">
        <f t="shared" si="7"/>
        <v>-8.1272554884749741</v>
      </c>
      <c r="AA76" s="345">
        <f t="shared" si="8"/>
        <v>-6.0140606017974925</v>
      </c>
      <c r="AB76" s="345">
        <f t="shared" si="9"/>
        <v>-3.7393743782913091</v>
      </c>
      <c r="AC76" s="193"/>
      <c r="AD76" s="193"/>
      <c r="AE76" s="193"/>
      <c r="AF76" s="3"/>
      <c r="AG76" s="3"/>
      <c r="AH76" s="3"/>
      <c r="AI76" s="3"/>
      <c r="AJ76" s="3"/>
      <c r="AK76" s="3"/>
      <c r="AL76" s="3"/>
    </row>
    <row r="77" spans="1:38" ht="14.25" customHeight="1">
      <c r="A77" s="3"/>
      <c r="B77" s="3"/>
      <c r="C77" s="3"/>
      <c r="D77" s="3"/>
      <c r="E77" s="265"/>
      <c r="F77" s="265"/>
      <c r="G77" s="265"/>
      <c r="H77" s="265"/>
      <c r="I77" s="265"/>
      <c r="J77" s="260"/>
      <c r="K77" s="3"/>
      <c r="L77" s="265"/>
      <c r="M77" s="265"/>
      <c r="N77" s="265"/>
      <c r="O77" s="265"/>
      <c r="P77" s="265"/>
      <c r="Q77" s="260"/>
      <c r="R77" s="3"/>
      <c r="S77" s="265"/>
      <c r="T77" s="265"/>
      <c r="U77" s="265"/>
      <c r="V77" s="265"/>
      <c r="W77" s="265"/>
      <c r="X77" s="193"/>
      <c r="Y77" s="314">
        <v>44196</v>
      </c>
      <c r="Z77" s="487">
        <f t="shared" si="7"/>
        <v>-12.238850275894697</v>
      </c>
      <c r="AA77" s="345">
        <f t="shared" si="8"/>
        <v>-9.9216550764053704</v>
      </c>
      <c r="AB77" s="345">
        <f t="shared" si="9"/>
        <v>-7.4938095432073073</v>
      </c>
      <c r="AC77" s="193"/>
      <c r="AD77" s="193"/>
      <c r="AE77" s="193"/>
      <c r="AF77" s="3"/>
      <c r="AG77" s="3"/>
      <c r="AH77" s="3"/>
      <c r="AI77" s="3"/>
      <c r="AJ77" s="3"/>
      <c r="AK77" s="3"/>
      <c r="AL77" s="3"/>
    </row>
    <row r="78" spans="1:38" ht="15" customHeight="1">
      <c r="A78" s="3"/>
      <c r="B78" s="3"/>
      <c r="C78" s="3"/>
      <c r="D78" s="3"/>
      <c r="E78" s="265"/>
      <c r="F78" s="265"/>
      <c r="G78" s="265"/>
      <c r="H78" s="265"/>
      <c r="I78" s="265"/>
      <c r="J78" s="260"/>
      <c r="K78" s="3"/>
      <c r="L78" s="265"/>
      <c r="M78" s="265"/>
      <c r="N78" s="265"/>
      <c r="O78" s="265"/>
      <c r="P78" s="265"/>
      <c r="Q78" s="260"/>
      <c r="R78" s="3"/>
      <c r="S78" s="265"/>
      <c r="T78" s="265"/>
      <c r="U78" s="265"/>
      <c r="V78" s="265"/>
      <c r="W78" s="265"/>
      <c r="X78" s="193"/>
      <c r="Y78" s="193"/>
      <c r="Z78" s="193"/>
      <c r="AA78" s="193"/>
      <c r="AB78" s="193"/>
      <c r="AC78" s="193"/>
      <c r="AD78" s="193"/>
      <c r="AE78" s="193"/>
      <c r="AF78" s="3"/>
      <c r="AG78" s="3"/>
      <c r="AH78" s="3"/>
      <c r="AI78" s="3"/>
      <c r="AJ78" s="3"/>
      <c r="AK78" s="3"/>
      <c r="AL78" s="3"/>
    </row>
    <row r="79" spans="1:38" ht="14.25" customHeight="1">
      <c r="A79" s="3"/>
      <c r="B79" s="3"/>
      <c r="C79" s="3"/>
      <c r="D79" s="3"/>
      <c r="E79" s="265"/>
      <c r="F79" s="265"/>
      <c r="G79" s="265"/>
      <c r="H79" s="265"/>
      <c r="I79" s="265"/>
      <c r="J79" s="260"/>
      <c r="K79" s="3"/>
      <c r="L79" s="265"/>
      <c r="M79" s="265"/>
      <c r="N79" s="265"/>
      <c r="O79" s="265"/>
      <c r="P79" s="265"/>
      <c r="Q79" s="260"/>
      <c r="R79" s="3"/>
      <c r="S79" s="265"/>
      <c r="T79" s="265"/>
      <c r="U79" s="265"/>
      <c r="V79" s="265"/>
      <c r="W79" s="265"/>
      <c r="X79" s="193"/>
      <c r="Y79" s="193"/>
      <c r="Z79" s="193"/>
      <c r="AA79" s="193"/>
      <c r="AB79" s="193"/>
      <c r="AC79" s="193"/>
      <c r="AD79" s="193"/>
      <c r="AE79" s="193"/>
      <c r="AF79" s="3"/>
      <c r="AG79" s="3"/>
      <c r="AH79" s="3"/>
      <c r="AI79" s="3"/>
      <c r="AJ79" s="3"/>
      <c r="AK79" s="3"/>
      <c r="AL79" s="3"/>
    </row>
    <row r="80" spans="1:38" ht="14.25" customHeight="1">
      <c r="A80" s="3"/>
      <c r="B80" s="3"/>
      <c r="C80" s="3"/>
      <c r="D80" s="3"/>
      <c r="E80" s="265"/>
      <c r="F80" s="265"/>
      <c r="G80" s="265"/>
      <c r="H80" s="265"/>
      <c r="I80" s="265"/>
      <c r="J80" s="260"/>
      <c r="K80" s="3"/>
      <c r="L80" s="265"/>
      <c r="M80" s="265"/>
      <c r="N80" s="265"/>
      <c r="O80" s="265"/>
      <c r="P80" s="265"/>
      <c r="Q80" s="260"/>
      <c r="R80" s="3"/>
      <c r="S80" s="265"/>
      <c r="T80" s="265"/>
      <c r="U80" s="265"/>
      <c r="V80" s="265"/>
      <c r="W80" s="265"/>
      <c r="X80" s="193"/>
      <c r="Y80" s="193"/>
      <c r="Z80" s="193"/>
      <c r="AA80" s="193"/>
      <c r="AB80" s="193"/>
      <c r="AC80" s="193"/>
      <c r="AD80" s="193"/>
      <c r="AE80" s="193"/>
      <c r="AF80" s="3"/>
      <c r="AG80" s="3"/>
      <c r="AH80" s="3"/>
      <c r="AI80" s="3"/>
      <c r="AJ80" s="3"/>
      <c r="AK80" s="3"/>
      <c r="AL80" s="3"/>
    </row>
    <row r="81" spans="1:38" ht="14.25" customHeight="1">
      <c r="A81" s="3"/>
      <c r="B81" s="3"/>
      <c r="C81" s="3"/>
      <c r="D81" s="3"/>
      <c r="E81" s="265"/>
      <c r="F81" s="265"/>
      <c r="G81" s="265"/>
      <c r="H81" s="265"/>
      <c r="I81" s="265"/>
      <c r="J81" s="260"/>
      <c r="K81" s="3"/>
      <c r="L81" s="265"/>
      <c r="M81" s="265"/>
      <c r="N81" s="265"/>
      <c r="O81" s="265"/>
      <c r="P81" s="265"/>
      <c r="Q81" s="260"/>
      <c r="R81" s="3"/>
      <c r="S81" s="265"/>
      <c r="T81" s="265"/>
      <c r="U81" s="265"/>
      <c r="V81" s="265"/>
      <c r="W81" s="265"/>
      <c r="X81" s="193"/>
      <c r="Y81" s="193"/>
      <c r="Z81" s="193"/>
      <c r="AA81" s="193"/>
      <c r="AB81" s="193"/>
      <c r="AC81" s="193"/>
      <c r="AD81" s="193"/>
      <c r="AE81" s="193"/>
      <c r="AF81" s="3"/>
      <c r="AG81" s="3"/>
      <c r="AH81" s="3"/>
      <c r="AI81" s="3"/>
      <c r="AJ81" s="3"/>
      <c r="AK81" s="3"/>
      <c r="AL81" s="3"/>
    </row>
    <row r="82" spans="1:38" ht="14.25" customHeight="1">
      <c r="A82" s="3"/>
      <c r="B82" s="3"/>
      <c r="C82" s="3"/>
      <c r="D82" s="3"/>
      <c r="E82" s="265"/>
      <c r="F82" s="265"/>
      <c r="G82" s="265"/>
      <c r="H82" s="265"/>
      <c r="I82" s="265"/>
      <c r="J82" s="260"/>
      <c r="K82" s="3"/>
      <c r="L82" s="265"/>
      <c r="M82" s="265"/>
      <c r="N82" s="265"/>
      <c r="O82" s="265"/>
      <c r="P82" s="265"/>
      <c r="Q82" s="260"/>
      <c r="R82" s="3"/>
      <c r="S82" s="265"/>
      <c r="T82" s="265"/>
      <c r="U82" s="265"/>
      <c r="V82" s="265"/>
      <c r="W82" s="265"/>
      <c r="X82" s="193"/>
      <c r="Y82" s="193"/>
      <c r="Z82" s="193"/>
      <c r="AA82" s="193"/>
      <c r="AB82" s="193"/>
      <c r="AC82" s="193"/>
      <c r="AD82" s="193"/>
      <c r="AE82" s="193"/>
      <c r="AF82" s="3"/>
      <c r="AG82" s="3"/>
      <c r="AH82" s="3"/>
      <c r="AI82" s="3"/>
      <c r="AJ82" s="3"/>
      <c r="AK82" s="3"/>
      <c r="AL82" s="3"/>
    </row>
    <row r="83" spans="1:38" ht="14.25" customHeight="1">
      <c r="A83" s="3"/>
      <c r="B83" s="3"/>
      <c r="C83" s="3"/>
      <c r="D83" s="3"/>
      <c r="E83" s="265"/>
      <c r="F83" s="265"/>
      <c r="G83" s="265"/>
      <c r="H83" s="265"/>
      <c r="I83" s="265"/>
      <c r="J83" s="260"/>
      <c r="K83" s="3"/>
      <c r="L83" s="265"/>
      <c r="M83" s="265"/>
      <c r="N83" s="265"/>
      <c r="O83" s="265"/>
      <c r="P83" s="265"/>
      <c r="Q83" s="260"/>
      <c r="R83" s="3"/>
      <c r="S83" s="265"/>
      <c r="T83" s="265"/>
      <c r="U83" s="265"/>
      <c r="V83" s="265"/>
      <c r="W83" s="265"/>
      <c r="X83" s="193"/>
      <c r="Y83" s="193"/>
      <c r="Z83" s="193"/>
      <c r="AA83" s="193"/>
      <c r="AB83" s="193"/>
      <c r="AC83" s="193"/>
      <c r="AD83" s="193"/>
      <c r="AE83" s="193"/>
      <c r="AF83" s="3"/>
      <c r="AG83" s="3"/>
      <c r="AH83" s="3"/>
      <c r="AI83" s="3"/>
      <c r="AJ83" s="3"/>
      <c r="AK83" s="3"/>
      <c r="AL83" s="3"/>
    </row>
    <row r="84" spans="1:38" ht="14.25" customHeight="1">
      <c r="A84" s="3"/>
      <c r="B84" s="3"/>
      <c r="C84" s="3"/>
      <c r="D84" s="3"/>
      <c r="E84" s="265"/>
      <c r="F84" s="265"/>
      <c r="G84" s="265"/>
      <c r="H84" s="265"/>
      <c r="I84" s="265"/>
      <c r="J84" s="260"/>
      <c r="K84" s="3"/>
      <c r="L84" s="265"/>
      <c r="M84" s="265"/>
      <c r="N84" s="265"/>
      <c r="O84" s="265"/>
      <c r="P84" s="265"/>
      <c r="Q84" s="260"/>
      <c r="R84" s="3"/>
      <c r="S84" s="265"/>
      <c r="T84" s="265"/>
      <c r="U84" s="265"/>
      <c r="V84" s="265"/>
      <c r="W84" s="265"/>
      <c r="X84" s="193"/>
      <c r="Y84" s="193"/>
      <c r="Z84" s="193"/>
      <c r="AA84" s="193"/>
      <c r="AB84" s="193"/>
      <c r="AC84" s="193"/>
      <c r="AD84" s="193"/>
      <c r="AE84" s="193"/>
      <c r="AF84" s="3"/>
      <c r="AG84" s="3"/>
      <c r="AH84" s="3"/>
      <c r="AI84" s="3"/>
      <c r="AJ84" s="3"/>
      <c r="AK84" s="3"/>
      <c r="AL84" s="3"/>
    </row>
    <row r="85" spans="1:38" ht="14.25" customHeight="1">
      <c r="A85" s="3"/>
      <c r="B85" s="3"/>
      <c r="C85" s="3"/>
      <c r="D85" s="3"/>
      <c r="E85" s="265"/>
      <c r="F85" s="265"/>
      <c r="G85" s="265"/>
      <c r="H85" s="265"/>
      <c r="I85" s="265"/>
      <c r="J85" s="260"/>
      <c r="K85" s="3"/>
      <c r="L85" s="265"/>
      <c r="M85" s="265"/>
      <c r="N85" s="265"/>
      <c r="O85" s="265"/>
      <c r="P85" s="265"/>
      <c r="Q85" s="260"/>
      <c r="R85" s="3"/>
      <c r="S85" s="265"/>
      <c r="T85" s="265"/>
      <c r="U85" s="265"/>
      <c r="V85" s="265"/>
      <c r="W85" s="265"/>
      <c r="X85" s="193"/>
      <c r="Y85" s="193"/>
      <c r="Z85" s="193"/>
      <c r="AA85" s="193"/>
      <c r="AB85" s="193"/>
      <c r="AC85" s="193"/>
      <c r="AD85" s="193"/>
      <c r="AE85" s="193"/>
      <c r="AF85" s="3"/>
      <c r="AG85" s="3"/>
      <c r="AH85" s="3"/>
      <c r="AI85" s="3"/>
      <c r="AJ85" s="3"/>
      <c r="AK85" s="3"/>
      <c r="AL85" s="3"/>
    </row>
    <row r="86" spans="1:38" ht="14.25" customHeight="1">
      <c r="A86" s="3"/>
      <c r="B86" s="3"/>
      <c r="C86" s="3"/>
      <c r="D86" s="3"/>
      <c r="E86" s="265"/>
      <c r="F86" s="265"/>
      <c r="G86" s="265"/>
      <c r="H86" s="265"/>
      <c r="I86" s="265"/>
      <c r="J86" s="260"/>
      <c r="K86" s="3"/>
      <c r="L86" s="265"/>
      <c r="M86" s="265"/>
      <c r="N86" s="265"/>
      <c r="O86" s="265"/>
      <c r="P86" s="265"/>
      <c r="Q86" s="260"/>
      <c r="R86" s="3"/>
      <c r="S86" s="265"/>
      <c r="T86" s="265"/>
      <c r="U86" s="265"/>
      <c r="V86" s="265"/>
      <c r="W86" s="265"/>
      <c r="X86" s="193"/>
      <c r="Y86" s="193"/>
      <c r="Z86" s="193"/>
      <c r="AA86" s="193"/>
      <c r="AB86" s="193"/>
      <c r="AC86" s="193"/>
      <c r="AD86" s="193"/>
      <c r="AE86" s="193"/>
      <c r="AF86" s="3"/>
      <c r="AG86" s="3"/>
      <c r="AH86" s="3"/>
      <c r="AI86" s="3"/>
      <c r="AJ86" s="3"/>
      <c r="AK86" s="3"/>
      <c r="AL86" s="3"/>
    </row>
    <row r="87" spans="1:38" ht="14.25" customHeight="1">
      <c r="A87" s="3"/>
      <c r="B87" s="3"/>
      <c r="C87" s="3"/>
      <c r="D87" s="3"/>
      <c r="E87" s="265"/>
      <c r="F87" s="265"/>
      <c r="G87" s="265"/>
      <c r="H87" s="265"/>
      <c r="I87" s="265"/>
      <c r="J87" s="260"/>
      <c r="K87" s="3"/>
      <c r="L87" s="265"/>
      <c r="M87" s="265"/>
      <c r="N87" s="265"/>
      <c r="O87" s="265"/>
      <c r="P87" s="265"/>
      <c r="Q87" s="260"/>
      <c r="R87" s="3"/>
      <c r="S87" s="265"/>
      <c r="T87" s="265"/>
      <c r="U87" s="265"/>
      <c r="V87" s="265"/>
      <c r="W87" s="265"/>
      <c r="X87" s="193"/>
      <c r="Y87" s="193"/>
      <c r="Z87" s="193"/>
      <c r="AA87" s="193"/>
      <c r="AB87" s="193"/>
      <c r="AC87" s="193"/>
      <c r="AD87" s="193"/>
      <c r="AE87" s="193"/>
      <c r="AF87" s="3"/>
      <c r="AG87" s="3"/>
      <c r="AH87" s="3"/>
      <c r="AI87" s="3"/>
      <c r="AJ87" s="3"/>
      <c r="AK87" s="3"/>
      <c r="AL87" s="3"/>
    </row>
    <row r="88" spans="1:38" ht="14.25" customHeight="1">
      <c r="A88" s="3"/>
      <c r="B88" s="3"/>
      <c r="C88" s="3"/>
      <c r="D88" s="3"/>
      <c r="E88" s="265"/>
      <c r="F88" s="265"/>
      <c r="G88" s="265"/>
      <c r="H88" s="265"/>
      <c r="I88" s="265"/>
      <c r="J88" s="260"/>
      <c r="K88" s="3"/>
      <c r="L88" s="265"/>
      <c r="M88" s="265"/>
      <c r="N88" s="265"/>
      <c r="O88" s="265"/>
      <c r="P88" s="265"/>
      <c r="Q88" s="260"/>
      <c r="R88" s="3"/>
      <c r="S88" s="265"/>
      <c r="T88" s="265"/>
      <c r="U88" s="265"/>
      <c r="V88" s="265"/>
      <c r="W88" s="265"/>
      <c r="X88" s="193"/>
      <c r="Y88" s="193"/>
      <c r="Z88" s="193"/>
      <c r="AA88" s="193"/>
      <c r="AB88" s="193"/>
      <c r="AC88" s="193"/>
      <c r="AD88" s="193"/>
      <c r="AE88" s="193"/>
      <c r="AF88" s="3"/>
      <c r="AG88" s="3"/>
      <c r="AH88" s="3"/>
      <c r="AI88" s="3"/>
      <c r="AJ88" s="3"/>
      <c r="AK88" s="3"/>
      <c r="AL88" s="3"/>
    </row>
    <row r="89" spans="1:38" ht="14.25" customHeight="1">
      <c r="A89" s="3"/>
      <c r="B89" s="3"/>
      <c r="C89" s="3"/>
      <c r="D89" s="3"/>
      <c r="E89" s="265"/>
      <c r="F89" s="265"/>
      <c r="G89" s="265"/>
      <c r="H89" s="265"/>
      <c r="I89" s="265"/>
      <c r="J89" s="260"/>
      <c r="K89" s="3"/>
      <c r="L89" s="265"/>
      <c r="M89" s="265"/>
      <c r="N89" s="265"/>
      <c r="O89" s="265"/>
      <c r="P89" s="265"/>
      <c r="Q89" s="260"/>
      <c r="R89" s="3"/>
      <c r="S89" s="265"/>
      <c r="T89" s="265"/>
      <c r="U89" s="265"/>
      <c r="V89" s="265"/>
      <c r="W89" s="265"/>
      <c r="X89" s="193"/>
      <c r="Y89" s="193"/>
      <c r="Z89" s="193"/>
      <c r="AA89" s="193"/>
      <c r="AB89" s="193"/>
      <c r="AC89" s="193"/>
      <c r="AD89" s="193"/>
      <c r="AE89" s="193"/>
      <c r="AF89" s="3"/>
      <c r="AG89" s="3"/>
      <c r="AH89" s="3"/>
      <c r="AI89" s="3"/>
      <c r="AJ89" s="3"/>
      <c r="AK89" s="3"/>
      <c r="AL89" s="3"/>
    </row>
    <row r="90" spans="1:38" ht="14.25" customHeight="1">
      <c r="A90" s="3"/>
      <c r="B90" s="3"/>
      <c r="C90" s="3"/>
      <c r="D90" s="3"/>
      <c r="E90" s="265"/>
      <c r="F90" s="265"/>
      <c r="G90" s="265"/>
      <c r="H90" s="265"/>
      <c r="I90" s="265"/>
      <c r="J90" s="260"/>
      <c r="K90" s="3"/>
      <c r="L90" s="265"/>
      <c r="M90" s="265"/>
      <c r="N90" s="265"/>
      <c r="O90" s="265"/>
      <c r="P90" s="265"/>
      <c r="Q90" s="260"/>
      <c r="R90" s="3"/>
      <c r="S90" s="265"/>
      <c r="T90" s="265"/>
      <c r="U90" s="265"/>
      <c r="V90" s="265"/>
      <c r="W90" s="265"/>
      <c r="X90" s="193"/>
      <c r="Y90" s="193"/>
      <c r="Z90" s="193"/>
      <c r="AA90" s="193"/>
      <c r="AB90" s="193"/>
      <c r="AC90" s="193"/>
      <c r="AD90" s="193"/>
      <c r="AE90" s="193"/>
      <c r="AF90" s="3"/>
      <c r="AG90" s="3"/>
      <c r="AH90" s="3"/>
      <c r="AI90" s="3"/>
      <c r="AJ90" s="3"/>
      <c r="AK90" s="3"/>
      <c r="AL90" s="3"/>
    </row>
    <row r="91" spans="1:38" ht="14.25" customHeight="1">
      <c r="A91" s="3"/>
      <c r="B91" s="3"/>
      <c r="C91" s="3"/>
      <c r="D91" s="3"/>
      <c r="E91" s="265"/>
      <c r="F91" s="265"/>
      <c r="G91" s="265"/>
      <c r="H91" s="265"/>
      <c r="I91" s="265"/>
      <c r="J91" s="260"/>
      <c r="K91" s="3"/>
      <c r="L91" s="265"/>
      <c r="M91" s="265"/>
      <c r="N91" s="265"/>
      <c r="O91" s="265"/>
      <c r="P91" s="265"/>
      <c r="Q91" s="260"/>
      <c r="R91" s="3"/>
      <c r="S91" s="265"/>
      <c r="T91" s="265"/>
      <c r="U91" s="265"/>
      <c r="V91" s="265"/>
      <c r="W91" s="265"/>
      <c r="X91" s="193"/>
      <c r="Y91" s="193"/>
      <c r="Z91" s="193"/>
      <c r="AA91" s="193"/>
      <c r="AB91" s="193"/>
      <c r="AC91" s="193"/>
      <c r="AD91" s="193"/>
      <c r="AE91" s="193"/>
      <c r="AF91" s="3"/>
      <c r="AG91" s="3"/>
      <c r="AH91" s="3"/>
      <c r="AI91" s="3"/>
      <c r="AJ91" s="3"/>
      <c r="AK91" s="3"/>
      <c r="AL91" s="3"/>
    </row>
    <row r="92" spans="1:38" ht="14.25" customHeight="1">
      <c r="A92" s="3"/>
      <c r="B92" s="3"/>
      <c r="C92" s="3"/>
      <c r="D92" s="3"/>
      <c r="E92" s="265"/>
      <c r="F92" s="265"/>
      <c r="G92" s="265"/>
      <c r="H92" s="265"/>
      <c r="I92" s="265"/>
      <c r="J92" s="260"/>
      <c r="K92" s="3"/>
      <c r="L92" s="265"/>
      <c r="M92" s="265"/>
      <c r="N92" s="265"/>
      <c r="O92" s="265"/>
      <c r="P92" s="265"/>
      <c r="Q92" s="260"/>
      <c r="R92" s="3"/>
      <c r="S92" s="265"/>
      <c r="T92" s="265"/>
      <c r="U92" s="265"/>
      <c r="V92" s="265"/>
      <c r="W92" s="265"/>
      <c r="X92" s="193"/>
      <c r="Y92" s="193"/>
      <c r="Z92" s="193"/>
      <c r="AA92" s="193"/>
      <c r="AB92" s="193"/>
      <c r="AC92" s="193"/>
      <c r="AD92" s="193"/>
      <c r="AE92" s="193"/>
      <c r="AF92" s="3"/>
      <c r="AG92" s="3"/>
      <c r="AH92" s="3"/>
      <c r="AI92" s="3"/>
      <c r="AJ92" s="3"/>
      <c r="AK92" s="3"/>
      <c r="AL92" s="3"/>
    </row>
    <row r="93" spans="1:38" ht="14.25" customHeight="1">
      <c r="A93" s="3"/>
      <c r="B93" s="3"/>
      <c r="C93" s="3"/>
      <c r="D93" s="3"/>
      <c r="E93" s="265"/>
      <c r="F93" s="265"/>
      <c r="G93" s="265"/>
      <c r="H93" s="265"/>
      <c r="I93" s="265"/>
      <c r="J93" s="260"/>
      <c r="K93" s="3"/>
      <c r="L93" s="265"/>
      <c r="M93" s="265"/>
      <c r="N93" s="265"/>
      <c r="O93" s="265"/>
      <c r="P93" s="265"/>
      <c r="Q93" s="260"/>
      <c r="R93" s="3"/>
      <c r="S93" s="265"/>
      <c r="T93" s="265"/>
      <c r="U93" s="265"/>
      <c r="V93" s="265"/>
      <c r="W93" s="265"/>
      <c r="X93" s="193"/>
      <c r="Y93" s="193"/>
      <c r="Z93" s="193"/>
      <c r="AA93" s="193"/>
      <c r="AB93" s="193"/>
      <c r="AC93" s="193"/>
      <c r="AD93" s="193"/>
      <c r="AE93" s="193"/>
      <c r="AF93" s="3"/>
      <c r="AG93" s="3"/>
      <c r="AH93" s="3"/>
      <c r="AI93" s="3"/>
      <c r="AJ93" s="3"/>
      <c r="AK93" s="3"/>
      <c r="AL93" s="3"/>
    </row>
    <row r="94" spans="1:38" ht="14.25" customHeight="1">
      <c r="A94" s="3"/>
      <c r="B94" s="3"/>
      <c r="C94" s="3"/>
      <c r="D94" s="3"/>
      <c r="E94" s="265"/>
      <c r="F94" s="265"/>
      <c r="G94" s="265"/>
      <c r="H94" s="265"/>
      <c r="I94" s="265"/>
      <c r="J94" s="260"/>
      <c r="K94" s="3"/>
      <c r="L94" s="265"/>
      <c r="M94" s="265"/>
      <c r="N94" s="265"/>
      <c r="O94" s="265"/>
      <c r="P94" s="265"/>
      <c r="Q94" s="260"/>
      <c r="R94" s="3"/>
      <c r="S94" s="265"/>
      <c r="T94" s="265"/>
      <c r="U94" s="265"/>
      <c r="V94" s="265"/>
      <c r="W94" s="265"/>
      <c r="X94" s="193"/>
      <c r="Y94" s="193"/>
      <c r="Z94" s="193"/>
      <c r="AA94" s="193"/>
      <c r="AB94" s="193"/>
      <c r="AC94" s="193"/>
      <c r="AD94" s="193"/>
      <c r="AE94" s="193"/>
      <c r="AF94" s="3"/>
      <c r="AG94" s="3"/>
      <c r="AH94" s="3"/>
      <c r="AI94" s="3"/>
      <c r="AJ94" s="3"/>
      <c r="AK94" s="3"/>
      <c r="AL94" s="3"/>
    </row>
    <row r="95" spans="1:38" ht="14.25" customHeight="1">
      <c r="A95" s="3"/>
      <c r="B95" s="3"/>
      <c r="C95" s="3"/>
      <c r="D95" s="3"/>
      <c r="E95" s="265"/>
      <c r="F95" s="265"/>
      <c r="G95" s="265"/>
      <c r="H95" s="265"/>
      <c r="I95" s="265"/>
      <c r="J95" s="260"/>
      <c r="K95" s="3"/>
      <c r="L95" s="265"/>
      <c r="M95" s="265"/>
      <c r="N95" s="265"/>
      <c r="O95" s="265"/>
      <c r="P95" s="265"/>
      <c r="Q95" s="260"/>
      <c r="R95" s="3"/>
      <c r="S95" s="265"/>
      <c r="T95" s="265"/>
      <c r="U95" s="265"/>
      <c r="V95" s="265"/>
      <c r="W95" s="265"/>
      <c r="X95" s="193"/>
      <c r="Y95" s="193"/>
      <c r="Z95" s="193"/>
      <c r="AA95" s="193"/>
      <c r="AB95" s="193"/>
      <c r="AC95" s="193"/>
      <c r="AD95" s="193"/>
      <c r="AE95" s="193"/>
      <c r="AF95" s="3"/>
      <c r="AG95" s="3"/>
      <c r="AH95" s="3"/>
      <c r="AI95" s="3"/>
      <c r="AJ95" s="3"/>
      <c r="AK95" s="3"/>
      <c r="AL95" s="3"/>
    </row>
    <row r="96" spans="1:38" ht="14.25" customHeight="1">
      <c r="A96" s="3"/>
      <c r="B96" s="3"/>
      <c r="C96" s="3"/>
      <c r="D96" s="3"/>
      <c r="E96" s="265"/>
      <c r="F96" s="265"/>
      <c r="G96" s="265"/>
      <c r="H96" s="265"/>
      <c r="I96" s="265"/>
      <c r="J96" s="260"/>
      <c r="K96" s="3"/>
      <c r="L96" s="265"/>
      <c r="M96" s="265"/>
      <c r="N96" s="265"/>
      <c r="O96" s="265"/>
      <c r="P96" s="265"/>
      <c r="Q96" s="260"/>
      <c r="R96" s="3"/>
      <c r="S96" s="265"/>
      <c r="T96" s="265"/>
      <c r="U96" s="265"/>
      <c r="V96" s="265"/>
      <c r="W96" s="265"/>
      <c r="X96" s="193"/>
      <c r="Y96" s="193"/>
      <c r="Z96" s="193"/>
      <c r="AA96" s="193"/>
      <c r="AB96" s="193"/>
      <c r="AC96" s="193"/>
      <c r="AD96" s="193"/>
      <c r="AE96" s="193"/>
      <c r="AF96" s="3"/>
      <c r="AG96" s="3"/>
      <c r="AH96" s="3"/>
      <c r="AI96" s="3"/>
      <c r="AJ96" s="3"/>
      <c r="AK96" s="3"/>
      <c r="AL96" s="3"/>
    </row>
    <row r="97" spans="1:38" ht="14.25" customHeight="1">
      <c r="A97" s="3"/>
      <c r="B97" s="3"/>
      <c r="C97" s="3"/>
      <c r="D97" s="3"/>
      <c r="E97" s="265"/>
      <c r="F97" s="265"/>
      <c r="G97" s="265"/>
      <c r="H97" s="265"/>
      <c r="I97" s="265"/>
      <c r="J97" s="260"/>
      <c r="K97" s="3"/>
      <c r="L97" s="265"/>
      <c r="M97" s="265"/>
      <c r="N97" s="265"/>
      <c r="O97" s="265"/>
      <c r="P97" s="265"/>
      <c r="Q97" s="260"/>
      <c r="R97" s="3"/>
      <c r="S97" s="265"/>
      <c r="T97" s="265"/>
      <c r="U97" s="265"/>
      <c r="V97" s="265"/>
      <c r="W97" s="265"/>
      <c r="X97" s="193"/>
      <c r="Y97" s="193"/>
      <c r="Z97" s="193"/>
      <c r="AA97" s="193"/>
      <c r="AB97" s="193"/>
      <c r="AC97" s="193"/>
      <c r="AD97" s="193"/>
      <c r="AE97" s="193"/>
      <c r="AF97" s="3"/>
      <c r="AG97" s="3"/>
      <c r="AH97" s="3"/>
      <c r="AI97" s="3"/>
      <c r="AJ97" s="3"/>
      <c r="AK97" s="3"/>
      <c r="AL97" s="3"/>
    </row>
    <row r="98" spans="1:38" ht="14.25" customHeight="1">
      <c r="A98" s="3"/>
      <c r="B98" s="3"/>
      <c r="C98" s="3"/>
      <c r="D98" s="3"/>
      <c r="E98" s="265"/>
      <c r="F98" s="265"/>
      <c r="G98" s="265"/>
      <c r="H98" s="265"/>
      <c r="I98" s="265"/>
      <c r="J98" s="260"/>
      <c r="K98" s="3"/>
      <c r="L98" s="265"/>
      <c r="M98" s="265"/>
      <c r="N98" s="265"/>
      <c r="O98" s="265"/>
      <c r="P98" s="265"/>
      <c r="Q98" s="260"/>
      <c r="R98" s="3"/>
      <c r="S98" s="265"/>
      <c r="T98" s="265"/>
      <c r="U98" s="265"/>
      <c r="V98" s="265"/>
      <c r="W98" s="265"/>
      <c r="X98" s="193"/>
      <c r="Y98" s="193"/>
      <c r="Z98" s="193"/>
      <c r="AA98" s="193"/>
      <c r="AB98" s="193"/>
      <c r="AC98" s="193"/>
      <c r="AD98" s="193"/>
      <c r="AE98" s="193"/>
      <c r="AF98" s="3"/>
      <c r="AG98" s="3"/>
      <c r="AH98" s="3"/>
      <c r="AI98" s="3"/>
      <c r="AJ98" s="3"/>
      <c r="AK98" s="3"/>
      <c r="AL98" s="3"/>
    </row>
    <row r="99" spans="1:38" ht="14.25" customHeight="1">
      <c r="A99" s="3"/>
      <c r="B99" s="3"/>
      <c r="C99" s="3"/>
      <c r="D99" s="3"/>
      <c r="E99" s="265"/>
      <c r="F99" s="265"/>
      <c r="G99" s="265"/>
      <c r="H99" s="265"/>
      <c r="I99" s="265"/>
      <c r="J99" s="260"/>
      <c r="K99" s="3"/>
      <c r="L99" s="265"/>
      <c r="M99" s="265"/>
      <c r="N99" s="265"/>
      <c r="O99" s="265"/>
      <c r="P99" s="265"/>
      <c r="Q99" s="260"/>
      <c r="R99" s="3"/>
      <c r="S99" s="265"/>
      <c r="T99" s="265"/>
      <c r="U99" s="265"/>
      <c r="V99" s="265"/>
      <c r="W99" s="265"/>
      <c r="X99" s="193"/>
      <c r="Y99" s="193"/>
      <c r="Z99" s="193"/>
      <c r="AA99" s="193"/>
      <c r="AB99" s="193"/>
      <c r="AC99" s="193"/>
      <c r="AD99" s="193"/>
      <c r="AE99" s="193"/>
      <c r="AF99" s="3"/>
      <c r="AG99" s="3"/>
      <c r="AH99" s="3"/>
      <c r="AI99" s="3"/>
      <c r="AJ99" s="3"/>
      <c r="AK99" s="3"/>
      <c r="AL99" s="3"/>
    </row>
    <row r="100" spans="1:38" ht="14.25" customHeight="1">
      <c r="A100" s="3"/>
      <c r="B100" s="3"/>
      <c r="C100" s="3"/>
      <c r="D100" s="3"/>
      <c r="E100" s="265"/>
      <c r="F100" s="265"/>
      <c r="G100" s="265"/>
      <c r="H100" s="265"/>
      <c r="I100" s="265"/>
      <c r="J100" s="260"/>
      <c r="K100" s="3"/>
      <c r="L100" s="265"/>
      <c r="M100" s="265"/>
      <c r="N100" s="265"/>
      <c r="O100" s="265"/>
      <c r="P100" s="265"/>
      <c r="Q100" s="260"/>
      <c r="R100" s="3"/>
      <c r="S100" s="265"/>
      <c r="T100" s="265"/>
      <c r="U100" s="265"/>
      <c r="V100" s="265"/>
      <c r="W100" s="265"/>
      <c r="X100" s="193"/>
      <c r="Y100" s="193"/>
      <c r="Z100" s="193"/>
      <c r="AA100" s="193"/>
      <c r="AB100" s="193"/>
      <c r="AC100" s="193"/>
      <c r="AD100" s="193"/>
      <c r="AE100" s="193"/>
      <c r="AF100" s="3"/>
      <c r="AG100" s="3"/>
      <c r="AH100" s="3"/>
      <c r="AI100" s="3"/>
      <c r="AJ100" s="3"/>
      <c r="AK100" s="3"/>
      <c r="AL100" s="3"/>
    </row>
    <row r="101" spans="1:38" ht="14.25" customHeight="1">
      <c r="A101" s="3"/>
      <c r="B101" s="3"/>
      <c r="C101" s="3"/>
      <c r="D101" s="3"/>
      <c r="E101" s="265"/>
      <c r="F101" s="265"/>
      <c r="G101" s="265"/>
      <c r="H101" s="265"/>
      <c r="I101" s="265"/>
      <c r="J101" s="260"/>
      <c r="K101" s="3"/>
      <c r="L101" s="265"/>
      <c r="M101" s="265"/>
      <c r="N101" s="265"/>
      <c r="O101" s="265"/>
      <c r="P101" s="265"/>
      <c r="Q101" s="260"/>
      <c r="R101" s="3"/>
      <c r="S101" s="265"/>
      <c r="T101" s="265"/>
      <c r="U101" s="265"/>
      <c r="V101" s="265"/>
      <c r="W101" s="265"/>
      <c r="X101" s="193"/>
      <c r="Y101" s="193"/>
      <c r="Z101" s="193"/>
      <c r="AA101" s="193"/>
      <c r="AB101" s="193"/>
      <c r="AC101" s="193"/>
      <c r="AD101" s="193"/>
      <c r="AE101" s="193"/>
      <c r="AF101" s="3"/>
      <c r="AG101" s="3"/>
      <c r="AH101" s="3"/>
      <c r="AI101" s="3"/>
      <c r="AJ101" s="3"/>
      <c r="AK101" s="3"/>
      <c r="AL101" s="3"/>
    </row>
    <row r="102" spans="1:38" ht="14.25" customHeight="1">
      <c r="A102" s="3"/>
      <c r="B102" s="3"/>
      <c r="C102" s="3"/>
      <c r="D102" s="3"/>
      <c r="E102" s="265"/>
      <c r="F102" s="265"/>
      <c r="G102" s="265"/>
      <c r="H102" s="265"/>
      <c r="I102" s="265"/>
      <c r="J102" s="260"/>
      <c r="K102" s="3"/>
      <c r="L102" s="265"/>
      <c r="M102" s="265"/>
      <c r="N102" s="265"/>
      <c r="O102" s="265"/>
      <c r="P102" s="265"/>
      <c r="Q102" s="260"/>
      <c r="R102" s="3"/>
      <c r="S102" s="265"/>
      <c r="T102" s="265"/>
      <c r="U102" s="265"/>
      <c r="V102" s="265"/>
      <c r="W102" s="265"/>
      <c r="X102" s="193"/>
      <c r="Y102" s="193"/>
      <c r="Z102" s="193"/>
      <c r="AA102" s="193"/>
      <c r="AB102" s="193"/>
      <c r="AC102" s="193"/>
      <c r="AD102" s="193"/>
      <c r="AE102" s="193"/>
      <c r="AF102" s="3"/>
      <c r="AG102" s="3"/>
      <c r="AH102" s="3"/>
      <c r="AI102" s="3"/>
      <c r="AJ102" s="3"/>
      <c r="AK102" s="3"/>
      <c r="AL102" s="3"/>
    </row>
    <row r="103" spans="1:38" ht="14.25" customHeight="1">
      <c r="A103" s="3"/>
      <c r="B103" s="3"/>
      <c r="C103" s="3"/>
      <c r="D103" s="3"/>
      <c r="E103" s="265"/>
      <c r="F103" s="265"/>
      <c r="G103" s="265"/>
      <c r="H103" s="265"/>
      <c r="I103" s="265"/>
      <c r="J103" s="260"/>
      <c r="K103" s="3"/>
      <c r="L103" s="265"/>
      <c r="M103" s="265"/>
      <c r="N103" s="265"/>
      <c r="O103" s="265"/>
      <c r="P103" s="265"/>
      <c r="Q103" s="260"/>
      <c r="R103" s="3"/>
      <c r="S103" s="265"/>
      <c r="T103" s="265"/>
      <c r="U103" s="265"/>
      <c r="V103" s="265"/>
      <c r="W103" s="265"/>
      <c r="X103" s="193"/>
      <c r="Y103" s="193"/>
      <c r="Z103" s="193"/>
      <c r="AA103" s="193"/>
      <c r="AB103" s="193"/>
      <c r="AC103" s="193"/>
      <c r="AD103" s="193"/>
      <c r="AE103" s="193"/>
      <c r="AF103" s="3"/>
      <c r="AG103" s="3"/>
      <c r="AH103" s="3"/>
      <c r="AI103" s="3"/>
      <c r="AJ103" s="3"/>
      <c r="AK103" s="3"/>
      <c r="AL103" s="3"/>
    </row>
    <row r="104" spans="1:38" ht="14.25" customHeight="1">
      <c r="A104" s="3"/>
      <c r="B104" s="3"/>
      <c r="C104" s="3"/>
      <c r="D104" s="3"/>
      <c r="E104" s="265"/>
      <c r="F104" s="265"/>
      <c r="G104" s="265"/>
      <c r="H104" s="265"/>
      <c r="I104" s="265"/>
      <c r="J104" s="260"/>
      <c r="K104" s="3"/>
      <c r="L104" s="265"/>
      <c r="M104" s="265"/>
      <c r="N104" s="265"/>
      <c r="O104" s="265"/>
      <c r="P104" s="265"/>
      <c r="Q104" s="260"/>
      <c r="R104" s="3"/>
      <c r="S104" s="265"/>
      <c r="T104" s="265"/>
      <c r="U104" s="265"/>
      <c r="V104" s="265"/>
      <c r="W104" s="265"/>
      <c r="X104" s="193"/>
      <c r="Y104" s="193"/>
      <c r="Z104" s="193"/>
      <c r="AA104" s="193"/>
      <c r="AB104" s="193"/>
      <c r="AC104" s="193"/>
      <c r="AD104" s="193"/>
      <c r="AE104" s="193"/>
      <c r="AF104" s="3"/>
      <c r="AG104" s="3"/>
      <c r="AH104" s="3"/>
      <c r="AI104" s="3"/>
      <c r="AJ104" s="3"/>
      <c r="AK104" s="3"/>
      <c r="AL104" s="3"/>
    </row>
    <row r="105" spans="1:38" ht="14.25" customHeight="1">
      <c r="A105" s="3"/>
      <c r="B105" s="3"/>
      <c r="C105" s="3"/>
      <c r="D105" s="3"/>
      <c r="E105" s="265"/>
      <c r="F105" s="265"/>
      <c r="G105" s="265"/>
      <c r="H105" s="265"/>
      <c r="I105" s="265"/>
      <c r="J105" s="260"/>
      <c r="K105" s="3"/>
      <c r="L105" s="265"/>
      <c r="M105" s="265"/>
      <c r="N105" s="265"/>
      <c r="O105" s="265"/>
      <c r="P105" s="265"/>
      <c r="Q105" s="260"/>
      <c r="R105" s="3"/>
      <c r="S105" s="265"/>
      <c r="T105" s="265"/>
      <c r="U105" s="265"/>
      <c r="V105" s="265"/>
      <c r="W105" s="265"/>
      <c r="X105" s="193"/>
      <c r="Y105" s="193"/>
      <c r="Z105" s="193"/>
      <c r="AA105" s="193"/>
      <c r="AB105" s="193"/>
      <c r="AC105" s="193"/>
      <c r="AD105" s="193"/>
      <c r="AE105" s="193"/>
      <c r="AF105" s="3"/>
      <c r="AG105" s="3"/>
      <c r="AH105" s="3"/>
      <c r="AI105" s="3"/>
      <c r="AJ105" s="3"/>
      <c r="AK105" s="3"/>
      <c r="AL105" s="3"/>
    </row>
    <row r="106" spans="1:38" ht="14.25" customHeight="1">
      <c r="A106" s="3"/>
      <c r="B106" s="3"/>
      <c r="C106" s="3"/>
      <c r="D106" s="3"/>
      <c r="E106" s="265"/>
      <c r="F106" s="265"/>
      <c r="G106" s="265"/>
      <c r="H106" s="265"/>
      <c r="I106" s="265"/>
      <c r="J106" s="260"/>
      <c r="K106" s="3"/>
      <c r="L106" s="265"/>
      <c r="M106" s="265"/>
      <c r="N106" s="265"/>
      <c r="O106" s="265"/>
      <c r="P106" s="265"/>
      <c r="Q106" s="260"/>
      <c r="R106" s="3"/>
      <c r="S106" s="265"/>
      <c r="T106" s="265"/>
      <c r="U106" s="265"/>
      <c r="V106" s="265"/>
      <c r="W106" s="265"/>
      <c r="X106" s="193"/>
      <c r="Y106" s="193"/>
      <c r="Z106" s="193"/>
      <c r="AA106" s="193"/>
      <c r="AB106" s="193"/>
      <c r="AC106" s="193"/>
      <c r="AD106" s="193"/>
      <c r="AE106" s="193"/>
      <c r="AF106" s="3"/>
      <c r="AG106" s="3"/>
      <c r="AH106" s="3"/>
      <c r="AI106" s="3"/>
      <c r="AJ106" s="3"/>
      <c r="AK106" s="3"/>
      <c r="AL106" s="3"/>
    </row>
    <row r="107" spans="1:38" ht="14.25" customHeight="1">
      <c r="A107" s="3"/>
      <c r="B107" s="3"/>
      <c r="C107" s="3"/>
      <c r="D107" s="3"/>
      <c r="E107" s="265"/>
      <c r="F107" s="265"/>
      <c r="G107" s="265"/>
      <c r="H107" s="265"/>
      <c r="I107" s="265"/>
      <c r="J107" s="260"/>
      <c r="K107" s="3"/>
      <c r="L107" s="265"/>
      <c r="M107" s="265"/>
      <c r="N107" s="265"/>
      <c r="O107" s="265"/>
      <c r="P107" s="265"/>
      <c r="Q107" s="260"/>
      <c r="R107" s="3"/>
      <c r="S107" s="265"/>
      <c r="T107" s="265"/>
      <c r="U107" s="265"/>
      <c r="V107" s="265"/>
      <c r="W107" s="265"/>
      <c r="X107" s="193"/>
      <c r="Y107" s="193"/>
      <c r="Z107" s="193"/>
      <c r="AA107" s="193"/>
      <c r="AB107" s="193"/>
      <c r="AC107" s="193"/>
      <c r="AD107" s="193"/>
      <c r="AE107" s="193"/>
      <c r="AF107" s="3"/>
      <c r="AG107" s="3"/>
      <c r="AH107" s="3"/>
      <c r="AI107" s="3"/>
      <c r="AJ107" s="3"/>
      <c r="AK107" s="3"/>
      <c r="AL107" s="3"/>
    </row>
    <row r="108" spans="1:38" ht="14.25" customHeight="1">
      <c r="A108" s="3"/>
      <c r="B108" s="3"/>
      <c r="C108" s="3"/>
      <c r="D108" s="3"/>
      <c r="E108" s="265"/>
      <c r="F108" s="265"/>
      <c r="G108" s="265"/>
      <c r="H108" s="265"/>
      <c r="I108" s="265"/>
      <c r="J108" s="260"/>
      <c r="K108" s="3"/>
      <c r="L108" s="265"/>
      <c r="M108" s="265"/>
      <c r="N108" s="265"/>
      <c r="O108" s="265"/>
      <c r="P108" s="265"/>
      <c r="Q108" s="260"/>
      <c r="R108" s="3"/>
      <c r="S108" s="265"/>
      <c r="T108" s="265"/>
      <c r="U108" s="265"/>
      <c r="V108" s="265"/>
      <c r="W108" s="265"/>
      <c r="X108" s="193"/>
      <c r="Y108" s="193"/>
      <c r="Z108" s="193"/>
      <c r="AA108" s="193"/>
      <c r="AB108" s="193"/>
      <c r="AC108" s="193"/>
      <c r="AD108" s="193"/>
      <c r="AE108" s="193"/>
      <c r="AF108" s="3"/>
      <c r="AG108" s="3"/>
      <c r="AH108" s="3"/>
      <c r="AI108" s="3"/>
      <c r="AJ108" s="3"/>
      <c r="AK108" s="3"/>
      <c r="AL108" s="3"/>
    </row>
    <row r="109" spans="1:38" ht="14.25" customHeight="1">
      <c r="A109" s="3"/>
      <c r="B109" s="3"/>
      <c r="C109" s="3"/>
      <c r="D109" s="3"/>
      <c r="E109" s="265"/>
      <c r="F109" s="265"/>
      <c r="G109" s="265"/>
      <c r="H109" s="265"/>
      <c r="I109" s="265"/>
      <c r="J109" s="260"/>
      <c r="K109" s="3"/>
      <c r="L109" s="265"/>
      <c r="M109" s="265"/>
      <c r="N109" s="265"/>
      <c r="O109" s="265"/>
      <c r="P109" s="265"/>
      <c r="Q109" s="260"/>
      <c r="R109" s="3"/>
      <c r="S109" s="265"/>
      <c r="T109" s="265"/>
      <c r="U109" s="265"/>
      <c r="V109" s="265"/>
      <c r="W109" s="265"/>
      <c r="X109" s="193"/>
      <c r="Y109" s="193"/>
      <c r="Z109" s="193"/>
      <c r="AA109" s="193"/>
      <c r="AB109" s="193"/>
      <c r="AC109" s="193"/>
      <c r="AD109" s="193"/>
      <c r="AE109" s="193"/>
      <c r="AF109" s="3"/>
      <c r="AG109" s="3"/>
      <c r="AH109" s="3"/>
      <c r="AI109" s="3"/>
      <c r="AJ109" s="3"/>
      <c r="AK109" s="3"/>
      <c r="AL109" s="3"/>
    </row>
    <row r="110" spans="1:38" ht="14.25" customHeight="1">
      <c r="A110" s="3"/>
      <c r="B110" s="3"/>
      <c r="C110" s="3"/>
      <c r="D110" s="3"/>
      <c r="E110" s="265"/>
      <c r="F110" s="265"/>
      <c r="G110" s="265"/>
      <c r="H110" s="265"/>
      <c r="I110" s="265"/>
      <c r="J110" s="260"/>
      <c r="K110" s="3"/>
      <c r="L110" s="265"/>
      <c r="M110" s="265"/>
      <c r="N110" s="265"/>
      <c r="O110" s="265"/>
      <c r="P110" s="265"/>
      <c r="Q110" s="260"/>
      <c r="R110" s="3"/>
      <c r="S110" s="265"/>
      <c r="T110" s="265"/>
      <c r="U110" s="265"/>
      <c r="V110" s="265"/>
      <c r="W110" s="265"/>
      <c r="X110" s="193"/>
      <c r="Y110" s="193"/>
      <c r="Z110" s="193"/>
      <c r="AA110" s="193"/>
      <c r="AB110" s="193"/>
      <c r="AC110" s="193"/>
      <c r="AD110" s="193"/>
      <c r="AE110" s="193"/>
      <c r="AF110" s="3"/>
      <c r="AG110" s="3"/>
      <c r="AH110" s="3"/>
      <c r="AI110" s="3"/>
      <c r="AJ110" s="3"/>
      <c r="AK110" s="3"/>
      <c r="AL110" s="3"/>
    </row>
    <row r="111" spans="1:38" ht="14.25" customHeight="1">
      <c r="A111" s="3"/>
      <c r="B111" s="3"/>
      <c r="C111" s="3"/>
      <c r="D111" s="3"/>
      <c r="E111" s="265"/>
      <c r="F111" s="265"/>
      <c r="G111" s="265"/>
      <c r="H111" s="265"/>
      <c r="I111" s="265"/>
      <c r="J111" s="260"/>
      <c r="K111" s="3"/>
      <c r="L111" s="265"/>
      <c r="M111" s="265"/>
      <c r="N111" s="265"/>
      <c r="O111" s="265"/>
      <c r="P111" s="265"/>
      <c r="Q111" s="260"/>
      <c r="R111" s="3"/>
      <c r="S111" s="265"/>
      <c r="T111" s="265"/>
      <c r="U111" s="265"/>
      <c r="V111" s="265"/>
      <c r="W111" s="265"/>
      <c r="X111" s="193"/>
      <c r="Y111" s="193"/>
      <c r="Z111" s="193"/>
      <c r="AA111" s="193"/>
      <c r="AB111" s="193"/>
      <c r="AC111" s="193"/>
      <c r="AD111" s="193"/>
      <c r="AE111" s="193"/>
      <c r="AF111" s="3"/>
      <c r="AG111" s="3"/>
      <c r="AH111" s="3"/>
      <c r="AI111" s="3"/>
      <c r="AJ111" s="3"/>
      <c r="AK111" s="3"/>
      <c r="AL111" s="3"/>
    </row>
    <row r="112" spans="1:38" ht="14.25" customHeight="1">
      <c r="A112" s="3"/>
      <c r="B112" s="3"/>
      <c r="C112" s="3"/>
      <c r="D112" s="3"/>
      <c r="E112" s="265"/>
      <c r="F112" s="265"/>
      <c r="G112" s="265"/>
      <c r="H112" s="265"/>
      <c r="I112" s="265"/>
      <c r="J112" s="260"/>
      <c r="K112" s="3"/>
      <c r="L112" s="265"/>
      <c r="M112" s="265"/>
      <c r="N112" s="265"/>
      <c r="O112" s="265"/>
      <c r="P112" s="265"/>
      <c r="Q112" s="260"/>
      <c r="R112" s="3"/>
      <c r="S112" s="265"/>
      <c r="T112" s="265"/>
      <c r="U112" s="265"/>
      <c r="V112" s="265"/>
      <c r="W112" s="265"/>
      <c r="X112" s="193"/>
      <c r="Y112" s="193"/>
      <c r="Z112" s="193"/>
      <c r="AA112" s="193"/>
      <c r="AB112" s="193"/>
      <c r="AC112" s="193"/>
      <c r="AD112" s="193"/>
      <c r="AE112" s="193"/>
      <c r="AF112" s="3"/>
      <c r="AG112" s="3"/>
      <c r="AH112" s="3"/>
      <c r="AI112" s="3"/>
      <c r="AJ112" s="3"/>
      <c r="AK112" s="3"/>
      <c r="AL112" s="3"/>
    </row>
    <row r="113" spans="1:38" ht="14.25" customHeight="1">
      <c r="A113" s="3"/>
      <c r="B113" s="3"/>
      <c r="C113" s="3"/>
      <c r="D113" s="3"/>
      <c r="E113" s="265"/>
      <c r="F113" s="265"/>
      <c r="G113" s="265"/>
      <c r="H113" s="265"/>
      <c r="I113" s="265"/>
      <c r="J113" s="260"/>
      <c r="K113" s="3"/>
      <c r="L113" s="265"/>
      <c r="M113" s="265"/>
      <c r="N113" s="265"/>
      <c r="O113" s="265"/>
      <c r="P113" s="265"/>
      <c r="Q113" s="260"/>
      <c r="R113" s="3"/>
      <c r="S113" s="265"/>
      <c r="T113" s="265"/>
      <c r="U113" s="265"/>
      <c r="V113" s="265"/>
      <c r="W113" s="265"/>
      <c r="X113" s="193"/>
      <c r="Y113" s="193"/>
      <c r="Z113" s="193"/>
      <c r="AA113" s="193"/>
      <c r="AB113" s="193"/>
      <c r="AC113" s="193"/>
      <c r="AD113" s="193"/>
      <c r="AE113" s="193"/>
      <c r="AF113" s="3"/>
      <c r="AG113" s="3"/>
      <c r="AH113" s="3"/>
      <c r="AI113" s="3"/>
      <c r="AJ113" s="3"/>
      <c r="AK113" s="3"/>
      <c r="AL113" s="3"/>
    </row>
    <row r="114" spans="1:38" ht="14.25" customHeight="1">
      <c r="A114" s="3"/>
      <c r="B114" s="3"/>
      <c r="C114" s="3"/>
      <c r="D114" s="3"/>
      <c r="E114" s="265"/>
      <c r="F114" s="265"/>
      <c r="G114" s="265"/>
      <c r="H114" s="265"/>
      <c r="I114" s="265"/>
      <c r="J114" s="260"/>
      <c r="K114" s="3"/>
      <c r="L114" s="265"/>
      <c r="M114" s="265"/>
      <c r="N114" s="265"/>
      <c r="O114" s="265"/>
      <c r="P114" s="265"/>
      <c r="Q114" s="260"/>
      <c r="R114" s="3"/>
      <c r="S114" s="265"/>
      <c r="T114" s="265"/>
      <c r="U114" s="265"/>
      <c r="V114" s="265"/>
      <c r="W114" s="265"/>
      <c r="X114" s="193"/>
      <c r="Y114" s="193"/>
      <c r="Z114" s="193"/>
      <c r="AA114" s="193"/>
      <c r="AB114" s="193"/>
      <c r="AC114" s="193"/>
      <c r="AD114" s="193"/>
      <c r="AE114" s="193"/>
      <c r="AF114" s="3"/>
      <c r="AG114" s="3"/>
      <c r="AH114" s="3"/>
      <c r="AI114" s="3"/>
      <c r="AJ114" s="3"/>
      <c r="AK114" s="3"/>
      <c r="AL114" s="3"/>
    </row>
    <row r="115" spans="1:38" ht="14.25" customHeight="1">
      <c r="A115" s="3"/>
      <c r="B115" s="3"/>
      <c r="C115" s="3"/>
      <c r="D115" s="3"/>
      <c r="E115" s="265"/>
      <c r="F115" s="265"/>
      <c r="G115" s="265"/>
      <c r="H115" s="265"/>
      <c r="I115" s="265"/>
      <c r="J115" s="260"/>
      <c r="K115" s="3"/>
      <c r="L115" s="265"/>
      <c r="M115" s="265"/>
      <c r="N115" s="265"/>
      <c r="O115" s="265"/>
      <c r="P115" s="265"/>
      <c r="Q115" s="260"/>
      <c r="R115" s="3"/>
      <c r="S115" s="265"/>
      <c r="T115" s="265"/>
      <c r="U115" s="265"/>
      <c r="V115" s="265"/>
      <c r="W115" s="265"/>
      <c r="X115" s="193"/>
      <c r="Y115" s="193"/>
      <c r="Z115" s="193"/>
      <c r="AA115" s="193"/>
      <c r="AB115" s="193"/>
      <c r="AC115" s="193"/>
      <c r="AD115" s="193"/>
      <c r="AE115" s="193"/>
      <c r="AF115" s="3"/>
      <c r="AG115" s="3"/>
      <c r="AH115" s="3"/>
      <c r="AI115" s="3"/>
      <c r="AJ115" s="3"/>
      <c r="AK115" s="3"/>
      <c r="AL115" s="3"/>
    </row>
    <row r="116" spans="1:38" ht="14.25" customHeight="1">
      <c r="A116" s="3"/>
      <c r="B116" s="3"/>
      <c r="C116" s="3"/>
      <c r="D116" s="3"/>
      <c r="E116" s="265"/>
      <c r="F116" s="265"/>
      <c r="G116" s="265"/>
      <c r="H116" s="265"/>
      <c r="I116" s="265"/>
      <c r="J116" s="260"/>
      <c r="K116" s="3"/>
      <c r="L116" s="265"/>
      <c r="M116" s="265"/>
      <c r="N116" s="265"/>
      <c r="O116" s="265"/>
      <c r="P116" s="265"/>
      <c r="Q116" s="260"/>
      <c r="R116" s="3"/>
      <c r="S116" s="265"/>
      <c r="T116" s="265"/>
      <c r="U116" s="265"/>
      <c r="V116" s="265"/>
      <c r="W116" s="265"/>
      <c r="X116" s="193"/>
      <c r="Y116" s="193"/>
      <c r="Z116" s="193"/>
      <c r="AA116" s="193"/>
      <c r="AB116" s="193"/>
      <c r="AC116" s="193"/>
      <c r="AD116" s="193"/>
      <c r="AE116" s="193"/>
      <c r="AF116" s="3"/>
      <c r="AG116" s="3"/>
      <c r="AH116" s="3"/>
      <c r="AI116" s="3"/>
      <c r="AJ116" s="3"/>
      <c r="AK116" s="3"/>
      <c r="AL116" s="3"/>
    </row>
    <row r="117" spans="1:38" ht="14.25" customHeight="1">
      <c r="A117" s="3"/>
      <c r="B117" s="3"/>
      <c r="C117" s="3"/>
      <c r="D117" s="3"/>
      <c r="E117" s="265"/>
      <c r="F117" s="265"/>
      <c r="G117" s="265"/>
      <c r="H117" s="265"/>
      <c r="I117" s="265"/>
      <c r="J117" s="260"/>
      <c r="K117" s="3"/>
      <c r="L117" s="265"/>
      <c r="M117" s="265"/>
      <c r="N117" s="265"/>
      <c r="O117" s="265"/>
      <c r="P117" s="265"/>
      <c r="Q117" s="260"/>
      <c r="R117" s="3"/>
      <c r="S117" s="265"/>
      <c r="T117" s="265"/>
      <c r="U117" s="265"/>
      <c r="V117" s="265"/>
      <c r="W117" s="265"/>
      <c r="X117" s="193"/>
      <c r="Y117" s="193"/>
      <c r="Z117" s="193"/>
      <c r="AA117" s="193"/>
      <c r="AB117" s="193"/>
      <c r="AC117" s="193"/>
      <c r="AD117" s="193"/>
      <c r="AE117" s="193"/>
      <c r="AF117" s="3"/>
      <c r="AG117" s="3"/>
      <c r="AH117" s="3"/>
      <c r="AI117" s="3"/>
      <c r="AJ117" s="3"/>
      <c r="AK117" s="3"/>
      <c r="AL117" s="3"/>
    </row>
    <row r="118" spans="1:38" ht="14.25" customHeight="1">
      <c r="A118" s="3"/>
      <c r="B118" s="3"/>
      <c r="C118" s="3"/>
      <c r="D118" s="3"/>
      <c r="E118" s="265"/>
      <c r="F118" s="265"/>
      <c r="G118" s="265"/>
      <c r="H118" s="265"/>
      <c r="I118" s="265"/>
      <c r="J118" s="260"/>
      <c r="K118" s="3"/>
      <c r="L118" s="265"/>
      <c r="M118" s="265"/>
      <c r="N118" s="265"/>
      <c r="O118" s="265"/>
      <c r="P118" s="265"/>
      <c r="Q118" s="260"/>
      <c r="R118" s="3"/>
      <c r="S118" s="265"/>
      <c r="T118" s="265"/>
      <c r="U118" s="265"/>
      <c r="V118" s="265"/>
      <c r="W118" s="265"/>
      <c r="X118" s="193"/>
      <c r="Y118" s="193"/>
      <c r="Z118" s="193"/>
      <c r="AA118" s="193"/>
      <c r="AB118" s="193"/>
      <c r="AC118" s="193"/>
      <c r="AD118" s="193"/>
      <c r="AE118" s="193"/>
      <c r="AF118" s="3"/>
      <c r="AG118" s="3"/>
      <c r="AH118" s="3"/>
      <c r="AI118" s="3"/>
      <c r="AJ118" s="3"/>
      <c r="AK118" s="3"/>
      <c r="AL118" s="3"/>
    </row>
    <row r="119" spans="1:38" ht="14.25" customHeight="1">
      <c r="A119" s="3"/>
      <c r="B119" s="3"/>
      <c r="C119" s="3"/>
      <c r="D119" s="3"/>
      <c r="E119" s="265"/>
      <c r="F119" s="265"/>
      <c r="G119" s="265"/>
      <c r="H119" s="265"/>
      <c r="I119" s="265"/>
      <c r="J119" s="260"/>
      <c r="K119" s="3"/>
      <c r="L119" s="265"/>
      <c r="M119" s="265"/>
      <c r="N119" s="265"/>
      <c r="O119" s="265"/>
      <c r="P119" s="265"/>
      <c r="Q119" s="260"/>
      <c r="R119" s="3"/>
      <c r="S119" s="265"/>
      <c r="T119" s="265"/>
      <c r="U119" s="265"/>
      <c r="V119" s="265"/>
      <c r="W119" s="265"/>
      <c r="X119" s="193"/>
      <c r="Y119" s="193"/>
      <c r="Z119" s="193"/>
      <c r="AA119" s="193"/>
      <c r="AB119" s="193"/>
      <c r="AC119" s="193"/>
      <c r="AD119" s="193"/>
      <c r="AE119" s="193"/>
      <c r="AF119" s="3"/>
      <c r="AG119" s="3"/>
      <c r="AH119" s="3"/>
      <c r="AI119" s="3"/>
      <c r="AJ119" s="3"/>
      <c r="AK119" s="3"/>
      <c r="AL119" s="3"/>
    </row>
    <row r="120" spans="1:38" ht="14.25" customHeight="1">
      <c r="A120" s="3"/>
      <c r="B120" s="3"/>
      <c r="C120" s="3"/>
      <c r="D120" s="3"/>
      <c r="E120" s="265"/>
      <c r="F120" s="265"/>
      <c r="G120" s="265"/>
      <c r="H120" s="265"/>
      <c r="I120" s="265"/>
      <c r="J120" s="260"/>
      <c r="K120" s="3"/>
      <c r="L120" s="265"/>
      <c r="M120" s="265"/>
      <c r="N120" s="265"/>
      <c r="O120" s="265"/>
      <c r="P120" s="265"/>
      <c r="Q120" s="260"/>
      <c r="R120" s="3"/>
      <c r="S120" s="265"/>
      <c r="T120" s="265"/>
      <c r="U120" s="265"/>
      <c r="V120" s="265"/>
      <c r="W120" s="265"/>
      <c r="X120" s="193"/>
      <c r="Y120" s="193"/>
      <c r="Z120" s="193"/>
      <c r="AA120" s="193"/>
      <c r="AB120" s="193"/>
      <c r="AC120" s="193"/>
      <c r="AD120" s="193"/>
      <c r="AE120" s="193"/>
      <c r="AF120" s="3"/>
      <c r="AG120" s="3"/>
      <c r="AH120" s="3"/>
      <c r="AI120" s="3"/>
      <c r="AJ120" s="3"/>
      <c r="AK120" s="3"/>
      <c r="AL120" s="3"/>
    </row>
    <row r="121" spans="1:38" ht="14.25" customHeight="1">
      <c r="A121" s="3"/>
      <c r="B121" s="3"/>
      <c r="C121" s="3"/>
      <c r="D121" s="3"/>
      <c r="E121" s="265"/>
      <c r="F121" s="265"/>
      <c r="G121" s="265"/>
      <c r="H121" s="265"/>
      <c r="I121" s="265"/>
      <c r="J121" s="260"/>
      <c r="K121" s="3"/>
      <c r="L121" s="265"/>
      <c r="M121" s="265"/>
      <c r="N121" s="265"/>
      <c r="O121" s="265"/>
      <c r="P121" s="265"/>
      <c r="Q121" s="260"/>
      <c r="R121" s="3"/>
      <c r="S121" s="265"/>
      <c r="T121" s="265"/>
      <c r="U121" s="265"/>
      <c r="V121" s="265"/>
      <c r="W121" s="265"/>
      <c r="X121" s="193"/>
      <c r="Y121" s="193"/>
      <c r="Z121" s="193"/>
      <c r="AA121" s="193"/>
      <c r="AB121" s="193"/>
      <c r="AC121" s="193"/>
      <c r="AD121" s="193"/>
      <c r="AE121" s="193"/>
      <c r="AF121" s="3"/>
      <c r="AG121" s="3"/>
      <c r="AH121" s="3"/>
      <c r="AI121" s="3"/>
      <c r="AJ121" s="3"/>
      <c r="AK121" s="3"/>
      <c r="AL121" s="3"/>
    </row>
    <row r="122" spans="1:38" ht="14.25" customHeight="1">
      <c r="A122" s="3"/>
      <c r="B122" s="3"/>
      <c r="C122" s="3"/>
      <c r="D122" s="3"/>
      <c r="E122" s="265"/>
      <c r="F122" s="265"/>
      <c r="G122" s="265"/>
      <c r="H122" s="265"/>
      <c r="I122" s="265"/>
      <c r="J122" s="260"/>
      <c r="K122" s="3"/>
      <c r="L122" s="265"/>
      <c r="M122" s="265"/>
      <c r="N122" s="265"/>
      <c r="O122" s="265"/>
      <c r="P122" s="265"/>
      <c r="Q122" s="260"/>
      <c r="R122" s="3"/>
      <c r="S122" s="265"/>
      <c r="T122" s="265"/>
      <c r="U122" s="265"/>
      <c r="V122" s="265"/>
      <c r="W122" s="265"/>
      <c r="X122" s="193"/>
      <c r="Y122" s="193"/>
      <c r="Z122" s="193"/>
      <c r="AA122" s="193"/>
      <c r="AB122" s="193"/>
      <c r="AC122" s="193"/>
      <c r="AD122" s="193"/>
      <c r="AE122" s="193"/>
      <c r="AF122" s="3"/>
      <c r="AG122" s="3"/>
      <c r="AH122" s="3"/>
      <c r="AI122" s="3"/>
      <c r="AJ122" s="3"/>
      <c r="AK122" s="3"/>
      <c r="AL122" s="3"/>
    </row>
    <row r="123" spans="1:38" ht="14.25" customHeight="1">
      <c r="A123" s="3"/>
      <c r="B123" s="3"/>
      <c r="C123" s="3"/>
      <c r="D123" s="3"/>
      <c r="E123" s="265"/>
      <c r="F123" s="265"/>
      <c r="G123" s="265"/>
      <c r="H123" s="265"/>
      <c r="I123" s="265"/>
      <c r="J123" s="260"/>
      <c r="K123" s="3"/>
      <c r="L123" s="265"/>
      <c r="M123" s="265"/>
      <c r="N123" s="265"/>
      <c r="O123" s="265"/>
      <c r="P123" s="265"/>
      <c r="Q123" s="260"/>
      <c r="R123" s="3"/>
      <c r="S123" s="265"/>
      <c r="T123" s="265"/>
      <c r="U123" s="265"/>
      <c r="V123" s="265"/>
      <c r="W123" s="265"/>
      <c r="X123" s="193"/>
      <c r="Y123" s="193"/>
      <c r="Z123" s="193"/>
      <c r="AA123" s="193"/>
      <c r="AB123" s="193"/>
      <c r="AC123" s="193"/>
      <c r="AD123" s="193"/>
      <c r="AE123" s="193"/>
      <c r="AF123" s="3"/>
      <c r="AG123" s="3"/>
      <c r="AH123" s="3"/>
      <c r="AI123" s="3"/>
      <c r="AJ123" s="3"/>
      <c r="AK123" s="3"/>
      <c r="AL123" s="3"/>
    </row>
    <row r="124" spans="1:38" ht="14.25" customHeight="1">
      <c r="A124" s="3"/>
      <c r="B124" s="3"/>
      <c r="C124" s="3"/>
      <c r="D124" s="3"/>
      <c r="E124" s="265"/>
      <c r="F124" s="265"/>
      <c r="G124" s="265"/>
      <c r="H124" s="265"/>
      <c r="I124" s="265"/>
      <c r="J124" s="260"/>
      <c r="K124" s="3"/>
      <c r="L124" s="265"/>
      <c r="M124" s="265"/>
      <c r="N124" s="265"/>
      <c r="O124" s="265"/>
      <c r="P124" s="265"/>
      <c r="Q124" s="260"/>
      <c r="R124" s="3"/>
      <c r="S124" s="265"/>
      <c r="T124" s="265"/>
      <c r="U124" s="265"/>
      <c r="V124" s="265"/>
      <c r="W124" s="265"/>
      <c r="X124" s="193"/>
      <c r="Y124" s="193"/>
      <c r="Z124" s="193"/>
      <c r="AA124" s="193"/>
      <c r="AB124" s="193"/>
      <c r="AC124" s="193"/>
      <c r="AD124" s="193"/>
      <c r="AE124" s="193"/>
      <c r="AF124" s="3"/>
      <c r="AG124" s="3"/>
      <c r="AH124" s="3"/>
      <c r="AI124" s="3"/>
      <c r="AJ124" s="3"/>
      <c r="AK124" s="3"/>
      <c r="AL124" s="3"/>
    </row>
    <row r="125" spans="1:38" ht="14.25" customHeight="1">
      <c r="A125" s="3"/>
      <c r="B125" s="3"/>
      <c r="C125" s="3"/>
      <c r="D125" s="3"/>
      <c r="E125" s="265"/>
      <c r="F125" s="265"/>
      <c r="G125" s="265"/>
      <c r="H125" s="265"/>
      <c r="I125" s="265"/>
      <c r="J125" s="260"/>
      <c r="K125" s="3"/>
      <c r="L125" s="265"/>
      <c r="M125" s="265"/>
      <c r="N125" s="265"/>
      <c r="O125" s="265"/>
      <c r="P125" s="265"/>
      <c r="Q125" s="260"/>
      <c r="R125" s="3"/>
      <c r="S125" s="265"/>
      <c r="T125" s="265"/>
      <c r="U125" s="265"/>
      <c r="V125" s="265"/>
      <c r="W125" s="265"/>
      <c r="X125" s="193"/>
      <c r="Y125" s="193"/>
      <c r="Z125" s="193"/>
      <c r="AA125" s="193"/>
      <c r="AB125" s="193"/>
      <c r="AC125" s="193"/>
      <c r="AD125" s="193"/>
      <c r="AE125" s="193"/>
      <c r="AF125" s="3"/>
      <c r="AG125" s="3"/>
      <c r="AH125" s="3"/>
      <c r="AI125" s="3"/>
      <c r="AJ125" s="3"/>
      <c r="AK125" s="3"/>
      <c r="AL125" s="3"/>
    </row>
    <row r="126" spans="1:38" ht="14.25" customHeight="1">
      <c r="A126" s="3"/>
      <c r="B126" s="3"/>
      <c r="C126" s="3"/>
      <c r="D126" s="3"/>
      <c r="E126" s="265"/>
      <c r="F126" s="265"/>
      <c r="G126" s="265"/>
      <c r="H126" s="265"/>
      <c r="I126" s="265"/>
      <c r="J126" s="260"/>
      <c r="K126" s="3"/>
      <c r="L126" s="265"/>
      <c r="M126" s="265"/>
      <c r="N126" s="265"/>
      <c r="O126" s="265"/>
      <c r="P126" s="265"/>
      <c r="Q126" s="260"/>
      <c r="R126" s="3"/>
      <c r="S126" s="265"/>
      <c r="T126" s="265"/>
      <c r="U126" s="265"/>
      <c r="V126" s="265"/>
      <c r="W126" s="265"/>
      <c r="X126" s="193"/>
      <c r="Y126" s="193"/>
      <c r="Z126" s="193"/>
      <c r="AA126" s="193"/>
      <c r="AB126" s="193"/>
      <c r="AC126" s="193"/>
      <c r="AD126" s="193"/>
      <c r="AE126" s="193"/>
      <c r="AF126" s="3"/>
      <c r="AG126" s="3"/>
      <c r="AH126" s="3"/>
      <c r="AI126" s="3"/>
      <c r="AJ126" s="3"/>
      <c r="AK126" s="3"/>
      <c r="AL126" s="3"/>
    </row>
    <row r="127" spans="1:38" ht="14.25" customHeight="1">
      <c r="A127" s="3"/>
      <c r="B127" s="3"/>
      <c r="C127" s="3"/>
      <c r="D127" s="3"/>
      <c r="E127" s="265"/>
      <c r="F127" s="265"/>
      <c r="G127" s="265"/>
      <c r="H127" s="265"/>
      <c r="I127" s="265"/>
      <c r="J127" s="260"/>
      <c r="K127" s="3"/>
      <c r="L127" s="265"/>
      <c r="M127" s="265"/>
      <c r="N127" s="265"/>
      <c r="O127" s="265"/>
      <c r="P127" s="265"/>
      <c r="Q127" s="260"/>
      <c r="R127" s="3"/>
      <c r="S127" s="265"/>
      <c r="T127" s="265"/>
      <c r="U127" s="265"/>
      <c r="V127" s="265"/>
      <c r="W127" s="265"/>
      <c r="X127" s="193"/>
      <c r="Y127" s="193"/>
      <c r="Z127" s="193"/>
      <c r="AA127" s="193"/>
      <c r="AB127" s="193"/>
      <c r="AC127" s="193"/>
      <c r="AD127" s="193"/>
      <c r="AE127" s="193"/>
      <c r="AF127" s="3"/>
      <c r="AG127" s="3"/>
      <c r="AH127" s="3"/>
      <c r="AI127" s="3"/>
      <c r="AJ127" s="3"/>
      <c r="AK127" s="3"/>
      <c r="AL127" s="3"/>
    </row>
    <row r="128" spans="1:38" ht="14.25" customHeight="1">
      <c r="A128" s="3"/>
      <c r="B128" s="3"/>
      <c r="C128" s="3"/>
      <c r="D128" s="3"/>
      <c r="E128" s="265"/>
      <c r="F128" s="265"/>
      <c r="G128" s="265"/>
      <c r="H128" s="265"/>
      <c r="I128" s="265"/>
      <c r="J128" s="260"/>
      <c r="K128" s="3"/>
      <c r="L128" s="265"/>
      <c r="M128" s="265"/>
      <c r="N128" s="265"/>
      <c r="O128" s="265"/>
      <c r="P128" s="265"/>
      <c r="Q128" s="260"/>
      <c r="R128" s="3"/>
      <c r="S128" s="265"/>
      <c r="T128" s="265"/>
      <c r="U128" s="265"/>
      <c r="V128" s="265"/>
      <c r="W128" s="265"/>
      <c r="X128" s="193"/>
      <c r="Y128" s="193"/>
      <c r="Z128" s="193"/>
      <c r="AA128" s="193"/>
      <c r="AB128" s="193"/>
      <c r="AC128" s="193"/>
      <c r="AD128" s="193"/>
      <c r="AE128" s="193"/>
      <c r="AF128" s="3"/>
      <c r="AG128" s="3"/>
      <c r="AH128" s="3"/>
      <c r="AI128" s="3"/>
      <c r="AJ128" s="3"/>
      <c r="AK128" s="3"/>
      <c r="AL128" s="3"/>
    </row>
    <row r="129" spans="1:38" ht="14.25" customHeight="1">
      <c r="A129" s="3"/>
      <c r="B129" s="3"/>
      <c r="C129" s="3"/>
      <c r="D129" s="3"/>
      <c r="E129" s="265"/>
      <c r="F129" s="265"/>
      <c r="G129" s="265"/>
      <c r="H129" s="265"/>
      <c r="I129" s="265"/>
      <c r="J129" s="260"/>
      <c r="K129" s="3"/>
      <c r="L129" s="265"/>
      <c r="M129" s="265"/>
      <c r="N129" s="265"/>
      <c r="O129" s="265"/>
      <c r="P129" s="265"/>
      <c r="Q129" s="260"/>
      <c r="R129" s="3"/>
      <c r="S129" s="265"/>
      <c r="T129" s="265"/>
      <c r="U129" s="265"/>
      <c r="V129" s="265"/>
      <c r="W129" s="265"/>
      <c r="X129" s="193"/>
      <c r="Y129" s="193"/>
      <c r="Z129" s="193"/>
      <c r="AA129" s="193"/>
      <c r="AB129" s="193"/>
      <c r="AC129" s="193"/>
      <c r="AD129" s="193"/>
      <c r="AE129" s="193"/>
      <c r="AF129" s="3"/>
      <c r="AG129" s="3"/>
      <c r="AH129" s="3"/>
      <c r="AI129" s="3"/>
      <c r="AJ129" s="3"/>
      <c r="AK129" s="3"/>
      <c r="AL129" s="3"/>
    </row>
    <row r="130" spans="1:38" ht="14.25" customHeight="1">
      <c r="A130" s="3"/>
      <c r="B130" s="3"/>
      <c r="C130" s="3"/>
      <c r="D130" s="3"/>
      <c r="E130" s="265"/>
      <c r="F130" s="265"/>
      <c r="G130" s="265"/>
      <c r="H130" s="265"/>
      <c r="I130" s="265"/>
      <c r="J130" s="260"/>
      <c r="K130" s="3"/>
      <c r="L130" s="265"/>
      <c r="M130" s="265"/>
      <c r="N130" s="265"/>
      <c r="O130" s="265"/>
      <c r="P130" s="265"/>
      <c r="Q130" s="260"/>
      <c r="R130" s="3"/>
      <c r="S130" s="265"/>
      <c r="T130" s="265"/>
      <c r="U130" s="265"/>
      <c r="V130" s="265"/>
      <c r="W130" s="265"/>
      <c r="X130" s="193"/>
      <c r="Y130" s="193"/>
      <c r="Z130" s="193"/>
      <c r="AA130" s="193"/>
      <c r="AB130" s="193"/>
      <c r="AC130" s="193"/>
      <c r="AD130" s="193"/>
      <c r="AE130" s="193"/>
      <c r="AF130" s="3"/>
      <c r="AG130" s="3"/>
      <c r="AH130" s="3"/>
      <c r="AI130" s="3"/>
      <c r="AJ130" s="3"/>
      <c r="AK130" s="3"/>
      <c r="AL130" s="3"/>
    </row>
    <row r="131" spans="1:38" ht="14.25" customHeight="1">
      <c r="A131" s="3"/>
      <c r="B131" s="3"/>
      <c r="C131" s="3"/>
      <c r="D131" s="3"/>
      <c r="E131" s="265"/>
      <c r="F131" s="265"/>
      <c r="G131" s="265"/>
      <c r="H131" s="265"/>
      <c r="I131" s="265"/>
      <c r="J131" s="260"/>
      <c r="K131" s="3"/>
      <c r="L131" s="265"/>
      <c r="M131" s="265"/>
      <c r="N131" s="265"/>
      <c r="O131" s="265"/>
      <c r="P131" s="265"/>
      <c r="Q131" s="260"/>
      <c r="R131" s="3"/>
      <c r="S131" s="265"/>
      <c r="T131" s="265"/>
      <c r="U131" s="265"/>
      <c r="V131" s="265"/>
      <c r="W131" s="265"/>
      <c r="X131" s="193"/>
      <c r="Y131" s="193"/>
      <c r="Z131" s="193"/>
      <c r="AA131" s="193"/>
      <c r="AB131" s="193"/>
      <c r="AC131" s="193"/>
      <c r="AD131" s="193"/>
      <c r="AE131" s="193"/>
      <c r="AF131" s="3"/>
      <c r="AG131" s="3"/>
      <c r="AH131" s="3"/>
      <c r="AI131" s="3"/>
      <c r="AJ131" s="3"/>
      <c r="AK131" s="3"/>
      <c r="AL131" s="3"/>
    </row>
    <row r="132" spans="1:38" ht="14.25" customHeight="1">
      <c r="A132" s="3"/>
      <c r="B132" s="3"/>
      <c r="C132" s="3"/>
      <c r="D132" s="3"/>
      <c r="E132" s="265"/>
      <c r="F132" s="265"/>
      <c r="G132" s="265"/>
      <c r="H132" s="265"/>
      <c r="I132" s="265"/>
      <c r="J132" s="260"/>
      <c r="K132" s="3"/>
      <c r="L132" s="265"/>
      <c r="M132" s="265"/>
      <c r="N132" s="265"/>
      <c r="O132" s="265"/>
      <c r="P132" s="265"/>
      <c r="Q132" s="260"/>
      <c r="R132" s="3"/>
      <c r="S132" s="265"/>
      <c r="T132" s="265"/>
      <c r="U132" s="265"/>
      <c r="V132" s="265"/>
      <c r="W132" s="265"/>
      <c r="X132" s="193"/>
      <c r="Y132" s="193"/>
      <c r="Z132" s="193"/>
      <c r="AA132" s="193"/>
      <c r="AB132" s="193"/>
      <c r="AC132" s="193"/>
      <c r="AD132" s="193"/>
      <c r="AE132" s="193"/>
      <c r="AF132" s="3"/>
      <c r="AG132" s="3"/>
      <c r="AH132" s="3"/>
      <c r="AI132" s="3"/>
      <c r="AJ132" s="3"/>
      <c r="AK132" s="3"/>
      <c r="AL132" s="3"/>
    </row>
    <row r="133" spans="1:38" ht="14.25" customHeight="1">
      <c r="A133" s="3"/>
      <c r="B133" s="3"/>
      <c r="C133" s="3"/>
      <c r="D133" s="3"/>
      <c r="E133" s="265"/>
      <c r="F133" s="265"/>
      <c r="G133" s="265"/>
      <c r="H133" s="265"/>
      <c r="I133" s="265"/>
      <c r="J133" s="260"/>
      <c r="K133" s="3"/>
      <c r="L133" s="265"/>
      <c r="M133" s="265"/>
      <c r="N133" s="265"/>
      <c r="O133" s="265"/>
      <c r="P133" s="265"/>
      <c r="Q133" s="260"/>
      <c r="R133" s="3"/>
      <c r="S133" s="265"/>
      <c r="T133" s="265"/>
      <c r="U133" s="265"/>
      <c r="V133" s="265"/>
      <c r="W133" s="265"/>
      <c r="X133" s="193"/>
      <c r="Y133" s="193"/>
      <c r="Z133" s="193"/>
      <c r="AA133" s="193"/>
      <c r="AB133" s="193"/>
      <c r="AC133" s="193"/>
      <c r="AD133" s="193"/>
      <c r="AE133" s="193"/>
      <c r="AF133" s="3"/>
      <c r="AG133" s="3"/>
      <c r="AH133" s="3"/>
      <c r="AI133" s="3"/>
      <c r="AJ133" s="3"/>
      <c r="AK133" s="3"/>
      <c r="AL133" s="3"/>
    </row>
    <row r="134" spans="1:38" ht="14.25" customHeight="1">
      <c r="A134" s="3"/>
      <c r="B134" s="3"/>
      <c r="C134" s="3"/>
      <c r="D134" s="3"/>
      <c r="E134" s="265"/>
      <c r="F134" s="265"/>
      <c r="G134" s="265"/>
      <c r="H134" s="265"/>
      <c r="I134" s="265"/>
      <c r="J134" s="260"/>
      <c r="K134" s="3"/>
      <c r="L134" s="265"/>
      <c r="M134" s="265"/>
      <c r="N134" s="265"/>
      <c r="O134" s="265"/>
      <c r="P134" s="265"/>
      <c r="Q134" s="260"/>
      <c r="R134" s="3"/>
      <c r="S134" s="265"/>
      <c r="T134" s="265"/>
      <c r="U134" s="265"/>
      <c r="V134" s="265"/>
      <c r="W134" s="265"/>
      <c r="X134" s="193"/>
      <c r="Y134" s="193"/>
      <c r="Z134" s="193"/>
      <c r="AA134" s="193"/>
      <c r="AB134" s="193"/>
      <c r="AC134" s="193"/>
      <c r="AD134" s="193"/>
      <c r="AE134" s="193"/>
      <c r="AF134" s="3"/>
      <c r="AG134" s="3"/>
      <c r="AH134" s="3"/>
      <c r="AI134" s="3"/>
      <c r="AJ134" s="3"/>
      <c r="AK134" s="3"/>
      <c r="AL134" s="3"/>
    </row>
    <row r="135" spans="1:38" ht="14.25" customHeight="1">
      <c r="A135" s="3"/>
      <c r="B135" s="3"/>
      <c r="C135" s="3"/>
      <c r="D135" s="3"/>
      <c r="E135" s="265"/>
      <c r="F135" s="265"/>
      <c r="G135" s="265"/>
      <c r="H135" s="265"/>
      <c r="I135" s="265"/>
      <c r="J135" s="260"/>
      <c r="K135" s="3"/>
      <c r="L135" s="265"/>
      <c r="M135" s="265"/>
      <c r="N135" s="265"/>
      <c r="O135" s="265"/>
      <c r="P135" s="265"/>
      <c r="Q135" s="260"/>
      <c r="R135" s="3"/>
      <c r="S135" s="265"/>
      <c r="T135" s="265"/>
      <c r="U135" s="265"/>
      <c r="V135" s="265"/>
      <c r="W135" s="265"/>
      <c r="X135" s="193"/>
      <c r="Y135" s="193"/>
      <c r="Z135" s="193"/>
      <c r="AA135" s="193"/>
      <c r="AB135" s="193"/>
      <c r="AC135" s="193"/>
      <c r="AD135" s="193"/>
      <c r="AE135" s="193"/>
      <c r="AF135" s="3"/>
      <c r="AG135" s="3"/>
      <c r="AH135" s="3"/>
      <c r="AI135" s="3"/>
      <c r="AJ135" s="3"/>
      <c r="AK135" s="3"/>
      <c r="AL135" s="3"/>
    </row>
    <row r="136" spans="1:38" ht="14.25" customHeight="1">
      <c r="A136" s="3"/>
      <c r="B136" s="3"/>
      <c r="C136" s="3"/>
      <c r="D136" s="3"/>
      <c r="E136" s="265"/>
      <c r="F136" s="265"/>
      <c r="G136" s="265"/>
      <c r="H136" s="265"/>
      <c r="I136" s="265"/>
      <c r="J136" s="260"/>
      <c r="K136" s="3"/>
      <c r="L136" s="265"/>
      <c r="M136" s="265"/>
      <c r="N136" s="265"/>
      <c r="O136" s="265"/>
      <c r="P136" s="265"/>
      <c r="Q136" s="260"/>
      <c r="R136" s="3"/>
      <c r="S136" s="265"/>
      <c r="T136" s="265"/>
      <c r="U136" s="265"/>
      <c r="V136" s="265"/>
      <c r="W136" s="265"/>
      <c r="X136" s="193"/>
      <c r="Y136" s="193"/>
      <c r="Z136" s="193"/>
      <c r="AA136" s="193"/>
      <c r="AB136" s="193"/>
      <c r="AC136" s="193"/>
      <c r="AD136" s="193"/>
      <c r="AE136" s="193"/>
      <c r="AF136" s="3"/>
      <c r="AG136" s="3"/>
      <c r="AH136" s="3"/>
      <c r="AI136" s="3"/>
      <c r="AJ136" s="3"/>
      <c r="AK136" s="3"/>
      <c r="AL136" s="3"/>
    </row>
    <row r="137" spans="1:38" ht="14.25" customHeight="1">
      <c r="A137" s="3"/>
      <c r="B137" s="3"/>
      <c r="C137" s="3"/>
      <c r="D137" s="3"/>
      <c r="E137" s="265"/>
      <c r="F137" s="265"/>
      <c r="G137" s="265"/>
      <c r="H137" s="265"/>
      <c r="I137" s="265"/>
      <c r="J137" s="260"/>
      <c r="K137" s="3"/>
      <c r="L137" s="265"/>
      <c r="M137" s="265"/>
      <c r="N137" s="265"/>
      <c r="O137" s="265"/>
      <c r="P137" s="265"/>
      <c r="Q137" s="260"/>
      <c r="R137" s="3"/>
      <c r="S137" s="265"/>
      <c r="T137" s="265"/>
      <c r="U137" s="265"/>
      <c r="V137" s="265"/>
      <c r="W137" s="265"/>
      <c r="X137" s="193"/>
      <c r="Y137" s="193"/>
      <c r="Z137" s="193"/>
      <c r="AA137" s="193"/>
      <c r="AB137" s="193"/>
      <c r="AC137" s="193"/>
      <c r="AD137" s="193"/>
      <c r="AE137" s="193"/>
      <c r="AF137" s="3"/>
      <c r="AG137" s="3"/>
      <c r="AH137" s="3"/>
      <c r="AI137" s="3"/>
      <c r="AJ137" s="3"/>
      <c r="AK137" s="3"/>
      <c r="AL137" s="3"/>
    </row>
    <row r="138" spans="1:38" ht="14.25" customHeight="1">
      <c r="A138" s="3"/>
      <c r="B138" s="3"/>
      <c r="C138" s="3"/>
      <c r="D138" s="3"/>
      <c r="E138" s="265"/>
      <c r="F138" s="265"/>
      <c r="G138" s="265"/>
      <c r="H138" s="265"/>
      <c r="I138" s="265"/>
      <c r="J138" s="260"/>
      <c r="K138" s="3"/>
      <c r="L138" s="265"/>
      <c r="M138" s="265"/>
      <c r="N138" s="265"/>
      <c r="O138" s="265"/>
      <c r="P138" s="265"/>
      <c r="Q138" s="260"/>
      <c r="R138" s="3"/>
      <c r="S138" s="265"/>
      <c r="T138" s="265"/>
      <c r="U138" s="265"/>
      <c r="V138" s="265"/>
      <c r="W138" s="265"/>
      <c r="X138" s="193"/>
      <c r="Y138" s="193"/>
      <c r="Z138" s="193"/>
      <c r="AA138" s="193"/>
      <c r="AB138" s="193"/>
      <c r="AC138" s="193"/>
      <c r="AD138" s="193"/>
      <c r="AE138" s="193"/>
      <c r="AF138" s="3"/>
      <c r="AG138" s="3"/>
      <c r="AH138" s="3"/>
      <c r="AI138" s="3"/>
      <c r="AJ138" s="3"/>
      <c r="AK138" s="3"/>
      <c r="AL138" s="3"/>
    </row>
    <row r="139" spans="1:38" ht="14.25" customHeight="1">
      <c r="A139" s="3"/>
      <c r="B139" s="3"/>
      <c r="C139" s="3"/>
      <c r="D139" s="3"/>
      <c r="E139" s="265"/>
      <c r="F139" s="265"/>
      <c r="G139" s="265"/>
      <c r="H139" s="265"/>
      <c r="I139" s="265"/>
      <c r="J139" s="260"/>
      <c r="K139" s="3"/>
      <c r="L139" s="265"/>
      <c r="M139" s="265"/>
      <c r="N139" s="265"/>
      <c r="O139" s="265"/>
      <c r="P139" s="265"/>
      <c r="Q139" s="260"/>
      <c r="R139" s="3"/>
      <c r="S139" s="265"/>
      <c r="T139" s="265"/>
      <c r="U139" s="265"/>
      <c r="V139" s="265"/>
      <c r="W139" s="265"/>
      <c r="X139" s="193"/>
      <c r="Y139" s="193"/>
      <c r="Z139" s="193"/>
      <c r="AA139" s="193"/>
      <c r="AB139" s="193"/>
      <c r="AC139" s="193"/>
      <c r="AD139" s="193"/>
      <c r="AE139" s="193"/>
      <c r="AF139" s="3"/>
      <c r="AG139" s="3"/>
      <c r="AH139" s="3"/>
      <c r="AI139" s="3"/>
      <c r="AJ139" s="3"/>
      <c r="AK139" s="3"/>
      <c r="AL139" s="3"/>
    </row>
    <row r="140" spans="1:38" ht="14.25" customHeight="1">
      <c r="A140" s="3"/>
      <c r="B140" s="3"/>
      <c r="C140" s="3"/>
      <c r="D140" s="3"/>
      <c r="E140" s="265"/>
      <c r="F140" s="265"/>
      <c r="G140" s="265"/>
      <c r="H140" s="265"/>
      <c r="I140" s="265"/>
      <c r="J140" s="260"/>
      <c r="K140" s="3"/>
      <c r="L140" s="265"/>
      <c r="M140" s="265"/>
      <c r="N140" s="265"/>
      <c r="O140" s="265"/>
      <c r="P140" s="265"/>
      <c r="Q140" s="260"/>
      <c r="R140" s="3"/>
      <c r="S140" s="265"/>
      <c r="T140" s="265"/>
      <c r="U140" s="265"/>
      <c r="V140" s="265"/>
      <c r="W140" s="265"/>
      <c r="X140" s="193"/>
      <c r="Y140" s="193"/>
      <c r="Z140" s="193"/>
      <c r="AA140" s="193"/>
      <c r="AB140" s="193"/>
      <c r="AC140" s="193"/>
      <c r="AD140" s="193"/>
      <c r="AE140" s="193"/>
      <c r="AF140" s="3"/>
      <c r="AG140" s="3"/>
      <c r="AH140" s="3"/>
      <c r="AI140" s="3"/>
      <c r="AJ140" s="3"/>
      <c r="AK140" s="3"/>
      <c r="AL140" s="3"/>
    </row>
    <row r="141" spans="1:38" ht="14.25" customHeight="1">
      <c r="A141" s="3"/>
      <c r="B141" s="3"/>
      <c r="C141" s="3"/>
      <c r="D141" s="3"/>
      <c r="E141" s="265"/>
      <c r="F141" s="265"/>
      <c r="G141" s="265"/>
      <c r="H141" s="265"/>
      <c r="I141" s="265"/>
      <c r="J141" s="260"/>
      <c r="K141" s="3"/>
      <c r="L141" s="265"/>
      <c r="M141" s="265"/>
      <c r="N141" s="265"/>
      <c r="O141" s="265"/>
      <c r="P141" s="265"/>
      <c r="Q141" s="260"/>
      <c r="R141" s="3"/>
      <c r="S141" s="265"/>
      <c r="T141" s="265"/>
      <c r="U141" s="265"/>
      <c r="V141" s="265"/>
      <c r="W141" s="265"/>
      <c r="X141" s="193"/>
      <c r="Y141" s="193"/>
      <c r="Z141" s="193"/>
      <c r="AA141" s="193"/>
      <c r="AB141" s="193"/>
      <c r="AC141" s="193"/>
      <c r="AD141" s="193"/>
      <c r="AE141" s="193"/>
      <c r="AF141" s="3"/>
      <c r="AG141" s="3"/>
      <c r="AH141" s="3"/>
      <c r="AI141" s="3"/>
      <c r="AJ141" s="3"/>
      <c r="AK141" s="3"/>
      <c r="AL141" s="3"/>
    </row>
    <row r="142" spans="1:38" ht="14.25" customHeight="1">
      <c r="A142" s="3"/>
      <c r="B142" s="3"/>
      <c r="C142" s="3"/>
      <c r="D142" s="3"/>
      <c r="E142" s="265"/>
      <c r="F142" s="265"/>
      <c r="G142" s="265"/>
      <c r="H142" s="265"/>
      <c r="I142" s="265"/>
      <c r="J142" s="260"/>
      <c r="K142" s="3"/>
      <c r="L142" s="265"/>
      <c r="M142" s="265"/>
      <c r="N142" s="265"/>
      <c r="O142" s="265"/>
      <c r="P142" s="265"/>
      <c r="Q142" s="260"/>
      <c r="R142" s="3"/>
      <c r="S142" s="265"/>
      <c r="T142" s="265"/>
      <c r="U142" s="265"/>
      <c r="V142" s="265"/>
      <c r="W142" s="265"/>
      <c r="X142" s="193"/>
      <c r="Y142" s="193"/>
      <c r="Z142" s="193"/>
      <c r="AA142" s="193"/>
      <c r="AB142" s="193"/>
      <c r="AC142" s="193"/>
      <c r="AD142" s="193"/>
      <c r="AE142" s="193"/>
      <c r="AF142" s="3"/>
      <c r="AG142" s="3"/>
      <c r="AH142" s="3"/>
      <c r="AI142" s="3"/>
      <c r="AJ142" s="3"/>
      <c r="AK142" s="3"/>
      <c r="AL142" s="3"/>
    </row>
    <row r="143" spans="1:38" ht="14.25" customHeight="1">
      <c r="A143" s="3"/>
      <c r="B143" s="3"/>
      <c r="C143" s="3"/>
      <c r="D143" s="3"/>
      <c r="E143" s="265"/>
      <c r="F143" s="265"/>
      <c r="G143" s="265"/>
      <c r="H143" s="265"/>
      <c r="I143" s="265"/>
      <c r="J143" s="260"/>
      <c r="K143" s="3"/>
      <c r="L143" s="265"/>
      <c r="M143" s="265"/>
      <c r="N143" s="265"/>
      <c r="O143" s="265"/>
      <c r="P143" s="265"/>
      <c r="Q143" s="260"/>
      <c r="R143" s="3"/>
      <c r="S143" s="265"/>
      <c r="T143" s="265"/>
      <c r="U143" s="265"/>
      <c r="V143" s="265"/>
      <c r="W143" s="265"/>
      <c r="X143" s="193"/>
      <c r="Y143" s="193"/>
      <c r="Z143" s="193"/>
      <c r="AA143" s="193"/>
      <c r="AB143" s="193"/>
      <c r="AC143" s="193"/>
      <c r="AD143" s="193"/>
      <c r="AE143" s="193"/>
      <c r="AF143" s="3"/>
      <c r="AG143" s="3"/>
      <c r="AH143" s="3"/>
      <c r="AI143" s="3"/>
      <c r="AJ143" s="3"/>
      <c r="AK143" s="3"/>
      <c r="AL143" s="3"/>
    </row>
    <row r="144" spans="1:38" ht="14.25" customHeight="1">
      <c r="A144" s="3"/>
      <c r="B144" s="3"/>
      <c r="C144" s="3"/>
      <c r="D144" s="3"/>
      <c r="E144" s="265"/>
      <c r="F144" s="265"/>
      <c r="G144" s="265"/>
      <c r="H144" s="265"/>
      <c r="I144" s="265"/>
      <c r="J144" s="260"/>
      <c r="K144" s="3"/>
      <c r="L144" s="265"/>
      <c r="M144" s="265"/>
      <c r="N144" s="265"/>
      <c r="O144" s="265"/>
      <c r="P144" s="265"/>
      <c r="Q144" s="260"/>
      <c r="R144" s="3"/>
      <c r="S144" s="265"/>
      <c r="T144" s="265"/>
      <c r="U144" s="265"/>
      <c r="V144" s="265"/>
      <c r="W144" s="265"/>
      <c r="X144" s="193"/>
      <c r="Y144" s="193"/>
      <c r="Z144" s="193"/>
      <c r="AA144" s="193"/>
      <c r="AB144" s="193"/>
      <c r="AC144" s="193"/>
      <c r="AD144" s="193"/>
      <c r="AE144" s="193"/>
      <c r="AF144" s="3"/>
      <c r="AG144" s="3"/>
      <c r="AH144" s="3"/>
      <c r="AI144" s="3"/>
      <c r="AJ144" s="3"/>
      <c r="AK144" s="3"/>
      <c r="AL144" s="3"/>
    </row>
    <row r="145" spans="1:38" ht="14.25" customHeight="1">
      <c r="A145" s="3"/>
      <c r="B145" s="3"/>
      <c r="C145" s="3"/>
      <c r="D145" s="3"/>
      <c r="E145" s="265"/>
      <c r="F145" s="265"/>
      <c r="G145" s="265"/>
      <c r="H145" s="265"/>
      <c r="I145" s="265"/>
      <c r="J145" s="260"/>
      <c r="K145" s="3"/>
      <c r="L145" s="265"/>
      <c r="M145" s="265"/>
      <c r="N145" s="265"/>
      <c r="O145" s="265"/>
      <c r="P145" s="265"/>
      <c r="Q145" s="260"/>
      <c r="R145" s="3"/>
      <c r="S145" s="265"/>
      <c r="T145" s="265"/>
      <c r="U145" s="265"/>
      <c r="V145" s="265"/>
      <c r="W145" s="265"/>
      <c r="X145" s="193"/>
      <c r="Y145" s="193"/>
      <c r="Z145" s="193"/>
      <c r="AA145" s="193"/>
      <c r="AB145" s="193"/>
      <c r="AC145" s="193"/>
      <c r="AD145" s="193"/>
      <c r="AE145" s="193"/>
      <c r="AF145" s="3"/>
      <c r="AG145" s="3"/>
      <c r="AH145" s="3"/>
      <c r="AI145" s="3"/>
      <c r="AJ145" s="3"/>
      <c r="AK145" s="3"/>
      <c r="AL145" s="3"/>
    </row>
    <row r="146" spans="1:38" ht="14.25" customHeight="1">
      <c r="A146" s="3"/>
      <c r="B146" s="3"/>
      <c r="C146" s="3"/>
      <c r="D146" s="3"/>
      <c r="E146" s="265"/>
      <c r="F146" s="265"/>
      <c r="G146" s="265"/>
      <c r="H146" s="265"/>
      <c r="I146" s="265"/>
      <c r="J146" s="260"/>
      <c r="K146" s="3"/>
      <c r="L146" s="265"/>
      <c r="M146" s="265"/>
      <c r="N146" s="265"/>
      <c r="O146" s="265"/>
      <c r="P146" s="265"/>
      <c r="Q146" s="260"/>
      <c r="R146" s="3"/>
      <c r="S146" s="265"/>
      <c r="T146" s="265"/>
      <c r="U146" s="265"/>
      <c r="V146" s="265"/>
      <c r="W146" s="265"/>
      <c r="X146" s="193"/>
      <c r="Y146" s="193"/>
      <c r="Z146" s="193"/>
      <c r="AA146" s="193"/>
      <c r="AB146" s="193"/>
      <c r="AC146" s="193"/>
      <c r="AD146" s="193"/>
      <c r="AE146" s="193"/>
      <c r="AF146" s="3"/>
      <c r="AG146" s="3"/>
      <c r="AH146" s="3"/>
      <c r="AI146" s="3"/>
      <c r="AJ146" s="3"/>
      <c r="AK146" s="3"/>
      <c r="AL146" s="3"/>
    </row>
    <row r="147" spans="1:38" ht="14.25" customHeight="1">
      <c r="A147" s="3"/>
      <c r="B147" s="3"/>
      <c r="C147" s="3"/>
      <c r="D147" s="3"/>
      <c r="E147" s="265"/>
      <c r="F147" s="265"/>
      <c r="G147" s="265"/>
      <c r="H147" s="265"/>
      <c r="I147" s="265"/>
      <c r="J147" s="260"/>
      <c r="K147" s="3"/>
      <c r="L147" s="265"/>
      <c r="M147" s="265"/>
      <c r="N147" s="265"/>
      <c r="O147" s="265"/>
      <c r="P147" s="265"/>
      <c r="Q147" s="260"/>
      <c r="R147" s="3"/>
      <c r="S147" s="265"/>
      <c r="T147" s="265"/>
      <c r="U147" s="265"/>
      <c r="V147" s="265"/>
      <c r="W147" s="265"/>
      <c r="X147" s="193"/>
      <c r="Y147" s="193"/>
      <c r="Z147" s="193"/>
      <c r="AA147" s="193"/>
      <c r="AB147" s="193"/>
      <c r="AC147" s="193"/>
      <c r="AD147" s="193"/>
      <c r="AE147" s="193"/>
      <c r="AF147" s="3"/>
      <c r="AG147" s="3"/>
      <c r="AH147" s="3"/>
      <c r="AI147" s="3"/>
      <c r="AJ147" s="3"/>
      <c r="AK147" s="3"/>
      <c r="AL147" s="3"/>
    </row>
    <row r="148" spans="1:38" ht="14.25" customHeight="1">
      <c r="A148" s="3"/>
      <c r="B148" s="3"/>
      <c r="C148" s="3"/>
      <c r="D148" s="3"/>
      <c r="E148" s="265"/>
      <c r="F148" s="265"/>
      <c r="G148" s="265"/>
      <c r="H148" s="265"/>
      <c r="I148" s="265"/>
      <c r="J148" s="260"/>
      <c r="K148" s="3"/>
      <c r="L148" s="265"/>
      <c r="M148" s="265"/>
      <c r="N148" s="265"/>
      <c r="O148" s="265"/>
      <c r="P148" s="265"/>
      <c r="Q148" s="260"/>
      <c r="R148" s="3"/>
      <c r="S148" s="265"/>
      <c r="T148" s="265"/>
      <c r="U148" s="265"/>
      <c r="V148" s="265"/>
      <c r="W148" s="265"/>
      <c r="X148" s="193"/>
      <c r="Y148" s="193"/>
      <c r="Z148" s="193"/>
      <c r="AA148" s="193"/>
      <c r="AB148" s="193"/>
      <c r="AC148" s="193"/>
      <c r="AD148" s="193"/>
      <c r="AE148" s="193"/>
      <c r="AF148" s="3"/>
      <c r="AG148" s="3"/>
      <c r="AH148" s="3"/>
      <c r="AI148" s="3"/>
      <c r="AJ148" s="3"/>
      <c r="AK148" s="3"/>
      <c r="AL148" s="3"/>
    </row>
    <row r="149" spans="1:38" ht="14.25" customHeight="1">
      <c r="A149" s="3"/>
      <c r="B149" s="3"/>
      <c r="C149" s="3"/>
      <c r="D149" s="3"/>
      <c r="E149" s="265"/>
      <c r="F149" s="265"/>
      <c r="G149" s="265"/>
      <c r="H149" s="265"/>
      <c r="I149" s="265"/>
      <c r="J149" s="260"/>
      <c r="K149" s="3"/>
      <c r="L149" s="265"/>
      <c r="M149" s="265"/>
      <c r="N149" s="265"/>
      <c r="O149" s="265"/>
      <c r="P149" s="265"/>
      <c r="Q149" s="260"/>
      <c r="R149" s="3"/>
      <c r="S149" s="265"/>
      <c r="T149" s="265"/>
      <c r="U149" s="265"/>
      <c r="V149" s="265"/>
      <c r="W149" s="265"/>
      <c r="X149" s="193"/>
      <c r="Y149" s="193"/>
      <c r="Z149" s="193"/>
      <c r="AA149" s="193"/>
      <c r="AB149" s="193"/>
      <c r="AC149" s="193"/>
      <c r="AD149" s="193"/>
      <c r="AE149" s="193"/>
      <c r="AF149" s="3"/>
      <c r="AG149" s="3"/>
      <c r="AH149" s="3"/>
      <c r="AI149" s="3"/>
      <c r="AJ149" s="3"/>
      <c r="AK149" s="3"/>
      <c r="AL149" s="3"/>
    </row>
    <row r="150" spans="1:38" ht="14.25" customHeight="1">
      <c r="A150" s="3"/>
      <c r="B150" s="3"/>
      <c r="C150" s="3"/>
      <c r="D150" s="3"/>
      <c r="E150" s="265"/>
      <c r="F150" s="265"/>
      <c r="G150" s="265"/>
      <c r="H150" s="265"/>
      <c r="I150" s="265"/>
      <c r="J150" s="260"/>
      <c r="K150" s="3"/>
      <c r="L150" s="265"/>
      <c r="M150" s="265"/>
      <c r="N150" s="265"/>
      <c r="O150" s="265"/>
      <c r="P150" s="265"/>
      <c r="Q150" s="260"/>
      <c r="R150" s="3"/>
      <c r="S150" s="265"/>
      <c r="T150" s="265"/>
      <c r="U150" s="265"/>
      <c r="V150" s="265"/>
      <c r="W150" s="265"/>
      <c r="X150" s="193"/>
      <c r="Y150" s="193"/>
      <c r="Z150" s="193"/>
      <c r="AA150" s="193"/>
      <c r="AB150" s="193"/>
      <c r="AC150" s="193"/>
      <c r="AD150" s="193"/>
      <c r="AE150" s="193"/>
      <c r="AF150" s="3"/>
      <c r="AG150" s="3"/>
      <c r="AH150" s="3"/>
      <c r="AI150" s="3"/>
      <c r="AJ150" s="3"/>
      <c r="AK150" s="3"/>
      <c r="AL150" s="3"/>
    </row>
    <row r="151" spans="1:38" ht="14.25" customHeight="1">
      <c r="A151" s="3"/>
      <c r="B151" s="3"/>
      <c r="C151" s="3"/>
      <c r="D151" s="3"/>
      <c r="E151" s="265"/>
      <c r="F151" s="265"/>
      <c r="G151" s="265"/>
      <c r="H151" s="265"/>
      <c r="I151" s="265"/>
      <c r="J151" s="260"/>
      <c r="K151" s="3"/>
      <c r="L151" s="265"/>
      <c r="M151" s="265"/>
      <c r="N151" s="265"/>
      <c r="O151" s="265"/>
      <c r="P151" s="265"/>
      <c r="Q151" s="260"/>
      <c r="R151" s="3"/>
      <c r="S151" s="265"/>
      <c r="T151" s="265"/>
      <c r="U151" s="265"/>
      <c r="V151" s="265"/>
      <c r="W151" s="265"/>
      <c r="X151" s="193"/>
      <c r="Y151" s="193"/>
      <c r="Z151" s="193"/>
      <c r="AA151" s="193"/>
      <c r="AB151" s="193"/>
      <c r="AC151" s="193"/>
      <c r="AD151" s="193"/>
      <c r="AE151" s="193"/>
      <c r="AF151" s="3"/>
      <c r="AG151" s="3"/>
      <c r="AH151" s="3"/>
      <c r="AI151" s="3"/>
      <c r="AJ151" s="3"/>
      <c r="AK151" s="3"/>
      <c r="AL151" s="3"/>
    </row>
    <row r="152" spans="1:38" ht="14.25" customHeight="1">
      <c r="A152" s="3"/>
      <c r="B152" s="3"/>
      <c r="C152" s="3"/>
      <c r="D152" s="3"/>
      <c r="E152" s="265"/>
      <c r="F152" s="265"/>
      <c r="G152" s="265"/>
      <c r="H152" s="265"/>
      <c r="I152" s="265"/>
      <c r="J152" s="260"/>
      <c r="K152" s="3"/>
      <c r="L152" s="265"/>
      <c r="M152" s="265"/>
      <c r="N152" s="265"/>
      <c r="O152" s="265"/>
      <c r="P152" s="265"/>
      <c r="Q152" s="260"/>
      <c r="R152" s="3"/>
      <c r="S152" s="265"/>
      <c r="T152" s="265"/>
      <c r="U152" s="265"/>
      <c r="V152" s="265"/>
      <c r="W152" s="265"/>
      <c r="X152" s="193"/>
      <c r="Y152" s="193"/>
      <c r="Z152" s="193"/>
      <c r="AA152" s="193"/>
      <c r="AB152" s="193"/>
      <c r="AC152" s="193"/>
      <c r="AD152" s="193"/>
      <c r="AE152" s="193"/>
      <c r="AF152" s="3"/>
      <c r="AG152" s="3"/>
      <c r="AH152" s="3"/>
      <c r="AI152" s="3"/>
      <c r="AJ152" s="3"/>
      <c r="AK152" s="3"/>
      <c r="AL152" s="3"/>
    </row>
    <row r="153" spans="1:38" ht="14.25" customHeight="1">
      <c r="A153" s="3"/>
      <c r="B153" s="3"/>
      <c r="C153" s="3"/>
      <c r="D153" s="3"/>
      <c r="E153" s="265"/>
      <c r="F153" s="265"/>
      <c r="G153" s="265"/>
      <c r="H153" s="265"/>
      <c r="I153" s="265"/>
      <c r="J153" s="260"/>
      <c r="K153" s="3"/>
      <c r="L153" s="265"/>
      <c r="M153" s="265"/>
      <c r="N153" s="265"/>
      <c r="O153" s="265"/>
      <c r="P153" s="265"/>
      <c r="Q153" s="260"/>
      <c r="R153" s="3"/>
      <c r="S153" s="265"/>
      <c r="T153" s="265"/>
      <c r="U153" s="265"/>
      <c r="V153" s="265"/>
      <c r="W153" s="265"/>
      <c r="X153" s="193"/>
      <c r="Y153" s="193"/>
      <c r="Z153" s="193"/>
      <c r="AA153" s="193"/>
      <c r="AB153" s="193"/>
      <c r="AC153" s="193"/>
      <c r="AD153" s="193"/>
      <c r="AE153" s="193"/>
      <c r="AF153" s="3"/>
      <c r="AG153" s="3"/>
      <c r="AH153" s="3"/>
      <c r="AI153" s="3"/>
      <c r="AJ153" s="3"/>
      <c r="AK153" s="3"/>
      <c r="AL153" s="3"/>
    </row>
    <row r="154" spans="1:38" ht="14.25" customHeight="1">
      <c r="A154" s="3"/>
      <c r="B154" s="3"/>
      <c r="C154" s="3"/>
      <c r="D154" s="3"/>
      <c r="E154" s="265"/>
      <c r="F154" s="265"/>
      <c r="G154" s="265"/>
      <c r="H154" s="265"/>
      <c r="I154" s="265"/>
      <c r="J154" s="260"/>
      <c r="K154" s="3"/>
      <c r="L154" s="265"/>
      <c r="M154" s="265"/>
      <c r="N154" s="265"/>
      <c r="O154" s="265"/>
      <c r="P154" s="265"/>
      <c r="Q154" s="260"/>
      <c r="R154" s="3"/>
      <c r="S154" s="265"/>
      <c r="T154" s="265"/>
      <c r="U154" s="265"/>
      <c r="V154" s="265"/>
      <c r="W154" s="265"/>
      <c r="X154" s="193"/>
      <c r="Y154" s="193"/>
      <c r="Z154" s="193"/>
      <c r="AA154" s="193"/>
      <c r="AB154" s="193"/>
      <c r="AC154" s="193"/>
      <c r="AD154" s="193"/>
      <c r="AE154" s="193"/>
      <c r="AF154" s="3"/>
      <c r="AG154" s="3"/>
      <c r="AH154" s="3"/>
      <c r="AI154" s="3"/>
      <c r="AJ154" s="3"/>
      <c r="AK154" s="3"/>
      <c r="AL154" s="3"/>
    </row>
    <row r="155" spans="1:38" ht="14.25" customHeight="1">
      <c r="A155" s="3"/>
      <c r="B155" s="3"/>
      <c r="C155" s="3"/>
      <c r="D155" s="3"/>
      <c r="E155" s="265"/>
      <c r="F155" s="265"/>
      <c r="G155" s="265"/>
      <c r="H155" s="265"/>
      <c r="I155" s="265"/>
      <c r="J155" s="260"/>
      <c r="K155" s="3"/>
      <c r="L155" s="265"/>
      <c r="M155" s="265"/>
      <c r="N155" s="265"/>
      <c r="O155" s="265"/>
      <c r="P155" s="265"/>
      <c r="Q155" s="260"/>
      <c r="R155" s="3"/>
      <c r="S155" s="265"/>
      <c r="T155" s="265"/>
      <c r="U155" s="265"/>
      <c r="V155" s="265"/>
      <c r="W155" s="265"/>
      <c r="X155" s="193"/>
      <c r="Y155" s="193"/>
      <c r="Z155" s="193"/>
      <c r="AA155" s="193"/>
      <c r="AB155" s="193"/>
      <c r="AC155" s="193"/>
      <c r="AD155" s="193"/>
      <c r="AE155" s="193"/>
      <c r="AF155" s="3"/>
      <c r="AG155" s="3"/>
      <c r="AH155" s="3"/>
      <c r="AI155" s="3"/>
      <c r="AJ155" s="3"/>
      <c r="AK155" s="3"/>
      <c r="AL155" s="3"/>
    </row>
    <row r="156" spans="1:38" ht="14.25" customHeight="1">
      <c r="A156" s="3"/>
      <c r="B156" s="3"/>
      <c r="C156" s="3"/>
      <c r="D156" s="3"/>
      <c r="E156" s="265"/>
      <c r="F156" s="265"/>
      <c r="G156" s="265"/>
      <c r="H156" s="265"/>
      <c r="I156" s="265"/>
      <c r="J156" s="260"/>
      <c r="K156" s="3"/>
      <c r="L156" s="265"/>
      <c r="M156" s="265"/>
      <c r="N156" s="265"/>
      <c r="O156" s="265"/>
      <c r="P156" s="265"/>
      <c r="Q156" s="260"/>
      <c r="R156" s="3"/>
      <c r="S156" s="265"/>
      <c r="T156" s="265"/>
      <c r="U156" s="265"/>
      <c r="V156" s="265"/>
      <c r="W156" s="265"/>
      <c r="X156" s="193"/>
      <c r="Y156" s="193"/>
      <c r="Z156" s="193"/>
      <c r="AA156" s="193"/>
      <c r="AB156" s="193"/>
      <c r="AC156" s="193"/>
      <c r="AD156" s="193"/>
      <c r="AE156" s="193"/>
      <c r="AF156" s="3"/>
      <c r="AG156" s="3"/>
      <c r="AH156" s="3"/>
      <c r="AI156" s="3"/>
      <c r="AJ156" s="3"/>
      <c r="AK156" s="3"/>
      <c r="AL156" s="3"/>
    </row>
    <row r="157" spans="1:38" ht="14.25" customHeight="1">
      <c r="A157" s="3"/>
      <c r="B157" s="3"/>
      <c r="C157" s="3"/>
      <c r="D157" s="3"/>
      <c r="E157" s="265"/>
      <c r="F157" s="265"/>
      <c r="G157" s="265"/>
      <c r="H157" s="265"/>
      <c r="I157" s="265"/>
      <c r="J157" s="260"/>
      <c r="K157" s="3"/>
      <c r="L157" s="265"/>
      <c r="M157" s="265"/>
      <c r="N157" s="265"/>
      <c r="O157" s="265"/>
      <c r="P157" s="265"/>
      <c r="Q157" s="260"/>
      <c r="R157" s="3"/>
      <c r="S157" s="265"/>
      <c r="T157" s="265"/>
      <c r="U157" s="265"/>
      <c r="V157" s="265"/>
      <c r="W157" s="265"/>
      <c r="X157" s="193"/>
      <c r="Y157" s="193"/>
      <c r="Z157" s="193"/>
      <c r="AA157" s="193"/>
      <c r="AB157" s="193"/>
      <c r="AC157" s="193"/>
      <c r="AD157" s="193"/>
      <c r="AE157" s="193"/>
      <c r="AF157" s="3"/>
      <c r="AG157" s="3"/>
      <c r="AH157" s="3"/>
      <c r="AI157" s="3"/>
      <c r="AJ157" s="3"/>
      <c r="AK157" s="3"/>
      <c r="AL157" s="3"/>
    </row>
    <row r="158" spans="1:38" ht="14.25" customHeight="1">
      <c r="A158" s="3"/>
      <c r="B158" s="3"/>
      <c r="C158" s="3"/>
      <c r="D158" s="3"/>
      <c r="E158" s="265"/>
      <c r="F158" s="265"/>
      <c r="G158" s="265"/>
      <c r="H158" s="265"/>
      <c r="I158" s="265"/>
      <c r="J158" s="260"/>
      <c r="K158" s="3"/>
      <c r="L158" s="265"/>
      <c r="M158" s="265"/>
      <c r="N158" s="265"/>
      <c r="O158" s="265"/>
      <c r="P158" s="265"/>
      <c r="Q158" s="260"/>
      <c r="R158" s="3"/>
      <c r="S158" s="265"/>
      <c r="T158" s="265"/>
      <c r="U158" s="265"/>
      <c r="V158" s="265"/>
      <c r="W158" s="265"/>
      <c r="X158" s="193"/>
      <c r="Y158" s="193"/>
      <c r="Z158" s="193"/>
      <c r="AA158" s="193"/>
      <c r="AB158" s="193"/>
      <c r="AC158" s="193"/>
      <c r="AD158" s="193"/>
      <c r="AE158" s="193"/>
      <c r="AF158" s="3"/>
      <c r="AG158" s="3"/>
      <c r="AH158" s="3"/>
      <c r="AI158" s="3"/>
      <c r="AJ158" s="3"/>
      <c r="AK158" s="3"/>
      <c r="AL158" s="3"/>
    </row>
    <row r="159" spans="1:38" ht="14.25" customHeight="1">
      <c r="A159" s="3"/>
      <c r="B159" s="3"/>
      <c r="C159" s="3"/>
      <c r="D159" s="3"/>
      <c r="E159" s="265"/>
      <c r="F159" s="265"/>
      <c r="G159" s="265"/>
      <c r="H159" s="265"/>
      <c r="I159" s="265"/>
      <c r="J159" s="260"/>
      <c r="K159" s="3"/>
      <c r="L159" s="265"/>
      <c r="M159" s="265"/>
      <c r="N159" s="265"/>
      <c r="O159" s="265"/>
      <c r="P159" s="265"/>
      <c r="Q159" s="260"/>
      <c r="R159" s="3"/>
      <c r="S159" s="265"/>
      <c r="T159" s="265"/>
      <c r="U159" s="265"/>
      <c r="V159" s="265"/>
      <c r="W159" s="265"/>
      <c r="X159" s="193"/>
      <c r="Y159" s="193"/>
      <c r="Z159" s="193"/>
      <c r="AA159" s="193"/>
      <c r="AB159" s="193"/>
      <c r="AC159" s="193"/>
      <c r="AD159" s="193"/>
      <c r="AE159" s="193"/>
      <c r="AF159" s="3"/>
      <c r="AG159" s="3"/>
      <c r="AH159" s="3"/>
      <c r="AI159" s="3"/>
      <c r="AJ159" s="3"/>
      <c r="AK159" s="3"/>
      <c r="AL159" s="3"/>
    </row>
    <row r="160" spans="1:38" ht="14.25" customHeight="1">
      <c r="A160" s="3"/>
      <c r="B160" s="3"/>
      <c r="C160" s="3"/>
      <c r="D160" s="3"/>
      <c r="E160" s="265"/>
      <c r="F160" s="265"/>
      <c r="G160" s="265"/>
      <c r="H160" s="265"/>
      <c r="I160" s="265"/>
      <c r="J160" s="260"/>
      <c r="K160" s="3"/>
      <c r="L160" s="265"/>
      <c r="M160" s="265"/>
      <c r="N160" s="265"/>
      <c r="O160" s="265"/>
      <c r="P160" s="265"/>
      <c r="Q160" s="260"/>
      <c r="R160" s="3"/>
      <c r="S160" s="265"/>
      <c r="T160" s="265"/>
      <c r="U160" s="265"/>
      <c r="V160" s="265"/>
      <c r="W160" s="265"/>
      <c r="X160" s="193"/>
      <c r="Y160" s="193"/>
      <c r="Z160" s="193"/>
      <c r="AA160" s="193"/>
      <c r="AB160" s="193"/>
      <c r="AC160" s="193"/>
      <c r="AD160" s="193"/>
      <c r="AE160" s="193"/>
      <c r="AF160" s="3"/>
      <c r="AG160" s="3"/>
      <c r="AH160" s="3"/>
      <c r="AI160" s="3"/>
      <c r="AJ160" s="3"/>
      <c r="AK160" s="3"/>
      <c r="AL160" s="3"/>
    </row>
    <row r="161" spans="1:38" ht="14.25" customHeight="1">
      <c r="A161" s="3"/>
      <c r="B161" s="3"/>
      <c r="C161" s="3"/>
      <c r="D161" s="3"/>
      <c r="E161" s="265"/>
      <c r="F161" s="265"/>
      <c r="G161" s="265"/>
      <c r="H161" s="265"/>
      <c r="I161" s="265"/>
      <c r="J161" s="260"/>
      <c r="K161" s="3"/>
      <c r="L161" s="265"/>
      <c r="M161" s="265"/>
      <c r="N161" s="265"/>
      <c r="O161" s="265"/>
      <c r="P161" s="265"/>
      <c r="Q161" s="260"/>
      <c r="R161" s="3"/>
      <c r="S161" s="265"/>
      <c r="T161" s="265"/>
      <c r="U161" s="265"/>
      <c r="V161" s="265"/>
      <c r="W161" s="265"/>
      <c r="X161" s="193"/>
      <c r="Y161" s="193"/>
      <c r="Z161" s="193"/>
      <c r="AA161" s="193"/>
      <c r="AB161" s="193"/>
      <c r="AC161" s="193"/>
      <c r="AD161" s="193"/>
      <c r="AE161" s="193"/>
      <c r="AF161" s="3"/>
      <c r="AG161" s="3"/>
      <c r="AH161" s="3"/>
      <c r="AI161" s="3"/>
      <c r="AJ161" s="3"/>
      <c r="AK161" s="3"/>
      <c r="AL161" s="3"/>
    </row>
    <row r="162" spans="1:38" ht="14.25" customHeight="1">
      <c r="A162" s="3"/>
      <c r="B162" s="3"/>
      <c r="C162" s="3"/>
      <c r="D162" s="3"/>
      <c r="E162" s="265"/>
      <c r="F162" s="265"/>
      <c r="G162" s="265"/>
      <c r="H162" s="265"/>
      <c r="I162" s="265"/>
      <c r="J162" s="260"/>
      <c r="K162" s="3"/>
      <c r="L162" s="265"/>
      <c r="M162" s="265"/>
      <c r="N162" s="265"/>
      <c r="O162" s="265"/>
      <c r="P162" s="265"/>
      <c r="Q162" s="260"/>
      <c r="R162" s="3"/>
      <c r="S162" s="265"/>
      <c r="T162" s="265"/>
      <c r="U162" s="265"/>
      <c r="V162" s="265"/>
      <c r="W162" s="265"/>
      <c r="X162" s="193"/>
      <c r="Y162" s="193"/>
      <c r="Z162" s="193"/>
      <c r="AA162" s="193"/>
      <c r="AB162" s="193"/>
      <c r="AC162" s="193"/>
      <c r="AD162" s="193"/>
      <c r="AE162" s="193"/>
      <c r="AF162" s="3"/>
      <c r="AG162" s="3"/>
      <c r="AH162" s="3"/>
      <c r="AI162" s="3"/>
      <c r="AJ162" s="3"/>
      <c r="AK162" s="3"/>
      <c r="AL162" s="3"/>
    </row>
    <row r="163" spans="1:38" ht="14.25" customHeight="1">
      <c r="A163" s="3"/>
      <c r="B163" s="3"/>
      <c r="C163" s="3"/>
      <c r="D163" s="3"/>
      <c r="E163" s="265"/>
      <c r="F163" s="265"/>
      <c r="G163" s="265"/>
      <c r="H163" s="265"/>
      <c r="I163" s="265"/>
      <c r="J163" s="260"/>
      <c r="K163" s="3"/>
      <c r="L163" s="265"/>
      <c r="M163" s="265"/>
      <c r="N163" s="265"/>
      <c r="O163" s="265"/>
      <c r="P163" s="265"/>
      <c r="Q163" s="260"/>
      <c r="R163" s="3"/>
      <c r="S163" s="265"/>
      <c r="T163" s="265"/>
      <c r="U163" s="265"/>
      <c r="V163" s="265"/>
      <c r="W163" s="265"/>
      <c r="X163" s="193"/>
      <c r="Y163" s="193"/>
      <c r="Z163" s="193"/>
      <c r="AA163" s="193"/>
      <c r="AB163" s="193"/>
      <c r="AC163" s="193"/>
      <c r="AD163" s="193"/>
      <c r="AE163" s="193"/>
      <c r="AF163" s="3"/>
      <c r="AG163" s="3"/>
      <c r="AH163" s="3"/>
      <c r="AI163" s="3"/>
      <c r="AJ163" s="3"/>
      <c r="AK163" s="3"/>
      <c r="AL163" s="3"/>
    </row>
    <row r="164" spans="1:38" ht="14.25" customHeight="1">
      <c r="A164" s="3"/>
      <c r="B164" s="3"/>
      <c r="C164" s="3"/>
      <c r="D164" s="3"/>
      <c r="E164" s="265"/>
      <c r="F164" s="265"/>
      <c r="G164" s="265"/>
      <c r="H164" s="265"/>
      <c r="I164" s="265"/>
      <c r="J164" s="260"/>
      <c r="K164" s="3"/>
      <c r="L164" s="265"/>
      <c r="M164" s="265"/>
      <c r="N164" s="265"/>
      <c r="O164" s="265"/>
      <c r="P164" s="265"/>
      <c r="Q164" s="260"/>
      <c r="R164" s="3"/>
      <c r="S164" s="265"/>
      <c r="T164" s="265"/>
      <c r="U164" s="265"/>
      <c r="V164" s="265"/>
      <c r="W164" s="265"/>
      <c r="X164" s="193"/>
      <c r="Y164" s="193"/>
      <c r="Z164" s="193"/>
      <c r="AA164" s="193"/>
      <c r="AB164" s="193"/>
      <c r="AC164" s="193"/>
      <c r="AD164" s="193"/>
      <c r="AE164" s="193"/>
      <c r="AF164" s="3"/>
      <c r="AG164" s="3"/>
      <c r="AH164" s="3"/>
      <c r="AI164" s="3"/>
      <c r="AJ164" s="3"/>
      <c r="AK164" s="3"/>
      <c r="AL164" s="3"/>
    </row>
    <row r="165" spans="1:38" ht="14.25" customHeight="1">
      <c r="A165" s="3"/>
      <c r="B165" s="3"/>
      <c r="C165" s="3"/>
      <c r="D165" s="3"/>
      <c r="E165" s="265"/>
      <c r="F165" s="265"/>
      <c r="G165" s="265"/>
      <c r="H165" s="265"/>
      <c r="I165" s="265"/>
      <c r="J165" s="260"/>
      <c r="K165" s="3"/>
      <c r="L165" s="265"/>
      <c r="M165" s="265"/>
      <c r="N165" s="265"/>
      <c r="O165" s="265"/>
      <c r="P165" s="265"/>
      <c r="Q165" s="260"/>
      <c r="R165" s="3"/>
      <c r="S165" s="265"/>
      <c r="T165" s="265"/>
      <c r="U165" s="265"/>
      <c r="V165" s="265"/>
      <c r="W165" s="265"/>
      <c r="X165" s="193"/>
      <c r="Y165" s="193"/>
      <c r="Z165" s="193"/>
      <c r="AA165" s="193"/>
      <c r="AB165" s="193"/>
      <c r="AC165" s="193"/>
      <c r="AD165" s="193"/>
      <c r="AE165" s="193"/>
      <c r="AF165" s="3"/>
      <c r="AG165" s="3"/>
      <c r="AH165" s="3"/>
      <c r="AI165" s="3"/>
      <c r="AJ165" s="3"/>
      <c r="AK165" s="3"/>
      <c r="AL165" s="3"/>
    </row>
    <row r="166" spans="1:38" ht="14.25" customHeight="1">
      <c r="A166" s="3"/>
      <c r="B166" s="3"/>
      <c r="C166" s="3"/>
      <c r="D166" s="3"/>
      <c r="E166" s="265"/>
      <c r="F166" s="265"/>
      <c r="G166" s="265"/>
      <c r="H166" s="265"/>
      <c r="I166" s="265"/>
      <c r="J166" s="260"/>
      <c r="K166" s="3"/>
      <c r="L166" s="265"/>
      <c r="M166" s="265"/>
      <c r="N166" s="265"/>
      <c r="O166" s="265"/>
      <c r="P166" s="265"/>
      <c r="Q166" s="260"/>
      <c r="R166" s="3"/>
      <c r="S166" s="265"/>
      <c r="T166" s="265"/>
      <c r="U166" s="265"/>
      <c r="V166" s="265"/>
      <c r="W166" s="265"/>
      <c r="X166" s="193"/>
      <c r="Y166" s="193"/>
      <c r="Z166" s="193"/>
      <c r="AA166" s="193"/>
      <c r="AB166" s="193"/>
      <c r="AC166" s="193"/>
      <c r="AD166" s="193"/>
      <c r="AE166" s="193"/>
      <c r="AF166" s="3"/>
      <c r="AG166" s="3"/>
      <c r="AH166" s="3"/>
      <c r="AI166" s="3"/>
      <c r="AJ166" s="3"/>
      <c r="AK166" s="3"/>
      <c r="AL166" s="3"/>
    </row>
    <row r="167" spans="1:38" ht="14.25" customHeight="1">
      <c r="A167" s="3"/>
      <c r="B167" s="3"/>
      <c r="C167" s="3"/>
      <c r="D167" s="3"/>
      <c r="E167" s="265"/>
      <c r="F167" s="265"/>
      <c r="G167" s="265"/>
      <c r="H167" s="265"/>
      <c r="I167" s="265"/>
      <c r="J167" s="260"/>
      <c r="K167" s="3"/>
      <c r="L167" s="265"/>
      <c r="M167" s="265"/>
      <c r="N167" s="265"/>
      <c r="O167" s="265"/>
      <c r="P167" s="265"/>
      <c r="Q167" s="260"/>
      <c r="R167" s="3"/>
      <c r="S167" s="265"/>
      <c r="T167" s="265"/>
      <c r="U167" s="265"/>
      <c r="V167" s="265"/>
      <c r="W167" s="265"/>
      <c r="X167" s="193"/>
      <c r="Y167" s="193"/>
      <c r="Z167" s="193"/>
      <c r="AA167" s="193"/>
      <c r="AB167" s="193"/>
      <c r="AC167" s="193"/>
      <c r="AD167" s="193"/>
      <c r="AE167" s="193"/>
      <c r="AF167" s="3"/>
      <c r="AG167" s="3"/>
      <c r="AH167" s="3"/>
      <c r="AI167" s="3"/>
      <c r="AJ167" s="3"/>
      <c r="AK167" s="3"/>
      <c r="AL167" s="3"/>
    </row>
    <row r="168" spans="1:38" ht="14.25" customHeight="1">
      <c r="A168" s="3"/>
      <c r="B168" s="3"/>
      <c r="C168" s="3"/>
      <c r="D168" s="3"/>
      <c r="E168" s="265"/>
      <c r="F168" s="265"/>
      <c r="G168" s="265"/>
      <c r="H168" s="265"/>
      <c r="I168" s="265"/>
      <c r="J168" s="260"/>
      <c r="K168" s="3"/>
      <c r="L168" s="265"/>
      <c r="M168" s="265"/>
      <c r="N168" s="265"/>
      <c r="O168" s="265"/>
      <c r="P168" s="265"/>
      <c r="Q168" s="260"/>
      <c r="R168" s="3"/>
      <c r="S168" s="265"/>
      <c r="T168" s="265"/>
      <c r="U168" s="265"/>
      <c r="V168" s="265"/>
      <c r="W168" s="265"/>
      <c r="X168" s="193"/>
      <c r="Y168" s="193"/>
      <c r="Z168" s="193"/>
      <c r="AA168" s="193"/>
      <c r="AB168" s="193"/>
      <c r="AC168" s="193"/>
      <c r="AD168" s="193"/>
      <c r="AE168" s="193"/>
      <c r="AF168" s="3"/>
      <c r="AG168" s="3"/>
      <c r="AH168" s="3"/>
      <c r="AI168" s="3"/>
      <c r="AJ168" s="3"/>
      <c r="AK168" s="3"/>
      <c r="AL168" s="3"/>
    </row>
    <row r="169" spans="1:38" ht="14.25" customHeight="1">
      <c r="A169" s="3"/>
      <c r="B169" s="3"/>
      <c r="C169" s="3"/>
      <c r="D169" s="3"/>
      <c r="E169" s="265"/>
      <c r="F169" s="265"/>
      <c r="G169" s="265"/>
      <c r="H169" s="265"/>
      <c r="I169" s="265"/>
      <c r="J169" s="260"/>
      <c r="K169" s="3"/>
      <c r="L169" s="265"/>
      <c r="M169" s="265"/>
      <c r="N169" s="265"/>
      <c r="O169" s="265"/>
      <c r="P169" s="265"/>
      <c r="Q169" s="260"/>
      <c r="R169" s="3"/>
      <c r="S169" s="265"/>
      <c r="T169" s="265"/>
      <c r="U169" s="265"/>
      <c r="V169" s="265"/>
      <c r="W169" s="265"/>
      <c r="X169" s="193"/>
      <c r="Y169" s="193"/>
      <c r="Z169" s="193"/>
      <c r="AA169" s="193"/>
      <c r="AB169" s="193"/>
      <c r="AC169" s="193"/>
      <c r="AD169" s="193"/>
      <c r="AE169" s="193"/>
      <c r="AF169" s="3"/>
      <c r="AG169" s="3"/>
      <c r="AH169" s="3"/>
      <c r="AI169" s="3"/>
      <c r="AJ169" s="3"/>
      <c r="AK169" s="3"/>
      <c r="AL169" s="3"/>
    </row>
    <row r="170" spans="1:38" ht="14.25" customHeight="1">
      <c r="A170" s="3"/>
      <c r="B170" s="3"/>
      <c r="C170" s="3"/>
      <c r="D170" s="3"/>
      <c r="E170" s="265"/>
      <c r="F170" s="265"/>
      <c r="G170" s="265"/>
      <c r="H170" s="265"/>
      <c r="I170" s="265"/>
      <c r="J170" s="260"/>
      <c r="K170" s="3"/>
      <c r="L170" s="265"/>
      <c r="M170" s="265"/>
      <c r="N170" s="265"/>
      <c r="O170" s="265"/>
      <c r="P170" s="265"/>
      <c r="Q170" s="260"/>
      <c r="R170" s="3"/>
      <c r="S170" s="265"/>
      <c r="T170" s="265"/>
      <c r="U170" s="265"/>
      <c r="V170" s="265"/>
      <c r="W170" s="265"/>
      <c r="X170" s="193"/>
      <c r="Y170" s="193"/>
      <c r="Z170" s="193"/>
      <c r="AA170" s="193"/>
      <c r="AB170" s="193"/>
      <c r="AC170" s="193"/>
      <c r="AD170" s="193"/>
      <c r="AE170" s="193"/>
      <c r="AF170" s="3"/>
      <c r="AG170" s="3"/>
      <c r="AH170" s="3"/>
      <c r="AI170" s="3"/>
      <c r="AJ170" s="3"/>
      <c r="AK170" s="3"/>
      <c r="AL170" s="3"/>
    </row>
    <row r="171" spans="1:38" ht="14.25" customHeight="1">
      <c r="A171" s="3"/>
      <c r="B171" s="3"/>
      <c r="C171" s="3"/>
      <c r="D171" s="3"/>
      <c r="E171" s="265"/>
      <c r="F171" s="265"/>
      <c r="G171" s="265"/>
      <c r="H171" s="265"/>
      <c r="I171" s="265"/>
      <c r="J171" s="260"/>
      <c r="K171" s="3"/>
      <c r="L171" s="265"/>
      <c r="M171" s="265"/>
      <c r="N171" s="265"/>
      <c r="O171" s="265"/>
      <c r="P171" s="265"/>
      <c r="Q171" s="260"/>
      <c r="R171" s="3"/>
      <c r="S171" s="265"/>
      <c r="T171" s="265"/>
      <c r="U171" s="265"/>
      <c r="V171" s="265"/>
      <c r="W171" s="265"/>
      <c r="X171" s="193"/>
      <c r="Y171" s="193"/>
      <c r="Z171" s="193"/>
      <c r="AA171" s="193"/>
      <c r="AB171" s="193"/>
      <c r="AC171" s="193"/>
      <c r="AD171" s="193"/>
      <c r="AE171" s="193"/>
      <c r="AF171" s="3"/>
      <c r="AG171" s="3"/>
      <c r="AH171" s="3"/>
      <c r="AI171" s="3"/>
      <c r="AJ171" s="3"/>
      <c r="AK171" s="3"/>
      <c r="AL171" s="3"/>
    </row>
    <row r="172" spans="1:38" ht="14.25" customHeight="1">
      <c r="A172" s="3"/>
      <c r="B172" s="3"/>
      <c r="C172" s="3"/>
      <c r="D172" s="3"/>
      <c r="E172" s="265"/>
      <c r="F172" s="265"/>
      <c r="G172" s="265"/>
      <c r="H172" s="265"/>
      <c r="I172" s="265"/>
      <c r="J172" s="260"/>
      <c r="K172" s="3"/>
      <c r="L172" s="265"/>
      <c r="M172" s="265"/>
      <c r="N172" s="265"/>
      <c r="O172" s="265"/>
      <c r="P172" s="265"/>
      <c r="Q172" s="260"/>
      <c r="R172" s="3"/>
      <c r="S172" s="265"/>
      <c r="T172" s="265"/>
      <c r="U172" s="265"/>
      <c r="V172" s="265"/>
      <c r="W172" s="265"/>
      <c r="X172" s="193"/>
      <c r="Y172" s="193"/>
      <c r="Z172" s="193"/>
      <c r="AA172" s="193"/>
      <c r="AB172" s="193"/>
      <c r="AC172" s="193"/>
      <c r="AD172" s="193"/>
      <c r="AE172" s="193"/>
      <c r="AF172" s="3"/>
      <c r="AG172" s="3"/>
      <c r="AH172" s="3"/>
      <c r="AI172" s="3"/>
      <c r="AJ172" s="3"/>
      <c r="AK172" s="3"/>
      <c r="AL172" s="3"/>
    </row>
    <row r="173" spans="1:38" ht="14.25" customHeight="1">
      <c r="A173" s="3"/>
      <c r="B173" s="3"/>
      <c r="C173" s="3"/>
      <c r="D173" s="3"/>
      <c r="E173" s="265"/>
      <c r="F173" s="265"/>
      <c r="G173" s="265"/>
      <c r="H173" s="265"/>
      <c r="I173" s="265"/>
      <c r="J173" s="260"/>
      <c r="K173" s="3"/>
      <c r="L173" s="265"/>
      <c r="M173" s="265"/>
      <c r="N173" s="265"/>
      <c r="O173" s="265"/>
      <c r="P173" s="265"/>
      <c r="Q173" s="260"/>
      <c r="R173" s="3"/>
      <c r="S173" s="265"/>
      <c r="T173" s="265"/>
      <c r="U173" s="265"/>
      <c r="V173" s="265"/>
      <c r="W173" s="265"/>
      <c r="X173" s="193"/>
      <c r="Y173" s="193"/>
      <c r="Z173" s="193"/>
      <c r="AA173" s="193"/>
      <c r="AB173" s="193"/>
      <c r="AC173" s="193"/>
      <c r="AD173" s="193"/>
      <c r="AE173" s="193"/>
      <c r="AF173" s="3"/>
      <c r="AG173" s="3"/>
      <c r="AH173" s="3"/>
      <c r="AI173" s="3"/>
      <c r="AJ173" s="3"/>
      <c r="AK173" s="3"/>
      <c r="AL173" s="3"/>
    </row>
    <row r="174" spans="1:38" ht="14.25" customHeight="1">
      <c r="A174" s="3"/>
      <c r="B174" s="3"/>
      <c r="C174" s="3"/>
      <c r="D174" s="3"/>
      <c r="E174" s="265"/>
      <c r="F174" s="265"/>
      <c r="G174" s="265"/>
      <c r="H174" s="265"/>
      <c r="I174" s="265"/>
      <c r="J174" s="260"/>
      <c r="K174" s="3"/>
      <c r="L174" s="265"/>
      <c r="M174" s="265"/>
      <c r="N174" s="265"/>
      <c r="O174" s="265"/>
      <c r="P174" s="265"/>
      <c r="Q174" s="260"/>
      <c r="R174" s="3"/>
      <c r="S174" s="265"/>
      <c r="T174" s="265"/>
      <c r="U174" s="265"/>
      <c r="V174" s="265"/>
      <c r="W174" s="265"/>
      <c r="X174" s="193"/>
      <c r="Y174" s="193"/>
      <c r="Z174" s="193"/>
      <c r="AA174" s="193"/>
      <c r="AB174" s="193"/>
      <c r="AC174" s="193"/>
      <c r="AD174" s="193"/>
      <c r="AE174" s="193"/>
      <c r="AF174" s="3"/>
      <c r="AG174" s="3"/>
      <c r="AH174" s="3"/>
      <c r="AI174" s="3"/>
      <c r="AJ174" s="3"/>
      <c r="AK174" s="3"/>
      <c r="AL174" s="3"/>
    </row>
    <row r="175" spans="1:38" ht="14.25" customHeight="1">
      <c r="A175" s="3"/>
      <c r="B175" s="3"/>
      <c r="C175" s="3"/>
      <c r="D175" s="3"/>
      <c r="E175" s="265"/>
      <c r="F175" s="265"/>
      <c r="G175" s="265"/>
      <c r="H175" s="265"/>
      <c r="I175" s="265"/>
      <c r="J175" s="260"/>
      <c r="K175" s="3"/>
      <c r="L175" s="265"/>
      <c r="M175" s="265"/>
      <c r="N175" s="265"/>
      <c r="O175" s="265"/>
      <c r="P175" s="265"/>
      <c r="Q175" s="260"/>
      <c r="R175" s="3"/>
      <c r="S175" s="265"/>
      <c r="T175" s="265"/>
      <c r="U175" s="265"/>
      <c r="V175" s="265"/>
      <c r="W175" s="265"/>
      <c r="X175" s="193"/>
      <c r="Y175" s="193"/>
      <c r="Z175" s="193"/>
      <c r="AA175" s="193"/>
      <c r="AB175" s="193"/>
      <c r="AC175" s="193"/>
      <c r="AD175" s="193"/>
      <c r="AE175" s="193"/>
      <c r="AF175" s="3"/>
      <c r="AG175" s="3"/>
      <c r="AH175" s="3"/>
      <c r="AI175" s="3"/>
      <c r="AJ175" s="3"/>
      <c r="AK175" s="3"/>
      <c r="AL175" s="3"/>
    </row>
    <row r="176" spans="1:38" ht="14.25" customHeight="1">
      <c r="A176" s="3"/>
      <c r="B176" s="3"/>
      <c r="C176" s="3"/>
      <c r="D176" s="3"/>
      <c r="E176" s="265"/>
      <c r="F176" s="265"/>
      <c r="G176" s="265"/>
      <c r="H176" s="265"/>
      <c r="I176" s="265"/>
      <c r="J176" s="260"/>
      <c r="K176" s="3"/>
      <c r="L176" s="265"/>
      <c r="M176" s="265"/>
      <c r="N176" s="265"/>
      <c r="O176" s="265"/>
      <c r="P176" s="265"/>
      <c r="Q176" s="260"/>
      <c r="R176" s="3"/>
      <c r="S176" s="265"/>
      <c r="T176" s="265"/>
      <c r="U176" s="265"/>
      <c r="V176" s="265"/>
      <c r="W176" s="265"/>
      <c r="X176" s="193"/>
      <c r="Y176" s="193"/>
      <c r="Z176" s="193"/>
      <c r="AA176" s="193"/>
      <c r="AB176" s="193"/>
      <c r="AC176" s="193"/>
      <c r="AD176" s="193"/>
      <c r="AE176" s="193"/>
      <c r="AF176" s="3"/>
      <c r="AG176" s="3"/>
      <c r="AH176" s="3"/>
      <c r="AI176" s="3"/>
      <c r="AJ176" s="3"/>
      <c r="AK176" s="3"/>
      <c r="AL176" s="3"/>
    </row>
    <row r="177" spans="1:38" ht="14.25" customHeight="1">
      <c r="A177" s="3"/>
      <c r="B177" s="3"/>
      <c r="C177" s="3"/>
      <c r="D177" s="3"/>
      <c r="E177" s="265"/>
      <c r="F177" s="265"/>
      <c r="G177" s="265"/>
      <c r="H177" s="265"/>
      <c r="I177" s="265"/>
      <c r="J177" s="260"/>
      <c r="K177" s="3"/>
      <c r="L177" s="265"/>
      <c r="M177" s="265"/>
      <c r="N177" s="265"/>
      <c r="O177" s="265"/>
      <c r="P177" s="265"/>
      <c r="Q177" s="260"/>
      <c r="R177" s="3"/>
      <c r="S177" s="265"/>
      <c r="T177" s="265"/>
      <c r="U177" s="265"/>
      <c r="V177" s="265"/>
      <c r="W177" s="265"/>
      <c r="X177" s="193"/>
      <c r="Y177" s="193"/>
      <c r="Z177" s="193"/>
      <c r="AA177" s="193"/>
      <c r="AB177" s="193"/>
      <c r="AC177" s="193"/>
      <c r="AD177" s="193"/>
      <c r="AE177" s="193"/>
      <c r="AF177" s="3"/>
      <c r="AG177" s="3"/>
      <c r="AH177" s="3"/>
      <c r="AI177" s="3"/>
      <c r="AJ177" s="3"/>
      <c r="AK177" s="3"/>
      <c r="AL177" s="3"/>
    </row>
    <row r="178" spans="1:38" ht="14.25" customHeight="1">
      <c r="A178" s="3"/>
      <c r="B178" s="3"/>
      <c r="C178" s="3"/>
      <c r="D178" s="3"/>
      <c r="E178" s="265"/>
      <c r="F178" s="265"/>
      <c r="G178" s="265"/>
      <c r="H178" s="265"/>
      <c r="I178" s="265"/>
      <c r="J178" s="260"/>
      <c r="K178" s="3"/>
      <c r="L178" s="265"/>
      <c r="M178" s="265"/>
      <c r="N178" s="265"/>
      <c r="O178" s="265"/>
      <c r="P178" s="265"/>
      <c r="Q178" s="260"/>
      <c r="R178" s="3"/>
      <c r="S178" s="265"/>
      <c r="T178" s="265"/>
      <c r="U178" s="265"/>
      <c r="V178" s="265"/>
      <c r="W178" s="265"/>
      <c r="X178" s="193"/>
      <c r="Y178" s="193"/>
      <c r="Z178" s="193"/>
      <c r="AA178" s="193"/>
      <c r="AB178" s="193"/>
      <c r="AC178" s="193"/>
      <c r="AD178" s="193"/>
      <c r="AE178" s="193"/>
      <c r="AF178" s="3"/>
      <c r="AG178" s="3"/>
      <c r="AH178" s="3"/>
      <c r="AI178" s="3"/>
      <c r="AJ178" s="3"/>
      <c r="AK178" s="3"/>
      <c r="AL178" s="3"/>
    </row>
    <row r="179" spans="1:38" ht="14.25" customHeight="1">
      <c r="A179" s="3"/>
      <c r="B179" s="3"/>
      <c r="C179" s="3"/>
      <c r="D179" s="3"/>
      <c r="E179" s="265"/>
      <c r="F179" s="265"/>
      <c r="G179" s="265"/>
      <c r="H179" s="265"/>
      <c r="I179" s="265"/>
      <c r="J179" s="260"/>
      <c r="K179" s="3"/>
      <c r="L179" s="265"/>
      <c r="M179" s="265"/>
      <c r="N179" s="265"/>
      <c r="O179" s="265"/>
      <c r="P179" s="265"/>
      <c r="Q179" s="260"/>
      <c r="R179" s="3"/>
      <c r="S179" s="265"/>
      <c r="T179" s="265"/>
      <c r="U179" s="265"/>
      <c r="V179" s="265"/>
      <c r="W179" s="265"/>
      <c r="X179" s="193"/>
      <c r="Y179" s="193"/>
      <c r="Z179" s="193"/>
      <c r="AA179" s="193"/>
      <c r="AB179" s="193"/>
      <c r="AC179" s="193"/>
      <c r="AD179" s="193"/>
      <c r="AE179" s="193"/>
      <c r="AF179" s="3"/>
      <c r="AG179" s="3"/>
      <c r="AH179" s="3"/>
      <c r="AI179" s="3"/>
      <c r="AJ179" s="3"/>
      <c r="AK179" s="3"/>
      <c r="AL179" s="3"/>
    </row>
    <row r="180" spans="1:38" ht="14.25" customHeight="1">
      <c r="A180" s="3"/>
      <c r="B180" s="3"/>
      <c r="C180" s="3"/>
      <c r="D180" s="3"/>
      <c r="E180" s="265"/>
      <c r="F180" s="265"/>
      <c r="G180" s="265"/>
      <c r="H180" s="265"/>
      <c r="I180" s="265"/>
      <c r="J180" s="260"/>
      <c r="K180" s="3"/>
      <c r="L180" s="265"/>
      <c r="M180" s="265"/>
      <c r="N180" s="265"/>
      <c r="O180" s="265"/>
      <c r="P180" s="265"/>
      <c r="Q180" s="260"/>
      <c r="R180" s="3"/>
      <c r="S180" s="265"/>
      <c r="T180" s="265"/>
      <c r="U180" s="265"/>
      <c r="V180" s="265"/>
      <c r="W180" s="265"/>
      <c r="X180" s="193"/>
      <c r="Y180" s="193"/>
      <c r="Z180" s="193"/>
      <c r="AA180" s="193"/>
      <c r="AB180" s="193"/>
      <c r="AC180" s="193"/>
      <c r="AD180" s="193"/>
      <c r="AE180" s="193"/>
      <c r="AF180" s="3"/>
      <c r="AG180" s="3"/>
      <c r="AH180" s="3"/>
      <c r="AI180" s="3"/>
      <c r="AJ180" s="3"/>
      <c r="AK180" s="3"/>
      <c r="AL180" s="3"/>
    </row>
    <row r="181" spans="1:38" ht="14.25" customHeight="1">
      <c r="A181" s="3"/>
      <c r="B181" s="3"/>
      <c r="C181" s="3"/>
      <c r="D181" s="3"/>
      <c r="E181" s="265"/>
      <c r="F181" s="265"/>
      <c r="G181" s="265"/>
      <c r="H181" s="265"/>
      <c r="I181" s="265"/>
      <c r="J181" s="260"/>
      <c r="K181" s="3"/>
      <c r="L181" s="265"/>
      <c r="M181" s="265"/>
      <c r="N181" s="265"/>
      <c r="O181" s="265"/>
      <c r="P181" s="265"/>
      <c r="Q181" s="260"/>
      <c r="R181" s="3"/>
      <c r="S181" s="265"/>
      <c r="T181" s="265"/>
      <c r="U181" s="265"/>
      <c r="V181" s="265"/>
      <c r="W181" s="265"/>
      <c r="X181" s="193"/>
      <c r="Y181" s="193"/>
      <c r="Z181" s="193"/>
      <c r="AA181" s="193"/>
      <c r="AB181" s="193"/>
      <c r="AC181" s="193"/>
      <c r="AD181" s="193"/>
      <c r="AE181" s="193"/>
      <c r="AF181" s="3"/>
      <c r="AG181" s="3"/>
      <c r="AH181" s="3"/>
      <c r="AI181" s="3"/>
      <c r="AJ181" s="3"/>
      <c r="AK181" s="3"/>
      <c r="AL181" s="3"/>
    </row>
    <row r="182" spans="1:38" ht="14.25" customHeight="1">
      <c r="A182" s="3"/>
      <c r="B182" s="3"/>
      <c r="C182" s="3"/>
      <c r="D182" s="3"/>
      <c r="E182" s="265"/>
      <c r="F182" s="265"/>
      <c r="G182" s="265"/>
      <c r="H182" s="265"/>
      <c r="I182" s="265"/>
      <c r="J182" s="260"/>
      <c r="K182" s="3"/>
      <c r="L182" s="265"/>
      <c r="M182" s="265"/>
      <c r="N182" s="265"/>
      <c r="O182" s="265"/>
      <c r="P182" s="265"/>
      <c r="Q182" s="260"/>
      <c r="R182" s="3"/>
      <c r="S182" s="265"/>
      <c r="T182" s="265"/>
      <c r="U182" s="265"/>
      <c r="V182" s="265"/>
      <c r="W182" s="265"/>
      <c r="X182" s="193"/>
      <c r="Y182" s="193"/>
      <c r="Z182" s="193"/>
      <c r="AA182" s="193"/>
      <c r="AB182" s="193"/>
      <c r="AC182" s="193"/>
      <c r="AD182" s="193"/>
      <c r="AE182" s="193"/>
      <c r="AF182" s="3"/>
      <c r="AG182" s="3"/>
      <c r="AH182" s="3"/>
      <c r="AI182" s="3"/>
      <c r="AJ182" s="3"/>
      <c r="AK182" s="3"/>
      <c r="AL182" s="3"/>
    </row>
    <row r="183" spans="1:38" ht="14.25" customHeight="1">
      <c r="A183" s="3"/>
      <c r="B183" s="3"/>
      <c r="C183" s="3"/>
      <c r="D183" s="3"/>
      <c r="E183" s="265"/>
      <c r="F183" s="265"/>
      <c r="G183" s="265"/>
      <c r="H183" s="265"/>
      <c r="I183" s="265"/>
      <c r="J183" s="260"/>
      <c r="K183" s="3"/>
      <c r="L183" s="265"/>
      <c r="M183" s="265"/>
      <c r="N183" s="265"/>
      <c r="O183" s="265"/>
      <c r="P183" s="265"/>
      <c r="Q183" s="260"/>
      <c r="R183" s="3"/>
      <c r="S183" s="265"/>
      <c r="T183" s="265"/>
      <c r="U183" s="265"/>
      <c r="V183" s="265"/>
      <c r="W183" s="265"/>
      <c r="X183" s="193"/>
      <c r="Y183" s="193"/>
      <c r="Z183" s="193"/>
      <c r="AA183" s="193"/>
      <c r="AB183" s="193"/>
      <c r="AC183" s="193"/>
      <c r="AD183" s="193"/>
      <c r="AE183" s="193"/>
      <c r="AF183" s="3"/>
      <c r="AG183" s="3"/>
      <c r="AH183" s="3"/>
      <c r="AI183" s="3"/>
      <c r="AJ183" s="3"/>
      <c r="AK183" s="3"/>
      <c r="AL183" s="3"/>
    </row>
    <row r="184" spans="1:38" ht="14.25" customHeight="1">
      <c r="A184" s="3"/>
      <c r="B184" s="3"/>
      <c r="C184" s="3"/>
      <c r="D184" s="3"/>
      <c r="E184" s="265"/>
      <c r="F184" s="265"/>
      <c r="G184" s="265"/>
      <c r="H184" s="265"/>
      <c r="I184" s="265"/>
      <c r="J184" s="260"/>
      <c r="K184" s="3"/>
      <c r="L184" s="265"/>
      <c r="M184" s="265"/>
      <c r="N184" s="265"/>
      <c r="O184" s="265"/>
      <c r="P184" s="265"/>
      <c r="Q184" s="260"/>
      <c r="R184" s="3"/>
      <c r="S184" s="265"/>
      <c r="T184" s="265"/>
      <c r="U184" s="265"/>
      <c r="V184" s="265"/>
      <c r="W184" s="265"/>
      <c r="X184" s="193"/>
      <c r="Y184" s="193"/>
      <c r="Z184" s="193"/>
      <c r="AA184" s="193"/>
      <c r="AB184" s="193"/>
      <c r="AC184" s="193"/>
      <c r="AD184" s="193"/>
      <c r="AE184" s="193"/>
      <c r="AF184" s="3"/>
      <c r="AG184" s="3"/>
      <c r="AH184" s="3"/>
      <c r="AI184" s="3"/>
      <c r="AJ184" s="3"/>
      <c r="AK184" s="3"/>
      <c r="AL184" s="3"/>
    </row>
    <row r="185" spans="1:38" ht="14.25" customHeight="1">
      <c r="A185" s="3"/>
      <c r="B185" s="3"/>
      <c r="C185" s="3"/>
      <c r="D185" s="3"/>
      <c r="E185" s="265"/>
      <c r="F185" s="265"/>
      <c r="G185" s="265"/>
      <c r="H185" s="265"/>
      <c r="I185" s="265"/>
      <c r="J185" s="260"/>
      <c r="K185" s="3"/>
      <c r="L185" s="265"/>
      <c r="M185" s="265"/>
      <c r="N185" s="265"/>
      <c r="O185" s="265"/>
      <c r="P185" s="265"/>
      <c r="Q185" s="260"/>
      <c r="R185" s="3"/>
      <c r="S185" s="265"/>
      <c r="T185" s="265"/>
      <c r="U185" s="265"/>
      <c r="V185" s="265"/>
      <c r="W185" s="265"/>
      <c r="X185" s="193"/>
      <c r="Y185" s="193"/>
      <c r="Z185" s="193"/>
      <c r="AA185" s="193"/>
      <c r="AB185" s="193"/>
      <c r="AC185" s="193"/>
      <c r="AD185" s="193"/>
      <c r="AE185" s="193"/>
      <c r="AF185" s="3"/>
      <c r="AG185" s="3"/>
      <c r="AH185" s="3"/>
      <c r="AI185" s="3"/>
      <c r="AJ185" s="3"/>
      <c r="AK185" s="3"/>
      <c r="AL185" s="3"/>
    </row>
    <row r="186" spans="1:38" ht="14.25" customHeight="1">
      <c r="A186" s="3"/>
      <c r="B186" s="3"/>
      <c r="C186" s="3"/>
      <c r="D186" s="3"/>
      <c r="E186" s="265"/>
      <c r="F186" s="265"/>
      <c r="G186" s="265"/>
      <c r="H186" s="265"/>
      <c r="I186" s="265"/>
      <c r="J186" s="260"/>
      <c r="K186" s="3"/>
      <c r="L186" s="265"/>
      <c r="M186" s="265"/>
      <c r="N186" s="265"/>
      <c r="O186" s="265"/>
      <c r="P186" s="265"/>
      <c r="Q186" s="260"/>
      <c r="R186" s="3"/>
      <c r="S186" s="265"/>
      <c r="T186" s="265"/>
      <c r="U186" s="265"/>
      <c r="V186" s="265"/>
      <c r="W186" s="265"/>
      <c r="X186" s="193"/>
      <c r="Y186" s="193"/>
      <c r="Z186" s="193"/>
      <c r="AA186" s="193"/>
      <c r="AB186" s="193"/>
      <c r="AC186" s="193"/>
      <c r="AD186" s="193"/>
      <c r="AE186" s="193"/>
      <c r="AF186" s="3"/>
      <c r="AG186" s="3"/>
      <c r="AH186" s="3"/>
      <c r="AI186" s="3"/>
      <c r="AJ186" s="3"/>
      <c r="AK186" s="3"/>
      <c r="AL186" s="3"/>
    </row>
    <row r="187" spans="1:38" ht="14.25" customHeight="1">
      <c r="A187" s="3"/>
      <c r="B187" s="3"/>
      <c r="C187" s="3"/>
      <c r="D187" s="3"/>
      <c r="E187" s="265"/>
      <c r="F187" s="265"/>
      <c r="G187" s="265"/>
      <c r="H187" s="265"/>
      <c r="I187" s="265"/>
      <c r="J187" s="260"/>
      <c r="K187" s="3"/>
      <c r="L187" s="265"/>
      <c r="M187" s="265"/>
      <c r="N187" s="265"/>
      <c r="O187" s="265"/>
      <c r="P187" s="265"/>
      <c r="Q187" s="260"/>
      <c r="R187" s="3"/>
      <c r="S187" s="265"/>
      <c r="T187" s="265"/>
      <c r="U187" s="265"/>
      <c r="V187" s="265"/>
      <c r="W187" s="265"/>
      <c r="X187" s="193"/>
      <c r="Y187" s="193"/>
      <c r="Z187" s="193"/>
      <c r="AA187" s="193"/>
      <c r="AB187" s="193"/>
      <c r="AC187" s="193"/>
      <c r="AD187" s="193"/>
      <c r="AE187" s="193"/>
      <c r="AF187" s="3"/>
      <c r="AG187" s="3"/>
      <c r="AH187" s="3"/>
      <c r="AI187" s="3"/>
      <c r="AJ187" s="3"/>
      <c r="AK187" s="3"/>
      <c r="AL187" s="3"/>
    </row>
    <row r="188" spans="1:38" ht="14.25" customHeight="1">
      <c r="A188" s="3"/>
      <c r="B188" s="3"/>
      <c r="C188" s="3"/>
      <c r="D188" s="3"/>
      <c r="E188" s="265"/>
      <c r="F188" s="265"/>
      <c r="G188" s="265"/>
      <c r="H188" s="265"/>
      <c r="I188" s="265"/>
      <c r="J188" s="260"/>
      <c r="K188" s="3"/>
      <c r="L188" s="265"/>
      <c r="M188" s="265"/>
      <c r="N188" s="265"/>
      <c r="O188" s="265"/>
      <c r="P188" s="265"/>
      <c r="Q188" s="260"/>
      <c r="R188" s="3"/>
      <c r="S188" s="265"/>
      <c r="T188" s="265"/>
      <c r="U188" s="265"/>
      <c r="V188" s="265"/>
      <c r="W188" s="265"/>
      <c r="X188" s="193"/>
      <c r="Y188" s="193"/>
      <c r="Z188" s="193"/>
      <c r="AA188" s="193"/>
      <c r="AB188" s="193"/>
      <c r="AC188" s="193"/>
      <c r="AD188" s="193"/>
      <c r="AE188" s="193"/>
      <c r="AF188" s="3"/>
      <c r="AG188" s="3"/>
      <c r="AH188" s="3"/>
      <c r="AI188" s="3"/>
      <c r="AJ188" s="3"/>
      <c r="AK188" s="3"/>
      <c r="AL188" s="3"/>
    </row>
    <row r="189" spans="1:38" ht="14.25" customHeight="1">
      <c r="A189" s="3"/>
      <c r="B189" s="3"/>
      <c r="C189" s="3"/>
      <c r="D189" s="3"/>
      <c r="E189" s="265"/>
      <c r="F189" s="265"/>
      <c r="G189" s="265"/>
      <c r="H189" s="265"/>
      <c r="I189" s="265"/>
      <c r="J189" s="260"/>
      <c r="K189" s="3"/>
      <c r="L189" s="265"/>
      <c r="M189" s="265"/>
      <c r="N189" s="265"/>
      <c r="O189" s="265"/>
      <c r="P189" s="265"/>
      <c r="Q189" s="260"/>
      <c r="R189" s="3"/>
      <c r="S189" s="265"/>
      <c r="T189" s="265"/>
      <c r="U189" s="265"/>
      <c r="V189" s="265"/>
      <c r="W189" s="265"/>
      <c r="X189" s="193"/>
      <c r="Y189" s="193"/>
      <c r="Z189" s="193"/>
      <c r="AA189" s="193"/>
      <c r="AB189" s="193"/>
      <c r="AC189" s="193"/>
      <c r="AD189" s="193"/>
      <c r="AE189" s="193"/>
      <c r="AF189" s="3"/>
      <c r="AG189" s="3"/>
      <c r="AH189" s="3"/>
      <c r="AI189" s="3"/>
      <c r="AJ189" s="3"/>
      <c r="AK189" s="3"/>
      <c r="AL189" s="3"/>
    </row>
    <row r="190" spans="1:38" ht="14.25" customHeight="1">
      <c r="A190" s="3"/>
      <c r="B190" s="3"/>
      <c r="C190" s="3"/>
      <c r="D190" s="3"/>
      <c r="E190" s="265"/>
      <c r="F190" s="265"/>
      <c r="G190" s="265"/>
      <c r="H190" s="265"/>
      <c r="I190" s="265"/>
      <c r="J190" s="260"/>
      <c r="K190" s="3"/>
      <c r="L190" s="265"/>
      <c r="M190" s="265"/>
      <c r="N190" s="265"/>
      <c r="O190" s="265"/>
      <c r="P190" s="265"/>
      <c r="Q190" s="260"/>
      <c r="R190" s="3"/>
      <c r="S190" s="265"/>
      <c r="T190" s="265"/>
      <c r="U190" s="265"/>
      <c r="V190" s="265"/>
      <c r="W190" s="265"/>
      <c r="X190" s="193"/>
      <c r="Y190" s="193"/>
      <c r="Z190" s="193"/>
      <c r="AA190" s="193"/>
      <c r="AB190" s="193"/>
      <c r="AC190" s="193"/>
      <c r="AD190" s="193"/>
      <c r="AE190" s="193"/>
      <c r="AF190" s="3"/>
      <c r="AG190" s="3"/>
      <c r="AH190" s="3"/>
      <c r="AI190" s="3"/>
      <c r="AJ190" s="3"/>
      <c r="AK190" s="3"/>
      <c r="AL190" s="3"/>
    </row>
    <row r="191" spans="1:38" ht="14.25" customHeight="1">
      <c r="A191" s="3"/>
      <c r="B191" s="3"/>
      <c r="C191" s="3"/>
      <c r="D191" s="3"/>
      <c r="E191" s="265"/>
      <c r="F191" s="265"/>
      <c r="G191" s="265"/>
      <c r="H191" s="265"/>
      <c r="I191" s="265"/>
      <c r="J191" s="260"/>
      <c r="K191" s="3"/>
      <c r="L191" s="265"/>
      <c r="M191" s="265"/>
      <c r="N191" s="265"/>
      <c r="O191" s="265"/>
      <c r="P191" s="265"/>
      <c r="Q191" s="260"/>
      <c r="R191" s="3"/>
      <c r="S191" s="265"/>
      <c r="T191" s="265"/>
      <c r="U191" s="265"/>
      <c r="V191" s="265"/>
      <c r="W191" s="265"/>
      <c r="X191" s="193"/>
      <c r="Y191" s="193"/>
      <c r="Z191" s="193"/>
      <c r="AA191" s="193"/>
      <c r="AB191" s="193"/>
      <c r="AC191" s="193"/>
      <c r="AD191" s="193"/>
      <c r="AE191" s="193"/>
      <c r="AF191" s="3"/>
      <c r="AG191" s="3"/>
      <c r="AH191" s="3"/>
      <c r="AI191" s="3"/>
      <c r="AJ191" s="3"/>
      <c r="AK191" s="3"/>
      <c r="AL191" s="3"/>
    </row>
    <row r="192" spans="1:38" ht="14.25" customHeight="1">
      <c r="A192" s="3"/>
      <c r="B192" s="3"/>
      <c r="C192" s="3"/>
      <c r="D192" s="3"/>
      <c r="E192" s="265"/>
      <c r="F192" s="265"/>
      <c r="G192" s="265"/>
      <c r="H192" s="265"/>
      <c r="I192" s="265"/>
      <c r="J192" s="260"/>
      <c r="K192" s="3"/>
      <c r="L192" s="265"/>
      <c r="M192" s="265"/>
      <c r="N192" s="265"/>
      <c r="O192" s="265"/>
      <c r="P192" s="265"/>
      <c r="Q192" s="260"/>
      <c r="R192" s="3"/>
      <c r="S192" s="265"/>
      <c r="T192" s="265"/>
      <c r="U192" s="265"/>
      <c r="V192" s="265"/>
      <c r="W192" s="265"/>
      <c r="X192" s="193"/>
      <c r="Y192" s="193"/>
      <c r="Z192" s="193"/>
      <c r="AA192" s="193"/>
      <c r="AB192" s="193"/>
      <c r="AC192" s="193"/>
      <c r="AD192" s="193"/>
      <c r="AE192" s="193"/>
      <c r="AF192" s="3"/>
      <c r="AG192" s="3"/>
      <c r="AH192" s="3"/>
      <c r="AI192" s="3"/>
      <c r="AJ192" s="3"/>
      <c r="AK192" s="3"/>
      <c r="AL192" s="3"/>
    </row>
    <row r="193" spans="1:38" ht="14.25" customHeight="1">
      <c r="A193" s="3"/>
      <c r="B193" s="3"/>
      <c r="C193" s="3"/>
      <c r="D193" s="3"/>
      <c r="E193" s="265"/>
      <c r="F193" s="265"/>
      <c r="G193" s="265"/>
      <c r="H193" s="265"/>
      <c r="I193" s="265"/>
      <c r="J193" s="260"/>
      <c r="K193" s="3"/>
      <c r="L193" s="265"/>
      <c r="M193" s="265"/>
      <c r="N193" s="265"/>
      <c r="O193" s="265"/>
      <c r="P193" s="265"/>
      <c r="Q193" s="260"/>
      <c r="R193" s="3"/>
      <c r="S193" s="265"/>
      <c r="T193" s="265"/>
      <c r="U193" s="265"/>
      <c r="V193" s="265"/>
      <c r="W193" s="265"/>
      <c r="X193" s="193"/>
      <c r="Y193" s="193"/>
      <c r="Z193" s="193"/>
      <c r="AA193" s="193"/>
      <c r="AB193" s="193"/>
      <c r="AC193" s="193"/>
      <c r="AD193" s="193"/>
      <c r="AE193" s="193"/>
      <c r="AF193" s="3"/>
      <c r="AG193" s="3"/>
      <c r="AH193" s="3"/>
      <c r="AI193" s="3"/>
      <c r="AJ193" s="3"/>
      <c r="AK193" s="3"/>
      <c r="AL193" s="3"/>
    </row>
    <row r="194" spans="1:38" ht="14.25" customHeight="1">
      <c r="A194" s="3"/>
      <c r="B194" s="3"/>
      <c r="C194" s="3"/>
      <c r="D194" s="3"/>
      <c r="E194" s="265"/>
      <c r="F194" s="265"/>
      <c r="G194" s="265"/>
      <c r="H194" s="265"/>
      <c r="I194" s="265"/>
      <c r="J194" s="260"/>
      <c r="K194" s="3"/>
      <c r="L194" s="265"/>
      <c r="M194" s="265"/>
      <c r="N194" s="265"/>
      <c r="O194" s="265"/>
      <c r="P194" s="265"/>
      <c r="Q194" s="260"/>
      <c r="R194" s="3"/>
      <c r="S194" s="265"/>
      <c r="T194" s="265"/>
      <c r="U194" s="265"/>
      <c r="V194" s="265"/>
      <c r="W194" s="265"/>
      <c r="X194" s="193"/>
      <c r="Y194" s="193"/>
      <c r="Z194" s="193"/>
      <c r="AA194" s="193"/>
      <c r="AB194" s="193"/>
      <c r="AC194" s="193"/>
      <c r="AD194" s="193"/>
      <c r="AE194" s="193"/>
      <c r="AF194" s="3"/>
      <c r="AG194" s="3"/>
      <c r="AH194" s="3"/>
      <c r="AI194" s="3"/>
      <c r="AJ194" s="3"/>
      <c r="AK194" s="3"/>
      <c r="AL194" s="3"/>
    </row>
    <row r="195" spans="1:38" ht="14.25" customHeight="1">
      <c r="A195" s="3"/>
      <c r="B195" s="3"/>
      <c r="C195" s="3"/>
      <c r="D195" s="3"/>
      <c r="E195" s="265"/>
      <c r="F195" s="265"/>
      <c r="G195" s="265"/>
      <c r="H195" s="265"/>
      <c r="I195" s="265"/>
      <c r="J195" s="260"/>
      <c r="K195" s="3"/>
      <c r="L195" s="265"/>
      <c r="M195" s="265"/>
      <c r="N195" s="265"/>
      <c r="O195" s="265"/>
      <c r="P195" s="265"/>
      <c r="Q195" s="260"/>
      <c r="R195" s="3"/>
      <c r="S195" s="265"/>
      <c r="T195" s="265"/>
      <c r="U195" s="265"/>
      <c r="V195" s="265"/>
      <c r="W195" s="265"/>
      <c r="X195" s="193"/>
      <c r="Y195" s="193"/>
      <c r="Z195" s="193"/>
      <c r="AA195" s="193"/>
      <c r="AB195" s="193"/>
      <c r="AC195" s="193"/>
      <c r="AD195" s="193"/>
      <c r="AE195" s="193"/>
      <c r="AF195" s="3"/>
      <c r="AG195" s="3"/>
      <c r="AH195" s="3"/>
      <c r="AI195" s="3"/>
      <c r="AJ195" s="3"/>
      <c r="AK195" s="3"/>
      <c r="AL195" s="3"/>
    </row>
    <row r="196" spans="1:38" ht="14.25" customHeight="1">
      <c r="A196" s="3"/>
      <c r="B196" s="3"/>
      <c r="C196" s="3"/>
      <c r="D196" s="3"/>
      <c r="E196" s="265"/>
      <c r="F196" s="265"/>
      <c r="G196" s="265"/>
      <c r="H196" s="265"/>
      <c r="I196" s="265"/>
      <c r="J196" s="260"/>
      <c r="K196" s="3"/>
      <c r="L196" s="265"/>
      <c r="M196" s="265"/>
      <c r="N196" s="265"/>
      <c r="O196" s="265"/>
      <c r="P196" s="265"/>
      <c r="Q196" s="260"/>
      <c r="R196" s="3"/>
      <c r="S196" s="265"/>
      <c r="T196" s="265"/>
      <c r="U196" s="265"/>
      <c r="V196" s="265"/>
      <c r="W196" s="265"/>
      <c r="X196" s="193"/>
      <c r="Y196" s="193"/>
      <c r="Z196" s="193"/>
      <c r="AA196" s="193"/>
      <c r="AB196" s="193"/>
      <c r="AC196" s="193"/>
      <c r="AD196" s="193"/>
      <c r="AE196" s="193"/>
      <c r="AF196" s="3"/>
      <c r="AG196" s="3"/>
      <c r="AH196" s="3"/>
      <c r="AI196" s="3"/>
      <c r="AJ196" s="3"/>
      <c r="AK196" s="3"/>
      <c r="AL196" s="3"/>
    </row>
    <row r="197" spans="1:38" ht="14.25" customHeight="1">
      <c r="A197" s="3"/>
      <c r="B197" s="3"/>
      <c r="C197" s="3"/>
      <c r="D197" s="3"/>
      <c r="E197" s="265"/>
      <c r="F197" s="265"/>
      <c r="G197" s="265"/>
      <c r="H197" s="265"/>
      <c r="I197" s="265"/>
      <c r="J197" s="260"/>
      <c r="K197" s="3"/>
      <c r="L197" s="265"/>
      <c r="M197" s="265"/>
      <c r="N197" s="265"/>
      <c r="O197" s="265"/>
      <c r="P197" s="265"/>
      <c r="Q197" s="260"/>
      <c r="R197" s="3"/>
      <c r="S197" s="265"/>
      <c r="T197" s="265"/>
      <c r="U197" s="265"/>
      <c r="V197" s="265"/>
      <c r="W197" s="265"/>
      <c r="X197" s="193"/>
      <c r="Y197" s="193"/>
      <c r="Z197" s="193"/>
      <c r="AA197" s="193"/>
      <c r="AB197" s="193"/>
      <c r="AC197" s="193"/>
      <c r="AD197" s="193"/>
      <c r="AE197" s="193"/>
      <c r="AF197" s="3"/>
      <c r="AG197" s="3"/>
      <c r="AH197" s="3"/>
      <c r="AI197" s="3"/>
      <c r="AJ197" s="3"/>
      <c r="AK197" s="3"/>
      <c r="AL197" s="3"/>
    </row>
    <row r="198" spans="1:38" ht="14.25" customHeight="1">
      <c r="A198" s="3"/>
      <c r="B198" s="3"/>
      <c r="C198" s="3"/>
      <c r="D198" s="3"/>
      <c r="E198" s="265"/>
      <c r="F198" s="265"/>
      <c r="G198" s="265"/>
      <c r="H198" s="265"/>
      <c r="I198" s="265"/>
      <c r="J198" s="260"/>
      <c r="K198" s="3"/>
      <c r="L198" s="265"/>
      <c r="M198" s="265"/>
      <c r="N198" s="265"/>
      <c r="O198" s="265"/>
      <c r="P198" s="265"/>
      <c r="Q198" s="260"/>
      <c r="R198" s="3"/>
      <c r="S198" s="265"/>
      <c r="T198" s="265"/>
      <c r="U198" s="265"/>
      <c r="V198" s="265"/>
      <c r="W198" s="265"/>
      <c r="X198" s="193"/>
      <c r="Y198" s="193"/>
      <c r="Z198" s="193"/>
      <c r="AA198" s="193"/>
      <c r="AB198" s="193"/>
      <c r="AC198" s="193"/>
      <c r="AD198" s="193"/>
      <c r="AE198" s="193"/>
      <c r="AF198" s="3"/>
      <c r="AG198" s="3"/>
      <c r="AH198" s="3"/>
      <c r="AI198" s="3"/>
      <c r="AJ198" s="3"/>
      <c r="AK198" s="3"/>
      <c r="AL198" s="3"/>
    </row>
    <row r="199" spans="1:38" ht="14.25" customHeight="1">
      <c r="A199" s="3"/>
      <c r="B199" s="3"/>
      <c r="C199" s="3"/>
      <c r="D199" s="3"/>
      <c r="E199" s="265"/>
      <c r="F199" s="265"/>
      <c r="G199" s="265"/>
      <c r="H199" s="265"/>
      <c r="I199" s="265"/>
      <c r="J199" s="260"/>
      <c r="K199" s="3"/>
      <c r="L199" s="265"/>
      <c r="M199" s="265"/>
      <c r="N199" s="265"/>
      <c r="O199" s="265"/>
      <c r="P199" s="265"/>
      <c r="Q199" s="260"/>
      <c r="R199" s="3"/>
      <c r="S199" s="265"/>
      <c r="T199" s="265"/>
      <c r="U199" s="265"/>
      <c r="V199" s="265"/>
      <c r="W199" s="265"/>
      <c r="X199" s="193"/>
      <c r="Y199" s="193"/>
      <c r="Z199" s="193"/>
      <c r="AA199" s="193"/>
      <c r="AB199" s="193"/>
      <c r="AC199" s="193"/>
      <c r="AD199" s="193"/>
      <c r="AE199" s="193"/>
      <c r="AF199" s="3"/>
      <c r="AG199" s="3"/>
      <c r="AH199" s="3"/>
      <c r="AI199" s="3"/>
      <c r="AJ199" s="3"/>
      <c r="AK199" s="3"/>
      <c r="AL199" s="3"/>
    </row>
    <row r="200" spans="1:38" ht="14.25" customHeight="1">
      <c r="A200" s="3"/>
      <c r="B200" s="3"/>
      <c r="C200" s="3"/>
      <c r="D200" s="3"/>
      <c r="E200" s="265"/>
      <c r="F200" s="265"/>
      <c r="G200" s="265"/>
      <c r="H200" s="265"/>
      <c r="I200" s="265"/>
      <c r="J200" s="260"/>
      <c r="K200" s="3"/>
      <c r="L200" s="265"/>
      <c r="M200" s="265"/>
      <c r="N200" s="265"/>
      <c r="O200" s="265"/>
      <c r="P200" s="265"/>
      <c r="Q200" s="260"/>
      <c r="R200" s="3"/>
      <c r="S200" s="265"/>
      <c r="T200" s="265"/>
      <c r="U200" s="265"/>
      <c r="V200" s="265"/>
      <c r="W200" s="265"/>
      <c r="X200" s="193"/>
      <c r="Y200" s="193"/>
      <c r="Z200" s="193"/>
      <c r="AA200" s="193"/>
      <c r="AB200" s="193"/>
      <c r="AC200" s="193"/>
      <c r="AD200" s="193"/>
      <c r="AE200" s="193"/>
      <c r="AF200" s="3"/>
      <c r="AG200" s="3"/>
      <c r="AH200" s="3"/>
      <c r="AI200" s="3"/>
      <c r="AJ200" s="3"/>
      <c r="AK200" s="3"/>
      <c r="AL200" s="3"/>
    </row>
    <row r="201" spans="1:38" ht="14.25" customHeight="1">
      <c r="A201" s="3"/>
      <c r="B201" s="3"/>
      <c r="C201" s="3"/>
      <c r="D201" s="3"/>
      <c r="E201" s="265"/>
      <c r="F201" s="265"/>
      <c r="G201" s="265"/>
      <c r="H201" s="265"/>
      <c r="I201" s="265"/>
      <c r="J201" s="260"/>
      <c r="K201" s="3"/>
      <c r="L201" s="265"/>
      <c r="M201" s="265"/>
      <c r="N201" s="265"/>
      <c r="O201" s="265"/>
      <c r="P201" s="265"/>
      <c r="Q201" s="260"/>
      <c r="R201" s="3"/>
      <c r="S201" s="265"/>
      <c r="T201" s="265"/>
      <c r="U201" s="265"/>
      <c r="V201" s="265"/>
      <c r="W201" s="265"/>
      <c r="X201" s="193"/>
      <c r="Y201" s="193"/>
      <c r="Z201" s="193"/>
      <c r="AA201" s="193"/>
      <c r="AB201" s="193"/>
      <c r="AC201" s="193"/>
      <c r="AD201" s="193"/>
      <c r="AE201" s="193"/>
      <c r="AF201" s="3"/>
      <c r="AG201" s="3"/>
      <c r="AH201" s="3"/>
      <c r="AI201" s="3"/>
      <c r="AJ201" s="3"/>
      <c r="AK201" s="3"/>
      <c r="AL201" s="3"/>
    </row>
    <row r="202" spans="1:38" ht="14.25" customHeight="1">
      <c r="A202" s="3"/>
      <c r="B202" s="3"/>
      <c r="C202" s="3"/>
      <c r="D202" s="3"/>
      <c r="E202" s="265"/>
      <c r="F202" s="265"/>
      <c r="G202" s="265"/>
      <c r="H202" s="265"/>
      <c r="I202" s="265"/>
      <c r="J202" s="260"/>
      <c r="K202" s="3"/>
      <c r="L202" s="265"/>
      <c r="M202" s="265"/>
      <c r="N202" s="265"/>
      <c r="O202" s="265"/>
      <c r="P202" s="265"/>
      <c r="Q202" s="260"/>
      <c r="R202" s="3"/>
      <c r="S202" s="265"/>
      <c r="T202" s="265"/>
      <c r="U202" s="265"/>
      <c r="V202" s="265"/>
      <c r="W202" s="265"/>
      <c r="X202" s="193"/>
      <c r="Y202" s="193"/>
      <c r="Z202" s="193"/>
      <c r="AA202" s="193"/>
      <c r="AB202" s="193"/>
      <c r="AC202" s="193"/>
      <c r="AD202" s="193"/>
      <c r="AE202" s="193"/>
      <c r="AF202" s="3"/>
      <c r="AG202" s="3"/>
      <c r="AH202" s="3"/>
      <c r="AI202" s="3"/>
      <c r="AJ202" s="3"/>
      <c r="AK202" s="3"/>
      <c r="AL202" s="3"/>
    </row>
    <row r="203" spans="1:38" ht="14.25" customHeight="1">
      <c r="A203" s="3"/>
      <c r="B203" s="3"/>
      <c r="C203" s="3"/>
      <c r="D203" s="3"/>
      <c r="E203" s="265"/>
      <c r="F203" s="265"/>
      <c r="G203" s="265"/>
      <c r="H203" s="265"/>
      <c r="I203" s="265"/>
      <c r="J203" s="260"/>
      <c r="K203" s="3"/>
      <c r="L203" s="265"/>
      <c r="M203" s="265"/>
      <c r="N203" s="265"/>
      <c r="O203" s="265"/>
      <c r="P203" s="265"/>
      <c r="Q203" s="260"/>
      <c r="R203" s="3"/>
      <c r="S203" s="265"/>
      <c r="T203" s="265"/>
      <c r="U203" s="265"/>
      <c r="V203" s="265"/>
      <c r="W203" s="265"/>
      <c r="X203" s="193"/>
      <c r="Y203" s="193"/>
      <c r="Z203" s="193"/>
      <c r="AA203" s="193"/>
      <c r="AB203" s="193"/>
      <c r="AC203" s="193"/>
      <c r="AD203" s="193"/>
      <c r="AE203" s="193"/>
      <c r="AF203" s="3"/>
      <c r="AG203" s="3"/>
      <c r="AH203" s="3"/>
      <c r="AI203" s="3"/>
      <c r="AJ203" s="3"/>
      <c r="AK203" s="3"/>
      <c r="AL203" s="3"/>
    </row>
    <row r="204" spans="1:38" ht="14.25" customHeight="1">
      <c r="A204" s="3"/>
      <c r="B204" s="3"/>
      <c r="C204" s="3"/>
      <c r="D204" s="3"/>
      <c r="E204" s="265"/>
      <c r="F204" s="265"/>
      <c r="G204" s="265"/>
      <c r="H204" s="265"/>
      <c r="I204" s="265"/>
      <c r="J204" s="260"/>
      <c r="K204" s="3"/>
      <c r="L204" s="265"/>
      <c r="M204" s="265"/>
      <c r="N204" s="265"/>
      <c r="O204" s="265"/>
      <c r="P204" s="265"/>
      <c r="Q204" s="260"/>
      <c r="R204" s="3"/>
      <c r="S204" s="265"/>
      <c r="T204" s="265"/>
      <c r="U204" s="265"/>
      <c r="V204" s="265"/>
      <c r="W204" s="265"/>
      <c r="X204" s="193"/>
      <c r="Y204" s="193"/>
      <c r="Z204" s="193"/>
      <c r="AA204" s="193"/>
      <c r="AB204" s="193"/>
      <c r="AC204" s="193"/>
      <c r="AD204" s="193"/>
      <c r="AE204" s="193"/>
      <c r="AF204" s="3"/>
      <c r="AG204" s="3"/>
      <c r="AH204" s="3"/>
      <c r="AI204" s="3"/>
      <c r="AJ204" s="3"/>
      <c r="AK204" s="3"/>
      <c r="AL204" s="3"/>
    </row>
    <row r="205" spans="1:38" ht="14.25" customHeight="1">
      <c r="A205" s="3"/>
      <c r="B205" s="3"/>
      <c r="C205" s="3"/>
      <c r="D205" s="3"/>
      <c r="E205" s="265"/>
      <c r="F205" s="265"/>
      <c r="G205" s="265"/>
      <c r="H205" s="265"/>
      <c r="I205" s="265"/>
      <c r="J205" s="260"/>
      <c r="K205" s="3"/>
      <c r="L205" s="265"/>
      <c r="M205" s="265"/>
      <c r="N205" s="265"/>
      <c r="O205" s="265"/>
      <c r="P205" s="265"/>
      <c r="Q205" s="260"/>
      <c r="R205" s="3"/>
      <c r="S205" s="265"/>
      <c r="T205" s="265"/>
      <c r="U205" s="265"/>
      <c r="V205" s="265"/>
      <c r="W205" s="265"/>
      <c r="X205" s="193"/>
      <c r="Y205" s="193"/>
      <c r="Z205" s="193"/>
      <c r="AA205" s="193"/>
      <c r="AB205" s="193"/>
      <c r="AC205" s="193"/>
      <c r="AD205" s="193"/>
      <c r="AE205" s="193"/>
      <c r="AF205" s="3"/>
      <c r="AG205" s="3"/>
      <c r="AH205" s="3"/>
      <c r="AI205" s="3"/>
      <c r="AJ205" s="3"/>
      <c r="AK205" s="3"/>
      <c r="AL205" s="3"/>
    </row>
    <row r="206" spans="1:38" ht="14.25" customHeight="1">
      <c r="A206" s="3"/>
      <c r="B206" s="3"/>
      <c r="C206" s="3"/>
      <c r="D206" s="3"/>
      <c r="E206" s="265"/>
      <c r="F206" s="265"/>
      <c r="G206" s="265"/>
      <c r="H206" s="265"/>
      <c r="I206" s="265"/>
      <c r="J206" s="260"/>
      <c r="K206" s="3"/>
      <c r="L206" s="265"/>
      <c r="M206" s="265"/>
      <c r="N206" s="265"/>
      <c r="O206" s="265"/>
      <c r="P206" s="265"/>
      <c r="Q206" s="260"/>
      <c r="R206" s="3"/>
      <c r="S206" s="265"/>
      <c r="T206" s="265"/>
      <c r="U206" s="265"/>
      <c r="V206" s="265"/>
      <c r="W206" s="265"/>
      <c r="X206" s="193"/>
      <c r="Y206" s="193"/>
      <c r="Z206" s="193"/>
      <c r="AA206" s="193"/>
      <c r="AB206" s="193"/>
      <c r="AC206" s="193"/>
      <c r="AD206" s="193"/>
      <c r="AE206" s="193"/>
      <c r="AF206" s="3"/>
      <c r="AG206" s="3"/>
      <c r="AH206" s="3"/>
      <c r="AI206" s="3"/>
      <c r="AJ206" s="3"/>
      <c r="AK206" s="3"/>
      <c r="AL206" s="3"/>
    </row>
    <row r="207" spans="1:38" ht="14.25" customHeight="1">
      <c r="A207" s="3"/>
      <c r="B207" s="3"/>
      <c r="C207" s="3"/>
      <c r="D207" s="3"/>
      <c r="E207" s="265"/>
      <c r="F207" s="265"/>
      <c r="G207" s="265"/>
      <c r="H207" s="265"/>
      <c r="I207" s="265"/>
      <c r="J207" s="260"/>
      <c r="K207" s="3"/>
      <c r="L207" s="265"/>
      <c r="M207" s="265"/>
      <c r="N207" s="265"/>
      <c r="O207" s="265"/>
      <c r="P207" s="265"/>
      <c r="Q207" s="260"/>
      <c r="R207" s="3"/>
      <c r="S207" s="265"/>
      <c r="T207" s="265"/>
      <c r="U207" s="265"/>
      <c r="V207" s="265"/>
      <c r="W207" s="265"/>
      <c r="X207" s="193"/>
      <c r="Y207" s="193"/>
      <c r="Z207" s="193"/>
      <c r="AA207" s="193"/>
      <c r="AB207" s="193"/>
      <c r="AC207" s="193"/>
      <c r="AD207" s="193"/>
      <c r="AE207" s="193"/>
      <c r="AF207" s="3"/>
      <c r="AG207" s="3"/>
      <c r="AH207" s="3"/>
      <c r="AI207" s="3"/>
      <c r="AJ207" s="3"/>
      <c r="AK207" s="3"/>
      <c r="AL207" s="3"/>
    </row>
    <row r="208" spans="1:38" ht="14.25" customHeight="1">
      <c r="A208" s="3"/>
      <c r="B208" s="3"/>
      <c r="C208" s="3"/>
      <c r="D208" s="3"/>
      <c r="E208" s="265"/>
      <c r="F208" s="265"/>
      <c r="G208" s="265"/>
      <c r="H208" s="265"/>
      <c r="I208" s="265"/>
      <c r="J208" s="260"/>
      <c r="K208" s="3"/>
      <c r="L208" s="265"/>
      <c r="M208" s="265"/>
      <c r="N208" s="265"/>
      <c r="O208" s="265"/>
      <c r="P208" s="265"/>
      <c r="Q208" s="260"/>
      <c r="R208" s="3"/>
      <c r="S208" s="265"/>
      <c r="T208" s="265"/>
      <c r="U208" s="265"/>
      <c r="V208" s="265"/>
      <c r="W208" s="265"/>
      <c r="X208" s="193"/>
      <c r="Y208" s="193"/>
      <c r="Z208" s="193"/>
      <c r="AA208" s="193"/>
      <c r="AB208" s="193"/>
      <c r="AC208" s="193"/>
      <c r="AD208" s="193"/>
      <c r="AE208" s="193"/>
      <c r="AF208" s="3"/>
      <c r="AG208" s="3"/>
      <c r="AH208" s="3"/>
      <c r="AI208" s="3"/>
      <c r="AJ208" s="3"/>
      <c r="AK208" s="3"/>
      <c r="AL208" s="3"/>
    </row>
    <row r="209" spans="1:38" ht="14.25" customHeight="1">
      <c r="A209" s="3"/>
      <c r="B209" s="3"/>
      <c r="C209" s="3"/>
      <c r="D209" s="3"/>
      <c r="E209" s="265"/>
      <c r="F209" s="265"/>
      <c r="G209" s="265"/>
      <c r="H209" s="265"/>
      <c r="I209" s="265"/>
      <c r="J209" s="260"/>
      <c r="K209" s="3"/>
      <c r="L209" s="265"/>
      <c r="M209" s="265"/>
      <c r="N209" s="265"/>
      <c r="O209" s="265"/>
      <c r="P209" s="265"/>
      <c r="Q209" s="260"/>
      <c r="R209" s="3"/>
      <c r="S209" s="265"/>
      <c r="T209" s="265"/>
      <c r="U209" s="265"/>
      <c r="V209" s="265"/>
      <c r="W209" s="265"/>
      <c r="X209" s="193"/>
      <c r="Y209" s="193"/>
      <c r="Z209" s="193"/>
      <c r="AA209" s="193"/>
      <c r="AB209" s="193"/>
      <c r="AC209" s="193"/>
      <c r="AD209" s="193"/>
      <c r="AE209" s="193"/>
      <c r="AF209" s="3"/>
      <c r="AG209" s="3"/>
      <c r="AH209" s="3"/>
      <c r="AI209" s="3"/>
      <c r="AJ209" s="3"/>
      <c r="AK209" s="3"/>
      <c r="AL209" s="3"/>
    </row>
    <row r="210" spans="1:38" ht="14.25" customHeight="1">
      <c r="A210" s="3"/>
      <c r="B210" s="3"/>
      <c r="C210" s="3"/>
      <c r="D210" s="3"/>
      <c r="E210" s="265"/>
      <c r="F210" s="265"/>
      <c r="G210" s="265"/>
      <c r="H210" s="265"/>
      <c r="I210" s="265"/>
      <c r="J210" s="260"/>
      <c r="K210" s="3"/>
      <c r="L210" s="265"/>
      <c r="M210" s="265"/>
      <c r="N210" s="265"/>
      <c r="O210" s="265"/>
      <c r="P210" s="265"/>
      <c r="Q210" s="260"/>
      <c r="R210" s="3"/>
      <c r="S210" s="265"/>
      <c r="T210" s="265"/>
      <c r="U210" s="265"/>
      <c r="V210" s="265"/>
      <c r="W210" s="265"/>
      <c r="X210" s="193"/>
      <c r="Y210" s="193"/>
      <c r="Z210" s="193"/>
      <c r="AA210" s="193"/>
      <c r="AB210" s="193"/>
      <c r="AC210" s="193"/>
      <c r="AD210" s="193"/>
      <c r="AE210" s="193"/>
      <c r="AF210" s="3"/>
      <c r="AG210" s="3"/>
      <c r="AH210" s="3"/>
      <c r="AI210" s="3"/>
      <c r="AJ210" s="3"/>
      <c r="AK210" s="3"/>
      <c r="AL210" s="3"/>
    </row>
    <row r="211" spans="1:38" ht="14.25" customHeight="1">
      <c r="A211" s="3"/>
      <c r="B211" s="3"/>
      <c r="C211" s="3"/>
      <c r="D211" s="3"/>
      <c r="E211" s="265"/>
      <c r="F211" s="265"/>
      <c r="G211" s="265"/>
      <c r="H211" s="265"/>
      <c r="I211" s="265"/>
      <c r="J211" s="260"/>
      <c r="K211" s="3"/>
      <c r="L211" s="265"/>
      <c r="M211" s="265"/>
      <c r="N211" s="265"/>
      <c r="O211" s="265"/>
      <c r="P211" s="265"/>
      <c r="Q211" s="260"/>
      <c r="R211" s="3"/>
      <c r="S211" s="265"/>
      <c r="T211" s="265"/>
      <c r="U211" s="265"/>
      <c r="V211" s="265"/>
      <c r="W211" s="265"/>
      <c r="X211" s="193"/>
      <c r="Y211" s="193"/>
      <c r="Z211" s="193"/>
      <c r="AA211" s="193"/>
      <c r="AB211" s="193"/>
      <c r="AC211" s="193"/>
      <c r="AD211" s="193"/>
      <c r="AE211" s="193"/>
      <c r="AF211" s="3"/>
      <c r="AG211" s="3"/>
      <c r="AH211" s="3"/>
      <c r="AI211" s="3"/>
      <c r="AJ211" s="3"/>
      <c r="AK211" s="3"/>
      <c r="AL211" s="3"/>
    </row>
    <row r="212" spans="1:38" ht="14.25" customHeight="1">
      <c r="A212" s="3"/>
      <c r="B212" s="3"/>
      <c r="C212" s="3"/>
      <c r="D212" s="3"/>
      <c r="E212" s="265"/>
      <c r="F212" s="265"/>
      <c r="G212" s="265"/>
      <c r="H212" s="265"/>
      <c r="I212" s="265"/>
      <c r="J212" s="260"/>
      <c r="K212" s="3"/>
      <c r="L212" s="265"/>
      <c r="M212" s="265"/>
      <c r="N212" s="265"/>
      <c r="O212" s="265"/>
      <c r="P212" s="265"/>
      <c r="Q212" s="260"/>
      <c r="R212" s="3"/>
      <c r="S212" s="265"/>
      <c r="T212" s="265"/>
      <c r="U212" s="265"/>
      <c r="V212" s="265"/>
      <c r="W212" s="265"/>
      <c r="X212" s="193"/>
      <c r="Y212" s="193"/>
      <c r="Z212" s="193"/>
      <c r="AA212" s="193"/>
      <c r="AB212" s="193"/>
      <c r="AC212" s="193"/>
      <c r="AD212" s="193"/>
      <c r="AE212" s="193"/>
      <c r="AF212" s="3"/>
      <c r="AG212" s="3"/>
      <c r="AH212" s="3"/>
      <c r="AI212" s="3"/>
      <c r="AJ212" s="3"/>
      <c r="AK212" s="3"/>
      <c r="AL212" s="3"/>
    </row>
    <row r="213" spans="1:38" ht="14.25" customHeight="1">
      <c r="A213" s="3"/>
      <c r="B213" s="3"/>
      <c r="C213" s="3"/>
      <c r="D213" s="3"/>
      <c r="E213" s="265"/>
      <c r="F213" s="265"/>
      <c r="G213" s="265"/>
      <c r="H213" s="265"/>
      <c r="I213" s="265"/>
      <c r="J213" s="260"/>
      <c r="K213" s="3"/>
      <c r="L213" s="265"/>
      <c r="M213" s="265"/>
      <c r="N213" s="265"/>
      <c r="O213" s="265"/>
      <c r="P213" s="265"/>
      <c r="Q213" s="260"/>
      <c r="R213" s="3"/>
      <c r="S213" s="265"/>
      <c r="T213" s="265"/>
      <c r="U213" s="265"/>
      <c r="V213" s="265"/>
      <c r="W213" s="265"/>
      <c r="X213" s="193"/>
      <c r="Y213" s="193"/>
      <c r="Z213" s="193"/>
      <c r="AA213" s="193"/>
      <c r="AB213" s="193"/>
      <c r="AC213" s="193"/>
      <c r="AD213" s="193"/>
      <c r="AE213" s="193"/>
      <c r="AF213" s="3"/>
      <c r="AG213" s="3"/>
      <c r="AH213" s="3"/>
      <c r="AI213" s="3"/>
      <c r="AJ213" s="3"/>
      <c r="AK213" s="3"/>
      <c r="AL213" s="3"/>
    </row>
    <row r="214" spans="1:38" ht="14.25" customHeight="1">
      <c r="A214" s="3"/>
      <c r="B214" s="3"/>
      <c r="C214" s="3"/>
      <c r="D214" s="3"/>
      <c r="E214" s="265"/>
      <c r="F214" s="265"/>
      <c r="G214" s="265"/>
      <c r="H214" s="265"/>
      <c r="I214" s="265"/>
      <c r="J214" s="260"/>
      <c r="K214" s="3"/>
      <c r="L214" s="265"/>
      <c r="M214" s="265"/>
      <c r="N214" s="265"/>
      <c r="O214" s="265"/>
      <c r="P214" s="265"/>
      <c r="Q214" s="260"/>
      <c r="R214" s="3"/>
      <c r="S214" s="265"/>
      <c r="T214" s="265"/>
      <c r="U214" s="265"/>
      <c r="V214" s="265"/>
      <c r="W214" s="265"/>
      <c r="X214" s="193"/>
      <c r="Y214" s="193"/>
      <c r="Z214" s="193"/>
      <c r="AA214" s="193"/>
      <c r="AB214" s="193"/>
      <c r="AC214" s="193"/>
      <c r="AD214" s="193"/>
      <c r="AE214" s="193"/>
      <c r="AF214" s="3"/>
      <c r="AG214" s="3"/>
      <c r="AH214" s="3"/>
      <c r="AI214" s="3"/>
      <c r="AJ214" s="3"/>
      <c r="AK214" s="3"/>
      <c r="AL214" s="3"/>
    </row>
    <row r="215" spans="1:38" ht="14.25" customHeight="1">
      <c r="A215" s="3"/>
      <c r="B215" s="3"/>
      <c r="C215" s="3"/>
      <c r="D215" s="3"/>
      <c r="E215" s="265"/>
      <c r="F215" s="265"/>
      <c r="G215" s="265"/>
      <c r="H215" s="265"/>
      <c r="I215" s="265"/>
      <c r="J215" s="260"/>
      <c r="K215" s="3"/>
      <c r="L215" s="265"/>
      <c r="M215" s="265"/>
      <c r="N215" s="265"/>
      <c r="O215" s="265"/>
      <c r="P215" s="265"/>
      <c r="Q215" s="260"/>
      <c r="R215" s="3"/>
      <c r="S215" s="265"/>
      <c r="T215" s="265"/>
      <c r="U215" s="265"/>
      <c r="V215" s="265"/>
      <c r="W215" s="265"/>
      <c r="X215" s="193"/>
      <c r="Y215" s="193"/>
      <c r="Z215" s="193"/>
      <c r="AA215" s="193"/>
      <c r="AB215" s="193"/>
      <c r="AC215" s="193"/>
      <c r="AD215" s="193"/>
      <c r="AE215" s="193"/>
      <c r="AF215" s="3"/>
      <c r="AG215" s="3"/>
      <c r="AH215" s="3"/>
      <c r="AI215" s="3"/>
      <c r="AJ215" s="3"/>
      <c r="AK215" s="3"/>
      <c r="AL215" s="3"/>
    </row>
    <row r="216" spans="1:38" ht="14.25" customHeight="1">
      <c r="A216" s="3"/>
      <c r="B216" s="3"/>
      <c r="C216" s="3"/>
      <c r="D216" s="3"/>
      <c r="E216" s="265"/>
      <c r="F216" s="265"/>
      <c r="G216" s="265"/>
      <c r="H216" s="265"/>
      <c r="I216" s="265"/>
      <c r="J216" s="260"/>
      <c r="K216" s="3"/>
      <c r="L216" s="265"/>
      <c r="M216" s="265"/>
      <c r="N216" s="265"/>
      <c r="O216" s="265"/>
      <c r="P216" s="265"/>
      <c r="Q216" s="260"/>
      <c r="R216" s="3"/>
      <c r="S216" s="265"/>
      <c r="T216" s="265"/>
      <c r="U216" s="265"/>
      <c r="V216" s="265"/>
      <c r="W216" s="265"/>
      <c r="X216" s="193"/>
      <c r="Y216" s="193"/>
      <c r="Z216" s="193"/>
      <c r="AA216" s="193"/>
      <c r="AB216" s="193"/>
      <c r="AC216" s="193"/>
      <c r="AD216" s="193"/>
      <c r="AE216" s="193"/>
      <c r="AF216" s="3"/>
      <c r="AG216" s="3"/>
      <c r="AH216" s="3"/>
      <c r="AI216" s="3"/>
      <c r="AJ216" s="3"/>
      <c r="AK216" s="3"/>
      <c r="AL216" s="3"/>
    </row>
    <row r="217" spans="1:38" ht="14.25" customHeight="1">
      <c r="A217" s="3"/>
      <c r="B217" s="3"/>
      <c r="C217" s="3"/>
      <c r="D217" s="3"/>
      <c r="E217" s="265"/>
      <c r="F217" s="265"/>
      <c r="G217" s="265"/>
      <c r="H217" s="265"/>
      <c r="I217" s="265"/>
      <c r="J217" s="260"/>
      <c r="K217" s="3"/>
      <c r="L217" s="265"/>
      <c r="M217" s="265"/>
      <c r="N217" s="265"/>
      <c r="O217" s="265"/>
      <c r="P217" s="265"/>
      <c r="Q217" s="260"/>
      <c r="R217" s="3"/>
      <c r="S217" s="265"/>
      <c r="T217" s="265"/>
      <c r="U217" s="265"/>
      <c r="V217" s="265"/>
      <c r="W217" s="265"/>
      <c r="X217" s="193"/>
      <c r="Y217" s="193"/>
      <c r="Z217" s="193"/>
      <c r="AA217" s="193"/>
      <c r="AB217" s="193"/>
      <c r="AC217" s="193"/>
      <c r="AD217" s="193"/>
      <c r="AE217" s="193"/>
      <c r="AF217" s="3"/>
      <c r="AG217" s="3"/>
      <c r="AH217" s="3"/>
      <c r="AI217" s="3"/>
      <c r="AJ217" s="3"/>
      <c r="AK217" s="3"/>
      <c r="AL217" s="3"/>
    </row>
    <row r="218" spans="1:38" ht="14.25" customHeight="1">
      <c r="A218" s="3"/>
      <c r="B218" s="3"/>
      <c r="C218" s="3"/>
      <c r="D218" s="3"/>
      <c r="E218" s="265"/>
      <c r="F218" s="265"/>
      <c r="G218" s="265"/>
      <c r="H218" s="265"/>
      <c r="I218" s="265"/>
      <c r="J218" s="260"/>
      <c r="K218" s="3"/>
      <c r="L218" s="265"/>
      <c r="M218" s="265"/>
      <c r="N218" s="265"/>
      <c r="O218" s="265"/>
      <c r="P218" s="265"/>
      <c r="Q218" s="260"/>
      <c r="R218" s="3"/>
      <c r="S218" s="265"/>
      <c r="T218" s="265"/>
      <c r="U218" s="265"/>
      <c r="V218" s="265"/>
      <c r="W218" s="265"/>
      <c r="X218" s="193"/>
      <c r="Y218" s="193"/>
      <c r="Z218" s="193"/>
      <c r="AA218" s="193"/>
      <c r="AB218" s="193"/>
      <c r="AC218" s="193"/>
      <c r="AD218" s="193"/>
      <c r="AE218" s="193"/>
      <c r="AF218" s="3"/>
      <c r="AG218" s="3"/>
      <c r="AH218" s="3"/>
      <c r="AI218" s="3"/>
      <c r="AJ218" s="3"/>
      <c r="AK218" s="3"/>
      <c r="AL218" s="3"/>
    </row>
    <row r="219" spans="1:38" ht="14.25" customHeight="1">
      <c r="A219" s="3"/>
      <c r="B219" s="3"/>
      <c r="C219" s="3"/>
      <c r="D219" s="3"/>
      <c r="E219" s="265"/>
      <c r="F219" s="265"/>
      <c r="G219" s="265"/>
      <c r="H219" s="265"/>
      <c r="I219" s="265"/>
      <c r="J219" s="260"/>
      <c r="K219" s="3"/>
      <c r="L219" s="265"/>
      <c r="M219" s="265"/>
      <c r="N219" s="265"/>
      <c r="O219" s="265"/>
      <c r="P219" s="265"/>
      <c r="Q219" s="260"/>
      <c r="R219" s="3"/>
      <c r="S219" s="265"/>
      <c r="T219" s="265"/>
      <c r="U219" s="265"/>
      <c r="V219" s="265"/>
      <c r="W219" s="265"/>
      <c r="X219" s="193"/>
      <c r="Y219" s="193"/>
      <c r="Z219" s="193"/>
      <c r="AA219" s="193"/>
      <c r="AB219" s="193"/>
      <c r="AC219" s="193"/>
      <c r="AD219" s="193"/>
      <c r="AE219" s="193"/>
      <c r="AF219" s="3"/>
      <c r="AG219" s="3"/>
      <c r="AH219" s="3"/>
      <c r="AI219" s="3"/>
      <c r="AJ219" s="3"/>
      <c r="AK219" s="3"/>
      <c r="AL219" s="3"/>
    </row>
    <row r="220" spans="1:38" ht="14.25" customHeight="1">
      <c r="A220" s="3"/>
      <c r="B220" s="3"/>
      <c r="C220" s="3"/>
      <c r="D220" s="3"/>
      <c r="E220" s="265"/>
      <c r="F220" s="265"/>
      <c r="G220" s="265"/>
      <c r="H220" s="265"/>
      <c r="I220" s="265"/>
      <c r="J220" s="260"/>
      <c r="K220" s="3"/>
      <c r="L220" s="265"/>
      <c r="M220" s="265"/>
      <c r="N220" s="265"/>
      <c r="O220" s="265"/>
      <c r="P220" s="265"/>
      <c r="Q220" s="260"/>
      <c r="R220" s="3"/>
      <c r="S220" s="265"/>
      <c r="T220" s="265"/>
      <c r="U220" s="265"/>
      <c r="V220" s="265"/>
      <c r="W220" s="265"/>
      <c r="X220" s="193"/>
      <c r="Y220" s="193"/>
      <c r="Z220" s="193"/>
      <c r="AA220" s="193"/>
      <c r="AB220" s="193"/>
      <c r="AC220" s="193"/>
      <c r="AD220" s="193"/>
      <c r="AE220" s="193"/>
      <c r="AF220" s="3"/>
      <c r="AG220" s="3"/>
      <c r="AH220" s="3"/>
      <c r="AI220" s="3"/>
      <c r="AJ220" s="3"/>
      <c r="AK220" s="3"/>
      <c r="AL220" s="3"/>
    </row>
    <row r="221" spans="1:38" ht="14.25" customHeight="1">
      <c r="A221" s="3"/>
      <c r="B221" s="3"/>
      <c r="C221" s="3"/>
      <c r="D221" s="3"/>
      <c r="E221" s="265"/>
      <c r="F221" s="265"/>
      <c r="G221" s="265"/>
      <c r="H221" s="265"/>
      <c r="I221" s="265"/>
      <c r="J221" s="260"/>
      <c r="K221" s="3"/>
      <c r="L221" s="265"/>
      <c r="M221" s="265"/>
      <c r="N221" s="265"/>
      <c r="O221" s="265"/>
      <c r="P221" s="265"/>
      <c r="Q221" s="260"/>
      <c r="R221" s="3"/>
      <c r="S221" s="265"/>
      <c r="T221" s="265"/>
      <c r="U221" s="265"/>
      <c r="V221" s="265"/>
      <c r="W221" s="265"/>
      <c r="X221" s="193"/>
      <c r="Y221" s="193"/>
      <c r="Z221" s="193"/>
      <c r="AA221" s="193"/>
      <c r="AB221" s="193"/>
      <c r="AC221" s="193"/>
      <c r="AD221" s="193"/>
      <c r="AE221" s="193"/>
      <c r="AF221" s="3"/>
      <c r="AG221" s="3"/>
      <c r="AH221" s="3"/>
      <c r="AI221" s="3"/>
      <c r="AJ221" s="3"/>
      <c r="AK221" s="3"/>
      <c r="AL221" s="3"/>
    </row>
    <row r="222" spans="1:38" ht="14.25" customHeight="1">
      <c r="A222" s="3"/>
      <c r="B222" s="3"/>
      <c r="C222" s="3"/>
      <c r="D222" s="3"/>
      <c r="E222" s="265"/>
      <c r="F222" s="265"/>
      <c r="G222" s="265"/>
      <c r="H222" s="265"/>
      <c r="I222" s="265"/>
      <c r="J222" s="260"/>
      <c r="K222" s="3"/>
      <c r="L222" s="265"/>
      <c r="M222" s="265"/>
      <c r="N222" s="265"/>
      <c r="O222" s="265"/>
      <c r="P222" s="265"/>
      <c r="Q222" s="260"/>
      <c r="R222" s="3"/>
      <c r="S222" s="265"/>
      <c r="T222" s="265"/>
      <c r="U222" s="265"/>
      <c r="V222" s="265"/>
      <c r="W222" s="265"/>
      <c r="X222" s="193"/>
      <c r="Y222" s="193"/>
      <c r="Z222" s="193"/>
      <c r="AA222" s="193"/>
      <c r="AB222" s="193"/>
      <c r="AC222" s="193"/>
      <c r="AD222" s="193"/>
      <c r="AE222" s="193"/>
      <c r="AF222" s="3"/>
      <c r="AG222" s="3"/>
      <c r="AH222" s="3"/>
      <c r="AI222" s="3"/>
      <c r="AJ222" s="3"/>
      <c r="AK222" s="3"/>
      <c r="AL222" s="3"/>
    </row>
    <row r="223" spans="1:38" ht="14.25" customHeight="1">
      <c r="A223" s="3"/>
      <c r="B223" s="3"/>
      <c r="C223" s="3"/>
      <c r="D223" s="3"/>
      <c r="E223" s="265"/>
      <c r="F223" s="265"/>
      <c r="G223" s="265"/>
      <c r="H223" s="265"/>
      <c r="I223" s="265"/>
      <c r="J223" s="260"/>
      <c r="K223" s="3"/>
      <c r="L223" s="265"/>
      <c r="M223" s="265"/>
      <c r="N223" s="265"/>
      <c r="O223" s="265"/>
      <c r="P223" s="265"/>
      <c r="Q223" s="260"/>
      <c r="R223" s="3"/>
      <c r="S223" s="265"/>
      <c r="T223" s="265"/>
      <c r="U223" s="265"/>
      <c r="V223" s="265"/>
      <c r="W223" s="265"/>
      <c r="X223" s="193"/>
      <c r="Y223" s="193"/>
      <c r="Z223" s="193"/>
      <c r="AA223" s="193"/>
      <c r="AB223" s="193"/>
      <c r="AC223" s="193"/>
      <c r="AD223" s="193"/>
      <c r="AE223" s="193"/>
      <c r="AF223" s="3"/>
      <c r="AG223" s="3"/>
      <c r="AH223" s="3"/>
      <c r="AI223" s="3"/>
      <c r="AJ223" s="3"/>
      <c r="AK223" s="3"/>
      <c r="AL223" s="3"/>
    </row>
    <row r="224" spans="1:38" ht="14.25" customHeight="1">
      <c r="A224" s="3"/>
      <c r="B224" s="3"/>
      <c r="C224" s="3"/>
      <c r="D224" s="3"/>
      <c r="E224" s="265"/>
      <c r="F224" s="265"/>
      <c r="G224" s="265"/>
      <c r="H224" s="265"/>
      <c r="I224" s="265"/>
      <c r="J224" s="260"/>
      <c r="K224" s="3"/>
      <c r="L224" s="265"/>
      <c r="M224" s="265"/>
      <c r="N224" s="265"/>
      <c r="O224" s="265"/>
      <c r="P224" s="265"/>
      <c r="Q224" s="260"/>
      <c r="R224" s="3"/>
      <c r="S224" s="265"/>
      <c r="T224" s="265"/>
      <c r="U224" s="265"/>
      <c r="V224" s="265"/>
      <c r="W224" s="265"/>
      <c r="X224" s="193"/>
      <c r="Y224" s="193"/>
      <c r="Z224" s="193"/>
      <c r="AA224" s="193"/>
      <c r="AB224" s="193"/>
      <c r="AC224" s="193"/>
      <c r="AD224" s="193"/>
      <c r="AE224" s="193"/>
      <c r="AF224" s="3"/>
      <c r="AG224" s="3"/>
      <c r="AH224" s="3"/>
      <c r="AI224" s="3"/>
      <c r="AJ224" s="3"/>
      <c r="AK224" s="3"/>
      <c r="AL224" s="3"/>
    </row>
    <row r="225" spans="1:38" ht="14.25" customHeight="1">
      <c r="A225" s="3"/>
      <c r="B225" s="3"/>
      <c r="C225" s="3"/>
      <c r="D225" s="3"/>
      <c r="E225" s="265"/>
      <c r="F225" s="265"/>
      <c r="G225" s="265"/>
      <c r="H225" s="265"/>
      <c r="I225" s="265"/>
      <c r="J225" s="260"/>
      <c r="K225" s="3"/>
      <c r="L225" s="265"/>
      <c r="M225" s="265"/>
      <c r="N225" s="265"/>
      <c r="O225" s="265"/>
      <c r="P225" s="265"/>
      <c r="Q225" s="260"/>
      <c r="R225" s="3"/>
      <c r="S225" s="265"/>
      <c r="T225" s="265"/>
      <c r="U225" s="265"/>
      <c r="V225" s="265"/>
      <c r="W225" s="265"/>
      <c r="X225" s="193"/>
      <c r="Y225" s="193"/>
      <c r="Z225" s="193"/>
      <c r="AA225" s="193"/>
      <c r="AB225" s="193"/>
      <c r="AC225" s="193"/>
      <c r="AD225" s="193"/>
      <c r="AE225" s="193"/>
      <c r="AF225" s="3"/>
      <c r="AG225" s="3"/>
      <c r="AH225" s="3"/>
      <c r="AI225" s="3"/>
      <c r="AJ225" s="3"/>
      <c r="AK225" s="3"/>
      <c r="AL225" s="3"/>
    </row>
    <row r="226" spans="1:38" ht="14.25" customHeight="1">
      <c r="A226" s="3"/>
      <c r="B226" s="3"/>
      <c r="C226" s="3"/>
      <c r="D226" s="3"/>
      <c r="E226" s="265"/>
      <c r="F226" s="265"/>
      <c r="G226" s="265"/>
      <c r="H226" s="265"/>
      <c r="I226" s="265"/>
      <c r="J226" s="260"/>
      <c r="K226" s="3"/>
      <c r="L226" s="265"/>
      <c r="M226" s="265"/>
      <c r="N226" s="265"/>
      <c r="O226" s="265"/>
      <c r="P226" s="265"/>
      <c r="Q226" s="260"/>
      <c r="R226" s="3"/>
      <c r="S226" s="265"/>
      <c r="T226" s="265"/>
      <c r="U226" s="265"/>
      <c r="V226" s="265"/>
      <c r="W226" s="265"/>
      <c r="X226" s="193"/>
      <c r="Y226" s="193"/>
      <c r="Z226" s="193"/>
      <c r="AA226" s="193"/>
      <c r="AB226" s="193"/>
      <c r="AC226" s="193"/>
      <c r="AD226" s="193"/>
      <c r="AE226" s="193"/>
      <c r="AF226" s="3"/>
      <c r="AG226" s="3"/>
      <c r="AH226" s="3"/>
      <c r="AI226" s="3"/>
      <c r="AJ226" s="3"/>
      <c r="AK226" s="3"/>
      <c r="AL226" s="3"/>
    </row>
    <row r="227" spans="1:38" ht="14.25" customHeight="1">
      <c r="A227" s="3"/>
      <c r="B227" s="3"/>
      <c r="C227" s="3"/>
      <c r="D227" s="3"/>
      <c r="E227" s="265"/>
      <c r="F227" s="265"/>
      <c r="G227" s="265"/>
      <c r="H227" s="265"/>
      <c r="I227" s="265"/>
      <c r="J227" s="260"/>
      <c r="K227" s="3"/>
      <c r="L227" s="265"/>
      <c r="M227" s="265"/>
      <c r="N227" s="265"/>
      <c r="O227" s="265"/>
      <c r="P227" s="265"/>
      <c r="Q227" s="260"/>
      <c r="R227" s="3"/>
      <c r="S227" s="265"/>
      <c r="T227" s="265"/>
      <c r="U227" s="265"/>
      <c r="V227" s="265"/>
      <c r="W227" s="265"/>
      <c r="X227" s="193"/>
      <c r="Y227" s="193"/>
      <c r="Z227" s="193"/>
      <c r="AA227" s="193"/>
      <c r="AB227" s="193"/>
      <c r="AC227" s="193"/>
      <c r="AD227" s="193"/>
      <c r="AE227" s="193"/>
      <c r="AF227" s="3"/>
      <c r="AG227" s="3"/>
      <c r="AH227" s="3"/>
      <c r="AI227" s="3"/>
      <c r="AJ227" s="3"/>
      <c r="AK227" s="3"/>
      <c r="AL227" s="3"/>
    </row>
    <row r="228" spans="1:38" ht="14.25" customHeight="1">
      <c r="A228" s="3"/>
      <c r="B228" s="3"/>
      <c r="C228" s="3"/>
      <c r="D228" s="3"/>
      <c r="E228" s="265"/>
      <c r="F228" s="265"/>
      <c r="G228" s="265"/>
      <c r="H228" s="265"/>
      <c r="I228" s="265"/>
      <c r="J228" s="260"/>
      <c r="K228" s="3"/>
      <c r="L228" s="265"/>
      <c r="M228" s="265"/>
      <c r="N228" s="265"/>
      <c r="O228" s="265"/>
      <c r="P228" s="265"/>
      <c r="Q228" s="260"/>
      <c r="R228" s="3"/>
      <c r="S228" s="265"/>
      <c r="T228" s="265"/>
      <c r="U228" s="265"/>
      <c r="V228" s="265"/>
      <c r="W228" s="265"/>
      <c r="X228" s="193"/>
      <c r="Y228" s="193"/>
      <c r="Z228" s="193"/>
      <c r="AA228" s="193"/>
      <c r="AB228" s="193"/>
      <c r="AC228" s="193"/>
      <c r="AD228" s="193"/>
      <c r="AE228" s="193"/>
      <c r="AF228" s="3"/>
      <c r="AG228" s="3"/>
      <c r="AH228" s="3"/>
      <c r="AI228" s="3"/>
      <c r="AJ228" s="3"/>
      <c r="AK228" s="3"/>
      <c r="AL228" s="3"/>
    </row>
    <row r="229" spans="1:38" ht="14.25" customHeight="1">
      <c r="A229" s="3"/>
      <c r="B229" s="3"/>
      <c r="C229" s="3"/>
      <c r="D229" s="3"/>
      <c r="E229" s="265"/>
      <c r="F229" s="265"/>
      <c r="G229" s="265"/>
      <c r="H229" s="265"/>
      <c r="I229" s="265"/>
      <c r="J229" s="260"/>
      <c r="K229" s="3"/>
      <c r="L229" s="265"/>
      <c r="M229" s="265"/>
      <c r="N229" s="265"/>
      <c r="O229" s="265"/>
      <c r="P229" s="265"/>
      <c r="Q229" s="260"/>
      <c r="R229" s="3"/>
      <c r="S229" s="265"/>
      <c r="T229" s="265"/>
      <c r="U229" s="265"/>
      <c r="V229" s="265"/>
      <c r="W229" s="265"/>
      <c r="X229" s="193"/>
      <c r="Y229" s="193"/>
      <c r="Z229" s="193"/>
      <c r="AA229" s="193"/>
      <c r="AB229" s="193"/>
      <c r="AC229" s="193"/>
      <c r="AD229" s="193"/>
      <c r="AE229" s="193"/>
      <c r="AF229" s="3"/>
      <c r="AG229" s="3"/>
      <c r="AH229" s="3"/>
      <c r="AI229" s="3"/>
      <c r="AJ229" s="3"/>
      <c r="AK229" s="3"/>
      <c r="AL229" s="3"/>
    </row>
    <row r="230" spans="1:38" ht="14.25" customHeight="1">
      <c r="A230" s="3"/>
      <c r="B230" s="3"/>
      <c r="C230" s="3"/>
      <c r="D230" s="3"/>
      <c r="E230" s="265"/>
      <c r="F230" s="265"/>
      <c r="G230" s="265"/>
      <c r="H230" s="265"/>
      <c r="I230" s="265"/>
      <c r="J230" s="260"/>
      <c r="K230" s="3"/>
      <c r="L230" s="265"/>
      <c r="M230" s="265"/>
      <c r="N230" s="265"/>
      <c r="O230" s="265"/>
      <c r="P230" s="265"/>
      <c r="Q230" s="260"/>
      <c r="R230" s="3"/>
      <c r="S230" s="265"/>
      <c r="T230" s="265"/>
      <c r="U230" s="265"/>
      <c r="V230" s="265"/>
      <c r="W230" s="265"/>
      <c r="X230" s="193"/>
      <c r="Y230" s="193"/>
      <c r="Z230" s="193"/>
      <c r="AA230" s="193"/>
      <c r="AB230" s="193"/>
      <c r="AC230" s="193"/>
      <c r="AD230" s="193"/>
      <c r="AE230" s="193"/>
      <c r="AF230" s="3"/>
      <c r="AG230" s="3"/>
      <c r="AH230" s="3"/>
      <c r="AI230" s="3"/>
      <c r="AJ230" s="3"/>
      <c r="AK230" s="3"/>
      <c r="AL230" s="3"/>
    </row>
    <row r="231" spans="1:38" ht="14.25" customHeight="1">
      <c r="A231" s="3"/>
      <c r="B231" s="3"/>
      <c r="C231" s="3"/>
      <c r="D231" s="3"/>
      <c r="E231" s="265"/>
      <c r="F231" s="265"/>
      <c r="G231" s="265"/>
      <c r="H231" s="265"/>
      <c r="I231" s="265"/>
      <c r="J231" s="260"/>
      <c r="K231" s="3"/>
      <c r="L231" s="265"/>
      <c r="M231" s="265"/>
      <c r="N231" s="265"/>
      <c r="O231" s="265"/>
      <c r="P231" s="265"/>
      <c r="Q231" s="260"/>
      <c r="R231" s="3"/>
      <c r="S231" s="265"/>
      <c r="T231" s="265"/>
      <c r="U231" s="265"/>
      <c r="V231" s="265"/>
      <c r="W231" s="265"/>
      <c r="X231" s="193"/>
      <c r="Y231" s="193"/>
      <c r="Z231" s="193"/>
      <c r="AA231" s="193"/>
      <c r="AB231" s="193"/>
      <c r="AC231" s="193"/>
      <c r="AD231" s="193"/>
      <c r="AE231" s="193"/>
      <c r="AF231" s="3"/>
      <c r="AG231" s="3"/>
      <c r="AH231" s="3"/>
      <c r="AI231" s="3"/>
      <c r="AJ231" s="3"/>
      <c r="AK231" s="3"/>
      <c r="AL231" s="3"/>
    </row>
    <row r="232" spans="1:38" ht="14.25" customHeight="1">
      <c r="A232" s="3"/>
      <c r="B232" s="3"/>
      <c r="C232" s="3"/>
      <c r="D232" s="3"/>
      <c r="E232" s="265"/>
      <c r="F232" s="265"/>
      <c r="G232" s="265"/>
      <c r="H232" s="265"/>
      <c r="I232" s="265"/>
      <c r="J232" s="260"/>
      <c r="K232" s="3"/>
      <c r="L232" s="265"/>
      <c r="M232" s="265"/>
      <c r="N232" s="265"/>
      <c r="O232" s="265"/>
      <c r="P232" s="265"/>
      <c r="Q232" s="260"/>
      <c r="R232" s="3"/>
      <c r="S232" s="265"/>
      <c r="T232" s="265"/>
      <c r="U232" s="265"/>
      <c r="V232" s="265"/>
      <c r="W232" s="265"/>
      <c r="X232" s="193"/>
      <c r="Y232" s="193"/>
      <c r="Z232" s="193"/>
      <c r="AA232" s="193"/>
      <c r="AB232" s="193"/>
      <c r="AC232" s="193"/>
      <c r="AD232" s="193"/>
      <c r="AE232" s="193"/>
      <c r="AF232" s="3"/>
      <c r="AG232" s="3"/>
      <c r="AH232" s="3"/>
      <c r="AI232" s="3"/>
      <c r="AJ232" s="3"/>
      <c r="AK232" s="3"/>
      <c r="AL232" s="3"/>
    </row>
    <row r="233" spans="1:38" ht="14.25" customHeight="1">
      <c r="A233" s="3"/>
      <c r="B233" s="3"/>
      <c r="C233" s="3"/>
      <c r="D233" s="3"/>
      <c r="E233" s="265"/>
      <c r="F233" s="265"/>
      <c r="G233" s="265"/>
      <c r="H233" s="265"/>
      <c r="I233" s="265"/>
      <c r="J233" s="260"/>
      <c r="K233" s="3"/>
      <c r="L233" s="265"/>
      <c r="M233" s="265"/>
      <c r="N233" s="265"/>
      <c r="O233" s="265"/>
      <c r="P233" s="265"/>
      <c r="Q233" s="260"/>
      <c r="R233" s="3"/>
      <c r="S233" s="265"/>
      <c r="T233" s="265"/>
      <c r="U233" s="265"/>
      <c r="V233" s="265"/>
      <c r="W233" s="265"/>
      <c r="X233" s="193"/>
      <c r="Y233" s="193"/>
      <c r="Z233" s="193"/>
      <c r="AA233" s="193"/>
      <c r="AB233" s="193"/>
      <c r="AC233" s="193"/>
      <c r="AD233" s="193"/>
      <c r="AE233" s="193"/>
      <c r="AF233" s="3"/>
      <c r="AG233" s="3"/>
      <c r="AH233" s="3"/>
      <c r="AI233" s="3"/>
      <c r="AJ233" s="3"/>
      <c r="AK233" s="3"/>
      <c r="AL233" s="3"/>
    </row>
    <row r="234" spans="1:38" ht="14.25" customHeight="1">
      <c r="A234" s="3"/>
      <c r="B234" s="3"/>
      <c r="C234" s="3"/>
      <c r="D234" s="3"/>
      <c r="E234" s="265"/>
      <c r="F234" s="265"/>
      <c r="G234" s="265"/>
      <c r="H234" s="265"/>
      <c r="I234" s="265"/>
      <c r="J234" s="260"/>
      <c r="K234" s="3"/>
      <c r="L234" s="265"/>
      <c r="M234" s="265"/>
      <c r="N234" s="265"/>
      <c r="O234" s="265"/>
      <c r="P234" s="265"/>
      <c r="Q234" s="260"/>
      <c r="R234" s="3"/>
      <c r="S234" s="265"/>
      <c r="T234" s="265"/>
      <c r="U234" s="265"/>
      <c r="V234" s="265"/>
      <c r="W234" s="265"/>
      <c r="X234" s="193"/>
      <c r="Y234" s="193"/>
      <c r="Z234" s="193"/>
      <c r="AA234" s="193"/>
      <c r="AB234" s="193"/>
      <c r="AC234" s="193"/>
      <c r="AD234" s="193"/>
      <c r="AE234" s="193"/>
      <c r="AF234" s="3"/>
      <c r="AG234" s="3"/>
      <c r="AH234" s="3"/>
      <c r="AI234" s="3"/>
      <c r="AJ234" s="3"/>
      <c r="AK234" s="3"/>
      <c r="AL234" s="3"/>
    </row>
    <row r="235" spans="1:38" ht="14.25" customHeight="1">
      <c r="A235" s="3"/>
      <c r="B235" s="3"/>
      <c r="C235" s="3"/>
      <c r="D235" s="3"/>
      <c r="E235" s="265"/>
      <c r="F235" s="265"/>
      <c r="G235" s="265"/>
      <c r="H235" s="265"/>
      <c r="I235" s="265"/>
      <c r="J235" s="260"/>
      <c r="K235" s="3"/>
      <c r="L235" s="265"/>
      <c r="M235" s="265"/>
      <c r="N235" s="265"/>
      <c r="O235" s="265"/>
      <c r="P235" s="265"/>
      <c r="Q235" s="260"/>
      <c r="R235" s="3"/>
      <c r="S235" s="265"/>
      <c r="T235" s="265"/>
      <c r="U235" s="265"/>
      <c r="V235" s="265"/>
      <c r="W235" s="265"/>
      <c r="X235" s="193"/>
      <c r="Y235" s="193"/>
      <c r="Z235" s="193"/>
      <c r="AA235" s="193"/>
      <c r="AB235" s="193"/>
      <c r="AC235" s="193"/>
      <c r="AD235" s="193"/>
      <c r="AE235" s="193"/>
      <c r="AF235" s="3"/>
      <c r="AG235" s="3"/>
      <c r="AH235" s="3"/>
      <c r="AI235" s="3"/>
      <c r="AJ235" s="3"/>
      <c r="AK235" s="3"/>
      <c r="AL235" s="3"/>
    </row>
    <row r="236" spans="1:38" ht="14.25" customHeight="1">
      <c r="A236" s="3"/>
      <c r="B236" s="3"/>
      <c r="C236" s="3"/>
      <c r="D236" s="3"/>
      <c r="E236" s="265"/>
      <c r="F236" s="265"/>
      <c r="G236" s="265"/>
      <c r="H236" s="265"/>
      <c r="I236" s="265"/>
      <c r="J236" s="260"/>
      <c r="K236" s="3"/>
      <c r="L236" s="265"/>
      <c r="M236" s="265"/>
      <c r="N236" s="265"/>
      <c r="O236" s="265"/>
      <c r="P236" s="265"/>
      <c r="Q236" s="260"/>
      <c r="R236" s="3"/>
      <c r="S236" s="265"/>
      <c r="T236" s="265"/>
      <c r="U236" s="265"/>
      <c r="V236" s="265"/>
      <c r="W236" s="265"/>
      <c r="X236" s="193"/>
      <c r="Y236" s="193"/>
      <c r="Z236" s="193"/>
      <c r="AA236" s="193"/>
      <c r="AB236" s="193"/>
      <c r="AC236" s="193"/>
      <c r="AD236" s="193"/>
      <c r="AE236" s="193"/>
      <c r="AF236" s="3"/>
      <c r="AG236" s="3"/>
      <c r="AH236" s="3"/>
      <c r="AI236" s="3"/>
      <c r="AJ236" s="3"/>
      <c r="AK236" s="3"/>
      <c r="AL236" s="3"/>
    </row>
    <row r="237" spans="1:38" ht="14.25" customHeight="1">
      <c r="A237" s="3"/>
      <c r="B237" s="3"/>
      <c r="C237" s="3"/>
      <c r="D237" s="3"/>
      <c r="E237" s="265"/>
      <c r="F237" s="265"/>
      <c r="G237" s="265"/>
      <c r="H237" s="265"/>
      <c r="I237" s="265"/>
      <c r="J237" s="260"/>
      <c r="K237" s="3"/>
      <c r="L237" s="265"/>
      <c r="M237" s="265"/>
      <c r="N237" s="265"/>
      <c r="O237" s="265"/>
      <c r="P237" s="265"/>
      <c r="Q237" s="260"/>
      <c r="R237" s="3"/>
      <c r="S237" s="265"/>
      <c r="T237" s="265"/>
      <c r="U237" s="265"/>
      <c r="V237" s="265"/>
      <c r="W237" s="265"/>
      <c r="X237" s="193"/>
      <c r="Y237" s="193"/>
      <c r="Z237" s="193"/>
      <c r="AA237" s="193"/>
      <c r="AB237" s="193"/>
      <c r="AC237" s="193"/>
      <c r="AD237" s="193"/>
      <c r="AE237" s="193"/>
      <c r="AF237" s="3"/>
      <c r="AG237" s="3"/>
      <c r="AH237" s="3"/>
      <c r="AI237" s="3"/>
      <c r="AJ237" s="3"/>
      <c r="AK237" s="3"/>
      <c r="AL237" s="3"/>
    </row>
    <row r="238" spans="1:38" ht="14.25" customHeight="1">
      <c r="A238" s="3"/>
      <c r="B238" s="3"/>
      <c r="C238" s="3"/>
      <c r="D238" s="3"/>
      <c r="E238" s="265"/>
      <c r="F238" s="265"/>
      <c r="G238" s="265"/>
      <c r="H238" s="265"/>
      <c r="I238" s="265"/>
      <c r="J238" s="260"/>
      <c r="K238" s="3"/>
      <c r="L238" s="265"/>
      <c r="M238" s="265"/>
      <c r="N238" s="265"/>
      <c r="O238" s="265"/>
      <c r="P238" s="265"/>
      <c r="Q238" s="260"/>
      <c r="R238" s="3"/>
      <c r="S238" s="265"/>
      <c r="T238" s="265"/>
      <c r="U238" s="265"/>
      <c r="V238" s="265"/>
      <c r="W238" s="265"/>
      <c r="X238" s="193"/>
      <c r="Y238" s="193"/>
      <c r="Z238" s="193"/>
      <c r="AA238" s="193"/>
      <c r="AB238" s="193"/>
      <c r="AC238" s="193"/>
      <c r="AD238" s="193"/>
      <c r="AE238" s="193"/>
      <c r="AF238" s="3"/>
      <c r="AG238" s="3"/>
      <c r="AH238" s="3"/>
      <c r="AI238" s="3"/>
      <c r="AJ238" s="3"/>
      <c r="AK238" s="3"/>
      <c r="AL238" s="3"/>
    </row>
    <row r="239" spans="1:38" ht="14.25" customHeight="1">
      <c r="A239" s="3"/>
      <c r="B239" s="3"/>
      <c r="C239" s="3"/>
      <c r="D239" s="3"/>
      <c r="E239" s="265"/>
      <c r="F239" s="265"/>
      <c r="G239" s="265"/>
      <c r="H239" s="265"/>
      <c r="I239" s="265"/>
      <c r="J239" s="260"/>
      <c r="K239" s="3"/>
      <c r="L239" s="265"/>
      <c r="M239" s="265"/>
      <c r="N239" s="265"/>
      <c r="O239" s="265"/>
      <c r="P239" s="265"/>
      <c r="Q239" s="260"/>
      <c r="R239" s="3"/>
      <c r="S239" s="265"/>
      <c r="T239" s="265"/>
      <c r="U239" s="265"/>
      <c r="V239" s="265"/>
      <c r="W239" s="265"/>
      <c r="X239" s="193"/>
      <c r="Y239" s="193"/>
      <c r="Z239" s="193"/>
      <c r="AA239" s="193"/>
      <c r="AB239" s="193"/>
      <c r="AC239" s="193"/>
      <c r="AD239" s="193"/>
      <c r="AE239" s="193"/>
      <c r="AF239" s="3"/>
      <c r="AG239" s="3"/>
      <c r="AH239" s="3"/>
      <c r="AI239" s="3"/>
      <c r="AJ239" s="3"/>
      <c r="AK239" s="3"/>
      <c r="AL239" s="3"/>
    </row>
    <row r="240" spans="1:38" ht="14.25" customHeight="1">
      <c r="A240" s="3"/>
      <c r="B240" s="3"/>
      <c r="C240" s="3"/>
      <c r="D240" s="3"/>
      <c r="E240" s="265"/>
      <c r="F240" s="265"/>
      <c r="G240" s="265"/>
      <c r="H240" s="265"/>
      <c r="I240" s="265"/>
      <c r="J240" s="260"/>
      <c r="K240" s="3"/>
      <c r="L240" s="265"/>
      <c r="M240" s="265"/>
      <c r="N240" s="265"/>
      <c r="O240" s="265"/>
      <c r="P240" s="265"/>
      <c r="Q240" s="260"/>
      <c r="R240" s="3"/>
      <c r="S240" s="265"/>
      <c r="T240" s="265"/>
      <c r="U240" s="265"/>
      <c r="V240" s="265"/>
      <c r="W240" s="265"/>
      <c r="X240" s="193"/>
      <c r="Y240" s="193"/>
      <c r="Z240" s="193"/>
      <c r="AA240" s="193"/>
      <c r="AB240" s="193"/>
      <c r="AC240" s="193"/>
      <c r="AD240" s="193"/>
      <c r="AE240" s="193"/>
      <c r="AF240" s="3"/>
      <c r="AG240" s="3"/>
      <c r="AH240" s="3"/>
      <c r="AI240" s="3"/>
      <c r="AJ240" s="3"/>
      <c r="AK240" s="3"/>
      <c r="AL240" s="3"/>
    </row>
    <row r="241" spans="1:38" ht="14.25" customHeight="1">
      <c r="A241" s="3"/>
      <c r="B241" s="3"/>
      <c r="C241" s="3"/>
      <c r="D241" s="3"/>
      <c r="E241" s="265"/>
      <c r="F241" s="265"/>
      <c r="G241" s="265"/>
      <c r="H241" s="265"/>
      <c r="I241" s="265"/>
      <c r="J241" s="260"/>
      <c r="K241" s="3"/>
      <c r="L241" s="265"/>
      <c r="M241" s="265"/>
      <c r="N241" s="265"/>
      <c r="O241" s="265"/>
      <c r="P241" s="265"/>
      <c r="Q241" s="260"/>
      <c r="R241" s="3"/>
      <c r="S241" s="265"/>
      <c r="T241" s="265"/>
      <c r="U241" s="265"/>
      <c r="V241" s="265"/>
      <c r="W241" s="265"/>
      <c r="X241" s="193"/>
      <c r="Y241" s="193"/>
      <c r="Z241" s="193"/>
      <c r="AA241" s="193"/>
      <c r="AB241" s="193"/>
      <c r="AC241" s="193"/>
      <c r="AD241" s="193"/>
      <c r="AE241" s="193"/>
      <c r="AF241" s="3"/>
      <c r="AG241" s="3"/>
      <c r="AH241" s="3"/>
      <c r="AI241" s="3"/>
      <c r="AJ241" s="3"/>
      <c r="AK241" s="3"/>
      <c r="AL241" s="3"/>
    </row>
    <row r="242" spans="1:38" ht="14.25" customHeight="1">
      <c r="A242" s="3"/>
      <c r="B242" s="3"/>
      <c r="C242" s="3"/>
      <c r="D242" s="3"/>
      <c r="E242" s="265"/>
      <c r="F242" s="265"/>
      <c r="G242" s="265"/>
      <c r="H242" s="265"/>
      <c r="I242" s="265"/>
      <c r="J242" s="260"/>
      <c r="K242" s="3"/>
      <c r="L242" s="265"/>
      <c r="M242" s="265"/>
      <c r="N242" s="265"/>
      <c r="O242" s="265"/>
      <c r="P242" s="265"/>
      <c r="Q242" s="260"/>
      <c r="R242" s="3"/>
      <c r="S242" s="265"/>
      <c r="T242" s="265"/>
      <c r="U242" s="265"/>
      <c r="V242" s="265"/>
      <c r="W242" s="265"/>
      <c r="X242" s="193"/>
      <c r="Y242" s="193"/>
      <c r="Z242" s="193"/>
      <c r="AA242" s="193"/>
      <c r="AB242" s="193"/>
      <c r="AC242" s="193"/>
      <c r="AD242" s="193"/>
      <c r="AE242" s="193"/>
      <c r="AF242" s="3"/>
      <c r="AG242" s="3"/>
      <c r="AH242" s="3"/>
      <c r="AI242" s="3"/>
      <c r="AJ242" s="3"/>
      <c r="AK242" s="3"/>
      <c r="AL242" s="3"/>
    </row>
    <row r="243" spans="1:38" ht="14.25" customHeight="1">
      <c r="A243" s="3"/>
      <c r="B243" s="3"/>
      <c r="C243" s="3"/>
      <c r="D243" s="3"/>
      <c r="E243" s="265"/>
      <c r="F243" s="265"/>
      <c r="G243" s="265"/>
      <c r="H243" s="265"/>
      <c r="I243" s="265"/>
      <c r="J243" s="260"/>
      <c r="K243" s="3"/>
      <c r="L243" s="265"/>
      <c r="M243" s="265"/>
      <c r="N243" s="265"/>
      <c r="O243" s="265"/>
      <c r="P243" s="265"/>
      <c r="Q243" s="260"/>
      <c r="R243" s="3"/>
      <c r="S243" s="265"/>
      <c r="T243" s="265"/>
      <c r="U243" s="265"/>
      <c r="V243" s="265"/>
      <c r="W243" s="265"/>
      <c r="X243" s="193"/>
      <c r="Y243" s="193"/>
      <c r="Z243" s="193"/>
      <c r="AA243" s="193"/>
      <c r="AB243" s="193"/>
      <c r="AC243" s="193"/>
      <c r="AD243" s="193"/>
      <c r="AE243" s="193"/>
      <c r="AF243" s="3"/>
      <c r="AG243" s="3"/>
      <c r="AH243" s="3"/>
      <c r="AI243" s="3"/>
      <c r="AJ243" s="3"/>
      <c r="AK243" s="3"/>
      <c r="AL243" s="3"/>
    </row>
    <row r="244" spans="1:38" ht="14.25" customHeight="1">
      <c r="A244" s="3"/>
      <c r="B244" s="3"/>
      <c r="C244" s="3"/>
      <c r="D244" s="3"/>
      <c r="E244" s="265"/>
      <c r="F244" s="265"/>
      <c r="G244" s="265"/>
      <c r="H244" s="265"/>
      <c r="I244" s="265"/>
      <c r="J244" s="260"/>
      <c r="K244" s="3"/>
      <c r="L244" s="265"/>
      <c r="M244" s="265"/>
      <c r="N244" s="265"/>
      <c r="O244" s="265"/>
      <c r="P244" s="265"/>
      <c r="Q244" s="260"/>
      <c r="R244" s="3"/>
      <c r="S244" s="265"/>
      <c r="T244" s="265"/>
      <c r="U244" s="265"/>
      <c r="V244" s="265"/>
      <c r="W244" s="265"/>
      <c r="X244" s="193"/>
      <c r="Y244" s="193"/>
      <c r="Z244" s="193"/>
      <c r="AA244" s="193"/>
      <c r="AB244" s="193"/>
      <c r="AC244" s="193"/>
      <c r="AD244" s="193"/>
      <c r="AE244" s="193"/>
      <c r="AF244" s="3"/>
      <c r="AG244" s="3"/>
      <c r="AH244" s="3"/>
      <c r="AI244" s="3"/>
      <c r="AJ244" s="3"/>
      <c r="AK244" s="3"/>
      <c r="AL244" s="3"/>
    </row>
    <row r="245" spans="1:38" ht="14.25" customHeight="1">
      <c r="A245" s="3"/>
      <c r="B245" s="3"/>
      <c r="C245" s="3"/>
      <c r="D245" s="3"/>
      <c r="E245" s="265"/>
      <c r="F245" s="265"/>
      <c r="G245" s="265"/>
      <c r="H245" s="265"/>
      <c r="I245" s="265"/>
      <c r="J245" s="260"/>
      <c r="K245" s="3"/>
      <c r="L245" s="265"/>
      <c r="M245" s="265"/>
      <c r="N245" s="265"/>
      <c r="O245" s="265"/>
      <c r="P245" s="265"/>
      <c r="Q245" s="260"/>
      <c r="R245" s="3"/>
      <c r="S245" s="265"/>
      <c r="T245" s="265"/>
      <c r="U245" s="265"/>
      <c r="V245" s="265"/>
      <c r="W245" s="265"/>
      <c r="X245" s="193"/>
      <c r="Y245" s="193"/>
      <c r="Z245" s="193"/>
      <c r="AA245" s="193"/>
      <c r="AB245" s="193"/>
      <c r="AC245" s="193"/>
      <c r="AD245" s="193"/>
      <c r="AE245" s="193"/>
      <c r="AF245" s="3"/>
      <c r="AG245" s="3"/>
      <c r="AH245" s="3"/>
      <c r="AI245" s="3"/>
      <c r="AJ245" s="3"/>
      <c r="AK245" s="3"/>
      <c r="AL245" s="3"/>
    </row>
    <row r="246" spans="1:38" ht="14.25" customHeight="1">
      <c r="A246" s="3"/>
      <c r="B246" s="3"/>
      <c r="C246" s="3"/>
      <c r="D246" s="3"/>
      <c r="E246" s="265"/>
      <c r="F246" s="265"/>
      <c r="G246" s="265"/>
      <c r="H246" s="265"/>
      <c r="I246" s="265"/>
      <c r="J246" s="260"/>
      <c r="K246" s="3"/>
      <c r="L246" s="265"/>
      <c r="M246" s="265"/>
      <c r="N246" s="265"/>
      <c r="O246" s="265"/>
      <c r="P246" s="265"/>
      <c r="Q246" s="260"/>
      <c r="R246" s="3"/>
      <c r="S246" s="265"/>
      <c r="T246" s="265"/>
      <c r="U246" s="265"/>
      <c r="V246" s="265"/>
      <c r="W246" s="265"/>
      <c r="X246" s="193"/>
      <c r="Y246" s="193"/>
      <c r="Z246" s="193"/>
      <c r="AA246" s="193"/>
      <c r="AB246" s="193"/>
      <c r="AC246" s="193"/>
      <c r="AD246" s="193"/>
      <c r="AE246" s="193"/>
      <c r="AF246" s="3"/>
      <c r="AG246" s="3"/>
      <c r="AH246" s="3"/>
      <c r="AI246" s="3"/>
      <c r="AJ246" s="3"/>
      <c r="AK246" s="3"/>
      <c r="AL246" s="3"/>
    </row>
    <row r="247" spans="1:38" ht="14.25" customHeight="1">
      <c r="A247" s="3"/>
      <c r="B247" s="3"/>
      <c r="C247" s="3"/>
      <c r="D247" s="3"/>
      <c r="E247" s="265"/>
      <c r="F247" s="265"/>
      <c r="G247" s="265"/>
      <c r="H247" s="265"/>
      <c r="I247" s="265"/>
      <c r="J247" s="260"/>
      <c r="K247" s="3"/>
      <c r="L247" s="265"/>
      <c r="M247" s="265"/>
      <c r="N247" s="265"/>
      <c r="O247" s="265"/>
      <c r="P247" s="265"/>
      <c r="Q247" s="260"/>
      <c r="R247" s="3"/>
      <c r="S247" s="265"/>
      <c r="T247" s="265"/>
      <c r="U247" s="265"/>
      <c r="V247" s="265"/>
      <c r="W247" s="265"/>
      <c r="X247" s="193"/>
      <c r="Y247" s="193"/>
      <c r="Z247" s="193"/>
      <c r="AA247" s="193"/>
      <c r="AB247" s="193"/>
      <c r="AC247" s="193"/>
      <c r="AD247" s="193"/>
      <c r="AE247" s="193"/>
      <c r="AF247" s="3"/>
      <c r="AG247" s="3"/>
      <c r="AH247" s="3"/>
      <c r="AI247" s="3"/>
      <c r="AJ247" s="3"/>
      <c r="AK247" s="3"/>
      <c r="AL247" s="3"/>
    </row>
    <row r="248" spans="1:38" ht="14.25" customHeight="1">
      <c r="A248" s="3"/>
      <c r="B248" s="3"/>
      <c r="C248" s="3"/>
      <c r="D248" s="3"/>
      <c r="E248" s="265"/>
      <c r="F248" s="265"/>
      <c r="G248" s="265"/>
      <c r="H248" s="265"/>
      <c r="I248" s="265"/>
      <c r="J248" s="260"/>
      <c r="K248" s="3"/>
      <c r="L248" s="265"/>
      <c r="M248" s="265"/>
      <c r="N248" s="265"/>
      <c r="O248" s="265"/>
      <c r="P248" s="265"/>
      <c r="Q248" s="260"/>
      <c r="R248" s="3"/>
      <c r="S248" s="265"/>
      <c r="T248" s="265"/>
      <c r="U248" s="265"/>
      <c r="V248" s="265"/>
      <c r="W248" s="265"/>
      <c r="X248" s="193"/>
      <c r="Y248" s="193"/>
      <c r="Z248" s="193"/>
      <c r="AA248" s="193"/>
      <c r="AB248" s="193"/>
      <c r="AC248" s="193"/>
      <c r="AD248" s="193"/>
      <c r="AE248" s="193"/>
      <c r="AF248" s="3"/>
      <c r="AG248" s="3"/>
      <c r="AH248" s="3"/>
      <c r="AI248" s="3"/>
      <c r="AJ248" s="3"/>
      <c r="AK248" s="3"/>
      <c r="AL248" s="3"/>
    </row>
    <row r="249" spans="1:38" ht="14.25" customHeight="1">
      <c r="A249" s="3"/>
      <c r="B249" s="3"/>
      <c r="C249" s="3"/>
      <c r="D249" s="3"/>
      <c r="E249" s="265"/>
      <c r="F249" s="265"/>
      <c r="G249" s="265"/>
      <c r="H249" s="265"/>
      <c r="I249" s="265"/>
      <c r="J249" s="260"/>
      <c r="K249" s="3"/>
      <c r="L249" s="265"/>
      <c r="M249" s="265"/>
      <c r="N249" s="265"/>
      <c r="O249" s="265"/>
      <c r="P249" s="265"/>
      <c r="Q249" s="260"/>
      <c r="R249" s="3"/>
      <c r="S249" s="265"/>
      <c r="T249" s="265"/>
      <c r="U249" s="265"/>
      <c r="V249" s="265"/>
      <c r="W249" s="265"/>
      <c r="X249" s="193"/>
      <c r="Y249" s="193"/>
      <c r="Z249" s="193"/>
      <c r="AA249" s="193"/>
      <c r="AB249" s="193"/>
      <c r="AC249" s="193"/>
      <c r="AD249" s="193"/>
      <c r="AE249" s="193"/>
      <c r="AF249" s="3"/>
      <c r="AG249" s="3"/>
      <c r="AH249" s="3"/>
      <c r="AI249" s="3"/>
      <c r="AJ249" s="3"/>
      <c r="AK249" s="3"/>
      <c r="AL249" s="3"/>
    </row>
    <row r="250" spans="1:38" ht="14.25" customHeight="1">
      <c r="A250" s="3"/>
      <c r="B250" s="3"/>
      <c r="C250" s="3"/>
      <c r="D250" s="3"/>
      <c r="E250" s="265"/>
      <c r="F250" s="265"/>
      <c r="G250" s="265"/>
      <c r="H250" s="265"/>
      <c r="I250" s="265"/>
      <c r="J250" s="260"/>
      <c r="K250" s="3"/>
      <c r="L250" s="265"/>
      <c r="M250" s="265"/>
      <c r="N250" s="265"/>
      <c r="O250" s="265"/>
      <c r="P250" s="265"/>
      <c r="Q250" s="260"/>
      <c r="R250" s="3"/>
      <c r="S250" s="265"/>
      <c r="T250" s="265"/>
      <c r="U250" s="265"/>
      <c r="V250" s="265"/>
      <c r="W250" s="265"/>
      <c r="X250" s="193"/>
      <c r="Y250" s="193"/>
      <c r="Z250" s="193"/>
      <c r="AA250" s="193"/>
      <c r="AB250" s="193"/>
      <c r="AC250" s="193"/>
      <c r="AD250" s="193"/>
      <c r="AE250" s="193"/>
      <c r="AF250" s="3"/>
      <c r="AG250" s="3"/>
      <c r="AH250" s="3"/>
      <c r="AI250" s="3"/>
      <c r="AJ250" s="3"/>
      <c r="AK250" s="3"/>
      <c r="AL250" s="3"/>
    </row>
    <row r="251" spans="1:38" ht="14.25" customHeight="1">
      <c r="A251" s="3"/>
      <c r="B251" s="3"/>
      <c r="C251" s="3"/>
      <c r="D251" s="3"/>
      <c r="E251" s="265"/>
      <c r="F251" s="265"/>
      <c r="G251" s="265"/>
      <c r="H251" s="265"/>
      <c r="I251" s="265"/>
      <c r="J251" s="260"/>
      <c r="K251" s="3"/>
      <c r="L251" s="265"/>
      <c r="M251" s="265"/>
      <c r="N251" s="265"/>
      <c r="O251" s="265"/>
      <c r="P251" s="265"/>
      <c r="Q251" s="260"/>
      <c r="R251" s="3"/>
      <c r="S251" s="265"/>
      <c r="T251" s="265"/>
      <c r="U251" s="265"/>
      <c r="V251" s="265"/>
      <c r="W251" s="265"/>
      <c r="X251" s="193"/>
      <c r="Y251" s="193"/>
      <c r="Z251" s="193"/>
      <c r="AA251" s="193"/>
      <c r="AB251" s="193"/>
      <c r="AC251" s="193"/>
      <c r="AD251" s="193"/>
      <c r="AE251" s="193"/>
      <c r="AF251" s="3"/>
      <c r="AG251" s="3"/>
      <c r="AH251" s="3"/>
      <c r="AI251" s="3"/>
      <c r="AJ251" s="3"/>
      <c r="AK251" s="3"/>
      <c r="AL251" s="3"/>
    </row>
    <row r="252" spans="1:38" ht="14.25" customHeight="1">
      <c r="A252" s="3"/>
      <c r="B252" s="3"/>
      <c r="C252" s="3"/>
      <c r="D252" s="3"/>
      <c r="E252" s="265"/>
      <c r="F252" s="265"/>
      <c r="G252" s="265"/>
      <c r="H252" s="265"/>
      <c r="I252" s="265"/>
      <c r="J252" s="260"/>
      <c r="K252" s="3"/>
      <c r="L252" s="265"/>
      <c r="M252" s="265"/>
      <c r="N252" s="265"/>
      <c r="O252" s="265"/>
      <c r="P252" s="265"/>
      <c r="Q252" s="260"/>
      <c r="R252" s="3"/>
      <c r="S252" s="265"/>
      <c r="T252" s="265"/>
      <c r="U252" s="265"/>
      <c r="V252" s="265"/>
      <c r="W252" s="265"/>
      <c r="X252" s="193"/>
      <c r="Y252" s="193"/>
      <c r="Z252" s="193"/>
      <c r="AA252" s="193"/>
      <c r="AB252" s="193"/>
      <c r="AC252" s="193"/>
      <c r="AD252" s="193"/>
      <c r="AE252" s="193"/>
      <c r="AF252" s="3"/>
      <c r="AG252" s="3"/>
      <c r="AH252" s="3"/>
      <c r="AI252" s="3"/>
      <c r="AJ252" s="3"/>
      <c r="AK252" s="3"/>
      <c r="AL252" s="3"/>
    </row>
    <row r="253" spans="1:38" ht="14.25" customHeight="1">
      <c r="A253" s="3"/>
      <c r="B253" s="3"/>
      <c r="C253" s="3"/>
      <c r="D253" s="3"/>
      <c r="E253" s="265"/>
      <c r="F253" s="265"/>
      <c r="G253" s="265"/>
      <c r="H253" s="265"/>
      <c r="I253" s="265"/>
      <c r="J253" s="260"/>
      <c r="K253" s="3"/>
      <c r="L253" s="265"/>
      <c r="M253" s="265"/>
      <c r="N253" s="265"/>
      <c r="O253" s="265"/>
      <c r="P253" s="265"/>
      <c r="Q253" s="260"/>
      <c r="R253" s="3"/>
      <c r="S253" s="265"/>
      <c r="T253" s="265"/>
      <c r="U253" s="265"/>
      <c r="V253" s="265"/>
      <c r="W253" s="265"/>
      <c r="X253" s="193"/>
      <c r="Y253" s="193"/>
      <c r="Z253" s="193"/>
      <c r="AA253" s="193"/>
      <c r="AB253" s="193"/>
      <c r="AC253" s="193"/>
      <c r="AD253" s="193"/>
      <c r="AE253" s="193"/>
      <c r="AF253" s="3"/>
      <c r="AG253" s="3"/>
      <c r="AH253" s="3"/>
      <c r="AI253" s="3"/>
      <c r="AJ253" s="3"/>
      <c r="AK253" s="3"/>
      <c r="AL253" s="3"/>
    </row>
    <row r="254" spans="1:38" ht="14.25" customHeight="1">
      <c r="A254" s="3"/>
      <c r="B254" s="3"/>
      <c r="C254" s="3"/>
      <c r="D254" s="3"/>
      <c r="E254" s="265"/>
      <c r="F254" s="265"/>
      <c r="G254" s="265"/>
      <c r="H254" s="265"/>
      <c r="I254" s="265"/>
      <c r="J254" s="260"/>
      <c r="K254" s="3"/>
      <c r="L254" s="265"/>
      <c r="M254" s="265"/>
      <c r="N254" s="265"/>
      <c r="O254" s="265"/>
      <c r="P254" s="265"/>
      <c r="Q254" s="260"/>
      <c r="R254" s="3"/>
      <c r="S254" s="265"/>
      <c r="T254" s="265"/>
      <c r="U254" s="265"/>
      <c r="V254" s="265"/>
      <c r="W254" s="265"/>
      <c r="X254" s="193"/>
      <c r="Y254" s="193"/>
      <c r="Z254" s="193"/>
      <c r="AA254" s="193"/>
      <c r="AB254" s="193"/>
      <c r="AC254" s="193"/>
      <c r="AD254" s="193"/>
      <c r="AE254" s="193"/>
      <c r="AF254" s="3"/>
      <c r="AG254" s="3"/>
      <c r="AH254" s="3"/>
      <c r="AI254" s="3"/>
      <c r="AJ254" s="3"/>
      <c r="AK254" s="3"/>
      <c r="AL254" s="3"/>
    </row>
    <row r="255" spans="1:38" ht="14.25" customHeight="1">
      <c r="A255" s="3"/>
      <c r="B255" s="3"/>
      <c r="C255" s="3"/>
      <c r="D255" s="3"/>
      <c r="E255" s="265"/>
      <c r="F255" s="265"/>
      <c r="G255" s="265"/>
      <c r="H255" s="265"/>
      <c r="I255" s="265"/>
      <c r="J255" s="260"/>
      <c r="K255" s="3"/>
      <c r="L255" s="265"/>
      <c r="M255" s="265"/>
      <c r="N255" s="265"/>
      <c r="O255" s="265"/>
      <c r="P255" s="265"/>
      <c r="Q255" s="260"/>
      <c r="R255" s="3"/>
      <c r="S255" s="265"/>
      <c r="T255" s="265"/>
      <c r="U255" s="265"/>
      <c r="V255" s="265"/>
      <c r="W255" s="265"/>
      <c r="X255" s="193"/>
      <c r="Y255" s="193"/>
      <c r="Z255" s="193"/>
      <c r="AA255" s="193"/>
      <c r="AB255" s="193"/>
      <c r="AC255" s="193"/>
      <c r="AD255" s="193"/>
      <c r="AE255" s="193"/>
      <c r="AF255" s="3"/>
      <c r="AG255" s="3"/>
      <c r="AH255" s="3"/>
      <c r="AI255" s="3"/>
      <c r="AJ255" s="3"/>
      <c r="AK255" s="3"/>
      <c r="AL255" s="3"/>
    </row>
    <row r="256" spans="1:38" ht="14.25" customHeight="1">
      <c r="A256" s="3"/>
      <c r="B256" s="3"/>
      <c r="C256" s="3"/>
      <c r="D256" s="3"/>
      <c r="E256" s="265"/>
      <c r="F256" s="265"/>
      <c r="G256" s="265"/>
      <c r="H256" s="265"/>
      <c r="I256" s="265"/>
      <c r="J256" s="260"/>
      <c r="K256" s="3"/>
      <c r="L256" s="265"/>
      <c r="M256" s="265"/>
      <c r="N256" s="265"/>
      <c r="O256" s="265"/>
      <c r="P256" s="265"/>
      <c r="Q256" s="260"/>
      <c r="R256" s="3"/>
      <c r="S256" s="265"/>
      <c r="T256" s="265"/>
      <c r="U256" s="265"/>
      <c r="V256" s="265"/>
      <c r="W256" s="265"/>
      <c r="X256" s="193"/>
      <c r="Y256" s="193"/>
      <c r="Z256" s="193"/>
      <c r="AA256" s="193"/>
      <c r="AB256" s="193"/>
      <c r="AC256" s="193"/>
      <c r="AD256" s="193"/>
      <c r="AE256" s="193"/>
      <c r="AF256" s="3"/>
      <c r="AG256" s="3"/>
      <c r="AH256" s="3"/>
      <c r="AI256" s="3"/>
      <c r="AJ256" s="3"/>
      <c r="AK256" s="3"/>
      <c r="AL256" s="3"/>
    </row>
    <row r="257" spans="1:38" ht="14.25" customHeight="1">
      <c r="A257" s="3"/>
      <c r="B257" s="3"/>
      <c r="C257" s="3"/>
      <c r="D257" s="3"/>
      <c r="E257" s="265"/>
      <c r="F257" s="265"/>
      <c r="G257" s="265"/>
      <c r="H257" s="265"/>
      <c r="I257" s="265"/>
      <c r="J257" s="260"/>
      <c r="K257" s="3"/>
      <c r="L257" s="265"/>
      <c r="M257" s="265"/>
      <c r="N257" s="265"/>
      <c r="O257" s="265"/>
      <c r="P257" s="265"/>
      <c r="Q257" s="260"/>
      <c r="R257" s="3"/>
      <c r="S257" s="265"/>
      <c r="T257" s="265"/>
      <c r="U257" s="265"/>
      <c r="V257" s="265"/>
      <c r="W257" s="265"/>
      <c r="X257" s="193"/>
      <c r="Y257" s="193"/>
      <c r="Z257" s="193"/>
      <c r="AA257" s="193"/>
      <c r="AB257" s="193"/>
      <c r="AC257" s="193"/>
      <c r="AD257" s="193"/>
      <c r="AE257" s="193"/>
      <c r="AF257" s="3"/>
      <c r="AG257" s="3"/>
      <c r="AH257" s="3"/>
      <c r="AI257" s="3"/>
      <c r="AJ257" s="3"/>
      <c r="AK257" s="3"/>
      <c r="AL257" s="3"/>
    </row>
    <row r="258" spans="1:38" ht="14.25" customHeight="1">
      <c r="A258" s="3"/>
      <c r="B258" s="3"/>
      <c r="C258" s="3"/>
      <c r="D258" s="3"/>
      <c r="E258" s="265"/>
      <c r="F258" s="265"/>
      <c r="G258" s="265"/>
      <c r="H258" s="265"/>
      <c r="I258" s="265"/>
      <c r="J258" s="260"/>
      <c r="K258" s="3"/>
      <c r="L258" s="265"/>
      <c r="M258" s="265"/>
      <c r="N258" s="265"/>
      <c r="O258" s="265"/>
      <c r="P258" s="265"/>
      <c r="Q258" s="260"/>
      <c r="R258" s="3"/>
      <c r="S258" s="265"/>
      <c r="T258" s="265"/>
      <c r="U258" s="265"/>
      <c r="V258" s="265"/>
      <c r="W258" s="265"/>
      <c r="X258" s="193"/>
      <c r="Y258" s="193"/>
      <c r="Z258" s="193"/>
      <c r="AA258" s="193"/>
      <c r="AB258" s="193"/>
      <c r="AC258" s="193"/>
      <c r="AD258" s="193"/>
      <c r="AE258" s="193"/>
      <c r="AF258" s="3"/>
      <c r="AG258" s="3"/>
      <c r="AH258" s="3"/>
      <c r="AI258" s="3"/>
      <c r="AJ258" s="3"/>
      <c r="AK258" s="3"/>
      <c r="AL258" s="3"/>
    </row>
    <row r="259" spans="1:38" ht="14.25" customHeight="1">
      <c r="A259" s="3"/>
      <c r="B259" s="3"/>
      <c r="C259" s="3"/>
      <c r="D259" s="3"/>
      <c r="E259" s="265"/>
      <c r="F259" s="265"/>
      <c r="G259" s="265"/>
      <c r="H259" s="265"/>
      <c r="I259" s="265"/>
      <c r="J259" s="260"/>
      <c r="K259" s="3"/>
      <c r="L259" s="265"/>
      <c r="M259" s="265"/>
      <c r="N259" s="265"/>
      <c r="O259" s="265"/>
      <c r="P259" s="265"/>
      <c r="Q259" s="260"/>
      <c r="R259" s="3"/>
      <c r="S259" s="265"/>
      <c r="T259" s="265"/>
      <c r="U259" s="265"/>
      <c r="V259" s="265"/>
      <c r="W259" s="265"/>
      <c r="X259" s="193"/>
      <c r="Y259" s="193"/>
      <c r="Z259" s="193"/>
      <c r="AA259" s="193"/>
      <c r="AB259" s="193"/>
      <c r="AC259" s="193"/>
      <c r="AD259" s="193"/>
      <c r="AE259" s="193"/>
      <c r="AF259" s="3"/>
      <c r="AG259" s="3"/>
      <c r="AH259" s="3"/>
      <c r="AI259" s="3"/>
      <c r="AJ259" s="3"/>
      <c r="AK259" s="3"/>
      <c r="AL259" s="3"/>
    </row>
    <row r="260" spans="1:38" ht="14.25" customHeight="1">
      <c r="A260" s="3"/>
      <c r="B260" s="3"/>
      <c r="C260" s="3"/>
      <c r="D260" s="3"/>
      <c r="E260" s="265"/>
      <c r="F260" s="265"/>
      <c r="G260" s="265"/>
      <c r="H260" s="265"/>
      <c r="I260" s="265"/>
      <c r="J260" s="260"/>
      <c r="K260" s="3"/>
      <c r="L260" s="265"/>
      <c r="M260" s="265"/>
      <c r="N260" s="265"/>
      <c r="O260" s="265"/>
      <c r="P260" s="265"/>
      <c r="Q260" s="260"/>
      <c r="R260" s="3"/>
      <c r="S260" s="265"/>
      <c r="T260" s="265"/>
      <c r="U260" s="265"/>
      <c r="V260" s="265"/>
      <c r="W260" s="265"/>
      <c r="X260" s="193"/>
      <c r="Y260" s="193"/>
      <c r="Z260" s="193"/>
      <c r="AA260" s="193"/>
      <c r="AB260" s="193"/>
      <c r="AC260" s="193"/>
      <c r="AD260" s="193"/>
      <c r="AE260" s="193"/>
      <c r="AF260" s="3"/>
      <c r="AG260" s="3"/>
      <c r="AH260" s="3"/>
      <c r="AI260" s="3"/>
      <c r="AJ260" s="3"/>
      <c r="AK260" s="3"/>
      <c r="AL260" s="3"/>
    </row>
    <row r="261" spans="1:38" ht="14.25" customHeight="1">
      <c r="A261" s="3"/>
      <c r="B261" s="3"/>
      <c r="C261" s="3"/>
      <c r="D261" s="3"/>
      <c r="E261" s="265"/>
      <c r="F261" s="265"/>
      <c r="G261" s="265"/>
      <c r="H261" s="265"/>
      <c r="I261" s="265"/>
      <c r="J261" s="260"/>
      <c r="K261" s="3"/>
      <c r="L261" s="265"/>
      <c r="M261" s="265"/>
      <c r="N261" s="265"/>
      <c r="O261" s="265"/>
      <c r="P261" s="265"/>
      <c r="Q261" s="260"/>
      <c r="R261" s="3"/>
      <c r="S261" s="265"/>
      <c r="T261" s="265"/>
      <c r="U261" s="265"/>
      <c r="V261" s="265"/>
      <c r="W261" s="265"/>
      <c r="X261" s="193"/>
      <c r="Y261" s="193"/>
      <c r="Z261" s="193"/>
      <c r="AA261" s="193"/>
      <c r="AB261" s="193"/>
      <c r="AC261" s="193"/>
      <c r="AD261" s="193"/>
      <c r="AE261" s="193"/>
      <c r="AF261" s="3"/>
      <c r="AG261" s="3"/>
      <c r="AH261" s="3"/>
      <c r="AI261" s="3"/>
      <c r="AJ261" s="3"/>
      <c r="AK261" s="3"/>
      <c r="AL261" s="3"/>
    </row>
    <row r="262" spans="1:38" ht="14.25" customHeight="1">
      <c r="A262" s="3"/>
      <c r="B262" s="3"/>
      <c r="C262" s="3"/>
      <c r="D262" s="3"/>
      <c r="E262" s="265"/>
      <c r="F262" s="265"/>
      <c r="G262" s="265"/>
      <c r="H262" s="265"/>
      <c r="I262" s="265"/>
      <c r="J262" s="260"/>
      <c r="K262" s="3"/>
      <c r="L262" s="265"/>
      <c r="M262" s="265"/>
      <c r="N262" s="265"/>
      <c r="O262" s="265"/>
      <c r="P262" s="265"/>
      <c r="Q262" s="260"/>
      <c r="R262" s="3"/>
      <c r="S262" s="265"/>
      <c r="T262" s="265"/>
      <c r="U262" s="265"/>
      <c r="V262" s="265"/>
      <c r="W262" s="265"/>
      <c r="X262" s="193"/>
      <c r="Y262" s="193"/>
      <c r="Z262" s="193"/>
      <c r="AA262" s="193"/>
      <c r="AB262" s="193"/>
      <c r="AC262" s="193"/>
      <c r="AD262" s="193"/>
      <c r="AE262" s="193"/>
      <c r="AF262" s="3"/>
      <c r="AG262" s="3"/>
      <c r="AH262" s="3"/>
      <c r="AI262" s="3"/>
      <c r="AJ262" s="3"/>
      <c r="AK262" s="3"/>
      <c r="AL262" s="3"/>
    </row>
    <row r="263" spans="1:38" ht="14.25" customHeight="1">
      <c r="A263" s="3"/>
      <c r="B263" s="3"/>
      <c r="C263" s="3"/>
      <c r="D263" s="3"/>
      <c r="E263" s="265"/>
      <c r="F263" s="265"/>
      <c r="G263" s="265"/>
      <c r="H263" s="265"/>
      <c r="I263" s="265"/>
      <c r="J263" s="260"/>
      <c r="K263" s="3"/>
      <c r="L263" s="265"/>
      <c r="M263" s="265"/>
      <c r="N263" s="265"/>
      <c r="O263" s="265"/>
      <c r="P263" s="265"/>
      <c r="Q263" s="260"/>
      <c r="R263" s="3"/>
      <c r="S263" s="265"/>
      <c r="T263" s="265"/>
      <c r="U263" s="265"/>
      <c r="V263" s="265"/>
      <c r="W263" s="265"/>
      <c r="X263" s="193"/>
      <c r="Y263" s="193"/>
      <c r="Z263" s="193"/>
      <c r="AA263" s="193"/>
      <c r="AB263" s="193"/>
      <c r="AC263" s="193"/>
      <c r="AD263" s="193"/>
      <c r="AE263" s="193"/>
      <c r="AF263" s="3"/>
      <c r="AG263" s="3"/>
      <c r="AH263" s="3"/>
      <c r="AI263" s="3"/>
      <c r="AJ263" s="3"/>
      <c r="AK263" s="3"/>
      <c r="AL263" s="3"/>
    </row>
    <row r="264" spans="1:38" ht="14.25" customHeight="1">
      <c r="A264" s="3"/>
      <c r="B264" s="3"/>
      <c r="C264" s="3"/>
      <c r="D264" s="3"/>
      <c r="E264" s="265"/>
      <c r="F264" s="265"/>
      <c r="G264" s="265"/>
      <c r="H264" s="265"/>
      <c r="I264" s="265"/>
      <c r="J264" s="260"/>
      <c r="K264" s="3"/>
      <c r="L264" s="265"/>
      <c r="M264" s="265"/>
      <c r="N264" s="265"/>
      <c r="O264" s="265"/>
      <c r="P264" s="265"/>
      <c r="Q264" s="260"/>
      <c r="R264" s="3"/>
      <c r="S264" s="265"/>
      <c r="T264" s="265"/>
      <c r="U264" s="265"/>
      <c r="V264" s="265"/>
      <c r="W264" s="265"/>
      <c r="X264" s="193"/>
      <c r="Y264" s="193"/>
      <c r="Z264" s="193"/>
      <c r="AA264" s="193"/>
      <c r="AB264" s="193"/>
      <c r="AC264" s="193"/>
      <c r="AD264" s="193"/>
      <c r="AE264" s="193"/>
      <c r="AF264" s="3"/>
      <c r="AG264" s="3"/>
      <c r="AH264" s="3"/>
      <c r="AI264" s="3"/>
      <c r="AJ264" s="3"/>
      <c r="AK264" s="3"/>
      <c r="AL264" s="3"/>
    </row>
    <row r="265" spans="1:38" ht="14.25" customHeight="1">
      <c r="A265" s="3"/>
      <c r="B265" s="3"/>
      <c r="C265" s="3"/>
      <c r="D265" s="3"/>
      <c r="E265" s="265"/>
      <c r="F265" s="265"/>
      <c r="G265" s="265"/>
      <c r="H265" s="265"/>
      <c r="I265" s="265"/>
      <c r="J265" s="260"/>
      <c r="K265" s="3"/>
      <c r="L265" s="265"/>
      <c r="M265" s="265"/>
      <c r="N265" s="265"/>
      <c r="O265" s="265"/>
      <c r="P265" s="265"/>
      <c r="Q265" s="260"/>
      <c r="R265" s="3"/>
      <c r="S265" s="265"/>
      <c r="T265" s="265"/>
      <c r="U265" s="265"/>
      <c r="V265" s="265"/>
      <c r="W265" s="265"/>
      <c r="X265" s="193"/>
      <c r="Y265" s="193"/>
      <c r="Z265" s="193"/>
      <c r="AA265" s="193"/>
      <c r="AB265" s="193"/>
      <c r="AC265" s="193"/>
      <c r="AD265" s="193"/>
      <c r="AE265" s="193"/>
      <c r="AF265" s="3"/>
      <c r="AG265" s="3"/>
      <c r="AH265" s="3"/>
      <c r="AI265" s="3"/>
      <c r="AJ265" s="3"/>
      <c r="AK265" s="3"/>
      <c r="AL265" s="3"/>
    </row>
    <row r="266" spans="1:38" ht="14.25" customHeight="1">
      <c r="A266" s="3"/>
      <c r="B266" s="3"/>
      <c r="C266" s="3"/>
      <c r="D266" s="3"/>
      <c r="E266" s="265"/>
      <c r="F266" s="265"/>
      <c r="G266" s="265"/>
      <c r="H266" s="265"/>
      <c r="I266" s="265"/>
      <c r="J266" s="260"/>
      <c r="K266" s="3"/>
      <c r="L266" s="265"/>
      <c r="M266" s="265"/>
      <c r="N266" s="265"/>
      <c r="O266" s="265"/>
      <c r="P266" s="265"/>
      <c r="Q266" s="260"/>
      <c r="R266" s="3"/>
      <c r="S266" s="265"/>
      <c r="T266" s="265"/>
      <c r="U266" s="265"/>
      <c r="V266" s="265"/>
      <c r="W266" s="265"/>
      <c r="X266" s="193"/>
      <c r="Y266" s="193"/>
      <c r="Z266" s="193"/>
      <c r="AA266" s="193"/>
      <c r="AB266" s="193"/>
      <c r="AC266" s="193"/>
      <c r="AD266" s="193"/>
      <c r="AE266" s="193"/>
      <c r="AF266" s="3"/>
      <c r="AG266" s="3"/>
      <c r="AH266" s="3"/>
      <c r="AI266" s="3"/>
      <c r="AJ266" s="3"/>
      <c r="AK266" s="3"/>
      <c r="AL266" s="3"/>
    </row>
    <row r="267" spans="1:38" ht="14.25" customHeight="1">
      <c r="A267" s="3"/>
      <c r="B267" s="3"/>
      <c r="C267" s="3"/>
      <c r="D267" s="3"/>
      <c r="E267" s="265"/>
      <c r="F267" s="265"/>
      <c r="G267" s="265"/>
      <c r="H267" s="265"/>
      <c r="I267" s="265"/>
      <c r="J267" s="260"/>
      <c r="K267" s="3"/>
      <c r="L267" s="265"/>
      <c r="M267" s="265"/>
      <c r="N267" s="265"/>
      <c r="O267" s="265"/>
      <c r="P267" s="265"/>
      <c r="Q267" s="260"/>
      <c r="R267" s="3"/>
      <c r="S267" s="265"/>
      <c r="T267" s="265"/>
      <c r="U267" s="265"/>
      <c r="V267" s="265"/>
      <c r="W267" s="265"/>
      <c r="X267" s="193"/>
      <c r="Y267" s="193"/>
      <c r="Z267" s="193"/>
      <c r="AA267" s="193"/>
      <c r="AB267" s="193"/>
      <c r="AC267" s="193"/>
      <c r="AD267" s="193"/>
      <c r="AE267" s="193"/>
      <c r="AF267" s="3"/>
      <c r="AG267" s="3"/>
      <c r="AH267" s="3"/>
      <c r="AI267" s="3"/>
      <c r="AJ267" s="3"/>
      <c r="AK267" s="3"/>
      <c r="AL267" s="3"/>
    </row>
    <row r="268" spans="1:38" ht="14.25" customHeight="1">
      <c r="A268" s="3"/>
      <c r="B268" s="3"/>
      <c r="C268" s="3"/>
      <c r="D268" s="3"/>
      <c r="E268" s="265"/>
      <c r="F268" s="265"/>
      <c r="G268" s="265"/>
      <c r="H268" s="265"/>
      <c r="I268" s="265"/>
      <c r="J268" s="260"/>
      <c r="K268" s="3"/>
      <c r="L268" s="265"/>
      <c r="M268" s="265"/>
      <c r="N268" s="265"/>
      <c r="O268" s="265"/>
      <c r="P268" s="265"/>
      <c r="Q268" s="260"/>
      <c r="R268" s="3"/>
      <c r="S268" s="265"/>
      <c r="T268" s="265"/>
      <c r="U268" s="265"/>
      <c r="V268" s="265"/>
      <c r="W268" s="265"/>
      <c r="X268" s="193"/>
      <c r="Y268" s="193"/>
      <c r="Z268" s="193"/>
      <c r="AA268" s="193"/>
      <c r="AB268" s="193"/>
      <c r="AC268" s="193"/>
      <c r="AD268" s="193"/>
      <c r="AE268" s="193"/>
      <c r="AF268" s="3"/>
      <c r="AG268" s="3"/>
      <c r="AH268" s="3"/>
      <c r="AI268" s="3"/>
      <c r="AJ268" s="3"/>
      <c r="AK268" s="3"/>
      <c r="AL268" s="3"/>
    </row>
    <row r="269" spans="1:38" ht="14.25" customHeight="1">
      <c r="A269" s="3"/>
      <c r="B269" s="3"/>
      <c r="C269" s="3"/>
      <c r="D269" s="3"/>
      <c r="E269" s="265"/>
      <c r="F269" s="265"/>
      <c r="G269" s="265"/>
      <c r="H269" s="265"/>
      <c r="I269" s="265"/>
      <c r="J269" s="260"/>
      <c r="K269" s="3"/>
      <c r="L269" s="265"/>
      <c r="M269" s="265"/>
      <c r="N269" s="265"/>
      <c r="O269" s="265"/>
      <c r="P269" s="265"/>
      <c r="Q269" s="260"/>
      <c r="R269" s="3"/>
      <c r="S269" s="265"/>
      <c r="T269" s="265"/>
      <c r="U269" s="265"/>
      <c r="V269" s="265"/>
      <c r="W269" s="265"/>
      <c r="X269" s="193"/>
      <c r="Y269" s="193"/>
      <c r="Z269" s="193"/>
      <c r="AA269" s="193"/>
      <c r="AB269" s="193"/>
      <c r="AC269" s="193"/>
      <c r="AD269" s="193"/>
      <c r="AE269" s="193"/>
      <c r="AF269" s="3"/>
      <c r="AG269" s="3"/>
      <c r="AH269" s="3"/>
      <c r="AI269" s="3"/>
      <c r="AJ269" s="3"/>
      <c r="AK269" s="3"/>
      <c r="AL269" s="3"/>
    </row>
    <row r="270" spans="1:38" ht="14.25" customHeight="1">
      <c r="A270" s="3"/>
      <c r="B270" s="3"/>
      <c r="C270" s="3"/>
      <c r="D270" s="3"/>
      <c r="E270" s="265"/>
      <c r="F270" s="265"/>
      <c r="G270" s="265"/>
      <c r="H270" s="265"/>
      <c r="I270" s="265"/>
      <c r="J270" s="260"/>
      <c r="K270" s="3"/>
      <c r="L270" s="265"/>
      <c r="M270" s="265"/>
      <c r="N270" s="265"/>
      <c r="O270" s="265"/>
      <c r="P270" s="265"/>
      <c r="Q270" s="260"/>
      <c r="R270" s="3"/>
      <c r="S270" s="265"/>
      <c r="T270" s="265"/>
      <c r="U270" s="265"/>
      <c r="V270" s="265"/>
      <c r="W270" s="265"/>
      <c r="X270" s="193"/>
      <c r="Y270" s="193"/>
      <c r="Z270" s="193"/>
      <c r="AA270" s="193"/>
      <c r="AB270" s="193"/>
      <c r="AC270" s="193"/>
      <c r="AD270" s="193"/>
      <c r="AE270" s="193"/>
      <c r="AF270" s="3"/>
      <c r="AG270" s="3"/>
      <c r="AH270" s="3"/>
      <c r="AI270" s="3"/>
      <c r="AJ270" s="3"/>
      <c r="AK270" s="3"/>
      <c r="AL270" s="3"/>
    </row>
    <row r="271" spans="1:38" ht="14.25" customHeight="1">
      <c r="A271" s="3"/>
      <c r="B271" s="3"/>
      <c r="C271" s="3"/>
      <c r="D271" s="3"/>
      <c r="E271" s="265"/>
      <c r="F271" s="265"/>
      <c r="G271" s="265"/>
      <c r="H271" s="265"/>
      <c r="I271" s="265"/>
      <c r="J271" s="260"/>
      <c r="K271" s="3"/>
      <c r="L271" s="265"/>
      <c r="M271" s="265"/>
      <c r="N271" s="265"/>
      <c r="O271" s="265"/>
      <c r="P271" s="265"/>
      <c r="Q271" s="260"/>
      <c r="R271" s="3"/>
      <c r="S271" s="265"/>
      <c r="T271" s="265"/>
      <c r="U271" s="265"/>
      <c r="V271" s="265"/>
      <c r="W271" s="265"/>
      <c r="X271" s="193"/>
      <c r="Y271" s="193"/>
      <c r="Z271" s="193"/>
      <c r="AA271" s="193"/>
      <c r="AB271" s="193"/>
      <c r="AC271" s="193"/>
      <c r="AD271" s="193"/>
      <c r="AE271" s="193"/>
      <c r="AF271" s="3"/>
      <c r="AG271" s="3"/>
      <c r="AH271" s="3"/>
      <c r="AI271" s="3"/>
      <c r="AJ271" s="3"/>
      <c r="AK271" s="3"/>
      <c r="AL271" s="3"/>
    </row>
    <row r="272" spans="1:38" ht="14.25" customHeight="1">
      <c r="A272" s="3"/>
      <c r="B272" s="3"/>
      <c r="C272" s="3"/>
      <c r="D272" s="3"/>
      <c r="E272" s="265"/>
      <c r="F272" s="265"/>
      <c r="G272" s="265"/>
      <c r="H272" s="265"/>
      <c r="I272" s="265"/>
      <c r="J272" s="260"/>
      <c r="K272" s="3"/>
      <c r="L272" s="265"/>
      <c r="M272" s="265"/>
      <c r="N272" s="265"/>
      <c r="O272" s="265"/>
      <c r="P272" s="265"/>
      <c r="Q272" s="260"/>
      <c r="R272" s="3"/>
      <c r="S272" s="265"/>
      <c r="T272" s="265"/>
      <c r="U272" s="265"/>
      <c r="V272" s="265"/>
      <c r="W272" s="265"/>
      <c r="X272" s="193"/>
      <c r="Y272" s="193"/>
      <c r="Z272" s="193"/>
      <c r="AA272" s="193"/>
      <c r="AB272" s="193"/>
      <c r="AC272" s="193"/>
      <c r="AD272" s="193"/>
      <c r="AE272" s="193"/>
      <c r="AF272" s="3"/>
      <c r="AG272" s="3"/>
      <c r="AH272" s="3"/>
      <c r="AI272" s="3"/>
      <c r="AJ272" s="3"/>
      <c r="AK272" s="3"/>
      <c r="AL272" s="3"/>
    </row>
    <row r="273" spans="1:38" ht="14.25" customHeight="1">
      <c r="A273" s="3"/>
      <c r="B273" s="3"/>
      <c r="C273" s="3"/>
      <c r="D273" s="3"/>
      <c r="E273" s="265"/>
      <c r="F273" s="265"/>
      <c r="G273" s="265"/>
      <c r="H273" s="265"/>
      <c r="I273" s="265"/>
      <c r="J273" s="260"/>
      <c r="K273" s="3"/>
      <c r="L273" s="265"/>
      <c r="M273" s="265"/>
      <c r="N273" s="265"/>
      <c r="O273" s="265"/>
      <c r="P273" s="265"/>
      <c r="Q273" s="260"/>
      <c r="R273" s="3"/>
      <c r="S273" s="265"/>
      <c r="T273" s="265"/>
      <c r="U273" s="265"/>
      <c r="V273" s="265"/>
      <c r="W273" s="265"/>
      <c r="X273" s="193"/>
      <c r="Y273" s="193"/>
      <c r="Z273" s="193"/>
      <c r="AA273" s="193"/>
      <c r="AB273" s="193"/>
      <c r="AC273" s="193"/>
      <c r="AD273" s="193"/>
      <c r="AE273" s="193"/>
      <c r="AF273" s="3"/>
      <c r="AG273" s="3"/>
      <c r="AH273" s="3"/>
      <c r="AI273" s="3"/>
      <c r="AJ273" s="3"/>
      <c r="AK273" s="3"/>
      <c r="AL273" s="3"/>
    </row>
    <row r="274" spans="1:38" ht="14.25" customHeight="1">
      <c r="A274" s="3"/>
      <c r="B274" s="3"/>
      <c r="C274" s="3"/>
      <c r="D274" s="3"/>
      <c r="E274" s="265"/>
      <c r="F274" s="265"/>
      <c r="G274" s="265"/>
      <c r="H274" s="265"/>
      <c r="I274" s="265"/>
      <c r="J274" s="260"/>
      <c r="K274" s="3"/>
      <c r="L274" s="265"/>
      <c r="M274" s="265"/>
      <c r="N274" s="265"/>
      <c r="O274" s="265"/>
      <c r="P274" s="265"/>
      <c r="Q274" s="260"/>
      <c r="R274" s="3"/>
      <c r="S274" s="265"/>
      <c r="T274" s="265"/>
      <c r="U274" s="265"/>
      <c r="V274" s="265"/>
      <c r="W274" s="265"/>
      <c r="X274" s="193"/>
      <c r="Y274" s="193"/>
      <c r="Z274" s="193"/>
      <c r="AA274" s="193"/>
      <c r="AB274" s="193"/>
      <c r="AC274" s="193"/>
      <c r="AD274" s="193"/>
      <c r="AE274" s="193"/>
      <c r="AF274" s="3"/>
      <c r="AG274" s="3"/>
      <c r="AH274" s="3"/>
      <c r="AI274" s="3"/>
      <c r="AJ274" s="3"/>
      <c r="AK274" s="3"/>
      <c r="AL274" s="3"/>
    </row>
    <row r="275" spans="1:38" ht="14.25" customHeight="1">
      <c r="A275" s="3"/>
      <c r="B275" s="3"/>
      <c r="C275" s="3"/>
      <c r="D275" s="3"/>
      <c r="E275" s="265"/>
      <c r="F275" s="265"/>
      <c r="G275" s="265"/>
      <c r="H275" s="265"/>
      <c r="I275" s="265"/>
      <c r="J275" s="260"/>
      <c r="K275" s="3"/>
      <c r="L275" s="265"/>
      <c r="M275" s="265"/>
      <c r="N275" s="265"/>
      <c r="O275" s="265"/>
      <c r="P275" s="265"/>
      <c r="Q275" s="260"/>
      <c r="R275" s="3"/>
      <c r="S275" s="265"/>
      <c r="T275" s="265"/>
      <c r="U275" s="265"/>
      <c r="V275" s="265"/>
      <c r="W275" s="265"/>
      <c r="X275" s="193"/>
      <c r="Y275" s="193"/>
      <c r="Z275" s="193"/>
      <c r="AA275" s="193"/>
      <c r="AB275" s="193"/>
      <c r="AC275" s="193"/>
      <c r="AD275" s="193"/>
      <c r="AE275" s="193"/>
      <c r="AF275" s="3"/>
      <c r="AG275" s="3"/>
      <c r="AH275" s="3"/>
      <c r="AI275" s="3"/>
      <c r="AJ275" s="3"/>
      <c r="AK275" s="3"/>
      <c r="AL275" s="3"/>
    </row>
    <row r="276" spans="1:38" ht="14.25" customHeight="1">
      <c r="A276" s="3"/>
      <c r="B276" s="3"/>
      <c r="C276" s="3"/>
      <c r="D276" s="3"/>
      <c r="E276" s="265"/>
      <c r="F276" s="265"/>
      <c r="G276" s="265"/>
      <c r="H276" s="265"/>
      <c r="I276" s="265"/>
      <c r="J276" s="260"/>
      <c r="K276" s="3"/>
      <c r="L276" s="265"/>
      <c r="M276" s="265"/>
      <c r="N276" s="265"/>
      <c r="O276" s="265"/>
      <c r="P276" s="265"/>
      <c r="Q276" s="260"/>
      <c r="R276" s="3"/>
      <c r="S276" s="265"/>
      <c r="T276" s="265"/>
      <c r="U276" s="265"/>
      <c r="V276" s="265"/>
      <c r="W276" s="265"/>
      <c r="X276" s="193"/>
      <c r="Y276" s="193"/>
      <c r="Z276" s="193"/>
      <c r="AA276" s="193"/>
      <c r="AB276" s="193"/>
      <c r="AC276" s="193"/>
      <c r="AD276" s="193"/>
      <c r="AE276" s="193"/>
      <c r="AF276" s="3"/>
      <c r="AG276" s="3"/>
      <c r="AH276" s="3"/>
      <c r="AI276" s="3"/>
      <c r="AJ276" s="3"/>
      <c r="AK276" s="3"/>
      <c r="AL276" s="3"/>
    </row>
    <row r="277" spans="1:38" ht="14.25" customHeight="1">
      <c r="A277" s="3"/>
      <c r="B277" s="3"/>
      <c r="C277" s="3"/>
      <c r="D277" s="3"/>
      <c r="E277" s="265"/>
      <c r="F277" s="265"/>
      <c r="G277" s="265"/>
      <c r="H277" s="265"/>
      <c r="I277" s="265"/>
      <c r="J277" s="260"/>
      <c r="K277" s="3"/>
      <c r="L277" s="265"/>
      <c r="M277" s="265"/>
      <c r="N277" s="265"/>
      <c r="O277" s="265"/>
      <c r="P277" s="265"/>
      <c r="Q277" s="260"/>
      <c r="R277" s="3"/>
      <c r="S277" s="265"/>
      <c r="T277" s="265"/>
      <c r="U277" s="265"/>
      <c r="V277" s="265"/>
      <c r="W277" s="265"/>
      <c r="X277" s="193"/>
      <c r="Y277" s="193"/>
      <c r="Z277" s="193"/>
      <c r="AA277" s="193"/>
      <c r="AB277" s="193"/>
      <c r="AC277" s="193"/>
      <c r="AD277" s="193"/>
      <c r="AE277" s="193"/>
      <c r="AF277" s="3"/>
      <c r="AG277" s="3"/>
      <c r="AH277" s="3"/>
      <c r="AI277" s="3"/>
      <c r="AJ277" s="3"/>
      <c r="AK277" s="3"/>
      <c r="AL277" s="3"/>
    </row>
    <row r="278" spans="1:38" ht="14.25" customHeight="1">
      <c r="A278" s="3"/>
      <c r="B278" s="3"/>
      <c r="C278" s="3"/>
      <c r="D278" s="3"/>
      <c r="E278" s="265"/>
      <c r="F278" s="265"/>
      <c r="G278" s="265"/>
      <c r="H278" s="265"/>
      <c r="I278" s="265"/>
      <c r="J278" s="260"/>
      <c r="K278" s="3"/>
      <c r="L278" s="265"/>
      <c r="M278" s="265"/>
      <c r="N278" s="265"/>
      <c r="O278" s="265"/>
      <c r="P278" s="265"/>
      <c r="Q278" s="260"/>
      <c r="R278" s="3"/>
      <c r="S278" s="265"/>
      <c r="T278" s="265"/>
      <c r="U278" s="265"/>
      <c r="V278" s="265"/>
      <c r="W278" s="265"/>
      <c r="X278" s="193"/>
      <c r="Y278" s="193"/>
      <c r="Z278" s="193"/>
      <c r="AA278" s="193"/>
      <c r="AB278" s="193"/>
      <c r="AC278" s="193"/>
      <c r="AD278" s="193"/>
      <c r="AE278" s="193"/>
      <c r="AF278" s="3"/>
      <c r="AG278" s="3"/>
      <c r="AH278" s="3"/>
      <c r="AI278" s="3"/>
      <c r="AJ278" s="3"/>
      <c r="AK278" s="3"/>
      <c r="AL278" s="3"/>
    </row>
    <row r="279" spans="1:38" ht="14.25" customHeight="1">
      <c r="A279" s="3"/>
      <c r="B279" s="3"/>
      <c r="C279" s="3"/>
      <c r="D279" s="3"/>
      <c r="E279" s="265"/>
      <c r="F279" s="265"/>
      <c r="G279" s="265"/>
      <c r="H279" s="265"/>
      <c r="I279" s="265"/>
      <c r="J279" s="260"/>
      <c r="K279" s="3"/>
      <c r="L279" s="265"/>
      <c r="M279" s="265"/>
      <c r="N279" s="265"/>
      <c r="O279" s="265"/>
      <c r="P279" s="265"/>
      <c r="Q279" s="260"/>
      <c r="R279" s="3"/>
      <c r="S279" s="265"/>
      <c r="T279" s="265"/>
      <c r="U279" s="265"/>
      <c r="V279" s="265"/>
      <c r="W279" s="265"/>
      <c r="X279" s="193"/>
      <c r="Y279" s="193"/>
      <c r="Z279" s="193"/>
      <c r="AA279" s="193"/>
      <c r="AB279" s="193"/>
      <c r="AC279" s="193"/>
      <c r="AD279" s="193"/>
      <c r="AE279" s="193"/>
      <c r="AF279" s="3"/>
      <c r="AG279" s="3"/>
      <c r="AH279" s="3"/>
      <c r="AI279" s="3"/>
      <c r="AJ279" s="3"/>
      <c r="AK279" s="3"/>
      <c r="AL279" s="3"/>
    </row>
    <row r="280" spans="1:38" ht="14.25" customHeight="1">
      <c r="A280" s="3"/>
      <c r="B280" s="3"/>
      <c r="C280" s="3"/>
      <c r="D280" s="3"/>
      <c r="E280" s="265"/>
      <c r="F280" s="265"/>
      <c r="G280" s="265"/>
      <c r="H280" s="265"/>
      <c r="I280" s="265"/>
      <c r="J280" s="260"/>
      <c r="K280" s="3"/>
      <c r="L280" s="265"/>
      <c r="M280" s="265"/>
      <c r="N280" s="265"/>
      <c r="O280" s="265"/>
      <c r="P280" s="265"/>
      <c r="Q280" s="260"/>
      <c r="R280" s="3"/>
      <c r="S280" s="265"/>
      <c r="T280" s="265"/>
      <c r="U280" s="265"/>
      <c r="V280" s="265"/>
      <c r="W280" s="265"/>
      <c r="X280" s="193"/>
      <c r="Y280" s="193"/>
      <c r="Z280" s="193"/>
      <c r="AA280" s="193"/>
      <c r="AB280" s="193"/>
      <c r="AC280" s="193"/>
      <c r="AD280" s="193"/>
      <c r="AE280" s="193"/>
      <c r="AF280" s="3"/>
      <c r="AG280" s="3"/>
      <c r="AH280" s="3"/>
      <c r="AI280" s="3"/>
      <c r="AJ280" s="3"/>
      <c r="AK280" s="3"/>
      <c r="AL280" s="3"/>
    </row>
    <row r="281" spans="1:38" ht="14.25" customHeight="1">
      <c r="A281" s="3"/>
      <c r="B281" s="3"/>
      <c r="C281" s="3"/>
      <c r="D281" s="3"/>
      <c r="E281" s="265"/>
      <c r="F281" s="265"/>
      <c r="G281" s="265"/>
      <c r="H281" s="265"/>
      <c r="I281" s="265"/>
      <c r="J281" s="260"/>
      <c r="K281" s="3"/>
      <c r="L281" s="265"/>
      <c r="M281" s="265"/>
      <c r="N281" s="265"/>
      <c r="O281" s="265"/>
      <c r="P281" s="265"/>
      <c r="Q281" s="260"/>
      <c r="R281" s="3"/>
      <c r="S281" s="265"/>
      <c r="T281" s="265"/>
      <c r="U281" s="265"/>
      <c r="V281" s="265"/>
      <c r="W281" s="265"/>
      <c r="X281" s="193"/>
      <c r="Y281" s="193"/>
      <c r="Z281" s="193"/>
      <c r="AA281" s="193"/>
      <c r="AB281" s="193"/>
      <c r="AC281" s="193"/>
      <c r="AD281" s="193"/>
      <c r="AE281" s="193"/>
      <c r="AF281" s="3"/>
      <c r="AG281" s="3"/>
      <c r="AH281" s="3"/>
      <c r="AI281" s="3"/>
      <c r="AJ281" s="3"/>
      <c r="AK281" s="3"/>
      <c r="AL281" s="3"/>
    </row>
    <row r="282" spans="1:38" ht="14.25" customHeight="1">
      <c r="A282" s="3"/>
      <c r="B282" s="3"/>
      <c r="C282" s="3"/>
      <c r="D282" s="3"/>
      <c r="E282" s="265"/>
      <c r="F282" s="265"/>
      <c r="G282" s="265"/>
      <c r="H282" s="265"/>
      <c r="I282" s="265"/>
      <c r="J282" s="260"/>
      <c r="K282" s="3"/>
      <c r="L282" s="265"/>
      <c r="M282" s="265"/>
      <c r="N282" s="265"/>
      <c r="O282" s="265"/>
      <c r="P282" s="265"/>
      <c r="Q282" s="260"/>
      <c r="R282" s="3"/>
      <c r="S282" s="265"/>
      <c r="T282" s="265"/>
      <c r="U282" s="265"/>
      <c r="V282" s="265"/>
      <c r="W282" s="265"/>
      <c r="X282" s="193"/>
      <c r="Y282" s="193"/>
      <c r="Z282" s="193"/>
      <c r="AA282" s="193"/>
      <c r="AB282" s="193"/>
      <c r="AC282" s="193"/>
      <c r="AD282" s="193"/>
      <c r="AE282" s="193"/>
      <c r="AF282" s="3"/>
      <c r="AG282" s="3"/>
      <c r="AH282" s="3"/>
      <c r="AI282" s="3"/>
      <c r="AJ282" s="3"/>
      <c r="AK282" s="3"/>
      <c r="AL282" s="3"/>
    </row>
    <row r="283" spans="1:38" ht="14.25" customHeight="1">
      <c r="A283" s="3"/>
      <c r="B283" s="3"/>
      <c r="C283" s="3"/>
      <c r="D283" s="3"/>
      <c r="E283" s="265"/>
      <c r="F283" s="265"/>
      <c r="G283" s="265"/>
      <c r="H283" s="265"/>
      <c r="I283" s="265"/>
      <c r="J283" s="260"/>
      <c r="K283" s="3"/>
      <c r="L283" s="265"/>
      <c r="M283" s="265"/>
      <c r="N283" s="265"/>
      <c r="O283" s="265"/>
      <c r="P283" s="265"/>
      <c r="Q283" s="260"/>
      <c r="R283" s="3"/>
      <c r="S283" s="265"/>
      <c r="T283" s="265"/>
      <c r="U283" s="265"/>
      <c r="V283" s="265"/>
      <c r="W283" s="265"/>
      <c r="X283" s="193"/>
      <c r="Y283" s="193"/>
      <c r="Z283" s="193"/>
      <c r="AA283" s="193"/>
      <c r="AB283" s="193"/>
      <c r="AC283" s="193"/>
      <c r="AD283" s="193"/>
      <c r="AE283" s="193"/>
      <c r="AF283" s="3"/>
      <c r="AG283" s="3"/>
      <c r="AH283" s="3"/>
      <c r="AI283" s="3"/>
      <c r="AJ283" s="3"/>
      <c r="AK283" s="3"/>
      <c r="AL283" s="3"/>
    </row>
    <row r="284" spans="1:38" ht="14.25" customHeight="1">
      <c r="A284" s="3"/>
      <c r="B284" s="3"/>
      <c r="C284" s="3"/>
      <c r="D284" s="3"/>
      <c r="E284" s="265"/>
      <c r="F284" s="265"/>
      <c r="G284" s="265"/>
      <c r="H284" s="265"/>
      <c r="I284" s="265"/>
      <c r="J284" s="260"/>
      <c r="K284" s="3"/>
      <c r="L284" s="265"/>
      <c r="M284" s="265"/>
      <c r="N284" s="265"/>
      <c r="O284" s="265"/>
      <c r="P284" s="265"/>
      <c r="Q284" s="260"/>
      <c r="R284" s="3"/>
      <c r="S284" s="265"/>
      <c r="T284" s="265"/>
      <c r="U284" s="265"/>
      <c r="V284" s="265"/>
      <c r="W284" s="265"/>
      <c r="X284" s="193"/>
      <c r="Y284" s="193"/>
      <c r="Z284" s="193"/>
      <c r="AA284" s="193"/>
      <c r="AB284" s="193"/>
      <c r="AC284" s="193"/>
      <c r="AD284" s="193"/>
      <c r="AE284" s="193"/>
      <c r="AF284" s="3"/>
      <c r="AG284" s="3"/>
      <c r="AH284" s="3"/>
      <c r="AI284" s="3"/>
      <c r="AJ284" s="3"/>
      <c r="AK284" s="3"/>
      <c r="AL284" s="3"/>
    </row>
    <row r="285" spans="1:38" ht="14.25" customHeight="1">
      <c r="A285" s="3"/>
      <c r="B285" s="3"/>
      <c r="C285" s="3"/>
      <c r="D285" s="3"/>
      <c r="E285" s="265"/>
      <c r="F285" s="265"/>
      <c r="G285" s="265"/>
      <c r="H285" s="265"/>
      <c r="I285" s="265"/>
      <c r="J285" s="260"/>
      <c r="K285" s="3"/>
      <c r="L285" s="265"/>
      <c r="M285" s="265"/>
      <c r="N285" s="265"/>
      <c r="O285" s="265"/>
      <c r="P285" s="265"/>
      <c r="Q285" s="260"/>
      <c r="R285" s="3"/>
      <c r="S285" s="265"/>
      <c r="T285" s="265"/>
      <c r="U285" s="265"/>
      <c r="V285" s="265"/>
      <c r="W285" s="265"/>
      <c r="X285" s="193"/>
      <c r="Y285" s="193"/>
      <c r="Z285" s="193"/>
      <c r="AA285" s="193"/>
      <c r="AB285" s="193"/>
      <c r="AC285" s="193"/>
      <c r="AD285" s="193"/>
      <c r="AE285" s="193"/>
      <c r="AF285" s="3"/>
      <c r="AG285" s="3"/>
      <c r="AH285" s="3"/>
      <c r="AI285" s="3"/>
      <c r="AJ285" s="3"/>
      <c r="AK285" s="3"/>
      <c r="AL285" s="3"/>
    </row>
    <row r="286" spans="1:38" ht="14.25" customHeight="1">
      <c r="A286" s="3"/>
      <c r="B286" s="3"/>
      <c r="C286" s="3"/>
      <c r="D286" s="3"/>
      <c r="E286" s="265"/>
      <c r="F286" s="265"/>
      <c r="G286" s="265"/>
      <c r="H286" s="265"/>
      <c r="I286" s="265"/>
      <c r="J286" s="260"/>
      <c r="K286" s="3"/>
      <c r="L286" s="265"/>
      <c r="M286" s="265"/>
      <c r="N286" s="265"/>
      <c r="O286" s="265"/>
      <c r="P286" s="265"/>
      <c r="Q286" s="260"/>
      <c r="R286" s="3"/>
      <c r="S286" s="265"/>
      <c r="T286" s="265"/>
      <c r="U286" s="265"/>
      <c r="V286" s="265"/>
      <c r="W286" s="265"/>
      <c r="X286" s="193"/>
      <c r="Y286" s="193"/>
      <c r="Z286" s="193"/>
      <c r="AA286" s="193"/>
      <c r="AB286" s="193"/>
      <c r="AC286" s="193"/>
      <c r="AD286" s="193"/>
      <c r="AE286" s="193"/>
      <c r="AF286" s="3"/>
      <c r="AG286" s="3"/>
      <c r="AH286" s="3"/>
      <c r="AI286" s="3"/>
      <c r="AJ286" s="3"/>
      <c r="AK286" s="3"/>
      <c r="AL286" s="3"/>
    </row>
    <row r="287" spans="1:38" ht="14.25" customHeight="1">
      <c r="A287" s="3"/>
      <c r="B287" s="3"/>
      <c r="C287" s="3"/>
      <c r="D287" s="3"/>
      <c r="E287" s="265"/>
      <c r="F287" s="265"/>
      <c r="G287" s="265"/>
      <c r="H287" s="265"/>
      <c r="I287" s="265"/>
      <c r="J287" s="260"/>
      <c r="K287" s="3"/>
      <c r="L287" s="265"/>
      <c r="M287" s="265"/>
      <c r="N287" s="265"/>
      <c r="O287" s="265"/>
      <c r="P287" s="265"/>
      <c r="Q287" s="260"/>
      <c r="R287" s="3"/>
      <c r="S287" s="265"/>
      <c r="T287" s="265"/>
      <c r="U287" s="265"/>
      <c r="V287" s="265"/>
      <c r="W287" s="265"/>
      <c r="X287" s="193"/>
      <c r="Y287" s="193"/>
      <c r="Z287" s="193"/>
      <c r="AA287" s="193"/>
      <c r="AB287" s="193"/>
      <c r="AC287" s="193"/>
      <c r="AD287" s="193"/>
      <c r="AE287" s="193"/>
      <c r="AF287" s="3"/>
      <c r="AG287" s="3"/>
      <c r="AH287" s="3"/>
      <c r="AI287" s="3"/>
      <c r="AJ287" s="3"/>
      <c r="AK287" s="3"/>
      <c r="AL287" s="3"/>
    </row>
    <row r="288" spans="1:38" ht="14.25" customHeight="1">
      <c r="A288" s="3"/>
      <c r="B288" s="3"/>
      <c r="C288" s="3"/>
      <c r="D288" s="3"/>
      <c r="E288" s="265"/>
      <c r="F288" s="265"/>
      <c r="G288" s="265"/>
      <c r="H288" s="265"/>
      <c r="I288" s="265"/>
      <c r="J288" s="260"/>
      <c r="K288" s="3"/>
      <c r="L288" s="265"/>
      <c r="M288" s="265"/>
      <c r="N288" s="265"/>
      <c r="O288" s="265"/>
      <c r="P288" s="265"/>
      <c r="Q288" s="260"/>
      <c r="R288" s="3"/>
      <c r="S288" s="265"/>
      <c r="T288" s="265"/>
      <c r="U288" s="265"/>
      <c r="V288" s="265"/>
      <c r="W288" s="265"/>
      <c r="X288" s="193"/>
      <c r="Y288" s="193"/>
      <c r="Z288" s="193"/>
      <c r="AA288" s="193"/>
      <c r="AB288" s="193"/>
      <c r="AC288" s="193"/>
      <c r="AD288" s="193"/>
      <c r="AE288" s="193"/>
      <c r="AF288" s="3"/>
      <c r="AG288" s="3"/>
      <c r="AH288" s="3"/>
      <c r="AI288" s="3"/>
      <c r="AJ288" s="3"/>
      <c r="AK288" s="3"/>
      <c r="AL288" s="3"/>
    </row>
    <row r="289" spans="1:38" ht="14.25" customHeight="1">
      <c r="A289" s="3"/>
      <c r="B289" s="3"/>
      <c r="C289" s="3"/>
      <c r="D289" s="3"/>
      <c r="E289" s="265"/>
      <c r="F289" s="265"/>
      <c r="G289" s="265"/>
      <c r="H289" s="265"/>
      <c r="I289" s="265"/>
      <c r="J289" s="260"/>
      <c r="K289" s="3"/>
      <c r="L289" s="265"/>
      <c r="M289" s="265"/>
      <c r="N289" s="265"/>
      <c r="O289" s="265"/>
      <c r="P289" s="265"/>
      <c r="Q289" s="260"/>
      <c r="R289" s="3"/>
      <c r="S289" s="265"/>
      <c r="T289" s="265"/>
      <c r="U289" s="265"/>
      <c r="V289" s="265"/>
      <c r="W289" s="265"/>
      <c r="X289" s="193"/>
      <c r="Y289" s="193"/>
      <c r="Z289" s="193"/>
      <c r="AA289" s="193"/>
      <c r="AB289" s="193"/>
      <c r="AC289" s="193"/>
      <c r="AD289" s="193"/>
      <c r="AE289" s="193"/>
      <c r="AF289" s="3"/>
      <c r="AG289" s="3"/>
      <c r="AH289" s="3"/>
      <c r="AI289" s="3"/>
      <c r="AJ289" s="3"/>
      <c r="AK289" s="3"/>
      <c r="AL289" s="3"/>
    </row>
    <row r="290" spans="1:38" ht="14.25" customHeight="1">
      <c r="A290" s="3"/>
      <c r="B290" s="3"/>
      <c r="C290" s="3"/>
      <c r="D290" s="3"/>
      <c r="E290" s="265"/>
      <c r="F290" s="265"/>
      <c r="G290" s="265"/>
      <c r="H290" s="265"/>
      <c r="I290" s="265"/>
      <c r="J290" s="260"/>
      <c r="K290" s="3"/>
      <c r="L290" s="265"/>
      <c r="M290" s="265"/>
      <c r="N290" s="265"/>
      <c r="O290" s="265"/>
      <c r="P290" s="265"/>
      <c r="Q290" s="260"/>
      <c r="R290" s="3"/>
      <c r="S290" s="265"/>
      <c r="T290" s="265"/>
      <c r="U290" s="265"/>
      <c r="V290" s="265"/>
      <c r="W290" s="265"/>
      <c r="X290" s="193"/>
      <c r="Y290" s="193"/>
      <c r="Z290" s="193"/>
      <c r="AA290" s="193"/>
      <c r="AB290" s="193"/>
      <c r="AC290" s="193"/>
      <c r="AD290" s="193"/>
      <c r="AE290" s="193"/>
      <c r="AF290" s="3"/>
      <c r="AG290" s="3"/>
      <c r="AH290" s="3"/>
      <c r="AI290" s="3"/>
      <c r="AJ290" s="3"/>
      <c r="AK290" s="3"/>
      <c r="AL290" s="3"/>
    </row>
    <row r="291" spans="1:38" ht="14.25" customHeight="1">
      <c r="A291" s="3"/>
      <c r="B291" s="3"/>
      <c r="C291" s="3"/>
      <c r="D291" s="3"/>
      <c r="E291" s="265"/>
      <c r="F291" s="265"/>
      <c r="G291" s="265"/>
      <c r="H291" s="265"/>
      <c r="I291" s="265"/>
      <c r="J291" s="260"/>
      <c r="K291" s="3"/>
      <c r="L291" s="265"/>
      <c r="M291" s="265"/>
      <c r="N291" s="265"/>
      <c r="O291" s="265"/>
      <c r="P291" s="265"/>
      <c r="Q291" s="260"/>
      <c r="R291" s="3"/>
      <c r="S291" s="265"/>
      <c r="T291" s="265"/>
      <c r="U291" s="265"/>
      <c r="V291" s="265"/>
      <c r="W291" s="265"/>
      <c r="X291" s="193"/>
      <c r="Y291" s="193"/>
      <c r="Z291" s="193"/>
      <c r="AA291" s="193"/>
      <c r="AB291" s="193"/>
      <c r="AC291" s="193"/>
      <c r="AD291" s="193"/>
      <c r="AE291" s="193"/>
      <c r="AF291" s="3"/>
      <c r="AG291" s="3"/>
      <c r="AH291" s="3"/>
      <c r="AI291" s="3"/>
      <c r="AJ291" s="3"/>
      <c r="AK291" s="3"/>
      <c r="AL291" s="3"/>
    </row>
    <row r="292" spans="1:38" ht="14.25" customHeight="1">
      <c r="A292" s="3"/>
      <c r="B292" s="3"/>
      <c r="C292" s="3"/>
      <c r="D292" s="3"/>
      <c r="E292" s="265"/>
      <c r="F292" s="265"/>
      <c r="G292" s="265"/>
      <c r="H292" s="265"/>
      <c r="I292" s="265"/>
      <c r="J292" s="260"/>
      <c r="K292" s="3"/>
      <c r="L292" s="265"/>
      <c r="M292" s="265"/>
      <c r="N292" s="265"/>
      <c r="O292" s="265"/>
      <c r="P292" s="265"/>
      <c r="Q292" s="260"/>
      <c r="R292" s="3"/>
      <c r="S292" s="265"/>
      <c r="T292" s="265"/>
      <c r="U292" s="265"/>
      <c r="V292" s="265"/>
      <c r="W292" s="265"/>
      <c r="X292" s="193"/>
      <c r="Y292" s="193"/>
      <c r="Z292" s="193"/>
      <c r="AA292" s="193"/>
      <c r="AB292" s="193"/>
      <c r="AC292" s="193"/>
      <c r="AD292" s="193"/>
      <c r="AE292" s="193"/>
      <c r="AF292" s="3"/>
      <c r="AG292" s="3"/>
      <c r="AH292" s="3"/>
      <c r="AI292" s="3"/>
      <c r="AJ292" s="3"/>
      <c r="AK292" s="3"/>
      <c r="AL292" s="3"/>
    </row>
    <row r="293" spans="1:38" ht="14.25" customHeight="1">
      <c r="A293" s="3"/>
      <c r="B293" s="3"/>
      <c r="C293" s="3"/>
      <c r="D293" s="3"/>
      <c r="E293" s="265"/>
      <c r="F293" s="265"/>
      <c r="G293" s="265"/>
      <c r="H293" s="265"/>
      <c r="I293" s="265"/>
      <c r="J293" s="260"/>
      <c r="K293" s="3"/>
      <c r="L293" s="265"/>
      <c r="M293" s="265"/>
      <c r="N293" s="265"/>
      <c r="O293" s="265"/>
      <c r="P293" s="265"/>
      <c r="Q293" s="260"/>
      <c r="R293" s="3"/>
      <c r="S293" s="265"/>
      <c r="T293" s="265"/>
      <c r="U293" s="265"/>
      <c r="V293" s="265"/>
      <c r="W293" s="265"/>
      <c r="X293" s="193"/>
      <c r="Y293" s="193"/>
      <c r="Z293" s="193"/>
      <c r="AA293" s="193"/>
      <c r="AB293" s="193"/>
      <c r="AC293" s="193"/>
      <c r="AD293" s="193"/>
      <c r="AE293" s="193"/>
      <c r="AF293" s="3"/>
      <c r="AG293" s="3"/>
      <c r="AH293" s="3"/>
      <c r="AI293" s="3"/>
      <c r="AJ293" s="3"/>
      <c r="AK293" s="3"/>
      <c r="AL293" s="3"/>
    </row>
    <row r="294" spans="1:38" ht="14.25" customHeight="1">
      <c r="A294" s="3"/>
      <c r="B294" s="3"/>
      <c r="C294" s="3"/>
      <c r="D294" s="3"/>
      <c r="E294" s="265"/>
      <c r="F294" s="265"/>
      <c r="G294" s="265"/>
      <c r="H294" s="265"/>
      <c r="I294" s="265"/>
      <c r="J294" s="260"/>
      <c r="K294" s="3"/>
      <c r="L294" s="265"/>
      <c r="M294" s="265"/>
      <c r="N294" s="265"/>
      <c r="O294" s="265"/>
      <c r="P294" s="265"/>
      <c r="Q294" s="260"/>
      <c r="R294" s="3"/>
      <c r="S294" s="265"/>
      <c r="T294" s="265"/>
      <c r="U294" s="265"/>
      <c r="V294" s="265"/>
      <c r="W294" s="265"/>
      <c r="X294" s="193"/>
      <c r="Y294" s="193"/>
      <c r="Z294" s="193"/>
      <c r="AA294" s="193"/>
      <c r="AB294" s="193"/>
      <c r="AC294" s="193"/>
      <c r="AD294" s="193"/>
      <c r="AE294" s="193"/>
      <c r="AF294" s="3"/>
      <c r="AG294" s="3"/>
      <c r="AH294" s="3"/>
      <c r="AI294" s="3"/>
      <c r="AJ294" s="3"/>
      <c r="AK294" s="3"/>
      <c r="AL294" s="3"/>
    </row>
    <row r="295" spans="1:38" ht="14.25" customHeight="1">
      <c r="A295" s="3"/>
      <c r="B295" s="3"/>
      <c r="C295" s="3"/>
      <c r="D295" s="3"/>
      <c r="E295" s="265"/>
      <c r="F295" s="265"/>
      <c r="G295" s="265"/>
      <c r="H295" s="265"/>
      <c r="I295" s="265"/>
      <c r="J295" s="260"/>
      <c r="K295" s="3"/>
      <c r="L295" s="265"/>
      <c r="M295" s="265"/>
      <c r="N295" s="265"/>
      <c r="O295" s="265"/>
      <c r="P295" s="265"/>
      <c r="Q295" s="260"/>
      <c r="R295" s="3"/>
      <c r="S295" s="265"/>
      <c r="T295" s="265"/>
      <c r="U295" s="265"/>
      <c r="V295" s="265"/>
      <c r="W295" s="265"/>
      <c r="X295" s="193"/>
      <c r="Y295" s="193"/>
      <c r="Z295" s="193"/>
      <c r="AA295" s="193"/>
      <c r="AB295" s="193"/>
      <c r="AC295" s="193"/>
      <c r="AD295" s="193"/>
      <c r="AE295" s="193"/>
      <c r="AF295" s="3"/>
      <c r="AG295" s="3"/>
      <c r="AH295" s="3"/>
      <c r="AI295" s="3"/>
      <c r="AJ295" s="3"/>
      <c r="AK295" s="3"/>
      <c r="AL295" s="3"/>
    </row>
    <row r="296" spans="1:38" ht="14.25" customHeight="1">
      <c r="A296" s="3"/>
      <c r="B296" s="3"/>
      <c r="C296" s="3"/>
      <c r="D296" s="3"/>
      <c r="E296" s="265"/>
      <c r="F296" s="265"/>
      <c r="G296" s="265"/>
      <c r="H296" s="265"/>
      <c r="I296" s="265"/>
      <c r="J296" s="260"/>
      <c r="K296" s="3"/>
      <c r="L296" s="265"/>
      <c r="M296" s="265"/>
      <c r="N296" s="265"/>
      <c r="O296" s="265"/>
      <c r="P296" s="265"/>
      <c r="Q296" s="260"/>
      <c r="R296" s="3"/>
      <c r="S296" s="265"/>
      <c r="T296" s="265"/>
      <c r="U296" s="265"/>
      <c r="V296" s="265"/>
      <c r="W296" s="265"/>
      <c r="X296" s="193"/>
      <c r="Y296" s="193"/>
      <c r="Z296" s="193"/>
      <c r="AA296" s="193"/>
      <c r="AB296" s="193"/>
      <c r="AC296" s="193"/>
      <c r="AD296" s="193"/>
      <c r="AE296" s="193"/>
      <c r="AF296" s="3"/>
      <c r="AG296" s="3"/>
      <c r="AH296" s="3"/>
      <c r="AI296" s="3"/>
      <c r="AJ296" s="3"/>
      <c r="AK296" s="3"/>
      <c r="AL296" s="3"/>
    </row>
    <row r="297" spans="1:38" ht="14.25" customHeight="1">
      <c r="A297" s="3"/>
      <c r="B297" s="3"/>
      <c r="C297" s="3"/>
      <c r="D297" s="3"/>
      <c r="E297" s="265"/>
      <c r="F297" s="265"/>
      <c r="G297" s="265"/>
      <c r="H297" s="265"/>
      <c r="I297" s="265"/>
      <c r="J297" s="260"/>
      <c r="K297" s="3"/>
      <c r="L297" s="265"/>
      <c r="M297" s="265"/>
      <c r="N297" s="265"/>
      <c r="O297" s="265"/>
      <c r="P297" s="265"/>
      <c r="Q297" s="260"/>
      <c r="R297" s="3"/>
      <c r="S297" s="265"/>
      <c r="T297" s="265"/>
      <c r="U297" s="265"/>
      <c r="V297" s="265"/>
      <c r="W297" s="265"/>
      <c r="X297" s="193"/>
      <c r="Y297" s="193"/>
      <c r="Z297" s="193"/>
      <c r="AA297" s="193"/>
      <c r="AB297" s="193"/>
      <c r="AC297" s="193"/>
      <c r="AD297" s="193"/>
      <c r="AE297" s="193"/>
      <c r="AF297" s="3"/>
      <c r="AG297" s="3"/>
      <c r="AH297" s="3"/>
      <c r="AI297" s="3"/>
      <c r="AJ297" s="3"/>
      <c r="AK297" s="3"/>
      <c r="AL297" s="3"/>
    </row>
    <row r="298" spans="1:38" ht="14.25" customHeight="1">
      <c r="A298" s="3"/>
      <c r="B298" s="3"/>
      <c r="C298" s="3"/>
      <c r="D298" s="3"/>
      <c r="E298" s="265"/>
      <c r="F298" s="265"/>
      <c r="G298" s="265"/>
      <c r="H298" s="265"/>
      <c r="I298" s="265"/>
      <c r="J298" s="260"/>
      <c r="K298" s="3"/>
      <c r="L298" s="265"/>
      <c r="M298" s="265"/>
      <c r="N298" s="265"/>
      <c r="O298" s="265"/>
      <c r="P298" s="265"/>
      <c r="Q298" s="260"/>
      <c r="R298" s="3"/>
      <c r="S298" s="265"/>
      <c r="T298" s="265"/>
      <c r="U298" s="265"/>
      <c r="V298" s="265"/>
      <c r="W298" s="265"/>
      <c r="X298" s="193"/>
      <c r="Y298" s="193"/>
      <c r="Z298" s="193"/>
      <c r="AA298" s="193"/>
      <c r="AB298" s="193"/>
      <c r="AC298" s="193"/>
      <c r="AD298" s="193"/>
      <c r="AE298" s="193"/>
      <c r="AF298" s="3"/>
      <c r="AG298" s="3"/>
      <c r="AH298" s="3"/>
      <c r="AI298" s="3"/>
      <c r="AJ298" s="3"/>
      <c r="AK298" s="3"/>
      <c r="AL298" s="3"/>
    </row>
    <row r="299" spans="1:38" ht="14.25" customHeight="1">
      <c r="A299" s="3"/>
      <c r="B299" s="3"/>
      <c r="C299" s="3"/>
      <c r="D299" s="3"/>
      <c r="E299" s="265"/>
      <c r="F299" s="265"/>
      <c r="G299" s="265"/>
      <c r="H299" s="265"/>
      <c r="I299" s="265"/>
      <c r="J299" s="260"/>
      <c r="K299" s="3"/>
      <c r="L299" s="265"/>
      <c r="M299" s="265"/>
      <c r="N299" s="265"/>
      <c r="O299" s="265"/>
      <c r="P299" s="265"/>
      <c r="Q299" s="260"/>
      <c r="R299" s="3"/>
      <c r="S299" s="265"/>
      <c r="T299" s="265"/>
      <c r="U299" s="265"/>
      <c r="V299" s="265"/>
      <c r="W299" s="265"/>
      <c r="X299" s="193"/>
      <c r="Y299" s="193"/>
      <c r="Z299" s="193"/>
      <c r="AA299" s="193"/>
      <c r="AB299" s="193"/>
      <c r="AC299" s="193"/>
      <c r="AD299" s="193"/>
      <c r="AE299" s="193"/>
      <c r="AF299" s="3"/>
      <c r="AG299" s="3"/>
      <c r="AH299" s="3"/>
      <c r="AI299" s="3"/>
      <c r="AJ299" s="3"/>
      <c r="AK299" s="3"/>
      <c r="AL299" s="3"/>
    </row>
    <row r="300" spans="1:38" ht="14.25" customHeight="1">
      <c r="A300" s="3"/>
      <c r="B300" s="3"/>
      <c r="C300" s="3"/>
      <c r="D300" s="3"/>
      <c r="E300" s="265"/>
      <c r="F300" s="265"/>
      <c r="G300" s="265"/>
      <c r="H300" s="265"/>
      <c r="I300" s="265"/>
      <c r="J300" s="260"/>
      <c r="K300" s="3"/>
      <c r="L300" s="265"/>
      <c r="M300" s="265"/>
      <c r="N300" s="265"/>
      <c r="O300" s="265"/>
      <c r="P300" s="265"/>
      <c r="Q300" s="260"/>
      <c r="R300" s="3"/>
      <c r="S300" s="265"/>
      <c r="T300" s="265"/>
      <c r="U300" s="265"/>
      <c r="V300" s="265"/>
      <c r="W300" s="265"/>
      <c r="X300" s="193"/>
      <c r="Y300" s="193"/>
      <c r="Z300" s="193"/>
      <c r="AA300" s="193"/>
      <c r="AB300" s="193"/>
      <c r="AC300" s="193"/>
      <c r="AD300" s="193"/>
      <c r="AE300" s="193"/>
      <c r="AF300" s="3"/>
      <c r="AG300" s="3"/>
      <c r="AH300" s="3"/>
      <c r="AI300" s="3"/>
      <c r="AJ300" s="3"/>
      <c r="AK300" s="3"/>
      <c r="AL300" s="3"/>
    </row>
    <row r="301" spans="1:38" ht="14.25" customHeight="1">
      <c r="A301" s="3"/>
      <c r="B301" s="3"/>
      <c r="C301" s="3"/>
      <c r="D301" s="3"/>
      <c r="E301" s="265"/>
      <c r="F301" s="265"/>
      <c r="G301" s="265"/>
      <c r="H301" s="265"/>
      <c r="I301" s="265"/>
      <c r="J301" s="260"/>
      <c r="K301" s="3"/>
      <c r="L301" s="265"/>
      <c r="M301" s="265"/>
      <c r="N301" s="265"/>
      <c r="O301" s="265"/>
      <c r="P301" s="265"/>
      <c r="Q301" s="260"/>
      <c r="R301" s="3"/>
      <c r="S301" s="265"/>
      <c r="T301" s="265"/>
      <c r="U301" s="265"/>
      <c r="V301" s="265"/>
      <c r="W301" s="265"/>
      <c r="X301" s="193"/>
      <c r="Y301" s="193"/>
      <c r="Z301" s="193"/>
      <c r="AA301" s="193"/>
      <c r="AB301" s="193"/>
      <c r="AC301" s="193"/>
      <c r="AD301" s="193"/>
      <c r="AE301" s="193"/>
      <c r="AF301" s="3"/>
      <c r="AG301" s="3"/>
      <c r="AH301" s="3"/>
      <c r="AI301" s="3"/>
      <c r="AJ301" s="3"/>
      <c r="AK301" s="3"/>
      <c r="AL301" s="3"/>
    </row>
    <row r="302" spans="1:38" ht="14.25" customHeight="1">
      <c r="A302" s="3"/>
      <c r="B302" s="3"/>
      <c r="C302" s="3"/>
      <c r="D302" s="3"/>
      <c r="E302" s="265"/>
      <c r="F302" s="265"/>
      <c r="G302" s="265"/>
      <c r="H302" s="265"/>
      <c r="I302" s="265"/>
      <c r="J302" s="260"/>
      <c r="K302" s="3"/>
      <c r="L302" s="265"/>
      <c r="M302" s="265"/>
      <c r="N302" s="265"/>
      <c r="O302" s="265"/>
      <c r="P302" s="265"/>
      <c r="Q302" s="260"/>
      <c r="R302" s="3"/>
      <c r="S302" s="265"/>
      <c r="T302" s="265"/>
      <c r="U302" s="265"/>
      <c r="V302" s="265"/>
      <c r="W302" s="265"/>
      <c r="X302" s="193"/>
      <c r="Y302" s="193"/>
      <c r="Z302" s="193"/>
      <c r="AA302" s="193"/>
      <c r="AB302" s="193"/>
      <c r="AC302" s="193"/>
      <c r="AD302" s="193"/>
      <c r="AE302" s="193"/>
      <c r="AF302" s="3"/>
      <c r="AG302" s="3"/>
      <c r="AH302" s="3"/>
      <c r="AI302" s="3"/>
      <c r="AJ302" s="3"/>
      <c r="AK302" s="3"/>
      <c r="AL302" s="3"/>
    </row>
    <row r="303" spans="1:38" ht="14.25" customHeight="1">
      <c r="A303" s="3"/>
      <c r="B303" s="3"/>
      <c r="C303" s="3"/>
      <c r="D303" s="3"/>
      <c r="E303" s="265"/>
      <c r="F303" s="265"/>
      <c r="G303" s="265"/>
      <c r="H303" s="265"/>
      <c r="I303" s="265"/>
      <c r="J303" s="260"/>
      <c r="K303" s="3"/>
      <c r="L303" s="265"/>
      <c r="M303" s="265"/>
      <c r="N303" s="265"/>
      <c r="O303" s="265"/>
      <c r="P303" s="265"/>
      <c r="Q303" s="260"/>
      <c r="R303" s="3"/>
      <c r="S303" s="265"/>
      <c r="T303" s="265"/>
      <c r="U303" s="265"/>
      <c r="V303" s="265"/>
      <c r="W303" s="265"/>
      <c r="X303" s="193"/>
      <c r="Y303" s="193"/>
      <c r="Z303" s="193"/>
      <c r="AA303" s="193"/>
      <c r="AB303" s="193"/>
      <c r="AC303" s="193"/>
      <c r="AD303" s="193"/>
      <c r="AE303" s="193"/>
      <c r="AF303" s="3"/>
      <c r="AG303" s="3"/>
      <c r="AH303" s="3"/>
      <c r="AI303" s="3"/>
      <c r="AJ303" s="3"/>
      <c r="AK303" s="3"/>
      <c r="AL303" s="3"/>
    </row>
    <row r="304" spans="1:38" ht="14.25" customHeight="1">
      <c r="A304" s="3"/>
      <c r="B304" s="3"/>
      <c r="C304" s="3"/>
      <c r="D304" s="3"/>
      <c r="E304" s="265"/>
      <c r="F304" s="265"/>
      <c r="G304" s="265"/>
      <c r="H304" s="265"/>
      <c r="I304" s="265"/>
      <c r="J304" s="260"/>
      <c r="K304" s="3"/>
      <c r="L304" s="265"/>
      <c r="M304" s="265"/>
      <c r="N304" s="265"/>
      <c r="O304" s="265"/>
      <c r="P304" s="265"/>
      <c r="Q304" s="260"/>
      <c r="R304" s="3"/>
      <c r="S304" s="265"/>
      <c r="T304" s="265"/>
      <c r="U304" s="265"/>
      <c r="V304" s="265"/>
      <c r="W304" s="265"/>
      <c r="X304" s="193"/>
      <c r="Y304" s="193"/>
      <c r="Z304" s="193"/>
      <c r="AA304" s="193"/>
      <c r="AB304" s="193"/>
      <c r="AC304" s="193"/>
      <c r="AD304" s="193"/>
      <c r="AE304" s="193"/>
      <c r="AF304" s="3"/>
      <c r="AG304" s="3"/>
      <c r="AH304" s="3"/>
      <c r="AI304" s="3"/>
      <c r="AJ304" s="3"/>
      <c r="AK304" s="3"/>
      <c r="AL304" s="3"/>
    </row>
    <row r="305" spans="1:38" ht="14.25" customHeight="1">
      <c r="A305" s="3"/>
      <c r="B305" s="3"/>
      <c r="C305" s="3"/>
      <c r="D305" s="3"/>
      <c r="E305" s="265"/>
      <c r="F305" s="265"/>
      <c r="G305" s="265"/>
      <c r="H305" s="265"/>
      <c r="I305" s="265"/>
      <c r="J305" s="260"/>
      <c r="K305" s="3"/>
      <c r="L305" s="265"/>
      <c r="M305" s="265"/>
      <c r="N305" s="265"/>
      <c r="O305" s="265"/>
      <c r="P305" s="265"/>
      <c r="Q305" s="260"/>
      <c r="R305" s="3"/>
      <c r="S305" s="265"/>
      <c r="T305" s="265"/>
      <c r="U305" s="265"/>
      <c r="V305" s="265"/>
      <c r="W305" s="265"/>
      <c r="X305" s="193"/>
      <c r="Y305" s="193"/>
      <c r="Z305" s="193"/>
      <c r="AA305" s="193"/>
      <c r="AB305" s="193"/>
      <c r="AC305" s="193"/>
      <c r="AD305" s="193"/>
      <c r="AE305" s="193"/>
      <c r="AF305" s="3"/>
      <c r="AG305" s="3"/>
      <c r="AH305" s="3"/>
      <c r="AI305" s="3"/>
      <c r="AJ305" s="3"/>
      <c r="AK305" s="3"/>
      <c r="AL305" s="3"/>
    </row>
    <row r="306" spans="1:38" ht="14.25" customHeight="1">
      <c r="A306" s="3"/>
      <c r="B306" s="3"/>
      <c r="C306" s="3"/>
      <c r="D306" s="3"/>
      <c r="E306" s="265"/>
      <c r="F306" s="265"/>
      <c r="G306" s="265"/>
      <c r="H306" s="265"/>
      <c r="I306" s="265"/>
      <c r="J306" s="260"/>
      <c r="K306" s="3"/>
      <c r="L306" s="265"/>
      <c r="M306" s="265"/>
      <c r="N306" s="265"/>
      <c r="O306" s="265"/>
      <c r="P306" s="265"/>
      <c r="Q306" s="260"/>
      <c r="R306" s="3"/>
      <c r="S306" s="265"/>
      <c r="T306" s="265"/>
      <c r="U306" s="265"/>
      <c r="V306" s="265"/>
      <c r="W306" s="265"/>
      <c r="X306" s="193"/>
      <c r="Y306" s="193"/>
      <c r="Z306" s="193"/>
      <c r="AA306" s="193"/>
      <c r="AB306" s="193"/>
      <c r="AC306" s="193"/>
      <c r="AD306" s="193"/>
      <c r="AE306" s="193"/>
      <c r="AF306" s="3"/>
      <c r="AG306" s="3"/>
      <c r="AH306" s="3"/>
      <c r="AI306" s="3"/>
      <c r="AJ306" s="3"/>
      <c r="AK306" s="3"/>
      <c r="AL306" s="3"/>
    </row>
    <row r="307" spans="1:38" ht="14.25" customHeight="1">
      <c r="A307" s="3"/>
      <c r="B307" s="3"/>
      <c r="C307" s="3"/>
      <c r="D307" s="3"/>
      <c r="E307" s="265"/>
      <c r="F307" s="265"/>
      <c r="G307" s="265"/>
      <c r="H307" s="265"/>
      <c r="I307" s="265"/>
      <c r="J307" s="260"/>
      <c r="K307" s="3"/>
      <c r="L307" s="265"/>
      <c r="M307" s="265"/>
      <c r="N307" s="265"/>
      <c r="O307" s="265"/>
      <c r="P307" s="265"/>
      <c r="Q307" s="260"/>
      <c r="R307" s="3"/>
      <c r="S307" s="265"/>
      <c r="T307" s="265"/>
      <c r="U307" s="265"/>
      <c r="V307" s="265"/>
      <c r="W307" s="265"/>
      <c r="X307" s="193"/>
      <c r="Y307" s="193"/>
      <c r="Z307" s="193"/>
      <c r="AA307" s="193"/>
      <c r="AB307" s="193"/>
      <c r="AC307" s="193"/>
      <c r="AD307" s="193"/>
      <c r="AE307" s="193"/>
      <c r="AF307" s="3"/>
      <c r="AG307" s="3"/>
      <c r="AH307" s="3"/>
      <c r="AI307" s="3"/>
      <c r="AJ307" s="3"/>
      <c r="AK307" s="3"/>
      <c r="AL307" s="3"/>
    </row>
    <row r="308" spans="1:38" ht="14.25" customHeight="1">
      <c r="A308" s="3"/>
      <c r="B308" s="3"/>
      <c r="C308" s="3"/>
      <c r="D308" s="3"/>
      <c r="E308" s="265"/>
      <c r="F308" s="265"/>
      <c r="G308" s="265"/>
      <c r="H308" s="265"/>
      <c r="I308" s="265"/>
      <c r="J308" s="260"/>
      <c r="K308" s="3"/>
      <c r="L308" s="265"/>
      <c r="M308" s="265"/>
      <c r="N308" s="265"/>
      <c r="O308" s="265"/>
      <c r="P308" s="265"/>
      <c r="Q308" s="260"/>
      <c r="R308" s="3"/>
      <c r="S308" s="265"/>
      <c r="T308" s="265"/>
      <c r="U308" s="265"/>
      <c r="V308" s="265"/>
      <c r="W308" s="265"/>
      <c r="X308" s="193"/>
      <c r="Y308" s="193"/>
      <c r="Z308" s="193"/>
      <c r="AA308" s="193"/>
      <c r="AB308" s="193"/>
      <c r="AC308" s="193"/>
      <c r="AD308" s="193"/>
      <c r="AE308" s="193"/>
      <c r="AF308" s="3"/>
      <c r="AG308" s="3"/>
      <c r="AH308" s="3"/>
      <c r="AI308" s="3"/>
      <c r="AJ308" s="3"/>
      <c r="AK308" s="3"/>
      <c r="AL308" s="3"/>
    </row>
    <row r="309" spans="1:38" ht="14.25" customHeight="1">
      <c r="A309" s="3"/>
      <c r="B309" s="3"/>
      <c r="C309" s="3"/>
      <c r="D309" s="3"/>
      <c r="E309" s="265"/>
      <c r="F309" s="265"/>
      <c r="G309" s="265"/>
      <c r="H309" s="265"/>
      <c r="I309" s="265"/>
      <c r="J309" s="260"/>
      <c r="K309" s="3"/>
      <c r="L309" s="265"/>
      <c r="M309" s="265"/>
      <c r="N309" s="265"/>
      <c r="O309" s="265"/>
      <c r="P309" s="265"/>
      <c r="Q309" s="260"/>
      <c r="R309" s="3"/>
      <c r="S309" s="265"/>
      <c r="T309" s="265"/>
      <c r="U309" s="265"/>
      <c r="V309" s="265"/>
      <c r="W309" s="265"/>
      <c r="X309" s="193"/>
      <c r="Y309" s="193"/>
      <c r="Z309" s="193"/>
      <c r="AA309" s="193"/>
      <c r="AB309" s="193"/>
      <c r="AC309" s="193"/>
      <c r="AD309" s="193"/>
      <c r="AE309" s="193"/>
      <c r="AF309" s="3"/>
      <c r="AG309" s="3"/>
      <c r="AH309" s="3"/>
      <c r="AI309" s="3"/>
      <c r="AJ309" s="3"/>
      <c r="AK309" s="3"/>
      <c r="AL309" s="3"/>
    </row>
    <row r="310" spans="1:38" ht="14.25" customHeight="1">
      <c r="A310" s="3"/>
      <c r="B310" s="3"/>
      <c r="C310" s="3"/>
      <c r="D310" s="3"/>
      <c r="E310" s="265"/>
      <c r="F310" s="265"/>
      <c r="G310" s="265"/>
      <c r="H310" s="265"/>
      <c r="I310" s="265"/>
      <c r="J310" s="260"/>
      <c r="K310" s="3"/>
      <c r="L310" s="265"/>
      <c r="M310" s="265"/>
      <c r="N310" s="265"/>
      <c r="O310" s="265"/>
      <c r="P310" s="265"/>
      <c r="Q310" s="260"/>
      <c r="R310" s="3"/>
      <c r="S310" s="265"/>
      <c r="T310" s="265"/>
      <c r="U310" s="265"/>
      <c r="V310" s="265"/>
      <c r="W310" s="265"/>
      <c r="X310" s="193"/>
      <c r="Y310" s="193"/>
      <c r="Z310" s="193"/>
      <c r="AA310" s="193"/>
      <c r="AB310" s="193"/>
      <c r="AC310" s="193"/>
      <c r="AD310" s="193"/>
      <c r="AE310" s="193"/>
      <c r="AF310" s="3"/>
      <c r="AG310" s="3"/>
      <c r="AH310" s="3"/>
      <c r="AI310" s="3"/>
      <c r="AJ310" s="3"/>
      <c r="AK310" s="3"/>
      <c r="AL310" s="3"/>
    </row>
    <row r="311" spans="1:38" ht="14.25" customHeight="1">
      <c r="A311" s="3"/>
      <c r="B311" s="3"/>
      <c r="C311" s="3"/>
      <c r="D311" s="3"/>
      <c r="E311" s="265"/>
      <c r="F311" s="265"/>
      <c r="G311" s="265"/>
      <c r="H311" s="265"/>
      <c r="I311" s="265"/>
      <c r="J311" s="260"/>
      <c r="K311" s="3"/>
      <c r="L311" s="265"/>
      <c r="M311" s="265"/>
      <c r="N311" s="265"/>
      <c r="O311" s="265"/>
      <c r="P311" s="265"/>
      <c r="Q311" s="260"/>
      <c r="R311" s="3"/>
      <c r="S311" s="265"/>
      <c r="T311" s="265"/>
      <c r="U311" s="265"/>
      <c r="V311" s="265"/>
      <c r="W311" s="265"/>
      <c r="X311" s="193"/>
      <c r="Y311" s="193"/>
      <c r="Z311" s="193"/>
      <c r="AA311" s="193"/>
      <c r="AB311" s="193"/>
      <c r="AC311" s="193"/>
      <c r="AD311" s="193"/>
      <c r="AE311" s="193"/>
      <c r="AF311" s="3"/>
      <c r="AG311" s="3"/>
      <c r="AH311" s="3"/>
      <c r="AI311" s="3"/>
      <c r="AJ311" s="3"/>
      <c r="AK311" s="3"/>
      <c r="AL311" s="3"/>
    </row>
    <row r="312" spans="1:38" ht="14.25" customHeight="1">
      <c r="A312" s="3"/>
      <c r="B312" s="3"/>
      <c r="C312" s="3"/>
      <c r="D312" s="3"/>
      <c r="E312" s="265"/>
      <c r="F312" s="265"/>
      <c r="G312" s="265"/>
      <c r="H312" s="265"/>
      <c r="I312" s="265"/>
      <c r="J312" s="260"/>
      <c r="K312" s="3"/>
      <c r="L312" s="265"/>
      <c r="M312" s="265"/>
      <c r="N312" s="265"/>
      <c r="O312" s="265"/>
      <c r="P312" s="265"/>
      <c r="Q312" s="260"/>
      <c r="R312" s="3"/>
      <c r="S312" s="265"/>
      <c r="T312" s="265"/>
      <c r="U312" s="265"/>
      <c r="V312" s="265"/>
      <c r="W312" s="265"/>
      <c r="X312" s="193"/>
      <c r="Y312" s="193"/>
      <c r="Z312" s="193"/>
      <c r="AA312" s="193"/>
      <c r="AB312" s="193"/>
      <c r="AC312" s="193"/>
      <c r="AD312" s="193"/>
      <c r="AE312" s="193"/>
      <c r="AF312" s="3"/>
      <c r="AG312" s="3"/>
      <c r="AH312" s="3"/>
      <c r="AI312" s="3"/>
      <c r="AJ312" s="3"/>
      <c r="AK312" s="3"/>
      <c r="AL312" s="3"/>
    </row>
    <row r="313" spans="1:38" ht="14.25" customHeight="1">
      <c r="A313" s="3"/>
      <c r="B313" s="3"/>
      <c r="C313" s="3"/>
      <c r="D313" s="3"/>
      <c r="E313" s="265"/>
      <c r="F313" s="265"/>
      <c r="G313" s="265"/>
      <c r="H313" s="265"/>
      <c r="I313" s="265"/>
      <c r="J313" s="260"/>
      <c r="K313" s="3"/>
      <c r="L313" s="265"/>
      <c r="M313" s="265"/>
      <c r="N313" s="265"/>
      <c r="O313" s="265"/>
      <c r="P313" s="265"/>
      <c r="Q313" s="260"/>
      <c r="R313" s="3"/>
      <c r="S313" s="265"/>
      <c r="T313" s="265"/>
      <c r="U313" s="265"/>
      <c r="V313" s="265"/>
      <c r="W313" s="265"/>
      <c r="X313" s="193"/>
      <c r="Y313" s="193"/>
      <c r="Z313" s="193"/>
      <c r="AA313" s="193"/>
      <c r="AB313" s="193"/>
      <c r="AC313" s="193"/>
      <c r="AD313" s="193"/>
      <c r="AE313" s="193"/>
      <c r="AF313" s="3"/>
      <c r="AG313" s="3"/>
      <c r="AH313" s="3"/>
      <c r="AI313" s="3"/>
      <c r="AJ313" s="3"/>
      <c r="AK313" s="3"/>
      <c r="AL313" s="3"/>
    </row>
    <row r="314" spans="1:38" ht="14.25" customHeight="1">
      <c r="A314" s="3"/>
      <c r="B314" s="3"/>
      <c r="C314" s="3"/>
      <c r="D314" s="3"/>
      <c r="E314" s="265"/>
      <c r="F314" s="265"/>
      <c r="G314" s="265"/>
      <c r="H314" s="265"/>
      <c r="I314" s="265"/>
      <c r="J314" s="260"/>
      <c r="K314" s="3"/>
      <c r="L314" s="265"/>
      <c r="M314" s="265"/>
      <c r="N314" s="265"/>
      <c r="O314" s="265"/>
      <c r="P314" s="265"/>
      <c r="Q314" s="260"/>
      <c r="R314" s="3"/>
      <c r="S314" s="265"/>
      <c r="T314" s="265"/>
      <c r="U314" s="265"/>
      <c r="V314" s="265"/>
      <c r="W314" s="265"/>
      <c r="X314" s="193"/>
      <c r="Y314" s="193"/>
      <c r="Z314" s="193"/>
      <c r="AA314" s="193"/>
      <c r="AB314" s="193"/>
      <c r="AC314" s="193"/>
      <c r="AD314" s="193"/>
      <c r="AE314" s="193"/>
      <c r="AF314" s="3"/>
      <c r="AG314" s="3"/>
      <c r="AH314" s="3"/>
      <c r="AI314" s="3"/>
      <c r="AJ314" s="3"/>
      <c r="AK314" s="3"/>
      <c r="AL314" s="3"/>
    </row>
    <row r="315" spans="1:38" ht="14.25" customHeight="1">
      <c r="A315" s="3"/>
      <c r="B315" s="3"/>
      <c r="C315" s="3"/>
      <c r="D315" s="3"/>
      <c r="E315" s="265"/>
      <c r="F315" s="265"/>
      <c r="G315" s="265"/>
      <c r="H315" s="265"/>
      <c r="I315" s="265"/>
      <c r="J315" s="260"/>
      <c r="K315" s="3"/>
      <c r="L315" s="265"/>
      <c r="M315" s="265"/>
      <c r="N315" s="265"/>
      <c r="O315" s="265"/>
      <c r="P315" s="265"/>
      <c r="Q315" s="260"/>
      <c r="R315" s="3"/>
      <c r="S315" s="265"/>
      <c r="T315" s="265"/>
      <c r="U315" s="265"/>
      <c r="V315" s="265"/>
      <c r="W315" s="265"/>
      <c r="X315" s="193"/>
      <c r="Y315" s="193"/>
      <c r="Z315" s="193"/>
      <c r="AA315" s="193"/>
      <c r="AB315" s="193"/>
      <c r="AC315" s="193"/>
      <c r="AD315" s="193"/>
      <c r="AE315" s="193"/>
      <c r="AF315" s="3"/>
      <c r="AG315" s="3"/>
      <c r="AH315" s="3"/>
      <c r="AI315" s="3"/>
      <c r="AJ315" s="3"/>
      <c r="AK315" s="3"/>
      <c r="AL315" s="3"/>
    </row>
    <row r="316" spans="1:38" ht="14.25" customHeight="1">
      <c r="A316" s="3"/>
      <c r="B316" s="3"/>
      <c r="C316" s="3"/>
      <c r="D316" s="3"/>
      <c r="E316" s="265"/>
      <c r="F316" s="265"/>
      <c r="G316" s="265"/>
      <c r="H316" s="265"/>
      <c r="I316" s="265"/>
      <c r="J316" s="260"/>
      <c r="K316" s="3"/>
      <c r="L316" s="265"/>
      <c r="M316" s="265"/>
      <c r="N316" s="265"/>
      <c r="O316" s="265"/>
      <c r="P316" s="265"/>
      <c r="Q316" s="260"/>
      <c r="R316" s="3"/>
      <c r="S316" s="265"/>
      <c r="T316" s="265"/>
      <c r="U316" s="265"/>
      <c r="V316" s="265"/>
      <c r="W316" s="265"/>
      <c r="X316" s="193"/>
      <c r="Y316" s="193"/>
      <c r="Z316" s="193"/>
      <c r="AA316" s="193"/>
      <c r="AB316" s="193"/>
      <c r="AC316" s="193"/>
      <c r="AD316" s="193"/>
      <c r="AE316" s="193"/>
      <c r="AF316" s="3"/>
      <c r="AG316" s="3"/>
      <c r="AH316" s="3"/>
      <c r="AI316" s="3"/>
      <c r="AJ316" s="3"/>
      <c r="AK316" s="3"/>
      <c r="AL316" s="3"/>
    </row>
    <row r="317" spans="1:38" ht="14.25" customHeight="1">
      <c r="A317" s="3"/>
      <c r="B317" s="3"/>
      <c r="C317" s="3"/>
      <c r="D317" s="3"/>
      <c r="E317" s="265"/>
      <c r="F317" s="265"/>
      <c r="G317" s="265"/>
      <c r="H317" s="265"/>
      <c r="I317" s="265"/>
      <c r="J317" s="260"/>
      <c r="K317" s="3"/>
      <c r="L317" s="265"/>
      <c r="M317" s="265"/>
      <c r="N317" s="265"/>
      <c r="O317" s="265"/>
      <c r="P317" s="265"/>
      <c r="Q317" s="260"/>
      <c r="R317" s="3"/>
      <c r="S317" s="265"/>
      <c r="T317" s="265"/>
      <c r="U317" s="265"/>
      <c r="V317" s="265"/>
      <c r="W317" s="265"/>
      <c r="X317" s="193"/>
      <c r="Y317" s="193"/>
      <c r="Z317" s="193"/>
      <c r="AA317" s="193"/>
      <c r="AB317" s="193"/>
      <c r="AC317" s="193"/>
      <c r="AD317" s="193"/>
      <c r="AE317" s="193"/>
      <c r="AF317" s="3"/>
      <c r="AG317" s="3"/>
      <c r="AH317" s="3"/>
      <c r="AI317" s="3"/>
      <c r="AJ317" s="3"/>
      <c r="AK317" s="3"/>
      <c r="AL317" s="3"/>
    </row>
    <row r="318" spans="1:38" ht="14.25" customHeight="1">
      <c r="A318" s="3"/>
      <c r="B318" s="3"/>
      <c r="C318" s="3"/>
      <c r="D318" s="3"/>
      <c r="E318" s="265"/>
      <c r="F318" s="265"/>
      <c r="G318" s="265"/>
      <c r="H318" s="265"/>
      <c r="I318" s="265"/>
      <c r="J318" s="260"/>
      <c r="K318" s="3"/>
      <c r="L318" s="265"/>
      <c r="M318" s="265"/>
      <c r="N318" s="265"/>
      <c r="O318" s="265"/>
      <c r="P318" s="265"/>
      <c r="Q318" s="260"/>
      <c r="R318" s="3"/>
      <c r="S318" s="265"/>
      <c r="T318" s="265"/>
      <c r="U318" s="265"/>
      <c r="V318" s="265"/>
      <c r="W318" s="265"/>
      <c r="X318" s="193"/>
      <c r="Y318" s="193"/>
      <c r="Z318" s="193"/>
      <c r="AA318" s="193"/>
      <c r="AB318" s="193"/>
      <c r="AC318" s="193"/>
      <c r="AD318" s="193"/>
      <c r="AE318" s="193"/>
      <c r="AF318" s="3"/>
      <c r="AG318" s="3"/>
      <c r="AH318" s="3"/>
      <c r="AI318" s="3"/>
      <c r="AJ318" s="3"/>
      <c r="AK318" s="3"/>
      <c r="AL318" s="3"/>
    </row>
    <row r="319" spans="1:38" ht="14.25" customHeight="1">
      <c r="A319" s="3"/>
      <c r="B319" s="3"/>
      <c r="C319" s="3"/>
      <c r="D319" s="3"/>
      <c r="E319" s="265"/>
      <c r="F319" s="265"/>
      <c r="G319" s="265"/>
      <c r="H319" s="265"/>
      <c r="I319" s="265"/>
      <c r="J319" s="260"/>
      <c r="K319" s="3"/>
      <c r="L319" s="265"/>
      <c r="M319" s="265"/>
      <c r="N319" s="265"/>
      <c r="O319" s="265"/>
      <c r="P319" s="265"/>
      <c r="Q319" s="260"/>
      <c r="R319" s="3"/>
      <c r="S319" s="265"/>
      <c r="T319" s="265"/>
      <c r="U319" s="265"/>
      <c r="V319" s="265"/>
      <c r="W319" s="265"/>
      <c r="X319" s="193"/>
      <c r="Y319" s="193"/>
      <c r="Z319" s="193"/>
      <c r="AA319" s="193"/>
      <c r="AB319" s="193"/>
      <c r="AC319" s="193"/>
      <c r="AD319" s="193"/>
      <c r="AE319" s="193"/>
      <c r="AF319" s="3"/>
      <c r="AG319" s="3"/>
      <c r="AH319" s="3"/>
      <c r="AI319" s="3"/>
      <c r="AJ319" s="3"/>
      <c r="AK319" s="3"/>
      <c r="AL319" s="3"/>
    </row>
    <row r="320" spans="1:38" ht="14.25" customHeight="1">
      <c r="A320" s="3"/>
      <c r="B320" s="3"/>
      <c r="C320" s="3"/>
      <c r="D320" s="3"/>
      <c r="E320" s="265"/>
      <c r="F320" s="265"/>
      <c r="G320" s="265"/>
      <c r="H320" s="265"/>
      <c r="I320" s="265"/>
      <c r="J320" s="260"/>
      <c r="K320" s="3"/>
      <c r="L320" s="265"/>
      <c r="M320" s="265"/>
      <c r="N320" s="265"/>
      <c r="O320" s="265"/>
      <c r="P320" s="265"/>
      <c r="Q320" s="260"/>
      <c r="R320" s="3"/>
      <c r="S320" s="265"/>
      <c r="T320" s="265"/>
      <c r="U320" s="265"/>
      <c r="V320" s="265"/>
      <c r="W320" s="265"/>
      <c r="X320" s="193"/>
      <c r="Y320" s="193"/>
      <c r="Z320" s="193"/>
      <c r="AA320" s="193"/>
      <c r="AB320" s="193"/>
      <c r="AC320" s="193"/>
      <c r="AD320" s="193"/>
      <c r="AE320" s="193"/>
      <c r="AF320" s="3"/>
      <c r="AG320" s="3"/>
      <c r="AH320" s="3"/>
      <c r="AI320" s="3"/>
      <c r="AJ320" s="3"/>
      <c r="AK320" s="3"/>
      <c r="AL320" s="3"/>
    </row>
    <row r="321" spans="1:38" ht="14.25" customHeight="1">
      <c r="A321" s="3"/>
      <c r="B321" s="3"/>
      <c r="C321" s="3"/>
      <c r="D321" s="3"/>
      <c r="E321" s="265"/>
      <c r="F321" s="265"/>
      <c r="G321" s="265"/>
      <c r="H321" s="265"/>
      <c r="I321" s="265"/>
      <c r="J321" s="260"/>
      <c r="K321" s="3"/>
      <c r="L321" s="265"/>
      <c r="M321" s="265"/>
      <c r="N321" s="265"/>
      <c r="O321" s="265"/>
      <c r="P321" s="265"/>
      <c r="Q321" s="260"/>
      <c r="R321" s="3"/>
      <c r="S321" s="265"/>
      <c r="T321" s="265"/>
      <c r="U321" s="265"/>
      <c r="V321" s="265"/>
      <c r="W321" s="265"/>
      <c r="X321" s="193"/>
      <c r="Y321" s="193"/>
      <c r="Z321" s="193"/>
      <c r="AA321" s="193"/>
      <c r="AB321" s="193"/>
      <c r="AC321" s="193"/>
      <c r="AD321" s="193"/>
      <c r="AE321" s="193"/>
      <c r="AF321" s="3"/>
      <c r="AG321" s="3"/>
      <c r="AH321" s="3"/>
      <c r="AI321" s="3"/>
      <c r="AJ321" s="3"/>
      <c r="AK321" s="3"/>
      <c r="AL321" s="3"/>
    </row>
    <row r="322" spans="1:38" ht="14.25" customHeight="1">
      <c r="A322" s="3"/>
      <c r="B322" s="3"/>
      <c r="C322" s="3"/>
      <c r="D322" s="3"/>
      <c r="E322" s="265"/>
      <c r="F322" s="265"/>
      <c r="G322" s="265"/>
      <c r="H322" s="265"/>
      <c r="I322" s="265"/>
      <c r="J322" s="260"/>
      <c r="K322" s="3"/>
      <c r="L322" s="265"/>
      <c r="M322" s="265"/>
      <c r="N322" s="265"/>
      <c r="O322" s="265"/>
      <c r="P322" s="265"/>
      <c r="Q322" s="260"/>
      <c r="R322" s="3"/>
      <c r="S322" s="265"/>
      <c r="T322" s="265"/>
      <c r="U322" s="265"/>
      <c r="V322" s="265"/>
      <c r="W322" s="265"/>
      <c r="X322" s="193"/>
      <c r="Y322" s="193"/>
      <c r="Z322" s="193"/>
      <c r="AA322" s="193"/>
      <c r="AB322" s="193"/>
      <c r="AC322" s="193"/>
      <c r="AD322" s="193"/>
      <c r="AE322" s="193"/>
      <c r="AF322" s="3"/>
      <c r="AG322" s="3"/>
      <c r="AH322" s="3"/>
      <c r="AI322" s="3"/>
      <c r="AJ322" s="3"/>
      <c r="AK322" s="3"/>
      <c r="AL322" s="3"/>
    </row>
    <row r="323" spans="1:38" ht="14.25" customHeight="1">
      <c r="A323" s="3"/>
      <c r="B323" s="3"/>
      <c r="C323" s="3"/>
      <c r="D323" s="3"/>
      <c r="E323" s="265"/>
      <c r="F323" s="265"/>
      <c r="G323" s="265"/>
      <c r="H323" s="265"/>
      <c r="I323" s="265"/>
      <c r="J323" s="260"/>
      <c r="K323" s="3"/>
      <c r="L323" s="265"/>
      <c r="M323" s="265"/>
      <c r="N323" s="265"/>
      <c r="O323" s="265"/>
      <c r="P323" s="265"/>
      <c r="Q323" s="260"/>
      <c r="R323" s="3"/>
      <c r="S323" s="265"/>
      <c r="T323" s="265"/>
      <c r="U323" s="265"/>
      <c r="V323" s="265"/>
      <c r="W323" s="265"/>
      <c r="X323" s="193"/>
      <c r="Y323" s="193"/>
      <c r="Z323" s="193"/>
      <c r="AA323" s="193"/>
      <c r="AB323" s="193"/>
      <c r="AC323" s="193"/>
      <c r="AD323" s="193"/>
      <c r="AE323" s="193"/>
      <c r="AF323" s="3"/>
      <c r="AG323" s="3"/>
      <c r="AH323" s="3"/>
      <c r="AI323" s="3"/>
      <c r="AJ323" s="3"/>
      <c r="AK323" s="3"/>
      <c r="AL323" s="3"/>
    </row>
    <row r="324" spans="1:38" ht="14.25" customHeight="1">
      <c r="A324" s="3"/>
      <c r="B324" s="3"/>
      <c r="C324" s="3"/>
      <c r="D324" s="3"/>
      <c r="E324" s="265"/>
      <c r="F324" s="265"/>
      <c r="G324" s="265"/>
      <c r="H324" s="265"/>
      <c r="I324" s="265"/>
      <c r="J324" s="260"/>
      <c r="K324" s="3"/>
      <c r="L324" s="265"/>
      <c r="M324" s="265"/>
      <c r="N324" s="265"/>
      <c r="O324" s="265"/>
      <c r="P324" s="265"/>
      <c r="Q324" s="260"/>
      <c r="R324" s="3"/>
      <c r="S324" s="265"/>
      <c r="T324" s="265"/>
      <c r="U324" s="265"/>
      <c r="V324" s="265"/>
      <c r="W324" s="265"/>
      <c r="X324" s="193"/>
      <c r="Y324" s="193"/>
      <c r="Z324" s="193"/>
      <c r="AA324" s="193"/>
      <c r="AB324" s="193"/>
      <c r="AC324" s="193"/>
      <c r="AD324" s="193"/>
      <c r="AE324" s="193"/>
      <c r="AF324" s="3"/>
      <c r="AG324" s="3"/>
      <c r="AH324" s="3"/>
      <c r="AI324" s="3"/>
      <c r="AJ324" s="3"/>
      <c r="AK324" s="3"/>
      <c r="AL324" s="3"/>
    </row>
    <row r="325" spans="1:38" ht="14.25" customHeight="1">
      <c r="A325" s="3"/>
      <c r="B325" s="3"/>
      <c r="C325" s="3"/>
      <c r="D325" s="3"/>
      <c r="E325" s="265"/>
      <c r="F325" s="265"/>
      <c r="G325" s="265"/>
      <c r="H325" s="265"/>
      <c r="I325" s="265"/>
      <c r="J325" s="260"/>
      <c r="K325" s="3"/>
      <c r="L325" s="265"/>
      <c r="M325" s="265"/>
      <c r="N325" s="265"/>
      <c r="O325" s="265"/>
      <c r="P325" s="265"/>
      <c r="Q325" s="260"/>
      <c r="R325" s="3"/>
      <c r="S325" s="265"/>
      <c r="T325" s="265"/>
      <c r="U325" s="265"/>
      <c r="V325" s="265"/>
      <c r="W325" s="265"/>
      <c r="X325" s="193"/>
      <c r="Y325" s="193"/>
      <c r="Z325" s="193"/>
      <c r="AA325" s="193"/>
      <c r="AB325" s="193"/>
      <c r="AC325" s="193"/>
      <c r="AD325" s="193"/>
      <c r="AE325" s="193"/>
      <c r="AF325" s="3"/>
      <c r="AG325" s="3"/>
      <c r="AH325" s="3"/>
      <c r="AI325" s="3"/>
      <c r="AJ325" s="3"/>
      <c r="AK325" s="3"/>
      <c r="AL325" s="3"/>
    </row>
    <row r="326" spans="1:38" ht="14.25" customHeight="1">
      <c r="A326" s="3"/>
      <c r="B326" s="3"/>
      <c r="C326" s="3"/>
      <c r="D326" s="3"/>
      <c r="E326" s="265"/>
      <c r="F326" s="265"/>
      <c r="G326" s="265"/>
      <c r="H326" s="265"/>
      <c r="I326" s="265"/>
      <c r="J326" s="260"/>
      <c r="K326" s="3"/>
      <c r="L326" s="265"/>
      <c r="M326" s="265"/>
      <c r="N326" s="265"/>
      <c r="O326" s="265"/>
      <c r="P326" s="265"/>
      <c r="Q326" s="260"/>
      <c r="R326" s="3"/>
      <c r="S326" s="265"/>
      <c r="T326" s="265"/>
      <c r="U326" s="265"/>
      <c r="V326" s="265"/>
      <c r="W326" s="265"/>
      <c r="X326" s="193"/>
      <c r="Y326" s="193"/>
      <c r="Z326" s="193"/>
      <c r="AA326" s="193"/>
      <c r="AB326" s="193"/>
      <c r="AC326" s="193"/>
      <c r="AD326" s="193"/>
      <c r="AE326" s="193"/>
      <c r="AF326" s="3"/>
      <c r="AG326" s="3"/>
      <c r="AH326" s="3"/>
      <c r="AI326" s="3"/>
      <c r="AJ326" s="3"/>
      <c r="AK326" s="3"/>
      <c r="AL326" s="3"/>
    </row>
    <row r="327" spans="1:38" ht="14.25" customHeight="1">
      <c r="A327" s="3"/>
      <c r="B327" s="3"/>
      <c r="C327" s="3"/>
      <c r="D327" s="3"/>
      <c r="E327" s="265"/>
      <c r="F327" s="265"/>
      <c r="G327" s="265"/>
      <c r="H327" s="265"/>
      <c r="I327" s="265"/>
      <c r="J327" s="260"/>
      <c r="K327" s="3"/>
      <c r="L327" s="265"/>
      <c r="M327" s="265"/>
      <c r="N327" s="265"/>
      <c r="O327" s="265"/>
      <c r="P327" s="265"/>
      <c r="Q327" s="260"/>
      <c r="R327" s="3"/>
      <c r="S327" s="265"/>
      <c r="T327" s="265"/>
      <c r="U327" s="265"/>
      <c r="V327" s="265"/>
      <c r="W327" s="265"/>
      <c r="X327" s="193"/>
      <c r="Y327" s="193"/>
      <c r="Z327" s="193"/>
      <c r="AA327" s="193"/>
      <c r="AB327" s="193"/>
      <c r="AC327" s="193"/>
      <c r="AD327" s="193"/>
      <c r="AE327" s="193"/>
      <c r="AF327" s="3"/>
      <c r="AG327" s="3"/>
      <c r="AH327" s="3"/>
      <c r="AI327" s="3"/>
      <c r="AJ327" s="3"/>
      <c r="AK327" s="3"/>
      <c r="AL327" s="3"/>
    </row>
    <row r="328" spans="1:38" ht="14.25" customHeight="1">
      <c r="A328" s="3"/>
      <c r="B328" s="3"/>
      <c r="C328" s="3"/>
      <c r="D328" s="3"/>
      <c r="E328" s="265"/>
      <c r="F328" s="265"/>
      <c r="G328" s="265"/>
      <c r="H328" s="265"/>
      <c r="I328" s="265"/>
      <c r="J328" s="260"/>
      <c r="K328" s="3"/>
      <c r="L328" s="265"/>
      <c r="M328" s="265"/>
      <c r="N328" s="265"/>
      <c r="O328" s="265"/>
      <c r="P328" s="265"/>
      <c r="Q328" s="260"/>
      <c r="R328" s="3"/>
      <c r="S328" s="265"/>
      <c r="T328" s="265"/>
      <c r="U328" s="265"/>
      <c r="V328" s="265"/>
      <c r="W328" s="265"/>
      <c r="X328" s="193"/>
      <c r="Y328" s="193"/>
      <c r="Z328" s="193"/>
      <c r="AA328" s="193"/>
      <c r="AB328" s="193"/>
      <c r="AC328" s="193"/>
      <c r="AD328" s="193"/>
      <c r="AE328" s="193"/>
      <c r="AF328" s="3"/>
      <c r="AG328" s="3"/>
      <c r="AH328" s="3"/>
      <c r="AI328" s="3"/>
      <c r="AJ328" s="3"/>
      <c r="AK328" s="3"/>
      <c r="AL328" s="3"/>
    </row>
    <row r="329" spans="1:38" ht="14.25" customHeight="1">
      <c r="A329" s="3"/>
      <c r="B329" s="3"/>
      <c r="C329" s="3"/>
      <c r="D329" s="3"/>
      <c r="E329" s="265"/>
      <c r="F329" s="265"/>
      <c r="G329" s="265"/>
      <c r="H329" s="265"/>
      <c r="I329" s="265"/>
      <c r="J329" s="260"/>
      <c r="K329" s="3"/>
      <c r="L329" s="265"/>
      <c r="M329" s="265"/>
      <c r="N329" s="265"/>
      <c r="O329" s="265"/>
      <c r="P329" s="265"/>
      <c r="Q329" s="260"/>
      <c r="R329" s="3"/>
      <c r="S329" s="265"/>
      <c r="T329" s="265"/>
      <c r="U329" s="265"/>
      <c r="V329" s="265"/>
      <c r="W329" s="265"/>
      <c r="X329" s="193"/>
      <c r="Y329" s="193"/>
      <c r="Z329" s="193"/>
      <c r="AA329" s="193"/>
      <c r="AB329" s="193"/>
      <c r="AC329" s="193"/>
      <c r="AD329" s="193"/>
      <c r="AE329" s="193"/>
      <c r="AF329" s="3"/>
      <c r="AG329" s="3"/>
      <c r="AH329" s="3"/>
      <c r="AI329" s="3"/>
      <c r="AJ329" s="3"/>
      <c r="AK329" s="3"/>
      <c r="AL329" s="3"/>
    </row>
    <row r="330" spans="1:38" ht="14.25" customHeight="1">
      <c r="A330" s="3"/>
      <c r="B330" s="3"/>
      <c r="C330" s="3"/>
      <c r="D330" s="3"/>
      <c r="E330" s="265"/>
      <c r="F330" s="265"/>
      <c r="G330" s="265"/>
      <c r="H330" s="265"/>
      <c r="I330" s="265"/>
      <c r="J330" s="260"/>
      <c r="K330" s="3"/>
      <c r="L330" s="265"/>
      <c r="M330" s="265"/>
      <c r="N330" s="265"/>
      <c r="O330" s="265"/>
      <c r="P330" s="265"/>
      <c r="Q330" s="260"/>
      <c r="R330" s="3"/>
      <c r="S330" s="265"/>
      <c r="T330" s="265"/>
      <c r="U330" s="265"/>
      <c r="V330" s="265"/>
      <c r="W330" s="265"/>
      <c r="X330" s="193"/>
      <c r="Y330" s="193"/>
      <c r="Z330" s="193"/>
      <c r="AA330" s="193"/>
      <c r="AB330" s="193"/>
      <c r="AC330" s="193"/>
      <c r="AD330" s="193"/>
      <c r="AE330" s="193"/>
      <c r="AF330" s="3"/>
      <c r="AG330" s="3"/>
      <c r="AH330" s="3"/>
      <c r="AI330" s="3"/>
      <c r="AJ330" s="3"/>
      <c r="AK330" s="3"/>
      <c r="AL330" s="3"/>
    </row>
    <row r="331" spans="1:38" ht="14.25" customHeight="1">
      <c r="A331" s="3"/>
      <c r="B331" s="3"/>
      <c r="C331" s="3"/>
      <c r="D331" s="3"/>
      <c r="E331" s="265"/>
      <c r="F331" s="265"/>
      <c r="G331" s="265"/>
      <c r="H331" s="265"/>
      <c r="I331" s="265"/>
      <c r="J331" s="260"/>
      <c r="K331" s="3"/>
      <c r="L331" s="265"/>
      <c r="M331" s="265"/>
      <c r="N331" s="265"/>
      <c r="O331" s="265"/>
      <c r="P331" s="265"/>
      <c r="Q331" s="260"/>
      <c r="R331" s="3"/>
      <c r="S331" s="265"/>
      <c r="T331" s="265"/>
      <c r="U331" s="265"/>
      <c r="V331" s="265"/>
      <c r="W331" s="265"/>
      <c r="X331" s="193"/>
      <c r="Y331" s="193"/>
      <c r="Z331" s="193"/>
      <c r="AA331" s="193"/>
      <c r="AB331" s="193"/>
      <c r="AC331" s="193"/>
      <c r="AD331" s="193"/>
      <c r="AE331" s="193"/>
      <c r="AF331" s="3"/>
      <c r="AG331" s="3"/>
      <c r="AH331" s="3"/>
      <c r="AI331" s="3"/>
      <c r="AJ331" s="3"/>
      <c r="AK331" s="3"/>
      <c r="AL331" s="3"/>
    </row>
    <row r="332" spans="1:38" ht="14.25" customHeight="1">
      <c r="A332" s="3"/>
      <c r="B332" s="3"/>
      <c r="C332" s="3"/>
      <c r="D332" s="3"/>
      <c r="E332" s="265"/>
      <c r="F332" s="265"/>
      <c r="G332" s="265"/>
      <c r="H332" s="265"/>
      <c r="I332" s="265"/>
      <c r="J332" s="260"/>
      <c r="K332" s="3"/>
      <c r="L332" s="265"/>
      <c r="M332" s="265"/>
      <c r="N332" s="265"/>
      <c r="O332" s="265"/>
      <c r="P332" s="265"/>
      <c r="Q332" s="260"/>
      <c r="R332" s="3"/>
      <c r="S332" s="265"/>
      <c r="T332" s="265"/>
      <c r="U332" s="265"/>
      <c r="V332" s="265"/>
      <c r="W332" s="265"/>
      <c r="X332" s="193"/>
      <c r="Y332" s="193"/>
      <c r="Z332" s="193"/>
      <c r="AA332" s="193"/>
      <c r="AB332" s="193"/>
      <c r="AC332" s="193"/>
      <c r="AD332" s="193"/>
      <c r="AE332" s="193"/>
      <c r="AF332" s="3"/>
      <c r="AG332" s="3"/>
      <c r="AH332" s="3"/>
      <c r="AI332" s="3"/>
      <c r="AJ332" s="3"/>
      <c r="AK332" s="3"/>
      <c r="AL332" s="3"/>
    </row>
    <row r="333" spans="1:38" ht="14.25" customHeight="1">
      <c r="A333" s="3"/>
      <c r="B333" s="3"/>
      <c r="C333" s="3"/>
      <c r="D333" s="3"/>
      <c r="E333" s="265"/>
      <c r="F333" s="265"/>
      <c r="G333" s="265"/>
      <c r="H333" s="265"/>
      <c r="I333" s="265"/>
      <c r="J333" s="260"/>
      <c r="K333" s="3"/>
      <c r="L333" s="265"/>
      <c r="M333" s="265"/>
      <c r="N333" s="265"/>
      <c r="O333" s="265"/>
      <c r="P333" s="265"/>
      <c r="Q333" s="260"/>
      <c r="R333" s="3"/>
      <c r="S333" s="265"/>
      <c r="T333" s="265"/>
      <c r="U333" s="265"/>
      <c r="V333" s="265"/>
      <c r="W333" s="265"/>
      <c r="X333" s="193"/>
      <c r="Y333" s="193"/>
      <c r="Z333" s="193"/>
      <c r="AA333" s="193"/>
      <c r="AB333" s="193"/>
      <c r="AC333" s="193"/>
      <c r="AD333" s="193"/>
      <c r="AE333" s="193"/>
      <c r="AF333" s="3"/>
      <c r="AG333" s="3"/>
      <c r="AH333" s="3"/>
      <c r="AI333" s="3"/>
      <c r="AJ333" s="3"/>
      <c r="AK333" s="3"/>
      <c r="AL333" s="3"/>
    </row>
    <row r="334" spans="1:38" ht="14.25" customHeight="1">
      <c r="A334" s="3"/>
      <c r="B334" s="3"/>
      <c r="C334" s="3"/>
      <c r="D334" s="3"/>
      <c r="E334" s="265"/>
      <c r="F334" s="265"/>
      <c r="G334" s="265"/>
      <c r="H334" s="265"/>
      <c r="I334" s="265"/>
      <c r="J334" s="260"/>
      <c r="K334" s="3"/>
      <c r="L334" s="265"/>
      <c r="M334" s="265"/>
      <c r="N334" s="265"/>
      <c r="O334" s="265"/>
      <c r="P334" s="265"/>
      <c r="Q334" s="260"/>
      <c r="R334" s="3"/>
      <c r="S334" s="265"/>
      <c r="T334" s="265"/>
      <c r="U334" s="265"/>
      <c r="V334" s="265"/>
      <c r="W334" s="265"/>
      <c r="X334" s="193"/>
      <c r="Y334" s="193"/>
      <c r="Z334" s="193"/>
      <c r="AA334" s="193"/>
      <c r="AB334" s="193"/>
      <c r="AC334" s="193"/>
      <c r="AD334" s="193"/>
      <c r="AE334" s="193"/>
      <c r="AF334" s="3"/>
      <c r="AG334" s="3"/>
      <c r="AH334" s="3"/>
      <c r="AI334" s="3"/>
      <c r="AJ334" s="3"/>
      <c r="AK334" s="3"/>
      <c r="AL334" s="3"/>
    </row>
    <row r="335" spans="1:38" ht="14.25" customHeight="1">
      <c r="A335" s="3"/>
      <c r="B335" s="3"/>
      <c r="C335" s="3"/>
      <c r="D335" s="3"/>
      <c r="E335" s="265"/>
      <c r="F335" s="265"/>
      <c r="G335" s="265"/>
      <c r="H335" s="265"/>
      <c r="I335" s="265"/>
      <c r="J335" s="260"/>
      <c r="K335" s="3"/>
      <c r="L335" s="265"/>
      <c r="M335" s="265"/>
      <c r="N335" s="265"/>
      <c r="O335" s="265"/>
      <c r="P335" s="265"/>
      <c r="Q335" s="260"/>
      <c r="R335" s="3"/>
      <c r="S335" s="265"/>
      <c r="T335" s="265"/>
      <c r="U335" s="265"/>
      <c r="V335" s="265"/>
      <c r="W335" s="265"/>
      <c r="X335" s="193"/>
      <c r="Y335" s="193"/>
      <c r="Z335" s="193"/>
      <c r="AA335" s="193"/>
      <c r="AB335" s="193"/>
      <c r="AC335" s="193"/>
      <c r="AD335" s="193"/>
      <c r="AE335" s="193"/>
      <c r="AF335" s="3"/>
      <c r="AG335" s="3"/>
      <c r="AH335" s="3"/>
      <c r="AI335" s="3"/>
      <c r="AJ335" s="3"/>
      <c r="AK335" s="3"/>
      <c r="AL335" s="3"/>
    </row>
    <row r="336" spans="1:38" ht="14.25" customHeight="1">
      <c r="A336" s="3"/>
      <c r="B336" s="3"/>
      <c r="C336" s="3"/>
      <c r="D336" s="3"/>
      <c r="E336" s="265"/>
      <c r="F336" s="265"/>
      <c r="G336" s="265"/>
      <c r="H336" s="265"/>
      <c r="I336" s="265"/>
      <c r="J336" s="260"/>
      <c r="K336" s="3"/>
      <c r="L336" s="265"/>
      <c r="M336" s="265"/>
      <c r="N336" s="265"/>
      <c r="O336" s="265"/>
      <c r="P336" s="265"/>
      <c r="Q336" s="260"/>
      <c r="R336" s="3"/>
      <c r="S336" s="265"/>
      <c r="T336" s="265"/>
      <c r="U336" s="265"/>
      <c r="V336" s="265"/>
      <c r="W336" s="265"/>
      <c r="X336" s="193"/>
      <c r="Y336" s="193"/>
      <c r="Z336" s="193"/>
      <c r="AA336" s="193"/>
      <c r="AB336" s="193"/>
      <c r="AC336" s="193"/>
      <c r="AD336" s="193"/>
      <c r="AE336" s="193"/>
      <c r="AF336" s="3"/>
      <c r="AG336" s="3"/>
      <c r="AH336" s="3"/>
      <c r="AI336" s="3"/>
      <c r="AJ336" s="3"/>
      <c r="AK336" s="3"/>
      <c r="AL336" s="3"/>
    </row>
    <row r="337" spans="1:38" ht="14.25" customHeight="1">
      <c r="A337" s="3"/>
      <c r="B337" s="3"/>
      <c r="C337" s="3"/>
      <c r="D337" s="3"/>
      <c r="E337" s="265"/>
      <c r="F337" s="265"/>
      <c r="G337" s="265"/>
      <c r="H337" s="265"/>
      <c r="I337" s="265"/>
      <c r="J337" s="260"/>
      <c r="K337" s="3"/>
      <c r="L337" s="265"/>
      <c r="M337" s="265"/>
      <c r="N337" s="265"/>
      <c r="O337" s="265"/>
      <c r="P337" s="265"/>
      <c r="Q337" s="260"/>
      <c r="R337" s="3"/>
      <c r="S337" s="265"/>
      <c r="T337" s="265"/>
      <c r="U337" s="265"/>
      <c r="V337" s="265"/>
      <c r="W337" s="265"/>
      <c r="X337" s="193"/>
      <c r="Y337" s="193"/>
      <c r="Z337" s="193"/>
      <c r="AA337" s="193"/>
      <c r="AB337" s="193"/>
      <c r="AC337" s="193"/>
      <c r="AD337" s="193"/>
      <c r="AE337" s="193"/>
      <c r="AF337" s="3"/>
      <c r="AG337" s="3"/>
      <c r="AH337" s="3"/>
      <c r="AI337" s="3"/>
      <c r="AJ337" s="3"/>
      <c r="AK337" s="3"/>
      <c r="AL337" s="3"/>
    </row>
    <row r="338" spans="1:38" ht="14.25" customHeight="1">
      <c r="A338" s="3"/>
      <c r="B338" s="3"/>
      <c r="C338" s="3"/>
      <c r="D338" s="3"/>
      <c r="E338" s="265"/>
      <c r="F338" s="265"/>
      <c r="G338" s="265"/>
      <c r="H338" s="265"/>
      <c r="I338" s="265"/>
      <c r="J338" s="260"/>
      <c r="K338" s="3"/>
      <c r="L338" s="265"/>
      <c r="M338" s="265"/>
      <c r="N338" s="265"/>
      <c r="O338" s="265"/>
      <c r="P338" s="265"/>
      <c r="Q338" s="260"/>
      <c r="R338" s="3"/>
      <c r="S338" s="265"/>
      <c r="T338" s="265"/>
      <c r="U338" s="265"/>
      <c r="V338" s="265"/>
      <c r="W338" s="265"/>
      <c r="X338" s="193"/>
      <c r="Y338" s="193"/>
      <c r="Z338" s="193"/>
      <c r="AA338" s="193"/>
      <c r="AB338" s="193"/>
      <c r="AC338" s="193"/>
      <c r="AD338" s="193"/>
      <c r="AE338" s="193"/>
      <c r="AF338" s="3"/>
      <c r="AG338" s="3"/>
      <c r="AH338" s="3"/>
      <c r="AI338" s="3"/>
      <c r="AJ338" s="3"/>
      <c r="AK338" s="3"/>
      <c r="AL338" s="3"/>
    </row>
    <row r="339" spans="1:38" ht="14.25" customHeight="1">
      <c r="A339" s="3"/>
      <c r="B339" s="3"/>
      <c r="C339" s="3"/>
      <c r="D339" s="3"/>
      <c r="E339" s="265"/>
      <c r="F339" s="265"/>
      <c r="G339" s="265"/>
      <c r="H339" s="265"/>
      <c r="I339" s="265"/>
      <c r="J339" s="260"/>
      <c r="K339" s="3"/>
      <c r="L339" s="265"/>
      <c r="M339" s="265"/>
      <c r="N339" s="265"/>
      <c r="O339" s="265"/>
      <c r="P339" s="265"/>
      <c r="Q339" s="260"/>
      <c r="R339" s="3"/>
      <c r="S339" s="265"/>
      <c r="T339" s="265"/>
      <c r="U339" s="265"/>
      <c r="V339" s="265"/>
      <c r="W339" s="265"/>
      <c r="X339" s="193"/>
      <c r="Y339" s="193"/>
      <c r="Z339" s="193"/>
      <c r="AA339" s="193"/>
      <c r="AB339" s="193"/>
      <c r="AC339" s="193"/>
      <c r="AD339" s="193"/>
      <c r="AE339" s="193"/>
      <c r="AF339" s="3"/>
      <c r="AG339" s="3"/>
      <c r="AH339" s="3"/>
      <c r="AI339" s="3"/>
      <c r="AJ339" s="3"/>
      <c r="AK339" s="3"/>
      <c r="AL339" s="3"/>
    </row>
    <row r="340" spans="1:38" ht="14.25" customHeight="1">
      <c r="A340" s="3"/>
      <c r="B340" s="3"/>
      <c r="C340" s="3"/>
      <c r="D340" s="3"/>
      <c r="E340" s="265"/>
      <c r="F340" s="265"/>
      <c r="G340" s="265"/>
      <c r="H340" s="265"/>
      <c r="I340" s="265"/>
      <c r="J340" s="260"/>
      <c r="K340" s="3"/>
      <c r="L340" s="265"/>
      <c r="M340" s="265"/>
      <c r="N340" s="265"/>
      <c r="O340" s="265"/>
      <c r="P340" s="265"/>
      <c r="Q340" s="260"/>
      <c r="R340" s="3"/>
      <c r="S340" s="265"/>
      <c r="T340" s="265"/>
      <c r="U340" s="265"/>
      <c r="V340" s="265"/>
      <c r="W340" s="265"/>
      <c r="X340" s="193"/>
      <c r="Y340" s="193"/>
      <c r="Z340" s="193"/>
      <c r="AA340" s="193"/>
      <c r="AB340" s="193"/>
      <c r="AC340" s="193"/>
      <c r="AD340" s="193"/>
      <c r="AE340" s="193"/>
      <c r="AF340" s="3"/>
      <c r="AG340" s="3"/>
      <c r="AH340" s="3"/>
      <c r="AI340" s="3"/>
      <c r="AJ340" s="3"/>
      <c r="AK340" s="3"/>
      <c r="AL340" s="3"/>
    </row>
    <row r="341" spans="1:38" ht="14.25" customHeight="1">
      <c r="A341" s="3"/>
      <c r="B341" s="3"/>
      <c r="C341" s="3"/>
      <c r="D341" s="3"/>
      <c r="E341" s="265"/>
      <c r="F341" s="265"/>
      <c r="G341" s="265"/>
      <c r="H341" s="265"/>
      <c r="I341" s="265"/>
      <c r="J341" s="260"/>
      <c r="K341" s="3"/>
      <c r="L341" s="265"/>
      <c r="M341" s="265"/>
      <c r="N341" s="265"/>
      <c r="O341" s="265"/>
      <c r="P341" s="265"/>
      <c r="Q341" s="260"/>
      <c r="R341" s="3"/>
      <c r="S341" s="265"/>
      <c r="T341" s="265"/>
      <c r="U341" s="265"/>
      <c r="V341" s="265"/>
      <c r="W341" s="265"/>
      <c r="X341" s="193"/>
      <c r="Y341" s="193"/>
      <c r="Z341" s="193"/>
      <c r="AA341" s="193"/>
      <c r="AB341" s="193"/>
      <c r="AC341" s="193"/>
      <c r="AD341" s="193"/>
      <c r="AE341" s="193"/>
      <c r="AF341" s="3"/>
      <c r="AG341" s="3"/>
      <c r="AH341" s="3"/>
      <c r="AI341" s="3"/>
      <c r="AJ341" s="3"/>
      <c r="AK341" s="3"/>
      <c r="AL341" s="3"/>
    </row>
    <row r="342" spans="1:38" ht="14.25" customHeight="1">
      <c r="A342" s="3"/>
      <c r="B342" s="3"/>
      <c r="C342" s="3"/>
      <c r="D342" s="3"/>
      <c r="E342" s="265"/>
      <c r="F342" s="265"/>
      <c r="G342" s="265"/>
      <c r="H342" s="265"/>
      <c r="I342" s="265"/>
      <c r="J342" s="260"/>
      <c r="K342" s="3"/>
      <c r="L342" s="265"/>
      <c r="M342" s="265"/>
      <c r="N342" s="265"/>
      <c r="O342" s="265"/>
      <c r="P342" s="265"/>
      <c r="Q342" s="260"/>
      <c r="R342" s="3"/>
      <c r="S342" s="265"/>
      <c r="T342" s="265"/>
      <c r="U342" s="265"/>
      <c r="V342" s="265"/>
      <c r="W342" s="265"/>
      <c r="X342" s="193"/>
      <c r="Y342" s="193"/>
      <c r="Z342" s="193"/>
      <c r="AA342" s="193"/>
      <c r="AB342" s="193"/>
      <c r="AC342" s="193"/>
      <c r="AD342" s="193"/>
      <c r="AE342" s="193"/>
      <c r="AF342" s="3"/>
      <c r="AG342" s="3"/>
      <c r="AH342" s="3"/>
      <c r="AI342" s="3"/>
      <c r="AJ342" s="3"/>
      <c r="AK342" s="3"/>
      <c r="AL342" s="3"/>
    </row>
    <row r="343" spans="1:38" ht="14.25" customHeight="1">
      <c r="A343" s="3"/>
      <c r="B343" s="3"/>
      <c r="C343" s="3"/>
      <c r="D343" s="3"/>
      <c r="E343" s="265"/>
      <c r="F343" s="265"/>
      <c r="G343" s="265"/>
      <c r="H343" s="265"/>
      <c r="I343" s="265"/>
      <c r="J343" s="260"/>
      <c r="K343" s="3"/>
      <c r="L343" s="265"/>
      <c r="M343" s="265"/>
      <c r="N343" s="265"/>
      <c r="O343" s="265"/>
      <c r="P343" s="265"/>
      <c r="Q343" s="260"/>
      <c r="R343" s="3"/>
      <c r="S343" s="265"/>
      <c r="T343" s="265"/>
      <c r="U343" s="265"/>
      <c r="V343" s="265"/>
      <c r="W343" s="265"/>
      <c r="X343" s="193"/>
      <c r="Y343" s="193"/>
      <c r="Z343" s="193"/>
      <c r="AA343" s="193"/>
      <c r="AB343" s="193"/>
      <c r="AC343" s="193"/>
      <c r="AD343" s="193"/>
      <c r="AE343" s="193"/>
      <c r="AF343" s="3"/>
      <c r="AG343" s="3"/>
      <c r="AH343" s="3"/>
      <c r="AI343" s="3"/>
      <c r="AJ343" s="3"/>
      <c r="AK343" s="3"/>
      <c r="AL343" s="3"/>
    </row>
    <row r="344" spans="1:38" ht="14.25" customHeight="1">
      <c r="A344" s="3"/>
      <c r="B344" s="3"/>
      <c r="C344" s="3"/>
      <c r="D344" s="3"/>
      <c r="E344" s="265"/>
      <c r="F344" s="265"/>
      <c r="G344" s="265"/>
      <c r="H344" s="265"/>
      <c r="I344" s="265"/>
      <c r="J344" s="260"/>
      <c r="K344" s="3"/>
      <c r="L344" s="265"/>
      <c r="M344" s="265"/>
      <c r="N344" s="265"/>
      <c r="O344" s="265"/>
      <c r="P344" s="265"/>
      <c r="Q344" s="260"/>
      <c r="R344" s="3"/>
      <c r="S344" s="265"/>
      <c r="T344" s="265"/>
      <c r="U344" s="265"/>
      <c r="V344" s="265"/>
      <c r="W344" s="265"/>
      <c r="X344" s="193"/>
      <c r="Y344" s="193"/>
      <c r="Z344" s="193"/>
      <c r="AA344" s="193"/>
      <c r="AB344" s="193"/>
      <c r="AC344" s="193"/>
      <c r="AD344" s="193"/>
      <c r="AE344" s="193"/>
      <c r="AF344" s="3"/>
      <c r="AG344" s="3"/>
      <c r="AH344" s="3"/>
      <c r="AI344" s="3"/>
      <c r="AJ344" s="3"/>
      <c r="AK344" s="3"/>
      <c r="AL344" s="3"/>
    </row>
    <row r="345" spans="1:38" ht="14.25" customHeight="1">
      <c r="A345" s="3"/>
      <c r="B345" s="3"/>
      <c r="C345" s="3"/>
      <c r="D345" s="3"/>
      <c r="E345" s="265"/>
      <c r="F345" s="265"/>
      <c r="G345" s="265"/>
      <c r="H345" s="265"/>
      <c r="I345" s="265"/>
      <c r="J345" s="260"/>
      <c r="K345" s="3"/>
      <c r="L345" s="265"/>
      <c r="M345" s="265"/>
      <c r="N345" s="265"/>
      <c r="O345" s="265"/>
      <c r="P345" s="265"/>
      <c r="Q345" s="260"/>
      <c r="R345" s="3"/>
      <c r="S345" s="265"/>
      <c r="T345" s="265"/>
      <c r="U345" s="265"/>
      <c r="V345" s="265"/>
      <c r="W345" s="265"/>
      <c r="X345" s="193"/>
      <c r="Y345" s="193"/>
      <c r="Z345" s="193"/>
      <c r="AA345" s="193"/>
      <c r="AB345" s="193"/>
      <c r="AC345" s="193"/>
      <c r="AD345" s="193"/>
      <c r="AE345" s="193"/>
      <c r="AF345" s="3"/>
      <c r="AG345" s="3"/>
      <c r="AH345" s="3"/>
      <c r="AI345" s="3"/>
      <c r="AJ345" s="3"/>
      <c r="AK345" s="3"/>
      <c r="AL345" s="3"/>
    </row>
    <row r="346" spans="1:38" ht="14.25" customHeight="1">
      <c r="A346" s="3"/>
      <c r="B346" s="3"/>
      <c r="C346" s="3"/>
      <c r="D346" s="3"/>
      <c r="E346" s="265"/>
      <c r="F346" s="265"/>
      <c r="G346" s="265"/>
      <c r="H346" s="265"/>
      <c r="I346" s="265"/>
      <c r="J346" s="260"/>
      <c r="K346" s="3"/>
      <c r="L346" s="265"/>
      <c r="M346" s="265"/>
      <c r="N346" s="265"/>
      <c r="O346" s="265"/>
      <c r="P346" s="265"/>
      <c r="Q346" s="260"/>
      <c r="R346" s="3"/>
      <c r="S346" s="265"/>
      <c r="T346" s="265"/>
      <c r="U346" s="265"/>
      <c r="V346" s="265"/>
      <c r="W346" s="265"/>
      <c r="X346" s="193"/>
      <c r="Y346" s="193"/>
      <c r="Z346" s="193"/>
      <c r="AA346" s="193"/>
      <c r="AB346" s="193"/>
      <c r="AC346" s="193"/>
      <c r="AD346" s="193"/>
      <c r="AE346" s="193"/>
      <c r="AF346" s="3"/>
      <c r="AG346" s="3"/>
      <c r="AH346" s="3"/>
      <c r="AI346" s="3"/>
      <c r="AJ346" s="3"/>
      <c r="AK346" s="3"/>
      <c r="AL346" s="3"/>
    </row>
    <row r="347" spans="1:38" ht="14.25" customHeight="1">
      <c r="A347" s="3"/>
      <c r="B347" s="3"/>
      <c r="C347" s="3"/>
      <c r="D347" s="3"/>
      <c r="E347" s="265"/>
      <c r="F347" s="265"/>
      <c r="G347" s="265"/>
      <c r="H347" s="265"/>
      <c r="I347" s="265"/>
      <c r="J347" s="260"/>
      <c r="K347" s="3"/>
      <c r="L347" s="265"/>
      <c r="M347" s="265"/>
      <c r="N347" s="265"/>
      <c r="O347" s="265"/>
      <c r="P347" s="265"/>
      <c r="Q347" s="260"/>
      <c r="R347" s="3"/>
      <c r="S347" s="265"/>
      <c r="T347" s="265"/>
      <c r="U347" s="265"/>
      <c r="V347" s="265"/>
      <c r="W347" s="265"/>
      <c r="X347" s="193"/>
      <c r="Y347" s="193"/>
      <c r="Z347" s="193"/>
      <c r="AA347" s="193"/>
      <c r="AB347" s="193"/>
      <c r="AC347" s="193"/>
      <c r="AD347" s="193"/>
      <c r="AE347" s="193"/>
      <c r="AF347" s="3"/>
      <c r="AG347" s="3"/>
      <c r="AH347" s="3"/>
      <c r="AI347" s="3"/>
      <c r="AJ347" s="3"/>
      <c r="AK347" s="3"/>
      <c r="AL347" s="3"/>
    </row>
    <row r="348" spans="1:38" ht="14.25" customHeight="1">
      <c r="A348" s="3"/>
      <c r="B348" s="3"/>
      <c r="C348" s="3"/>
      <c r="D348" s="3"/>
      <c r="E348" s="265"/>
      <c r="F348" s="265"/>
      <c r="G348" s="265"/>
      <c r="H348" s="265"/>
      <c r="I348" s="265"/>
      <c r="J348" s="260"/>
      <c r="K348" s="3"/>
      <c r="L348" s="265"/>
      <c r="M348" s="265"/>
      <c r="N348" s="265"/>
      <c r="O348" s="265"/>
      <c r="P348" s="265"/>
      <c r="Q348" s="260"/>
      <c r="R348" s="3"/>
      <c r="S348" s="265"/>
      <c r="T348" s="265"/>
      <c r="U348" s="265"/>
      <c r="V348" s="265"/>
      <c r="W348" s="265"/>
      <c r="X348" s="193"/>
      <c r="Y348" s="193"/>
      <c r="Z348" s="193"/>
      <c r="AA348" s="193"/>
      <c r="AB348" s="193"/>
      <c r="AC348" s="193"/>
      <c r="AD348" s="193"/>
      <c r="AE348" s="193"/>
      <c r="AF348" s="3"/>
      <c r="AG348" s="3"/>
      <c r="AH348" s="3"/>
      <c r="AI348" s="3"/>
      <c r="AJ348" s="3"/>
      <c r="AK348" s="3"/>
      <c r="AL348" s="3"/>
    </row>
    <row r="349" spans="1:38" ht="14.25" customHeight="1">
      <c r="A349" s="3"/>
      <c r="B349" s="3"/>
      <c r="C349" s="3"/>
      <c r="D349" s="3"/>
      <c r="E349" s="265"/>
      <c r="F349" s="265"/>
      <c r="G349" s="265"/>
      <c r="H349" s="265"/>
      <c r="I349" s="265"/>
      <c r="J349" s="260"/>
      <c r="K349" s="3"/>
      <c r="L349" s="265"/>
      <c r="M349" s="265"/>
      <c r="N349" s="265"/>
      <c r="O349" s="265"/>
      <c r="P349" s="265"/>
      <c r="Q349" s="260"/>
      <c r="R349" s="3"/>
      <c r="S349" s="265"/>
      <c r="T349" s="265"/>
      <c r="U349" s="265"/>
      <c r="V349" s="265"/>
      <c r="W349" s="265"/>
      <c r="X349" s="193"/>
      <c r="Y349" s="193"/>
      <c r="Z349" s="193"/>
      <c r="AA349" s="193"/>
      <c r="AB349" s="193"/>
      <c r="AC349" s="193"/>
      <c r="AD349" s="193"/>
      <c r="AE349" s="193"/>
      <c r="AF349" s="3"/>
      <c r="AG349" s="3"/>
      <c r="AH349" s="3"/>
      <c r="AI349" s="3"/>
      <c r="AJ349" s="3"/>
      <c r="AK349" s="3"/>
      <c r="AL349" s="3"/>
    </row>
    <row r="350" spans="1:38" ht="14.25" customHeight="1">
      <c r="A350" s="3"/>
      <c r="B350" s="3"/>
      <c r="C350" s="3"/>
      <c r="D350" s="3"/>
      <c r="E350" s="265"/>
      <c r="F350" s="265"/>
      <c r="G350" s="265"/>
      <c r="H350" s="265"/>
      <c r="I350" s="265"/>
      <c r="J350" s="260"/>
      <c r="K350" s="3"/>
      <c r="L350" s="265"/>
      <c r="M350" s="265"/>
      <c r="N350" s="265"/>
      <c r="O350" s="265"/>
      <c r="P350" s="265"/>
      <c r="Q350" s="260"/>
      <c r="R350" s="3"/>
      <c r="S350" s="265"/>
      <c r="T350" s="265"/>
      <c r="U350" s="265"/>
      <c r="V350" s="265"/>
      <c r="W350" s="265"/>
      <c r="X350" s="193"/>
      <c r="Y350" s="193"/>
      <c r="Z350" s="193"/>
      <c r="AA350" s="193"/>
      <c r="AB350" s="193"/>
      <c r="AC350" s="193"/>
      <c r="AD350" s="193"/>
      <c r="AE350" s="193"/>
      <c r="AF350" s="3"/>
      <c r="AG350" s="3"/>
      <c r="AH350" s="3"/>
      <c r="AI350" s="3"/>
      <c r="AJ350" s="3"/>
      <c r="AK350" s="3"/>
      <c r="AL350" s="3"/>
    </row>
    <row r="351" spans="1:38" ht="14.25" customHeight="1">
      <c r="A351" s="3"/>
      <c r="B351" s="3"/>
      <c r="C351" s="3"/>
      <c r="D351" s="3"/>
      <c r="E351" s="265"/>
      <c r="F351" s="265"/>
      <c r="G351" s="265"/>
      <c r="H351" s="265"/>
      <c r="I351" s="265"/>
      <c r="J351" s="260"/>
      <c r="K351" s="3"/>
      <c r="L351" s="265"/>
      <c r="M351" s="265"/>
      <c r="N351" s="265"/>
      <c r="O351" s="265"/>
      <c r="P351" s="265"/>
      <c r="Q351" s="260"/>
      <c r="R351" s="3"/>
      <c r="S351" s="265"/>
      <c r="T351" s="265"/>
      <c r="U351" s="265"/>
      <c r="V351" s="265"/>
      <c r="W351" s="265"/>
      <c r="X351" s="193"/>
      <c r="Y351" s="193"/>
      <c r="Z351" s="193"/>
      <c r="AA351" s="193"/>
      <c r="AB351" s="193"/>
      <c r="AC351" s="193"/>
      <c r="AD351" s="193"/>
      <c r="AE351" s="193"/>
      <c r="AF351" s="3"/>
      <c r="AG351" s="3"/>
      <c r="AH351" s="3"/>
      <c r="AI351" s="3"/>
      <c r="AJ351" s="3"/>
      <c r="AK351" s="3"/>
      <c r="AL351" s="3"/>
    </row>
    <row r="352" spans="1:38" ht="14.25" customHeight="1">
      <c r="A352" s="3"/>
      <c r="B352" s="3"/>
      <c r="C352" s="3"/>
      <c r="D352" s="3"/>
      <c r="E352" s="265"/>
      <c r="F352" s="265"/>
      <c r="G352" s="265"/>
      <c r="H352" s="265"/>
      <c r="I352" s="265"/>
      <c r="J352" s="260"/>
      <c r="K352" s="3"/>
      <c r="L352" s="265"/>
      <c r="M352" s="265"/>
      <c r="N352" s="265"/>
      <c r="O352" s="265"/>
      <c r="P352" s="265"/>
      <c r="Q352" s="260"/>
      <c r="R352" s="3"/>
      <c r="S352" s="265"/>
      <c r="T352" s="265"/>
      <c r="U352" s="265"/>
      <c r="V352" s="265"/>
      <c r="W352" s="265"/>
      <c r="X352" s="193"/>
      <c r="Y352" s="193"/>
      <c r="Z352" s="193"/>
      <c r="AA352" s="193"/>
      <c r="AB352" s="193"/>
      <c r="AC352" s="193"/>
      <c r="AD352" s="193"/>
      <c r="AE352" s="193"/>
      <c r="AF352" s="3"/>
      <c r="AG352" s="3"/>
      <c r="AH352" s="3"/>
      <c r="AI352" s="3"/>
      <c r="AJ352" s="3"/>
      <c r="AK352" s="3"/>
      <c r="AL352" s="3"/>
    </row>
    <row r="353" spans="1:38" ht="14.25" customHeight="1">
      <c r="A353" s="3"/>
      <c r="B353" s="3"/>
      <c r="C353" s="3"/>
      <c r="D353" s="3"/>
      <c r="E353" s="265"/>
      <c r="F353" s="265"/>
      <c r="G353" s="265"/>
      <c r="H353" s="265"/>
      <c r="I353" s="265"/>
      <c r="J353" s="260"/>
      <c r="K353" s="3"/>
      <c r="L353" s="265"/>
      <c r="M353" s="265"/>
      <c r="N353" s="265"/>
      <c r="O353" s="265"/>
      <c r="P353" s="265"/>
      <c r="Q353" s="260"/>
      <c r="R353" s="3"/>
      <c r="S353" s="265"/>
      <c r="T353" s="265"/>
      <c r="U353" s="265"/>
      <c r="V353" s="265"/>
      <c r="W353" s="265"/>
      <c r="X353" s="193"/>
      <c r="Y353" s="193"/>
      <c r="Z353" s="193"/>
      <c r="AA353" s="193"/>
      <c r="AB353" s="193"/>
      <c r="AC353" s="193"/>
      <c r="AD353" s="193"/>
      <c r="AE353" s="193"/>
      <c r="AF353" s="3"/>
      <c r="AG353" s="3"/>
      <c r="AH353" s="3"/>
      <c r="AI353" s="3"/>
      <c r="AJ353" s="3"/>
      <c r="AK353" s="3"/>
      <c r="AL353" s="3"/>
    </row>
    <row r="354" spans="1:38" ht="14.25" customHeight="1">
      <c r="A354" s="3"/>
      <c r="B354" s="3"/>
      <c r="C354" s="3"/>
      <c r="D354" s="3"/>
      <c r="E354" s="265"/>
      <c r="F354" s="265"/>
      <c r="G354" s="265"/>
      <c r="H354" s="265"/>
      <c r="I354" s="265"/>
      <c r="J354" s="260"/>
      <c r="K354" s="3"/>
      <c r="L354" s="265"/>
      <c r="M354" s="265"/>
      <c r="N354" s="265"/>
      <c r="O354" s="265"/>
      <c r="P354" s="265"/>
      <c r="Q354" s="260"/>
      <c r="R354" s="3"/>
      <c r="S354" s="265"/>
      <c r="T354" s="265"/>
      <c r="U354" s="265"/>
      <c r="V354" s="265"/>
      <c r="W354" s="265"/>
      <c r="X354" s="193"/>
      <c r="Y354" s="193"/>
      <c r="Z354" s="193"/>
      <c r="AA354" s="193"/>
      <c r="AB354" s="193"/>
      <c r="AC354" s="193"/>
      <c r="AD354" s="193"/>
      <c r="AE354" s="193"/>
      <c r="AF354" s="3"/>
      <c r="AG354" s="3"/>
      <c r="AH354" s="3"/>
      <c r="AI354" s="3"/>
      <c r="AJ354" s="3"/>
      <c r="AK354" s="3"/>
      <c r="AL354" s="3"/>
    </row>
    <row r="355" spans="1:38" ht="14.25" customHeight="1">
      <c r="A355" s="3"/>
      <c r="B355" s="3"/>
      <c r="C355" s="3"/>
      <c r="D355" s="3"/>
      <c r="E355" s="265"/>
      <c r="F355" s="265"/>
      <c r="G355" s="265"/>
      <c r="H355" s="265"/>
      <c r="I355" s="265"/>
      <c r="J355" s="260"/>
      <c r="K355" s="3"/>
      <c r="L355" s="265"/>
      <c r="M355" s="265"/>
      <c r="N355" s="265"/>
      <c r="O355" s="265"/>
      <c r="P355" s="265"/>
      <c r="Q355" s="260"/>
      <c r="R355" s="3"/>
      <c r="S355" s="265"/>
      <c r="T355" s="265"/>
      <c r="U355" s="265"/>
      <c r="V355" s="265"/>
      <c r="W355" s="265"/>
      <c r="X355" s="193"/>
      <c r="Y355" s="193"/>
      <c r="Z355" s="193"/>
      <c r="AA355" s="193"/>
      <c r="AB355" s="193"/>
      <c r="AC355" s="193"/>
      <c r="AD355" s="193"/>
      <c r="AE355" s="193"/>
      <c r="AF355" s="3"/>
      <c r="AG355" s="3"/>
      <c r="AH355" s="3"/>
      <c r="AI355" s="3"/>
      <c r="AJ355" s="3"/>
      <c r="AK355" s="3"/>
      <c r="AL355" s="3"/>
    </row>
    <row r="356" spans="1:38" ht="14.25" customHeight="1">
      <c r="A356" s="3"/>
      <c r="B356" s="3"/>
      <c r="C356" s="3"/>
      <c r="D356" s="3"/>
      <c r="E356" s="265"/>
      <c r="F356" s="265"/>
      <c r="G356" s="265"/>
      <c r="H356" s="265"/>
      <c r="I356" s="265"/>
      <c r="J356" s="260"/>
      <c r="K356" s="3"/>
      <c r="L356" s="265"/>
      <c r="M356" s="265"/>
      <c r="N356" s="265"/>
      <c r="O356" s="265"/>
      <c r="P356" s="265"/>
      <c r="Q356" s="260"/>
      <c r="R356" s="3"/>
      <c r="S356" s="265"/>
      <c r="T356" s="265"/>
      <c r="U356" s="265"/>
      <c r="V356" s="265"/>
      <c r="W356" s="265"/>
      <c r="X356" s="193"/>
      <c r="Y356" s="193"/>
      <c r="Z356" s="193"/>
      <c r="AA356" s="193"/>
      <c r="AB356" s="193"/>
      <c r="AC356" s="193"/>
      <c r="AD356" s="193"/>
      <c r="AE356" s="193"/>
      <c r="AF356" s="3"/>
      <c r="AG356" s="3"/>
      <c r="AH356" s="3"/>
      <c r="AI356" s="3"/>
      <c r="AJ356" s="3"/>
      <c r="AK356" s="3"/>
      <c r="AL356" s="3"/>
    </row>
    <row r="357" spans="1:38" ht="14.25" customHeight="1">
      <c r="A357" s="3"/>
      <c r="B357" s="3"/>
      <c r="C357" s="3"/>
      <c r="D357" s="3"/>
      <c r="E357" s="265"/>
      <c r="F357" s="265"/>
      <c r="G357" s="265"/>
      <c r="H357" s="265"/>
      <c r="I357" s="265"/>
      <c r="J357" s="260"/>
      <c r="K357" s="3"/>
      <c r="L357" s="265"/>
      <c r="M357" s="265"/>
      <c r="N357" s="265"/>
      <c r="O357" s="265"/>
      <c r="P357" s="265"/>
      <c r="Q357" s="260"/>
      <c r="R357" s="3"/>
      <c r="S357" s="265"/>
      <c r="T357" s="265"/>
      <c r="U357" s="265"/>
      <c r="V357" s="265"/>
      <c r="W357" s="265"/>
      <c r="X357" s="193"/>
      <c r="Y357" s="193"/>
      <c r="Z357" s="193"/>
      <c r="AA357" s="193"/>
      <c r="AB357" s="193"/>
      <c r="AC357" s="193"/>
      <c r="AD357" s="193"/>
      <c r="AE357" s="193"/>
      <c r="AF357" s="3"/>
      <c r="AG357" s="3"/>
      <c r="AH357" s="3"/>
      <c r="AI357" s="3"/>
      <c r="AJ357" s="3"/>
      <c r="AK357" s="3"/>
      <c r="AL357" s="3"/>
    </row>
    <row r="358" spans="1:38" ht="14.25" customHeight="1">
      <c r="A358" s="3"/>
      <c r="B358" s="3"/>
      <c r="C358" s="3"/>
      <c r="D358" s="3"/>
      <c r="E358" s="265"/>
      <c r="F358" s="265"/>
      <c r="G358" s="265"/>
      <c r="H358" s="265"/>
      <c r="I358" s="265"/>
      <c r="J358" s="260"/>
      <c r="K358" s="3"/>
      <c r="L358" s="265"/>
      <c r="M358" s="265"/>
      <c r="N358" s="265"/>
      <c r="O358" s="265"/>
      <c r="P358" s="265"/>
      <c r="Q358" s="260"/>
      <c r="R358" s="3"/>
      <c r="S358" s="265"/>
      <c r="T358" s="265"/>
      <c r="U358" s="265"/>
      <c r="V358" s="265"/>
      <c r="W358" s="265"/>
      <c r="X358" s="193"/>
      <c r="Y358" s="193"/>
      <c r="Z358" s="193"/>
      <c r="AA358" s="193"/>
      <c r="AB358" s="193"/>
      <c r="AC358" s="193"/>
      <c r="AD358" s="193"/>
      <c r="AE358" s="193"/>
      <c r="AF358" s="3"/>
      <c r="AG358" s="3"/>
      <c r="AH358" s="3"/>
      <c r="AI358" s="3"/>
      <c r="AJ358" s="3"/>
      <c r="AK358" s="3"/>
      <c r="AL358" s="3"/>
    </row>
    <row r="359" spans="1:38" ht="14.25" customHeight="1">
      <c r="A359" s="3"/>
      <c r="B359" s="3"/>
      <c r="C359" s="3"/>
      <c r="D359" s="3"/>
      <c r="E359" s="265"/>
      <c r="F359" s="265"/>
      <c r="G359" s="265"/>
      <c r="H359" s="265"/>
      <c r="I359" s="265"/>
      <c r="J359" s="260"/>
      <c r="K359" s="3"/>
      <c r="L359" s="265"/>
      <c r="M359" s="265"/>
      <c r="N359" s="265"/>
      <c r="O359" s="265"/>
      <c r="P359" s="265"/>
      <c r="Q359" s="260"/>
      <c r="R359" s="3"/>
      <c r="S359" s="265"/>
      <c r="T359" s="265"/>
      <c r="U359" s="265"/>
      <c r="V359" s="265"/>
      <c r="W359" s="265"/>
      <c r="X359" s="193"/>
      <c r="Y359" s="193"/>
      <c r="Z359" s="193"/>
      <c r="AA359" s="193"/>
      <c r="AB359" s="193"/>
      <c r="AC359" s="193"/>
      <c r="AD359" s="193"/>
      <c r="AE359" s="193"/>
      <c r="AF359" s="3"/>
      <c r="AG359" s="3"/>
      <c r="AH359" s="3"/>
      <c r="AI359" s="3"/>
      <c r="AJ359" s="3"/>
      <c r="AK359" s="3"/>
      <c r="AL359" s="3"/>
    </row>
    <row r="360" spans="1:38" ht="14.25" customHeight="1">
      <c r="A360" s="3"/>
      <c r="B360" s="3"/>
      <c r="C360" s="3"/>
      <c r="D360" s="3"/>
      <c r="E360" s="265"/>
      <c r="F360" s="265"/>
      <c r="G360" s="265"/>
      <c r="H360" s="265"/>
      <c r="I360" s="265"/>
      <c r="J360" s="260"/>
      <c r="K360" s="3"/>
      <c r="L360" s="265"/>
      <c r="M360" s="265"/>
      <c r="N360" s="265"/>
      <c r="O360" s="265"/>
      <c r="P360" s="265"/>
      <c r="Q360" s="260"/>
      <c r="R360" s="3"/>
      <c r="S360" s="265"/>
      <c r="T360" s="265"/>
      <c r="U360" s="265"/>
      <c r="V360" s="265"/>
      <c r="W360" s="265"/>
      <c r="X360" s="193"/>
      <c r="Y360" s="193"/>
      <c r="Z360" s="193"/>
      <c r="AA360" s="193"/>
      <c r="AB360" s="193"/>
      <c r="AC360" s="193"/>
      <c r="AD360" s="193"/>
      <c r="AE360" s="193"/>
      <c r="AF360" s="3"/>
      <c r="AG360" s="3"/>
      <c r="AH360" s="3"/>
      <c r="AI360" s="3"/>
      <c r="AJ360" s="3"/>
      <c r="AK360" s="3"/>
      <c r="AL360" s="3"/>
    </row>
    <row r="361" spans="1:38" ht="14.25" customHeight="1">
      <c r="A361" s="3"/>
      <c r="B361" s="3"/>
      <c r="C361" s="3"/>
      <c r="D361" s="3"/>
      <c r="E361" s="265"/>
      <c r="F361" s="265"/>
      <c r="G361" s="265"/>
      <c r="H361" s="265"/>
      <c r="I361" s="265"/>
      <c r="J361" s="260"/>
      <c r="K361" s="3"/>
      <c r="L361" s="265"/>
      <c r="M361" s="265"/>
      <c r="N361" s="265"/>
      <c r="O361" s="265"/>
      <c r="P361" s="265"/>
      <c r="Q361" s="260"/>
      <c r="R361" s="3"/>
      <c r="S361" s="265"/>
      <c r="T361" s="265"/>
      <c r="U361" s="265"/>
      <c r="V361" s="265"/>
      <c r="W361" s="265"/>
      <c r="X361" s="193"/>
      <c r="Y361" s="193"/>
      <c r="Z361" s="193"/>
      <c r="AA361" s="193"/>
      <c r="AB361" s="193"/>
      <c r="AC361" s="193"/>
      <c r="AD361" s="193"/>
      <c r="AE361" s="193"/>
      <c r="AF361" s="3"/>
      <c r="AG361" s="3"/>
      <c r="AH361" s="3"/>
      <c r="AI361" s="3"/>
      <c r="AJ361" s="3"/>
      <c r="AK361" s="3"/>
      <c r="AL361" s="3"/>
    </row>
    <row r="362" spans="1:38" ht="14.25" customHeight="1">
      <c r="A362" s="3"/>
      <c r="B362" s="3"/>
      <c r="C362" s="3"/>
      <c r="D362" s="3"/>
      <c r="E362" s="265"/>
      <c r="F362" s="265"/>
      <c r="G362" s="265"/>
      <c r="H362" s="265"/>
      <c r="I362" s="265"/>
      <c r="J362" s="260"/>
      <c r="K362" s="3"/>
      <c r="L362" s="265"/>
      <c r="M362" s="265"/>
      <c r="N362" s="265"/>
      <c r="O362" s="265"/>
      <c r="P362" s="265"/>
      <c r="Q362" s="260"/>
      <c r="R362" s="3"/>
      <c r="S362" s="265"/>
      <c r="T362" s="265"/>
      <c r="U362" s="265"/>
      <c r="V362" s="265"/>
      <c r="W362" s="265"/>
      <c r="X362" s="193"/>
      <c r="Y362" s="193"/>
      <c r="Z362" s="193"/>
      <c r="AA362" s="193"/>
      <c r="AB362" s="193"/>
      <c r="AC362" s="193"/>
      <c r="AD362" s="193"/>
      <c r="AE362" s="193"/>
      <c r="AF362" s="3"/>
      <c r="AG362" s="3"/>
      <c r="AH362" s="3"/>
      <c r="AI362" s="3"/>
      <c r="AJ362" s="3"/>
      <c r="AK362" s="3"/>
      <c r="AL362" s="3"/>
    </row>
    <row r="363" spans="1:38" ht="14.25" customHeight="1">
      <c r="A363" s="3"/>
      <c r="B363" s="3"/>
      <c r="C363" s="3"/>
      <c r="D363" s="3"/>
      <c r="E363" s="265"/>
      <c r="F363" s="265"/>
      <c r="G363" s="265"/>
      <c r="H363" s="265"/>
      <c r="I363" s="265"/>
      <c r="J363" s="260"/>
      <c r="K363" s="3"/>
      <c r="L363" s="265"/>
      <c r="M363" s="265"/>
      <c r="N363" s="265"/>
      <c r="O363" s="265"/>
      <c r="P363" s="265"/>
      <c r="Q363" s="260"/>
      <c r="R363" s="3"/>
      <c r="S363" s="265"/>
      <c r="T363" s="265"/>
      <c r="U363" s="265"/>
      <c r="V363" s="265"/>
      <c r="W363" s="265"/>
      <c r="X363" s="193"/>
      <c r="Y363" s="193"/>
      <c r="Z363" s="193"/>
      <c r="AA363" s="193"/>
      <c r="AB363" s="193"/>
      <c r="AC363" s="193"/>
      <c r="AD363" s="193"/>
      <c r="AE363" s="193"/>
      <c r="AF363" s="3"/>
      <c r="AG363" s="3"/>
      <c r="AH363" s="3"/>
      <c r="AI363" s="3"/>
      <c r="AJ363" s="3"/>
      <c r="AK363" s="3"/>
      <c r="AL363" s="3"/>
    </row>
    <row r="364" spans="1:38" ht="14.25" customHeight="1">
      <c r="A364" s="3"/>
      <c r="B364" s="3"/>
      <c r="C364" s="3"/>
      <c r="D364" s="3"/>
      <c r="E364" s="265"/>
      <c r="F364" s="265"/>
      <c r="G364" s="265"/>
      <c r="H364" s="265"/>
      <c r="I364" s="265"/>
      <c r="J364" s="260"/>
      <c r="K364" s="3"/>
      <c r="L364" s="265"/>
      <c r="M364" s="265"/>
      <c r="N364" s="265"/>
      <c r="O364" s="265"/>
      <c r="P364" s="265"/>
      <c r="Q364" s="260"/>
      <c r="R364" s="3"/>
      <c r="S364" s="265"/>
      <c r="T364" s="265"/>
      <c r="U364" s="265"/>
      <c r="V364" s="265"/>
      <c r="W364" s="265"/>
      <c r="X364" s="193"/>
      <c r="Y364" s="193"/>
      <c r="Z364" s="193"/>
      <c r="AA364" s="193"/>
      <c r="AB364" s="193"/>
      <c r="AC364" s="193"/>
      <c r="AD364" s="193"/>
      <c r="AE364" s="193"/>
      <c r="AF364" s="3"/>
      <c r="AG364" s="3"/>
      <c r="AH364" s="3"/>
      <c r="AI364" s="3"/>
      <c r="AJ364" s="3"/>
      <c r="AK364" s="3"/>
      <c r="AL364" s="3"/>
    </row>
    <row r="365" spans="1:38" ht="14.25" customHeight="1">
      <c r="A365" s="3"/>
      <c r="B365" s="3"/>
      <c r="C365" s="3"/>
      <c r="D365" s="3"/>
      <c r="E365" s="265"/>
      <c r="F365" s="265"/>
      <c r="G365" s="265"/>
      <c r="H365" s="265"/>
      <c r="I365" s="265"/>
      <c r="J365" s="260"/>
      <c r="K365" s="3"/>
      <c r="L365" s="265"/>
      <c r="M365" s="265"/>
      <c r="N365" s="265"/>
      <c r="O365" s="265"/>
      <c r="P365" s="265"/>
      <c r="Q365" s="260"/>
      <c r="R365" s="3"/>
      <c r="S365" s="265"/>
      <c r="T365" s="265"/>
      <c r="U365" s="265"/>
      <c r="V365" s="265"/>
      <c r="W365" s="265"/>
      <c r="X365" s="193"/>
      <c r="Y365" s="193"/>
      <c r="Z365" s="193"/>
      <c r="AA365" s="193"/>
      <c r="AB365" s="193"/>
      <c r="AC365" s="193"/>
      <c r="AD365" s="193"/>
      <c r="AE365" s="193"/>
      <c r="AF365" s="3"/>
      <c r="AG365" s="3"/>
      <c r="AH365" s="3"/>
      <c r="AI365" s="3"/>
      <c r="AJ365" s="3"/>
      <c r="AK365" s="3"/>
      <c r="AL365" s="3"/>
    </row>
    <row r="366" spans="1:38" ht="14.25" customHeight="1">
      <c r="A366" s="3"/>
      <c r="B366" s="3"/>
      <c r="C366" s="3"/>
      <c r="D366" s="3"/>
      <c r="E366" s="265"/>
      <c r="F366" s="265"/>
      <c r="G366" s="265"/>
      <c r="H366" s="265"/>
      <c r="I366" s="265"/>
      <c r="J366" s="260"/>
      <c r="K366" s="3"/>
      <c r="L366" s="265"/>
      <c r="M366" s="265"/>
      <c r="N366" s="265"/>
      <c r="O366" s="265"/>
      <c r="P366" s="265"/>
      <c r="Q366" s="260"/>
      <c r="R366" s="3"/>
      <c r="S366" s="265"/>
      <c r="T366" s="265"/>
      <c r="U366" s="265"/>
      <c r="V366" s="265"/>
      <c r="W366" s="265"/>
      <c r="X366" s="193"/>
      <c r="Y366" s="193"/>
      <c r="Z366" s="193"/>
      <c r="AA366" s="193"/>
      <c r="AB366" s="193"/>
      <c r="AC366" s="193"/>
      <c r="AD366" s="193"/>
      <c r="AE366" s="193"/>
      <c r="AF366" s="3"/>
      <c r="AG366" s="3"/>
      <c r="AH366" s="3"/>
      <c r="AI366" s="3"/>
      <c r="AJ366" s="3"/>
      <c r="AK366" s="3"/>
      <c r="AL366" s="3"/>
    </row>
    <row r="367" spans="1:38" ht="14.25" customHeight="1">
      <c r="A367" s="3"/>
      <c r="B367" s="3"/>
      <c r="C367" s="3"/>
      <c r="D367" s="3"/>
      <c r="E367" s="265"/>
      <c r="F367" s="265"/>
      <c r="G367" s="265"/>
      <c r="H367" s="265"/>
      <c r="I367" s="265"/>
      <c r="J367" s="260"/>
      <c r="K367" s="3"/>
      <c r="L367" s="265"/>
      <c r="M367" s="265"/>
      <c r="N367" s="265"/>
      <c r="O367" s="265"/>
      <c r="P367" s="265"/>
      <c r="Q367" s="260"/>
      <c r="R367" s="3"/>
      <c r="S367" s="265"/>
      <c r="T367" s="265"/>
      <c r="U367" s="265"/>
      <c r="V367" s="265"/>
      <c r="W367" s="265"/>
      <c r="X367" s="193"/>
      <c r="Y367" s="193"/>
      <c r="Z367" s="193"/>
      <c r="AA367" s="193"/>
      <c r="AB367" s="193"/>
      <c r="AC367" s="193"/>
      <c r="AD367" s="193"/>
      <c r="AE367" s="193"/>
      <c r="AF367" s="3"/>
      <c r="AG367" s="3"/>
      <c r="AH367" s="3"/>
      <c r="AI367" s="3"/>
      <c r="AJ367" s="3"/>
      <c r="AK367" s="3"/>
      <c r="AL367" s="3"/>
    </row>
    <row r="368" spans="1:38" ht="14.25" customHeight="1">
      <c r="A368" s="3"/>
      <c r="B368" s="3"/>
      <c r="C368" s="3"/>
      <c r="D368" s="3"/>
      <c r="E368" s="265"/>
      <c r="F368" s="265"/>
      <c r="G368" s="265"/>
      <c r="H368" s="265"/>
      <c r="I368" s="265"/>
      <c r="J368" s="260"/>
      <c r="K368" s="3"/>
      <c r="L368" s="265"/>
      <c r="M368" s="265"/>
      <c r="N368" s="265"/>
      <c r="O368" s="265"/>
      <c r="P368" s="265"/>
      <c r="Q368" s="260"/>
      <c r="R368" s="3"/>
      <c r="S368" s="265"/>
      <c r="T368" s="265"/>
      <c r="U368" s="265"/>
      <c r="V368" s="265"/>
      <c r="W368" s="265"/>
      <c r="X368" s="193"/>
      <c r="Y368" s="193"/>
      <c r="Z368" s="193"/>
      <c r="AA368" s="193"/>
      <c r="AB368" s="193"/>
      <c r="AC368" s="193"/>
      <c r="AD368" s="193"/>
      <c r="AE368" s="193"/>
      <c r="AF368" s="3"/>
      <c r="AG368" s="3"/>
      <c r="AH368" s="3"/>
      <c r="AI368" s="3"/>
      <c r="AJ368" s="3"/>
      <c r="AK368" s="3"/>
      <c r="AL368" s="3"/>
    </row>
    <row r="369" spans="1:38" ht="14.25" customHeight="1">
      <c r="A369" s="3"/>
      <c r="B369" s="3"/>
      <c r="C369" s="3"/>
      <c r="D369" s="3"/>
      <c r="E369" s="265"/>
      <c r="F369" s="265"/>
      <c r="G369" s="265"/>
      <c r="H369" s="265"/>
      <c r="I369" s="265"/>
      <c r="J369" s="260"/>
      <c r="K369" s="3"/>
      <c r="L369" s="265"/>
      <c r="M369" s="265"/>
      <c r="N369" s="265"/>
      <c r="O369" s="265"/>
      <c r="P369" s="265"/>
      <c r="Q369" s="260"/>
      <c r="R369" s="3"/>
      <c r="S369" s="265"/>
      <c r="T369" s="265"/>
      <c r="U369" s="265"/>
      <c r="V369" s="265"/>
      <c r="W369" s="265"/>
      <c r="X369" s="193"/>
      <c r="Y369" s="193"/>
      <c r="Z369" s="193"/>
      <c r="AA369" s="193"/>
      <c r="AB369" s="193"/>
      <c r="AC369" s="193"/>
      <c r="AD369" s="193"/>
      <c r="AE369" s="193"/>
      <c r="AF369" s="3"/>
      <c r="AG369" s="3"/>
      <c r="AH369" s="3"/>
      <c r="AI369" s="3"/>
      <c r="AJ369" s="3"/>
      <c r="AK369" s="3"/>
      <c r="AL369" s="3"/>
    </row>
    <row r="370" spans="1:38" ht="14.25" customHeight="1">
      <c r="A370" s="3"/>
      <c r="B370" s="3"/>
      <c r="C370" s="3"/>
      <c r="D370" s="3"/>
      <c r="E370" s="265"/>
      <c r="F370" s="265"/>
      <c r="G370" s="265"/>
      <c r="H370" s="265"/>
      <c r="I370" s="265"/>
      <c r="J370" s="260"/>
      <c r="K370" s="3"/>
      <c r="L370" s="265"/>
      <c r="M370" s="265"/>
      <c r="N370" s="265"/>
      <c r="O370" s="265"/>
      <c r="P370" s="265"/>
      <c r="Q370" s="260"/>
      <c r="R370" s="3"/>
      <c r="S370" s="265"/>
      <c r="T370" s="265"/>
      <c r="U370" s="265"/>
      <c r="V370" s="265"/>
      <c r="W370" s="265"/>
      <c r="X370" s="193"/>
      <c r="Y370" s="193"/>
      <c r="Z370" s="193"/>
      <c r="AA370" s="193"/>
      <c r="AB370" s="193"/>
      <c r="AC370" s="193"/>
      <c r="AD370" s="193"/>
      <c r="AE370" s="193"/>
      <c r="AF370" s="3"/>
      <c r="AG370" s="3"/>
      <c r="AH370" s="3"/>
      <c r="AI370" s="3"/>
      <c r="AJ370" s="3"/>
      <c r="AK370" s="3"/>
      <c r="AL370" s="3"/>
    </row>
    <row r="371" spans="1:38" ht="14.25" customHeight="1">
      <c r="A371" s="3"/>
      <c r="B371" s="3"/>
      <c r="C371" s="3"/>
      <c r="D371" s="3"/>
      <c r="E371" s="265"/>
      <c r="F371" s="265"/>
      <c r="G371" s="265"/>
      <c r="H371" s="265"/>
      <c r="I371" s="265"/>
      <c r="J371" s="260"/>
      <c r="K371" s="3"/>
      <c r="L371" s="265"/>
      <c r="M371" s="265"/>
      <c r="N371" s="265"/>
      <c r="O371" s="265"/>
      <c r="P371" s="265"/>
      <c r="Q371" s="260"/>
      <c r="R371" s="3"/>
      <c r="S371" s="265"/>
      <c r="T371" s="265"/>
      <c r="U371" s="265"/>
      <c r="V371" s="265"/>
      <c r="W371" s="265"/>
      <c r="X371" s="193"/>
      <c r="Y371" s="193"/>
      <c r="Z371" s="193"/>
      <c r="AA371" s="193"/>
      <c r="AB371" s="193"/>
      <c r="AC371" s="193"/>
      <c r="AD371" s="193"/>
      <c r="AE371" s="193"/>
      <c r="AF371" s="3"/>
      <c r="AG371" s="3"/>
      <c r="AH371" s="3"/>
      <c r="AI371" s="3"/>
      <c r="AJ371" s="3"/>
      <c r="AK371" s="3"/>
      <c r="AL371" s="3"/>
    </row>
    <row r="372" spans="1:38" ht="14.25" customHeight="1">
      <c r="A372" s="3"/>
      <c r="B372" s="3"/>
      <c r="C372" s="3"/>
      <c r="D372" s="3"/>
      <c r="E372" s="265"/>
      <c r="F372" s="265"/>
      <c r="G372" s="265"/>
      <c r="H372" s="265"/>
      <c r="I372" s="265"/>
      <c r="J372" s="260"/>
      <c r="K372" s="3"/>
      <c r="L372" s="265"/>
      <c r="M372" s="265"/>
      <c r="N372" s="265"/>
      <c r="O372" s="265"/>
      <c r="P372" s="265"/>
      <c r="Q372" s="260"/>
      <c r="R372" s="3"/>
      <c r="S372" s="265"/>
      <c r="T372" s="265"/>
      <c r="U372" s="265"/>
      <c r="V372" s="265"/>
      <c r="W372" s="265"/>
      <c r="X372" s="193"/>
      <c r="Y372" s="193"/>
      <c r="Z372" s="193"/>
      <c r="AA372" s="193"/>
      <c r="AB372" s="193"/>
      <c r="AC372" s="193"/>
      <c r="AD372" s="193"/>
      <c r="AE372" s="193"/>
      <c r="AF372" s="3"/>
      <c r="AG372" s="3"/>
      <c r="AH372" s="3"/>
      <c r="AI372" s="3"/>
      <c r="AJ372" s="3"/>
      <c r="AK372" s="3"/>
      <c r="AL372" s="3"/>
    </row>
    <row r="373" spans="1:38" ht="14.25" customHeight="1">
      <c r="A373" s="3"/>
      <c r="B373" s="3"/>
      <c r="C373" s="3"/>
      <c r="D373" s="3"/>
      <c r="E373" s="265"/>
      <c r="F373" s="265"/>
      <c r="G373" s="265"/>
      <c r="H373" s="265"/>
      <c r="I373" s="265"/>
      <c r="J373" s="260"/>
      <c r="K373" s="3"/>
      <c r="L373" s="265"/>
      <c r="M373" s="265"/>
      <c r="N373" s="265"/>
      <c r="O373" s="265"/>
      <c r="P373" s="265"/>
      <c r="Q373" s="260"/>
      <c r="R373" s="3"/>
      <c r="S373" s="265"/>
      <c r="T373" s="265"/>
      <c r="U373" s="265"/>
      <c r="V373" s="265"/>
      <c r="W373" s="265"/>
      <c r="X373" s="193"/>
      <c r="Y373" s="193"/>
      <c r="Z373" s="193"/>
      <c r="AA373" s="193"/>
      <c r="AB373" s="193"/>
      <c r="AC373" s="193"/>
      <c r="AD373" s="193"/>
      <c r="AE373" s="193"/>
      <c r="AF373" s="3"/>
      <c r="AG373" s="3"/>
      <c r="AH373" s="3"/>
      <c r="AI373" s="3"/>
      <c r="AJ373" s="3"/>
      <c r="AK373" s="3"/>
      <c r="AL373" s="3"/>
    </row>
    <row r="374" spans="1:38" ht="14.25" customHeight="1">
      <c r="A374" s="3"/>
      <c r="B374" s="3"/>
      <c r="C374" s="3"/>
      <c r="D374" s="3"/>
      <c r="E374" s="265"/>
      <c r="F374" s="265"/>
      <c r="G374" s="265"/>
      <c r="H374" s="265"/>
      <c r="I374" s="265"/>
      <c r="J374" s="260"/>
      <c r="K374" s="3"/>
      <c r="L374" s="265"/>
      <c r="M374" s="265"/>
      <c r="N374" s="265"/>
      <c r="O374" s="265"/>
      <c r="P374" s="265"/>
      <c r="Q374" s="260"/>
      <c r="R374" s="3"/>
      <c r="S374" s="265"/>
      <c r="T374" s="265"/>
      <c r="U374" s="265"/>
      <c r="V374" s="265"/>
      <c r="W374" s="265"/>
      <c r="X374" s="193"/>
      <c r="Y374" s="193"/>
      <c r="Z374" s="193"/>
      <c r="AA374" s="193"/>
      <c r="AB374" s="193"/>
      <c r="AC374" s="193"/>
      <c r="AD374" s="193"/>
      <c r="AE374" s="193"/>
      <c r="AF374" s="3"/>
      <c r="AG374" s="3"/>
      <c r="AH374" s="3"/>
      <c r="AI374" s="3"/>
      <c r="AJ374" s="3"/>
      <c r="AK374" s="3"/>
      <c r="AL374" s="3"/>
    </row>
    <row r="375" spans="1:38" ht="14.25" customHeight="1">
      <c r="A375" s="3"/>
      <c r="B375" s="3"/>
      <c r="C375" s="3"/>
      <c r="D375" s="3"/>
      <c r="E375" s="265"/>
      <c r="F375" s="265"/>
      <c r="G375" s="265"/>
      <c r="H375" s="265"/>
      <c r="I375" s="265"/>
      <c r="J375" s="260"/>
      <c r="K375" s="3"/>
      <c r="L375" s="265"/>
      <c r="M375" s="265"/>
      <c r="N375" s="265"/>
      <c r="O375" s="265"/>
      <c r="P375" s="265"/>
      <c r="Q375" s="260"/>
      <c r="R375" s="3"/>
      <c r="S375" s="265"/>
      <c r="T375" s="265"/>
      <c r="U375" s="265"/>
      <c r="V375" s="265"/>
      <c r="W375" s="265"/>
      <c r="X375" s="193"/>
      <c r="Y375" s="193"/>
      <c r="Z375" s="193"/>
      <c r="AA375" s="193"/>
      <c r="AB375" s="193"/>
      <c r="AC375" s="193"/>
      <c r="AD375" s="193"/>
      <c r="AE375" s="193"/>
      <c r="AF375" s="3"/>
      <c r="AG375" s="3"/>
      <c r="AH375" s="3"/>
      <c r="AI375" s="3"/>
      <c r="AJ375" s="3"/>
      <c r="AK375" s="3"/>
      <c r="AL375" s="3"/>
    </row>
    <row r="376" spans="1:38" ht="14.25" customHeight="1">
      <c r="A376" s="3"/>
      <c r="B376" s="3"/>
      <c r="C376" s="3"/>
      <c r="D376" s="3"/>
      <c r="E376" s="265"/>
      <c r="F376" s="265"/>
      <c r="G376" s="265"/>
      <c r="H376" s="265"/>
      <c r="I376" s="265"/>
      <c r="J376" s="260"/>
      <c r="K376" s="3"/>
      <c r="L376" s="265"/>
      <c r="M376" s="265"/>
      <c r="N376" s="265"/>
      <c r="O376" s="265"/>
      <c r="P376" s="265"/>
      <c r="Q376" s="260"/>
      <c r="R376" s="3"/>
      <c r="S376" s="265"/>
      <c r="T376" s="265"/>
      <c r="U376" s="265"/>
      <c r="V376" s="265"/>
      <c r="W376" s="265"/>
      <c r="X376" s="193"/>
      <c r="Y376" s="193"/>
      <c r="Z376" s="193"/>
      <c r="AA376" s="193"/>
      <c r="AB376" s="193"/>
      <c r="AC376" s="193"/>
      <c r="AD376" s="193"/>
      <c r="AE376" s="193"/>
      <c r="AF376" s="3"/>
      <c r="AG376" s="3"/>
      <c r="AH376" s="3"/>
      <c r="AI376" s="3"/>
      <c r="AJ376" s="3"/>
      <c r="AK376" s="3"/>
      <c r="AL376" s="3"/>
    </row>
    <row r="377" spans="1:38" ht="14.25" customHeight="1">
      <c r="A377" s="3"/>
      <c r="B377" s="3"/>
      <c r="C377" s="3"/>
      <c r="D377" s="3"/>
      <c r="E377" s="265"/>
      <c r="F377" s="265"/>
      <c r="G377" s="265"/>
      <c r="H377" s="265"/>
      <c r="I377" s="265"/>
      <c r="J377" s="260"/>
      <c r="K377" s="3"/>
      <c r="L377" s="265"/>
      <c r="M377" s="265"/>
      <c r="N377" s="265"/>
      <c r="O377" s="265"/>
      <c r="P377" s="265"/>
      <c r="Q377" s="260"/>
      <c r="R377" s="3"/>
      <c r="S377" s="265"/>
      <c r="T377" s="265"/>
      <c r="U377" s="265"/>
      <c r="V377" s="265"/>
      <c r="W377" s="265"/>
      <c r="X377" s="193"/>
      <c r="Y377" s="193"/>
      <c r="Z377" s="193"/>
      <c r="AA377" s="193"/>
      <c r="AB377" s="193"/>
      <c r="AC377" s="193"/>
      <c r="AD377" s="193"/>
      <c r="AE377" s="193"/>
      <c r="AF377" s="3"/>
      <c r="AG377" s="3"/>
      <c r="AH377" s="3"/>
      <c r="AI377" s="3"/>
      <c r="AJ377" s="3"/>
      <c r="AK377" s="3"/>
      <c r="AL377" s="3"/>
    </row>
    <row r="378" spans="1:38" ht="14.25" customHeight="1">
      <c r="A378" s="3"/>
      <c r="B378" s="3"/>
      <c r="C378" s="3"/>
      <c r="D378" s="3"/>
      <c r="E378" s="265"/>
      <c r="F378" s="265"/>
      <c r="G378" s="265"/>
      <c r="H378" s="265"/>
      <c r="I378" s="265"/>
      <c r="J378" s="260"/>
      <c r="K378" s="3"/>
      <c r="L378" s="265"/>
      <c r="M378" s="265"/>
      <c r="N378" s="265"/>
      <c r="O378" s="265"/>
      <c r="P378" s="265"/>
      <c r="Q378" s="260"/>
      <c r="R378" s="3"/>
      <c r="S378" s="265"/>
      <c r="T378" s="265"/>
      <c r="U378" s="265"/>
      <c r="V378" s="265"/>
      <c r="W378" s="265"/>
      <c r="X378" s="193"/>
      <c r="Y378" s="193"/>
      <c r="Z378" s="193"/>
      <c r="AA378" s="193"/>
      <c r="AB378" s="193"/>
      <c r="AC378" s="193"/>
      <c r="AD378" s="193"/>
      <c r="AE378" s="193"/>
      <c r="AF378" s="3"/>
      <c r="AG378" s="3"/>
      <c r="AH378" s="3"/>
      <c r="AI378" s="3"/>
      <c r="AJ378" s="3"/>
      <c r="AK378" s="3"/>
      <c r="AL378" s="3"/>
    </row>
    <row r="379" spans="1:38" ht="14.25" customHeight="1">
      <c r="A379" s="3"/>
      <c r="B379" s="3"/>
      <c r="C379" s="3"/>
      <c r="D379" s="3"/>
      <c r="E379" s="265"/>
      <c r="F379" s="265"/>
      <c r="G379" s="265"/>
      <c r="H379" s="265"/>
      <c r="I379" s="265"/>
      <c r="J379" s="260"/>
      <c r="K379" s="3"/>
      <c r="L379" s="265"/>
      <c r="M379" s="265"/>
      <c r="N379" s="265"/>
      <c r="O379" s="265"/>
      <c r="P379" s="265"/>
      <c r="Q379" s="260"/>
      <c r="R379" s="3"/>
      <c r="S379" s="265"/>
      <c r="T379" s="265"/>
      <c r="U379" s="265"/>
      <c r="V379" s="265"/>
      <c r="W379" s="265"/>
      <c r="X379" s="193"/>
      <c r="Y379" s="193"/>
      <c r="Z379" s="193"/>
      <c r="AA379" s="193"/>
      <c r="AB379" s="193"/>
      <c r="AC379" s="193"/>
      <c r="AD379" s="193"/>
      <c r="AE379" s="193"/>
      <c r="AF379" s="3"/>
      <c r="AG379" s="3"/>
      <c r="AH379" s="3"/>
      <c r="AI379" s="3"/>
      <c r="AJ379" s="3"/>
      <c r="AK379" s="3"/>
      <c r="AL379" s="3"/>
    </row>
    <row r="380" spans="1:38" ht="14.25" customHeight="1">
      <c r="A380" s="3"/>
      <c r="B380" s="3"/>
      <c r="C380" s="3"/>
      <c r="D380" s="3"/>
      <c r="E380" s="265"/>
      <c r="F380" s="265"/>
      <c r="G380" s="265"/>
      <c r="H380" s="265"/>
      <c r="I380" s="265"/>
      <c r="J380" s="260"/>
      <c r="K380" s="3"/>
      <c r="L380" s="265"/>
      <c r="M380" s="265"/>
      <c r="N380" s="265"/>
      <c r="O380" s="265"/>
      <c r="P380" s="265"/>
      <c r="Q380" s="260"/>
      <c r="R380" s="3"/>
      <c r="S380" s="265"/>
      <c r="T380" s="265"/>
      <c r="U380" s="265"/>
      <c r="V380" s="265"/>
      <c r="W380" s="265"/>
      <c r="X380" s="193"/>
      <c r="Y380" s="193"/>
      <c r="Z380" s="193"/>
      <c r="AA380" s="193"/>
      <c r="AB380" s="193"/>
      <c r="AC380" s="193"/>
      <c r="AD380" s="193"/>
      <c r="AE380" s="193"/>
      <c r="AF380" s="3"/>
      <c r="AG380" s="3"/>
      <c r="AH380" s="3"/>
      <c r="AI380" s="3"/>
      <c r="AJ380" s="3"/>
      <c r="AK380" s="3"/>
      <c r="AL380" s="3"/>
    </row>
    <row r="381" spans="1:38" ht="14.25" customHeight="1">
      <c r="A381" s="3"/>
      <c r="B381" s="3"/>
      <c r="C381" s="3"/>
      <c r="D381" s="3"/>
      <c r="E381" s="265"/>
      <c r="F381" s="265"/>
      <c r="G381" s="265"/>
      <c r="H381" s="265"/>
      <c r="I381" s="265"/>
      <c r="J381" s="260"/>
      <c r="K381" s="3"/>
      <c r="L381" s="265"/>
      <c r="M381" s="265"/>
      <c r="N381" s="265"/>
      <c r="O381" s="265"/>
      <c r="P381" s="265"/>
      <c r="Q381" s="260"/>
      <c r="R381" s="3"/>
      <c r="S381" s="265"/>
      <c r="T381" s="265"/>
      <c r="U381" s="265"/>
      <c r="V381" s="265"/>
      <c r="W381" s="265"/>
      <c r="X381" s="193"/>
      <c r="Y381" s="193"/>
      <c r="Z381" s="193"/>
      <c r="AA381" s="193"/>
      <c r="AB381" s="193"/>
      <c r="AC381" s="193"/>
      <c r="AD381" s="193"/>
      <c r="AE381" s="193"/>
      <c r="AF381" s="3"/>
      <c r="AG381" s="3"/>
      <c r="AH381" s="3"/>
      <c r="AI381" s="3"/>
      <c r="AJ381" s="3"/>
      <c r="AK381" s="3"/>
      <c r="AL381" s="3"/>
    </row>
    <row r="382" spans="1:38" ht="14.25" customHeight="1">
      <c r="A382" s="3"/>
      <c r="B382" s="3"/>
      <c r="C382" s="3"/>
      <c r="D382" s="3"/>
      <c r="E382" s="265"/>
      <c r="F382" s="265"/>
      <c r="G382" s="265"/>
      <c r="H382" s="265"/>
      <c r="I382" s="265"/>
      <c r="J382" s="260"/>
      <c r="K382" s="3"/>
      <c r="L382" s="265"/>
      <c r="M382" s="265"/>
      <c r="N382" s="265"/>
      <c r="O382" s="265"/>
      <c r="P382" s="265"/>
      <c r="Q382" s="260"/>
      <c r="R382" s="3"/>
      <c r="S382" s="265"/>
      <c r="T382" s="265"/>
      <c r="U382" s="265"/>
      <c r="V382" s="265"/>
      <c r="W382" s="265"/>
      <c r="X382" s="193"/>
      <c r="Y382" s="193"/>
      <c r="Z382" s="193"/>
      <c r="AA382" s="193"/>
      <c r="AB382" s="193"/>
      <c r="AC382" s="193"/>
      <c r="AD382" s="193"/>
      <c r="AE382" s="193"/>
      <c r="AF382" s="3"/>
      <c r="AG382" s="3"/>
      <c r="AH382" s="3"/>
      <c r="AI382" s="3"/>
      <c r="AJ382" s="3"/>
      <c r="AK382" s="3"/>
      <c r="AL382" s="3"/>
    </row>
    <row r="383" spans="1:38" ht="14.25" customHeight="1">
      <c r="A383" s="3"/>
      <c r="B383" s="3"/>
      <c r="C383" s="3"/>
      <c r="D383" s="3"/>
      <c r="E383" s="265"/>
      <c r="F383" s="265"/>
      <c r="G383" s="265"/>
      <c r="H383" s="265"/>
      <c r="I383" s="265"/>
      <c r="J383" s="260"/>
      <c r="K383" s="3"/>
      <c r="L383" s="265"/>
      <c r="M383" s="265"/>
      <c r="N383" s="265"/>
      <c r="O383" s="265"/>
      <c r="P383" s="265"/>
      <c r="Q383" s="260"/>
      <c r="R383" s="3"/>
      <c r="S383" s="265"/>
      <c r="T383" s="265"/>
      <c r="U383" s="265"/>
      <c r="V383" s="265"/>
      <c r="W383" s="265"/>
      <c r="X383" s="193"/>
      <c r="Y383" s="193"/>
      <c r="Z383" s="193"/>
      <c r="AA383" s="193"/>
      <c r="AB383" s="193"/>
      <c r="AC383" s="193"/>
      <c r="AD383" s="193"/>
      <c r="AE383" s="193"/>
      <c r="AF383" s="3"/>
      <c r="AG383" s="3"/>
      <c r="AH383" s="3"/>
      <c r="AI383" s="3"/>
      <c r="AJ383" s="3"/>
      <c r="AK383" s="3"/>
      <c r="AL383" s="3"/>
    </row>
    <row r="384" spans="1:38" ht="14.25" customHeight="1">
      <c r="A384" s="3"/>
      <c r="B384" s="3"/>
      <c r="C384" s="3"/>
      <c r="D384" s="3"/>
      <c r="E384" s="265"/>
      <c r="F384" s="265"/>
      <c r="G384" s="265"/>
      <c r="H384" s="265"/>
      <c r="I384" s="265"/>
      <c r="J384" s="260"/>
      <c r="K384" s="3"/>
      <c r="L384" s="265"/>
      <c r="M384" s="265"/>
      <c r="N384" s="265"/>
      <c r="O384" s="265"/>
      <c r="P384" s="265"/>
      <c r="Q384" s="260"/>
      <c r="R384" s="3"/>
      <c r="S384" s="265"/>
      <c r="T384" s="265"/>
      <c r="U384" s="265"/>
      <c r="V384" s="265"/>
      <c r="W384" s="265"/>
      <c r="X384" s="193"/>
      <c r="Y384" s="193"/>
      <c r="Z384" s="193"/>
      <c r="AA384" s="193"/>
      <c r="AB384" s="193"/>
      <c r="AC384" s="193"/>
      <c r="AD384" s="193"/>
      <c r="AE384" s="193"/>
      <c r="AF384" s="3"/>
      <c r="AG384" s="3"/>
      <c r="AH384" s="3"/>
      <c r="AI384" s="3"/>
      <c r="AJ384" s="3"/>
      <c r="AK384" s="3"/>
      <c r="AL384" s="3"/>
    </row>
    <row r="385" spans="1:38" ht="14.25" customHeight="1">
      <c r="A385" s="3"/>
      <c r="B385" s="3"/>
      <c r="C385" s="3"/>
      <c r="D385" s="3"/>
      <c r="E385" s="265"/>
      <c r="F385" s="265"/>
      <c r="G385" s="265"/>
      <c r="H385" s="265"/>
      <c r="I385" s="265"/>
      <c r="J385" s="260"/>
      <c r="K385" s="3"/>
      <c r="L385" s="265"/>
      <c r="M385" s="265"/>
      <c r="N385" s="265"/>
      <c r="O385" s="265"/>
      <c r="P385" s="265"/>
      <c r="Q385" s="260"/>
      <c r="R385" s="3"/>
      <c r="S385" s="265"/>
      <c r="T385" s="265"/>
      <c r="U385" s="265"/>
      <c r="V385" s="265"/>
      <c r="W385" s="265"/>
      <c r="X385" s="193"/>
      <c r="Y385" s="193"/>
      <c r="Z385" s="193"/>
      <c r="AA385" s="193"/>
      <c r="AB385" s="193"/>
      <c r="AC385" s="193"/>
      <c r="AD385" s="193"/>
      <c r="AE385" s="193"/>
      <c r="AF385" s="3"/>
      <c r="AG385" s="3"/>
      <c r="AH385" s="3"/>
      <c r="AI385" s="3"/>
      <c r="AJ385" s="3"/>
      <c r="AK385" s="3"/>
      <c r="AL385" s="3"/>
    </row>
    <row r="386" spans="1:38" ht="14.25" customHeight="1">
      <c r="A386" s="3"/>
      <c r="B386" s="3"/>
      <c r="C386" s="3"/>
      <c r="D386" s="3"/>
      <c r="E386" s="265"/>
      <c r="F386" s="265"/>
      <c r="G386" s="265"/>
      <c r="H386" s="265"/>
      <c r="I386" s="265"/>
      <c r="J386" s="260"/>
      <c r="K386" s="3"/>
      <c r="L386" s="265"/>
      <c r="M386" s="265"/>
      <c r="N386" s="265"/>
      <c r="O386" s="265"/>
      <c r="P386" s="265"/>
      <c r="Q386" s="260"/>
      <c r="R386" s="3"/>
      <c r="S386" s="265"/>
      <c r="T386" s="265"/>
      <c r="U386" s="265"/>
      <c r="V386" s="265"/>
      <c r="W386" s="265"/>
      <c r="X386" s="193"/>
      <c r="Y386" s="193"/>
      <c r="Z386" s="193"/>
      <c r="AA386" s="193"/>
      <c r="AB386" s="193"/>
      <c r="AC386" s="193"/>
      <c r="AD386" s="193"/>
      <c r="AE386" s="193"/>
      <c r="AF386" s="3"/>
      <c r="AG386" s="3"/>
      <c r="AH386" s="3"/>
      <c r="AI386" s="3"/>
      <c r="AJ386" s="3"/>
      <c r="AK386" s="3"/>
      <c r="AL386" s="3"/>
    </row>
    <row r="387" spans="1:38" ht="14.25" customHeight="1">
      <c r="A387" s="3"/>
      <c r="B387" s="3"/>
      <c r="C387" s="3"/>
      <c r="D387" s="3"/>
      <c r="E387" s="265"/>
      <c r="F387" s="265"/>
      <c r="G387" s="265"/>
      <c r="H387" s="265"/>
      <c r="I387" s="265"/>
      <c r="J387" s="260"/>
      <c r="K387" s="3"/>
      <c r="L387" s="265"/>
      <c r="M387" s="265"/>
      <c r="N387" s="265"/>
      <c r="O387" s="265"/>
      <c r="P387" s="265"/>
      <c r="Q387" s="260"/>
      <c r="R387" s="3"/>
      <c r="S387" s="265"/>
      <c r="T387" s="265"/>
      <c r="U387" s="265"/>
      <c r="V387" s="265"/>
      <c r="W387" s="265"/>
      <c r="X387" s="193"/>
      <c r="Y387" s="193"/>
      <c r="Z387" s="193"/>
      <c r="AA387" s="193"/>
      <c r="AB387" s="193"/>
      <c r="AC387" s="193"/>
      <c r="AD387" s="193"/>
      <c r="AE387" s="193"/>
      <c r="AF387" s="3"/>
      <c r="AG387" s="3"/>
      <c r="AH387" s="3"/>
      <c r="AI387" s="3"/>
      <c r="AJ387" s="3"/>
      <c r="AK387" s="3"/>
      <c r="AL387" s="3"/>
    </row>
    <row r="388" spans="1:38" ht="14.25" customHeight="1">
      <c r="A388" s="3"/>
      <c r="B388" s="3"/>
      <c r="C388" s="3"/>
      <c r="D388" s="3"/>
      <c r="E388" s="265"/>
      <c r="F388" s="265"/>
      <c r="G388" s="265"/>
      <c r="H388" s="265"/>
      <c r="I388" s="265"/>
      <c r="J388" s="260"/>
      <c r="K388" s="3"/>
      <c r="L388" s="265"/>
      <c r="M388" s="265"/>
      <c r="N388" s="265"/>
      <c r="O388" s="265"/>
      <c r="P388" s="265"/>
      <c r="Q388" s="260"/>
      <c r="R388" s="3"/>
      <c r="S388" s="265"/>
      <c r="T388" s="265"/>
      <c r="U388" s="265"/>
      <c r="V388" s="265"/>
      <c r="W388" s="265"/>
      <c r="X388" s="193"/>
      <c r="Y388" s="193"/>
      <c r="Z388" s="193"/>
      <c r="AA388" s="193"/>
      <c r="AB388" s="193"/>
      <c r="AC388" s="193"/>
      <c r="AD388" s="193"/>
      <c r="AE388" s="193"/>
      <c r="AF388" s="3"/>
      <c r="AG388" s="3"/>
      <c r="AH388" s="3"/>
      <c r="AI388" s="3"/>
      <c r="AJ388" s="3"/>
      <c r="AK388" s="3"/>
      <c r="AL388" s="3"/>
    </row>
    <row r="389" spans="1:38" ht="14.25" customHeight="1">
      <c r="A389" s="3"/>
      <c r="B389" s="3"/>
      <c r="C389" s="3"/>
      <c r="D389" s="3"/>
      <c r="E389" s="265"/>
      <c r="F389" s="265"/>
      <c r="G389" s="265"/>
      <c r="H389" s="265"/>
      <c r="I389" s="265"/>
      <c r="J389" s="260"/>
      <c r="K389" s="3"/>
      <c r="L389" s="265"/>
      <c r="M389" s="265"/>
      <c r="N389" s="265"/>
      <c r="O389" s="265"/>
      <c r="P389" s="265"/>
      <c r="Q389" s="260"/>
      <c r="R389" s="3"/>
      <c r="S389" s="265"/>
      <c r="T389" s="265"/>
      <c r="U389" s="265"/>
      <c r="V389" s="265"/>
      <c r="W389" s="265"/>
      <c r="X389" s="193"/>
      <c r="Y389" s="193"/>
      <c r="Z389" s="193"/>
      <c r="AA389" s="193"/>
      <c r="AB389" s="193"/>
      <c r="AC389" s="193"/>
      <c r="AD389" s="193"/>
      <c r="AE389" s="193"/>
      <c r="AF389" s="3"/>
      <c r="AG389" s="3"/>
      <c r="AH389" s="3"/>
      <c r="AI389" s="3"/>
      <c r="AJ389" s="3"/>
      <c r="AK389" s="3"/>
      <c r="AL389" s="3"/>
    </row>
    <row r="390" spans="1:38" ht="14.25" customHeight="1">
      <c r="A390" s="3"/>
      <c r="B390" s="3"/>
      <c r="C390" s="3"/>
      <c r="D390" s="3"/>
      <c r="E390" s="265"/>
      <c r="F390" s="265"/>
      <c r="G390" s="265"/>
      <c r="H390" s="265"/>
      <c r="I390" s="265"/>
      <c r="J390" s="260"/>
      <c r="K390" s="3"/>
      <c r="L390" s="265"/>
      <c r="M390" s="265"/>
      <c r="N390" s="265"/>
      <c r="O390" s="265"/>
      <c r="P390" s="265"/>
      <c r="Q390" s="260"/>
      <c r="R390" s="3"/>
      <c r="S390" s="265"/>
      <c r="T390" s="265"/>
      <c r="U390" s="265"/>
      <c r="V390" s="265"/>
      <c r="W390" s="265"/>
      <c r="X390" s="193"/>
      <c r="Y390" s="193"/>
      <c r="Z390" s="193"/>
      <c r="AA390" s="193"/>
      <c r="AB390" s="193"/>
      <c r="AC390" s="193"/>
      <c r="AD390" s="193"/>
      <c r="AE390" s="193"/>
      <c r="AF390" s="3"/>
      <c r="AG390" s="3"/>
      <c r="AH390" s="3"/>
      <c r="AI390" s="3"/>
      <c r="AJ390" s="3"/>
      <c r="AK390" s="3"/>
      <c r="AL390" s="3"/>
    </row>
    <row r="391" spans="1:38" ht="14.25" customHeight="1">
      <c r="A391" s="3"/>
      <c r="B391" s="3"/>
      <c r="C391" s="3"/>
      <c r="D391" s="3"/>
      <c r="E391" s="265"/>
      <c r="F391" s="265"/>
      <c r="G391" s="265"/>
      <c r="H391" s="265"/>
      <c r="I391" s="265"/>
      <c r="J391" s="260"/>
      <c r="K391" s="3"/>
      <c r="L391" s="265"/>
      <c r="M391" s="265"/>
      <c r="N391" s="265"/>
      <c r="O391" s="265"/>
      <c r="P391" s="265"/>
      <c r="Q391" s="260"/>
      <c r="R391" s="3"/>
      <c r="S391" s="265"/>
      <c r="T391" s="265"/>
      <c r="U391" s="265"/>
      <c r="V391" s="265"/>
      <c r="W391" s="265"/>
      <c r="X391" s="193"/>
      <c r="Y391" s="193"/>
      <c r="Z391" s="193"/>
      <c r="AA391" s="193"/>
      <c r="AB391" s="193"/>
      <c r="AC391" s="193"/>
      <c r="AD391" s="193"/>
      <c r="AE391" s="193"/>
      <c r="AF391" s="3"/>
      <c r="AG391" s="3"/>
      <c r="AH391" s="3"/>
      <c r="AI391" s="3"/>
      <c r="AJ391" s="3"/>
      <c r="AK391" s="3"/>
      <c r="AL391" s="3"/>
    </row>
    <row r="392" spans="1:38" ht="14.25" customHeight="1">
      <c r="A392" s="3"/>
      <c r="B392" s="3"/>
      <c r="C392" s="3"/>
      <c r="D392" s="3"/>
      <c r="E392" s="265"/>
      <c r="F392" s="265"/>
      <c r="G392" s="265"/>
      <c r="H392" s="265"/>
      <c r="I392" s="265"/>
      <c r="J392" s="260"/>
      <c r="K392" s="3"/>
      <c r="L392" s="265"/>
      <c r="M392" s="265"/>
      <c r="N392" s="265"/>
      <c r="O392" s="265"/>
      <c r="P392" s="265"/>
      <c r="Q392" s="260"/>
      <c r="R392" s="3"/>
      <c r="S392" s="265"/>
      <c r="T392" s="265"/>
      <c r="U392" s="265"/>
      <c r="V392" s="265"/>
      <c r="W392" s="265"/>
      <c r="X392" s="193"/>
      <c r="Y392" s="193"/>
      <c r="Z392" s="193"/>
      <c r="AA392" s="193"/>
      <c r="AB392" s="193"/>
      <c r="AC392" s="193"/>
      <c r="AD392" s="193"/>
      <c r="AE392" s="193"/>
      <c r="AF392" s="3"/>
      <c r="AG392" s="3"/>
      <c r="AH392" s="3"/>
      <c r="AI392" s="3"/>
      <c r="AJ392" s="3"/>
      <c r="AK392" s="3"/>
      <c r="AL392" s="3"/>
    </row>
    <row r="393" spans="1:38" ht="14.25" customHeight="1">
      <c r="A393" s="3"/>
      <c r="B393" s="3"/>
      <c r="C393" s="3"/>
      <c r="D393" s="3"/>
      <c r="E393" s="265"/>
      <c r="F393" s="265"/>
      <c r="G393" s="265"/>
      <c r="H393" s="265"/>
      <c r="I393" s="265"/>
      <c r="J393" s="260"/>
      <c r="K393" s="3"/>
      <c r="L393" s="265"/>
      <c r="M393" s="265"/>
      <c r="N393" s="265"/>
      <c r="O393" s="265"/>
      <c r="P393" s="265"/>
      <c r="Q393" s="260"/>
      <c r="R393" s="3"/>
      <c r="S393" s="265"/>
      <c r="T393" s="265"/>
      <c r="U393" s="265"/>
      <c r="V393" s="265"/>
      <c r="W393" s="265"/>
      <c r="X393" s="193"/>
      <c r="Y393" s="193"/>
      <c r="Z393" s="193"/>
      <c r="AA393" s="193"/>
      <c r="AB393" s="193"/>
      <c r="AC393" s="193"/>
      <c r="AD393" s="193"/>
      <c r="AE393" s="193"/>
      <c r="AF393" s="3"/>
      <c r="AG393" s="3"/>
      <c r="AH393" s="3"/>
      <c r="AI393" s="3"/>
      <c r="AJ393" s="3"/>
      <c r="AK393" s="3"/>
      <c r="AL393" s="3"/>
    </row>
    <row r="394" spans="1:38" ht="14.25" customHeight="1">
      <c r="A394" s="3"/>
      <c r="B394" s="3"/>
      <c r="C394" s="3"/>
      <c r="D394" s="3"/>
      <c r="E394" s="265"/>
      <c r="F394" s="265"/>
      <c r="G394" s="265"/>
      <c r="H394" s="265"/>
      <c r="I394" s="265"/>
      <c r="J394" s="260"/>
      <c r="K394" s="3"/>
      <c r="L394" s="265"/>
      <c r="M394" s="265"/>
      <c r="N394" s="265"/>
      <c r="O394" s="265"/>
      <c r="P394" s="265"/>
      <c r="Q394" s="260"/>
      <c r="R394" s="3"/>
      <c r="S394" s="265"/>
      <c r="T394" s="265"/>
      <c r="U394" s="265"/>
      <c r="V394" s="265"/>
      <c r="W394" s="265"/>
      <c r="X394" s="193"/>
      <c r="Y394" s="193"/>
      <c r="Z394" s="193"/>
      <c r="AA394" s="193"/>
      <c r="AB394" s="193"/>
      <c r="AC394" s="193"/>
      <c r="AD394" s="193"/>
      <c r="AE394" s="193"/>
      <c r="AF394" s="3"/>
      <c r="AG394" s="3"/>
      <c r="AH394" s="3"/>
      <c r="AI394" s="3"/>
      <c r="AJ394" s="3"/>
      <c r="AK394" s="3"/>
      <c r="AL394" s="3"/>
    </row>
    <row r="395" spans="1:38" ht="14.25" customHeight="1">
      <c r="A395" s="3"/>
      <c r="B395" s="3"/>
      <c r="C395" s="3"/>
      <c r="D395" s="3"/>
      <c r="E395" s="265"/>
      <c r="F395" s="265"/>
      <c r="G395" s="265"/>
      <c r="H395" s="265"/>
      <c r="I395" s="265"/>
      <c r="J395" s="260"/>
      <c r="K395" s="3"/>
      <c r="L395" s="265"/>
      <c r="M395" s="265"/>
      <c r="N395" s="265"/>
      <c r="O395" s="265"/>
      <c r="P395" s="265"/>
      <c r="Q395" s="260"/>
      <c r="R395" s="3"/>
      <c r="S395" s="265"/>
      <c r="T395" s="265"/>
      <c r="U395" s="265"/>
      <c r="V395" s="265"/>
      <c r="W395" s="265"/>
      <c r="X395" s="193"/>
      <c r="Y395" s="193"/>
      <c r="Z395" s="193"/>
      <c r="AA395" s="193"/>
      <c r="AB395" s="193"/>
      <c r="AC395" s="193"/>
      <c r="AD395" s="193"/>
      <c r="AE395" s="193"/>
      <c r="AF395" s="3"/>
      <c r="AG395" s="3"/>
      <c r="AH395" s="3"/>
      <c r="AI395" s="3"/>
      <c r="AJ395" s="3"/>
      <c r="AK395" s="3"/>
      <c r="AL395" s="3"/>
    </row>
    <row r="396" spans="1:38" ht="14.25" customHeight="1">
      <c r="A396" s="3"/>
      <c r="B396" s="3"/>
      <c r="C396" s="3"/>
      <c r="D396" s="3"/>
      <c r="E396" s="265"/>
      <c r="F396" s="265"/>
      <c r="G396" s="265"/>
      <c r="H396" s="265"/>
      <c r="I396" s="265"/>
      <c r="J396" s="260"/>
      <c r="K396" s="3"/>
      <c r="L396" s="265"/>
      <c r="M396" s="265"/>
      <c r="N396" s="265"/>
      <c r="O396" s="265"/>
      <c r="P396" s="265"/>
      <c r="Q396" s="260"/>
      <c r="R396" s="3"/>
      <c r="S396" s="265"/>
      <c r="T396" s="265"/>
      <c r="U396" s="265"/>
      <c r="V396" s="265"/>
      <c r="W396" s="265"/>
      <c r="X396" s="193"/>
      <c r="Y396" s="193"/>
      <c r="Z396" s="193"/>
      <c r="AA396" s="193"/>
      <c r="AB396" s="193"/>
      <c r="AC396" s="193"/>
      <c r="AD396" s="193"/>
      <c r="AE396" s="193"/>
      <c r="AF396" s="3"/>
      <c r="AG396" s="3"/>
      <c r="AH396" s="3"/>
      <c r="AI396" s="3"/>
      <c r="AJ396" s="3"/>
      <c r="AK396" s="3"/>
      <c r="AL396" s="3"/>
    </row>
    <row r="397" spans="1:38" ht="14.25" customHeight="1">
      <c r="A397" s="3"/>
      <c r="B397" s="3"/>
      <c r="C397" s="3"/>
      <c r="D397" s="3"/>
      <c r="E397" s="265"/>
      <c r="F397" s="265"/>
      <c r="G397" s="265"/>
      <c r="H397" s="265"/>
      <c r="I397" s="265"/>
      <c r="J397" s="260"/>
      <c r="K397" s="3"/>
      <c r="L397" s="265"/>
      <c r="M397" s="265"/>
      <c r="N397" s="265"/>
      <c r="O397" s="265"/>
      <c r="P397" s="265"/>
      <c r="Q397" s="260"/>
      <c r="R397" s="3"/>
      <c r="S397" s="265"/>
      <c r="T397" s="265"/>
      <c r="U397" s="265"/>
      <c r="V397" s="265"/>
      <c r="W397" s="265"/>
      <c r="X397" s="193"/>
      <c r="Y397" s="193"/>
      <c r="Z397" s="193"/>
      <c r="AA397" s="193"/>
      <c r="AB397" s="193"/>
      <c r="AC397" s="193"/>
      <c r="AD397" s="193"/>
      <c r="AE397" s="193"/>
      <c r="AF397" s="3"/>
      <c r="AG397" s="3"/>
      <c r="AH397" s="3"/>
      <c r="AI397" s="3"/>
      <c r="AJ397" s="3"/>
      <c r="AK397" s="3"/>
      <c r="AL397" s="3"/>
    </row>
    <row r="398" spans="1:38" ht="14.25" customHeight="1">
      <c r="A398" s="3"/>
      <c r="B398" s="3"/>
      <c r="C398" s="3"/>
      <c r="D398" s="3"/>
      <c r="E398" s="265"/>
      <c r="F398" s="265"/>
      <c r="G398" s="265"/>
      <c r="H398" s="265"/>
      <c r="I398" s="265"/>
      <c r="J398" s="260"/>
      <c r="K398" s="3"/>
      <c r="L398" s="265"/>
      <c r="M398" s="265"/>
      <c r="N398" s="265"/>
      <c r="O398" s="265"/>
      <c r="P398" s="265"/>
      <c r="Q398" s="260"/>
      <c r="R398" s="3"/>
      <c r="S398" s="265"/>
      <c r="T398" s="265"/>
      <c r="U398" s="265"/>
      <c r="V398" s="265"/>
      <c r="W398" s="265"/>
      <c r="X398" s="193"/>
      <c r="Y398" s="193"/>
      <c r="Z398" s="193"/>
      <c r="AA398" s="193"/>
      <c r="AB398" s="193"/>
      <c r="AC398" s="193"/>
      <c r="AD398" s="193"/>
      <c r="AE398" s="193"/>
      <c r="AF398" s="3"/>
      <c r="AG398" s="3"/>
      <c r="AH398" s="3"/>
      <c r="AI398" s="3"/>
      <c r="AJ398" s="3"/>
      <c r="AK398" s="3"/>
      <c r="AL398" s="3"/>
    </row>
    <row r="399" spans="1:38" ht="14.25" customHeight="1">
      <c r="A399" s="3"/>
      <c r="B399" s="3"/>
      <c r="C399" s="3"/>
      <c r="D399" s="3"/>
      <c r="E399" s="265"/>
      <c r="F399" s="265"/>
      <c r="G399" s="265"/>
      <c r="H399" s="265"/>
      <c r="I399" s="265"/>
      <c r="J399" s="260"/>
      <c r="K399" s="3"/>
      <c r="L399" s="265"/>
      <c r="M399" s="265"/>
      <c r="N399" s="265"/>
      <c r="O399" s="265"/>
      <c r="P399" s="265"/>
      <c r="Q399" s="260"/>
      <c r="R399" s="3"/>
      <c r="S399" s="265"/>
      <c r="T399" s="265"/>
      <c r="U399" s="265"/>
      <c r="V399" s="265"/>
      <c r="W399" s="265"/>
      <c r="X399" s="193"/>
      <c r="Y399" s="193"/>
      <c r="Z399" s="193"/>
      <c r="AA399" s="193"/>
      <c r="AB399" s="193"/>
      <c r="AC399" s="193"/>
      <c r="AD399" s="193"/>
      <c r="AE399" s="193"/>
      <c r="AF399" s="3"/>
      <c r="AG399" s="3"/>
      <c r="AH399" s="3"/>
      <c r="AI399" s="3"/>
      <c r="AJ399" s="3"/>
      <c r="AK399" s="3"/>
      <c r="AL399" s="3"/>
    </row>
    <row r="400" spans="1:38" ht="14.25" customHeight="1">
      <c r="A400" s="3"/>
      <c r="B400" s="3"/>
      <c r="C400" s="3"/>
      <c r="D400" s="3"/>
      <c r="E400" s="265"/>
      <c r="F400" s="265"/>
      <c r="G400" s="265"/>
      <c r="H400" s="265"/>
      <c r="I400" s="265"/>
      <c r="J400" s="260"/>
      <c r="K400" s="3"/>
      <c r="L400" s="265"/>
      <c r="M400" s="265"/>
      <c r="N400" s="265"/>
      <c r="O400" s="265"/>
      <c r="P400" s="265"/>
      <c r="Q400" s="260"/>
      <c r="R400" s="3"/>
      <c r="S400" s="265"/>
      <c r="T400" s="265"/>
      <c r="U400" s="265"/>
      <c r="V400" s="265"/>
      <c r="W400" s="265"/>
      <c r="X400" s="193"/>
      <c r="Y400" s="193"/>
      <c r="Z400" s="193"/>
      <c r="AA400" s="193"/>
      <c r="AB400" s="193"/>
      <c r="AC400" s="193"/>
      <c r="AD400" s="193"/>
      <c r="AE400" s="193"/>
      <c r="AF400" s="3"/>
      <c r="AG400" s="3"/>
      <c r="AH400" s="3"/>
      <c r="AI400" s="3"/>
      <c r="AJ400" s="3"/>
      <c r="AK400" s="3"/>
      <c r="AL400" s="3"/>
    </row>
    <row r="401" spans="1:38" ht="14.25" customHeight="1">
      <c r="A401" s="3"/>
      <c r="B401" s="3"/>
      <c r="C401" s="3"/>
      <c r="D401" s="3"/>
      <c r="E401" s="265"/>
      <c r="F401" s="265"/>
      <c r="G401" s="265"/>
      <c r="H401" s="265"/>
      <c r="I401" s="265"/>
      <c r="J401" s="260"/>
      <c r="K401" s="3"/>
      <c r="L401" s="265"/>
      <c r="M401" s="265"/>
      <c r="N401" s="265"/>
      <c r="O401" s="265"/>
      <c r="P401" s="265"/>
      <c r="Q401" s="260"/>
      <c r="R401" s="3"/>
      <c r="S401" s="265"/>
      <c r="T401" s="265"/>
      <c r="U401" s="265"/>
      <c r="V401" s="265"/>
      <c r="W401" s="265"/>
      <c r="X401" s="193"/>
      <c r="Y401" s="193"/>
      <c r="Z401" s="193"/>
      <c r="AA401" s="193"/>
      <c r="AB401" s="193"/>
      <c r="AC401" s="193"/>
      <c r="AD401" s="193"/>
      <c r="AE401" s="193"/>
      <c r="AF401" s="3"/>
      <c r="AG401" s="3"/>
      <c r="AH401" s="3"/>
      <c r="AI401" s="3"/>
      <c r="AJ401" s="3"/>
      <c r="AK401" s="3"/>
      <c r="AL401" s="3"/>
    </row>
    <row r="402" spans="1:38" ht="14.25" customHeight="1">
      <c r="A402" s="3"/>
      <c r="B402" s="3"/>
      <c r="C402" s="3"/>
      <c r="D402" s="3"/>
      <c r="E402" s="265"/>
      <c r="F402" s="265"/>
      <c r="G402" s="265"/>
      <c r="H402" s="265"/>
      <c r="I402" s="265"/>
      <c r="J402" s="260"/>
      <c r="K402" s="3"/>
      <c r="L402" s="265"/>
      <c r="M402" s="265"/>
      <c r="N402" s="265"/>
      <c r="O402" s="265"/>
      <c r="P402" s="265"/>
      <c r="Q402" s="260"/>
      <c r="R402" s="3"/>
      <c r="S402" s="265"/>
      <c r="T402" s="265"/>
      <c r="U402" s="265"/>
      <c r="V402" s="265"/>
      <c r="W402" s="265"/>
      <c r="X402" s="193"/>
      <c r="Y402" s="193"/>
      <c r="Z402" s="193"/>
      <c r="AA402" s="193"/>
      <c r="AB402" s="193"/>
      <c r="AC402" s="193"/>
      <c r="AD402" s="193"/>
      <c r="AE402" s="193"/>
      <c r="AF402" s="3"/>
      <c r="AG402" s="3"/>
      <c r="AH402" s="3"/>
      <c r="AI402" s="3"/>
      <c r="AJ402" s="3"/>
      <c r="AK402" s="3"/>
      <c r="AL402" s="3"/>
    </row>
    <row r="403" spans="1:38" ht="14.25" customHeight="1">
      <c r="A403" s="3"/>
      <c r="B403" s="3"/>
      <c r="C403" s="3"/>
      <c r="D403" s="3"/>
      <c r="E403" s="265"/>
      <c r="F403" s="265"/>
      <c r="G403" s="265"/>
      <c r="H403" s="265"/>
      <c r="I403" s="265"/>
      <c r="J403" s="260"/>
      <c r="K403" s="3"/>
      <c r="L403" s="265"/>
      <c r="M403" s="265"/>
      <c r="N403" s="265"/>
      <c r="O403" s="265"/>
      <c r="P403" s="265"/>
      <c r="Q403" s="260"/>
      <c r="R403" s="3"/>
      <c r="S403" s="265"/>
      <c r="T403" s="265"/>
      <c r="U403" s="265"/>
      <c r="V403" s="265"/>
      <c r="W403" s="265"/>
      <c r="X403" s="193"/>
      <c r="Y403" s="193"/>
      <c r="Z403" s="193"/>
      <c r="AA403" s="193"/>
      <c r="AB403" s="193"/>
      <c r="AC403" s="193"/>
      <c r="AD403" s="193"/>
      <c r="AE403" s="193"/>
      <c r="AF403" s="3"/>
      <c r="AG403" s="3"/>
      <c r="AH403" s="3"/>
      <c r="AI403" s="3"/>
      <c r="AJ403" s="3"/>
      <c r="AK403" s="3"/>
      <c r="AL403" s="3"/>
    </row>
    <row r="404" spans="1:38" ht="14.25" customHeight="1">
      <c r="A404" s="3"/>
      <c r="B404" s="3"/>
      <c r="C404" s="3"/>
      <c r="D404" s="3"/>
      <c r="E404" s="265"/>
      <c r="F404" s="265"/>
      <c r="G404" s="265"/>
      <c r="H404" s="265"/>
      <c r="I404" s="265"/>
      <c r="J404" s="260"/>
      <c r="K404" s="3"/>
      <c r="L404" s="265"/>
      <c r="M404" s="265"/>
      <c r="N404" s="265"/>
      <c r="O404" s="265"/>
      <c r="P404" s="265"/>
      <c r="Q404" s="260"/>
      <c r="R404" s="3"/>
      <c r="S404" s="265"/>
      <c r="T404" s="265"/>
      <c r="U404" s="265"/>
      <c r="V404" s="265"/>
      <c r="W404" s="265"/>
      <c r="X404" s="193"/>
      <c r="Y404" s="193"/>
      <c r="Z404" s="193"/>
      <c r="AA404" s="193"/>
      <c r="AB404" s="193"/>
      <c r="AC404" s="193"/>
      <c r="AD404" s="193"/>
      <c r="AE404" s="193"/>
      <c r="AF404" s="3"/>
      <c r="AG404" s="3"/>
      <c r="AH404" s="3"/>
      <c r="AI404" s="3"/>
      <c r="AJ404" s="3"/>
      <c r="AK404" s="3"/>
      <c r="AL404" s="3"/>
    </row>
    <row r="405" spans="1:38" ht="14.25" customHeight="1">
      <c r="A405" s="3"/>
      <c r="B405" s="3"/>
      <c r="C405" s="3"/>
      <c r="D405" s="3"/>
      <c r="E405" s="265"/>
      <c r="F405" s="265"/>
      <c r="G405" s="265"/>
      <c r="H405" s="265"/>
      <c r="I405" s="265"/>
      <c r="J405" s="260"/>
      <c r="K405" s="3"/>
      <c r="L405" s="265"/>
      <c r="M405" s="265"/>
      <c r="N405" s="265"/>
      <c r="O405" s="265"/>
      <c r="P405" s="265"/>
      <c r="Q405" s="260"/>
      <c r="R405" s="3"/>
      <c r="S405" s="265"/>
      <c r="T405" s="265"/>
      <c r="U405" s="265"/>
      <c r="V405" s="265"/>
      <c r="W405" s="265"/>
      <c r="X405" s="193"/>
      <c r="Y405" s="193"/>
      <c r="Z405" s="193"/>
      <c r="AA405" s="193"/>
      <c r="AB405" s="193"/>
      <c r="AC405" s="193"/>
      <c r="AD405" s="193"/>
      <c r="AE405" s="193"/>
      <c r="AF405" s="3"/>
      <c r="AG405" s="3"/>
      <c r="AH405" s="3"/>
      <c r="AI405" s="3"/>
      <c r="AJ405" s="3"/>
      <c r="AK405" s="3"/>
      <c r="AL405" s="3"/>
    </row>
    <row r="406" spans="1:38" ht="14.25" customHeight="1">
      <c r="A406" s="3"/>
      <c r="B406" s="3"/>
      <c r="C406" s="3"/>
      <c r="D406" s="3"/>
      <c r="E406" s="265"/>
      <c r="F406" s="265"/>
      <c r="G406" s="265"/>
      <c r="H406" s="265"/>
      <c r="I406" s="265"/>
      <c r="J406" s="260"/>
      <c r="K406" s="3"/>
      <c r="L406" s="265"/>
      <c r="M406" s="265"/>
      <c r="N406" s="265"/>
      <c r="O406" s="265"/>
      <c r="P406" s="265"/>
      <c r="Q406" s="260"/>
      <c r="R406" s="3"/>
      <c r="S406" s="265"/>
      <c r="T406" s="265"/>
      <c r="U406" s="265"/>
      <c r="V406" s="265"/>
      <c r="W406" s="265"/>
      <c r="X406" s="193"/>
      <c r="Y406" s="193"/>
      <c r="Z406" s="193"/>
      <c r="AA406" s="193"/>
      <c r="AB406" s="193"/>
      <c r="AC406" s="193"/>
      <c r="AD406" s="193"/>
      <c r="AE406" s="193"/>
      <c r="AF406" s="3"/>
      <c r="AG406" s="3"/>
      <c r="AH406" s="3"/>
      <c r="AI406" s="3"/>
      <c r="AJ406" s="3"/>
      <c r="AK406" s="3"/>
      <c r="AL406" s="3"/>
    </row>
    <row r="407" spans="1:38" ht="14.25" customHeight="1">
      <c r="A407" s="3"/>
      <c r="B407" s="3"/>
      <c r="C407" s="3"/>
      <c r="D407" s="3"/>
      <c r="E407" s="265"/>
      <c r="F407" s="265"/>
      <c r="G407" s="265"/>
      <c r="H407" s="265"/>
      <c r="I407" s="265"/>
      <c r="J407" s="260"/>
      <c r="K407" s="3"/>
      <c r="L407" s="265"/>
      <c r="M407" s="265"/>
      <c r="N407" s="265"/>
      <c r="O407" s="265"/>
      <c r="P407" s="265"/>
      <c r="Q407" s="260"/>
      <c r="R407" s="3"/>
      <c r="S407" s="265"/>
      <c r="T407" s="265"/>
      <c r="U407" s="265"/>
      <c r="V407" s="265"/>
      <c r="W407" s="265"/>
      <c r="X407" s="193"/>
      <c r="Y407" s="193"/>
      <c r="Z407" s="193"/>
      <c r="AA407" s="193"/>
      <c r="AB407" s="193"/>
      <c r="AC407" s="193"/>
      <c r="AD407" s="193"/>
      <c r="AE407" s="193"/>
      <c r="AF407" s="3"/>
      <c r="AG407" s="3"/>
      <c r="AH407" s="3"/>
      <c r="AI407" s="3"/>
      <c r="AJ407" s="3"/>
      <c r="AK407" s="3"/>
      <c r="AL407" s="3"/>
    </row>
    <row r="408" spans="1:38" ht="14.25" customHeight="1">
      <c r="A408" s="3"/>
      <c r="B408" s="3"/>
      <c r="C408" s="3"/>
      <c r="D408" s="3"/>
      <c r="E408" s="265"/>
      <c r="F408" s="265"/>
      <c r="G408" s="265"/>
      <c r="H408" s="265"/>
      <c r="I408" s="265"/>
      <c r="J408" s="260"/>
      <c r="K408" s="3"/>
      <c r="L408" s="265"/>
      <c r="M408" s="265"/>
      <c r="N408" s="265"/>
      <c r="O408" s="265"/>
      <c r="P408" s="265"/>
      <c r="Q408" s="260"/>
      <c r="R408" s="3"/>
      <c r="S408" s="265"/>
      <c r="T408" s="265"/>
      <c r="U408" s="265"/>
      <c r="V408" s="265"/>
      <c r="W408" s="265"/>
      <c r="X408" s="193"/>
      <c r="Y408" s="193"/>
      <c r="Z408" s="193"/>
      <c r="AA408" s="193"/>
      <c r="AB408" s="193"/>
      <c r="AC408" s="193"/>
      <c r="AD408" s="193"/>
      <c r="AE408" s="193"/>
      <c r="AF408" s="3"/>
      <c r="AG408" s="3"/>
      <c r="AH408" s="3"/>
      <c r="AI408" s="3"/>
      <c r="AJ408" s="3"/>
      <c r="AK408" s="3"/>
      <c r="AL408" s="3"/>
    </row>
    <row r="409" spans="1:38" ht="14.25" customHeight="1">
      <c r="A409" s="3"/>
      <c r="B409" s="3"/>
      <c r="C409" s="3"/>
      <c r="D409" s="3"/>
      <c r="E409" s="265"/>
      <c r="F409" s="265"/>
      <c r="G409" s="265"/>
      <c r="H409" s="265"/>
      <c r="I409" s="265"/>
      <c r="J409" s="260"/>
      <c r="K409" s="3"/>
      <c r="L409" s="265"/>
      <c r="M409" s="265"/>
      <c r="N409" s="265"/>
      <c r="O409" s="265"/>
      <c r="P409" s="265"/>
      <c r="Q409" s="260"/>
      <c r="R409" s="3"/>
      <c r="S409" s="265"/>
      <c r="T409" s="265"/>
      <c r="U409" s="265"/>
      <c r="V409" s="265"/>
      <c r="W409" s="265"/>
      <c r="X409" s="193"/>
      <c r="Y409" s="193"/>
      <c r="Z409" s="193"/>
      <c r="AA409" s="193"/>
      <c r="AB409" s="193"/>
      <c r="AC409" s="193"/>
      <c r="AD409" s="193"/>
      <c r="AE409" s="193"/>
      <c r="AF409" s="3"/>
      <c r="AG409" s="3"/>
      <c r="AH409" s="3"/>
      <c r="AI409" s="3"/>
      <c r="AJ409" s="3"/>
      <c r="AK409" s="3"/>
      <c r="AL409" s="3"/>
    </row>
    <row r="410" spans="1:38" ht="14.25" customHeight="1">
      <c r="A410" s="3"/>
      <c r="B410" s="3"/>
      <c r="C410" s="3"/>
      <c r="D410" s="3"/>
      <c r="E410" s="265"/>
      <c r="F410" s="265"/>
      <c r="G410" s="265"/>
      <c r="H410" s="265"/>
      <c r="I410" s="265"/>
      <c r="J410" s="260"/>
      <c r="K410" s="3"/>
      <c r="L410" s="265"/>
      <c r="M410" s="265"/>
      <c r="N410" s="265"/>
      <c r="O410" s="265"/>
      <c r="P410" s="265"/>
      <c r="Q410" s="260"/>
      <c r="R410" s="3"/>
      <c r="S410" s="265"/>
      <c r="T410" s="265"/>
      <c r="U410" s="265"/>
      <c r="V410" s="265"/>
      <c r="W410" s="265"/>
      <c r="X410" s="193"/>
      <c r="Y410" s="193"/>
      <c r="Z410" s="193"/>
      <c r="AA410" s="193"/>
      <c r="AB410" s="193"/>
      <c r="AC410" s="193"/>
      <c r="AD410" s="193"/>
      <c r="AE410" s="193"/>
      <c r="AF410" s="3"/>
      <c r="AG410" s="3"/>
      <c r="AH410" s="3"/>
      <c r="AI410" s="3"/>
      <c r="AJ410" s="3"/>
      <c r="AK410" s="3"/>
      <c r="AL410" s="3"/>
    </row>
    <row r="411" spans="1:38" ht="14.25" customHeight="1">
      <c r="A411" s="3"/>
      <c r="B411" s="3"/>
      <c r="C411" s="3"/>
      <c r="D411" s="3"/>
      <c r="E411" s="265"/>
      <c r="F411" s="265"/>
      <c r="G411" s="265"/>
      <c r="H411" s="265"/>
      <c r="I411" s="265"/>
      <c r="J411" s="260"/>
      <c r="K411" s="3"/>
      <c r="L411" s="265"/>
      <c r="M411" s="265"/>
      <c r="N411" s="265"/>
      <c r="O411" s="265"/>
      <c r="P411" s="265"/>
      <c r="Q411" s="260"/>
      <c r="R411" s="3"/>
      <c r="S411" s="265"/>
      <c r="T411" s="265"/>
      <c r="U411" s="265"/>
      <c r="V411" s="265"/>
      <c r="W411" s="265"/>
      <c r="X411" s="193"/>
      <c r="Y411" s="193"/>
      <c r="Z411" s="193"/>
      <c r="AA411" s="193"/>
      <c r="AB411" s="193"/>
      <c r="AC411" s="193"/>
      <c r="AD411" s="193"/>
      <c r="AE411" s="193"/>
      <c r="AF411" s="3"/>
      <c r="AG411" s="3"/>
      <c r="AH411" s="3"/>
      <c r="AI411" s="3"/>
      <c r="AJ411" s="3"/>
      <c r="AK411" s="3"/>
      <c r="AL411" s="3"/>
    </row>
    <row r="412" spans="1:38" ht="14.25" customHeight="1">
      <c r="A412" s="3"/>
      <c r="B412" s="3"/>
      <c r="C412" s="3"/>
      <c r="D412" s="3"/>
      <c r="E412" s="265"/>
      <c r="F412" s="265"/>
      <c r="G412" s="265"/>
      <c r="H412" s="265"/>
      <c r="I412" s="265"/>
      <c r="J412" s="260"/>
      <c r="K412" s="3"/>
      <c r="L412" s="265"/>
      <c r="M412" s="265"/>
      <c r="N412" s="265"/>
      <c r="O412" s="265"/>
      <c r="P412" s="265"/>
      <c r="Q412" s="260"/>
      <c r="R412" s="3"/>
      <c r="S412" s="265"/>
      <c r="T412" s="265"/>
      <c r="U412" s="265"/>
      <c r="V412" s="265"/>
      <c r="W412" s="265"/>
      <c r="X412" s="193"/>
      <c r="Y412" s="193"/>
      <c r="Z412" s="193"/>
      <c r="AA412" s="193"/>
      <c r="AB412" s="193"/>
      <c r="AC412" s="193"/>
      <c r="AD412" s="193"/>
      <c r="AE412" s="193"/>
      <c r="AF412" s="3"/>
      <c r="AG412" s="3"/>
      <c r="AH412" s="3"/>
      <c r="AI412" s="3"/>
      <c r="AJ412" s="3"/>
      <c r="AK412" s="3"/>
      <c r="AL412" s="3"/>
    </row>
    <row r="413" spans="1:38" ht="14.25" customHeight="1">
      <c r="A413" s="3"/>
      <c r="B413" s="3"/>
      <c r="C413" s="3"/>
      <c r="D413" s="3"/>
      <c r="E413" s="265"/>
      <c r="F413" s="265"/>
      <c r="G413" s="265"/>
      <c r="H413" s="265"/>
      <c r="I413" s="265"/>
      <c r="J413" s="260"/>
      <c r="K413" s="3"/>
      <c r="L413" s="265"/>
      <c r="M413" s="265"/>
      <c r="N413" s="265"/>
      <c r="O413" s="265"/>
      <c r="P413" s="265"/>
      <c r="Q413" s="260"/>
      <c r="R413" s="3"/>
      <c r="S413" s="265"/>
      <c r="T413" s="265"/>
      <c r="U413" s="265"/>
      <c r="V413" s="265"/>
      <c r="W413" s="265"/>
      <c r="X413" s="193"/>
      <c r="Y413" s="193"/>
      <c r="Z413" s="193"/>
      <c r="AA413" s="193"/>
      <c r="AB413" s="193"/>
      <c r="AC413" s="193"/>
      <c r="AD413" s="193"/>
      <c r="AE413" s="193"/>
      <c r="AF413" s="3"/>
      <c r="AG413" s="3"/>
      <c r="AH413" s="3"/>
      <c r="AI413" s="3"/>
      <c r="AJ413" s="3"/>
      <c r="AK413" s="3"/>
      <c r="AL413" s="3"/>
    </row>
    <row r="414" spans="1:38" ht="14.25" customHeight="1">
      <c r="A414" s="3"/>
      <c r="B414" s="3"/>
      <c r="C414" s="3"/>
      <c r="D414" s="3"/>
      <c r="E414" s="265"/>
      <c r="F414" s="265"/>
      <c r="G414" s="265"/>
      <c r="H414" s="265"/>
      <c r="I414" s="265"/>
      <c r="J414" s="260"/>
      <c r="K414" s="3"/>
      <c r="L414" s="265"/>
      <c r="M414" s="265"/>
      <c r="N414" s="265"/>
      <c r="O414" s="265"/>
      <c r="P414" s="265"/>
      <c r="Q414" s="260"/>
      <c r="R414" s="3"/>
      <c r="S414" s="265"/>
      <c r="T414" s="265"/>
      <c r="U414" s="265"/>
      <c r="V414" s="265"/>
      <c r="W414" s="265"/>
      <c r="X414" s="193"/>
      <c r="Y414" s="193"/>
      <c r="Z414" s="193"/>
      <c r="AA414" s="193"/>
      <c r="AB414" s="193"/>
      <c r="AC414" s="193"/>
      <c r="AD414" s="193"/>
      <c r="AE414" s="193"/>
      <c r="AF414" s="3"/>
      <c r="AG414" s="3"/>
      <c r="AH414" s="3"/>
      <c r="AI414" s="3"/>
      <c r="AJ414" s="3"/>
      <c r="AK414" s="3"/>
      <c r="AL414" s="3"/>
    </row>
    <row r="415" spans="1:38" ht="14.25" customHeight="1">
      <c r="A415" s="3"/>
      <c r="B415" s="3"/>
      <c r="C415" s="3"/>
      <c r="D415" s="3"/>
      <c r="E415" s="265"/>
      <c r="F415" s="265"/>
      <c r="G415" s="265"/>
      <c r="H415" s="265"/>
      <c r="I415" s="265"/>
      <c r="J415" s="260"/>
      <c r="K415" s="3"/>
      <c r="L415" s="265"/>
      <c r="M415" s="265"/>
      <c r="N415" s="265"/>
      <c r="O415" s="265"/>
      <c r="P415" s="265"/>
      <c r="Q415" s="260"/>
      <c r="R415" s="3"/>
      <c r="S415" s="265"/>
      <c r="T415" s="265"/>
      <c r="U415" s="265"/>
      <c r="V415" s="265"/>
      <c r="W415" s="265"/>
      <c r="X415" s="193"/>
      <c r="Y415" s="193"/>
      <c r="Z415" s="193"/>
      <c r="AA415" s="193"/>
      <c r="AB415" s="193"/>
      <c r="AC415" s="193"/>
      <c r="AD415" s="193"/>
      <c r="AE415" s="193"/>
      <c r="AF415" s="3"/>
      <c r="AG415" s="3"/>
      <c r="AH415" s="3"/>
      <c r="AI415" s="3"/>
      <c r="AJ415" s="3"/>
      <c r="AK415" s="3"/>
      <c r="AL415" s="3"/>
    </row>
    <row r="416" spans="1:38" ht="14.25" customHeight="1">
      <c r="A416" s="3"/>
      <c r="B416" s="3"/>
      <c r="C416" s="3"/>
      <c r="D416" s="3"/>
      <c r="E416" s="265"/>
      <c r="F416" s="265"/>
      <c r="G416" s="265"/>
      <c r="H416" s="265"/>
      <c r="I416" s="265"/>
      <c r="J416" s="260"/>
      <c r="K416" s="3"/>
      <c r="L416" s="265"/>
      <c r="M416" s="265"/>
      <c r="N416" s="265"/>
      <c r="O416" s="265"/>
      <c r="P416" s="265"/>
      <c r="Q416" s="260"/>
      <c r="R416" s="3"/>
      <c r="S416" s="265"/>
      <c r="T416" s="265"/>
      <c r="U416" s="265"/>
      <c r="V416" s="265"/>
      <c r="W416" s="265"/>
      <c r="X416" s="193"/>
      <c r="Y416" s="193"/>
      <c r="Z416" s="193"/>
      <c r="AA416" s="193"/>
      <c r="AB416" s="193"/>
      <c r="AC416" s="193"/>
      <c r="AD416" s="193"/>
      <c r="AE416" s="193"/>
      <c r="AF416" s="3"/>
      <c r="AG416" s="3"/>
      <c r="AH416" s="3"/>
      <c r="AI416" s="3"/>
      <c r="AJ416" s="3"/>
      <c r="AK416" s="3"/>
      <c r="AL416" s="3"/>
    </row>
    <row r="417" spans="1:38" ht="14.25" customHeight="1">
      <c r="A417" s="3"/>
      <c r="B417" s="3"/>
      <c r="C417" s="3"/>
      <c r="D417" s="3"/>
      <c r="E417" s="265"/>
      <c r="F417" s="265"/>
      <c r="G417" s="265"/>
      <c r="H417" s="265"/>
      <c r="I417" s="265"/>
      <c r="J417" s="260"/>
      <c r="K417" s="3"/>
      <c r="L417" s="265"/>
      <c r="M417" s="265"/>
      <c r="N417" s="265"/>
      <c r="O417" s="265"/>
      <c r="P417" s="265"/>
      <c r="Q417" s="260"/>
      <c r="R417" s="3"/>
      <c r="S417" s="265"/>
      <c r="T417" s="265"/>
      <c r="U417" s="265"/>
      <c r="V417" s="265"/>
      <c r="W417" s="265"/>
      <c r="X417" s="193"/>
      <c r="Y417" s="193"/>
      <c r="Z417" s="193"/>
      <c r="AA417" s="193"/>
      <c r="AB417" s="193"/>
      <c r="AC417" s="193"/>
      <c r="AD417" s="193"/>
      <c r="AE417" s="193"/>
      <c r="AF417" s="3"/>
      <c r="AG417" s="3"/>
      <c r="AH417" s="3"/>
      <c r="AI417" s="3"/>
      <c r="AJ417" s="3"/>
      <c r="AK417" s="3"/>
      <c r="AL417" s="3"/>
    </row>
    <row r="418" spans="1:38" ht="14.25" customHeight="1">
      <c r="A418" s="3"/>
      <c r="B418" s="3"/>
      <c r="C418" s="3"/>
      <c r="D418" s="3"/>
      <c r="E418" s="265"/>
      <c r="F418" s="265"/>
      <c r="G418" s="265"/>
      <c r="H418" s="265"/>
      <c r="I418" s="265"/>
      <c r="J418" s="260"/>
      <c r="K418" s="3"/>
      <c r="L418" s="265"/>
      <c r="M418" s="265"/>
      <c r="N418" s="265"/>
      <c r="O418" s="265"/>
      <c r="P418" s="265"/>
      <c r="Q418" s="260"/>
      <c r="R418" s="3"/>
      <c r="S418" s="265"/>
      <c r="T418" s="265"/>
      <c r="U418" s="265"/>
      <c r="V418" s="265"/>
      <c r="W418" s="265"/>
      <c r="X418" s="193"/>
      <c r="Y418" s="193"/>
      <c r="Z418" s="193"/>
      <c r="AA418" s="193"/>
      <c r="AB418" s="193"/>
      <c r="AC418" s="193"/>
      <c r="AD418" s="193"/>
      <c r="AE418" s="193"/>
      <c r="AF418" s="3"/>
      <c r="AG418" s="3"/>
      <c r="AH418" s="3"/>
      <c r="AI418" s="3"/>
      <c r="AJ418" s="3"/>
      <c r="AK418" s="3"/>
      <c r="AL418" s="3"/>
    </row>
    <row r="419" spans="1:38" ht="14.25" customHeight="1">
      <c r="A419" s="3"/>
      <c r="B419" s="3"/>
      <c r="C419" s="3"/>
      <c r="D419" s="3"/>
      <c r="E419" s="265"/>
      <c r="F419" s="265"/>
      <c r="G419" s="265"/>
      <c r="H419" s="265"/>
      <c r="I419" s="265"/>
      <c r="J419" s="260"/>
      <c r="K419" s="3"/>
      <c r="L419" s="265"/>
      <c r="M419" s="265"/>
      <c r="N419" s="265"/>
      <c r="O419" s="265"/>
      <c r="P419" s="265"/>
      <c r="Q419" s="260"/>
      <c r="R419" s="3"/>
      <c r="S419" s="265"/>
      <c r="T419" s="265"/>
      <c r="U419" s="265"/>
      <c r="V419" s="265"/>
      <c r="W419" s="265"/>
      <c r="X419" s="193"/>
      <c r="Y419" s="193"/>
      <c r="Z419" s="193"/>
      <c r="AA419" s="193"/>
      <c r="AB419" s="193"/>
      <c r="AC419" s="193"/>
      <c r="AD419" s="193"/>
      <c r="AE419" s="193"/>
      <c r="AF419" s="3"/>
      <c r="AG419" s="3"/>
      <c r="AH419" s="3"/>
      <c r="AI419" s="3"/>
      <c r="AJ419" s="3"/>
      <c r="AK419" s="3"/>
      <c r="AL419" s="3"/>
    </row>
    <row r="420" spans="1:38" ht="14.25" customHeight="1">
      <c r="A420" s="3"/>
      <c r="B420" s="3"/>
      <c r="C420" s="3"/>
      <c r="D420" s="3"/>
      <c r="E420" s="265"/>
      <c r="F420" s="265"/>
      <c r="G420" s="265"/>
      <c r="H420" s="265"/>
      <c r="I420" s="265"/>
      <c r="J420" s="260"/>
      <c r="K420" s="3"/>
      <c r="L420" s="265"/>
      <c r="M420" s="265"/>
      <c r="N420" s="265"/>
      <c r="O420" s="265"/>
      <c r="P420" s="265"/>
      <c r="Q420" s="260"/>
      <c r="R420" s="3"/>
      <c r="S420" s="265"/>
      <c r="T420" s="265"/>
      <c r="U420" s="265"/>
      <c r="V420" s="265"/>
      <c r="W420" s="265"/>
      <c r="X420" s="193"/>
      <c r="Y420" s="193"/>
      <c r="Z420" s="193"/>
      <c r="AA420" s="193"/>
      <c r="AB420" s="193"/>
      <c r="AC420" s="193"/>
      <c r="AD420" s="193"/>
      <c r="AE420" s="193"/>
      <c r="AF420" s="3"/>
      <c r="AG420" s="3"/>
      <c r="AH420" s="3"/>
      <c r="AI420" s="3"/>
      <c r="AJ420" s="3"/>
      <c r="AK420" s="3"/>
      <c r="AL420" s="3"/>
    </row>
    <row r="421" spans="1:38" ht="14.25" customHeight="1">
      <c r="A421" s="3"/>
      <c r="B421" s="3"/>
      <c r="C421" s="3"/>
      <c r="D421" s="3"/>
      <c r="E421" s="265"/>
      <c r="F421" s="265"/>
      <c r="G421" s="265"/>
      <c r="H421" s="265"/>
      <c r="I421" s="265"/>
      <c r="J421" s="260"/>
      <c r="K421" s="3"/>
      <c r="L421" s="265"/>
      <c r="M421" s="265"/>
      <c r="N421" s="265"/>
      <c r="O421" s="265"/>
      <c r="P421" s="265"/>
      <c r="Q421" s="260"/>
      <c r="R421" s="3"/>
      <c r="S421" s="265"/>
      <c r="T421" s="265"/>
      <c r="U421" s="265"/>
      <c r="V421" s="265"/>
      <c r="W421" s="265"/>
      <c r="X421" s="193"/>
      <c r="Y421" s="193"/>
      <c r="Z421" s="193"/>
      <c r="AA421" s="193"/>
      <c r="AB421" s="193"/>
      <c r="AC421" s="193"/>
      <c r="AD421" s="193"/>
      <c r="AE421" s="193"/>
      <c r="AF421" s="3"/>
      <c r="AG421" s="3"/>
      <c r="AH421" s="3"/>
      <c r="AI421" s="3"/>
      <c r="AJ421" s="3"/>
      <c r="AK421" s="3"/>
      <c r="AL421" s="3"/>
    </row>
    <row r="422" spans="1:38" ht="14.25" customHeight="1">
      <c r="A422" s="3"/>
      <c r="B422" s="3"/>
      <c r="C422" s="3"/>
      <c r="D422" s="3"/>
      <c r="E422" s="265"/>
      <c r="F422" s="265"/>
      <c r="G422" s="265"/>
      <c r="H422" s="265"/>
      <c r="I422" s="265"/>
      <c r="J422" s="260"/>
      <c r="K422" s="3"/>
      <c r="L422" s="265"/>
      <c r="M422" s="265"/>
      <c r="N422" s="265"/>
      <c r="O422" s="265"/>
      <c r="P422" s="265"/>
      <c r="Q422" s="260"/>
      <c r="R422" s="3"/>
      <c r="S422" s="265"/>
      <c r="T422" s="265"/>
      <c r="U422" s="265"/>
      <c r="V422" s="265"/>
      <c r="W422" s="265"/>
      <c r="X422" s="193"/>
      <c r="Y422" s="193"/>
      <c r="Z422" s="193"/>
      <c r="AA422" s="193"/>
      <c r="AB422" s="193"/>
      <c r="AC422" s="193"/>
      <c r="AD422" s="193"/>
      <c r="AE422" s="193"/>
      <c r="AF422" s="3"/>
      <c r="AG422" s="3"/>
      <c r="AH422" s="3"/>
      <c r="AI422" s="3"/>
      <c r="AJ422" s="3"/>
      <c r="AK422" s="3"/>
      <c r="AL422" s="3"/>
    </row>
    <row r="423" spans="1:38" ht="14.25" customHeight="1">
      <c r="A423" s="3"/>
      <c r="B423" s="3"/>
      <c r="C423" s="3"/>
      <c r="D423" s="3"/>
      <c r="E423" s="265"/>
      <c r="F423" s="265"/>
      <c r="G423" s="265"/>
      <c r="H423" s="265"/>
      <c r="I423" s="265"/>
      <c r="J423" s="260"/>
      <c r="K423" s="3"/>
      <c r="L423" s="265"/>
      <c r="M423" s="265"/>
      <c r="N423" s="265"/>
      <c r="O423" s="265"/>
      <c r="P423" s="265"/>
      <c r="Q423" s="260"/>
      <c r="R423" s="3"/>
      <c r="S423" s="265"/>
      <c r="T423" s="265"/>
      <c r="U423" s="265"/>
      <c r="V423" s="265"/>
      <c r="W423" s="265"/>
      <c r="X423" s="193"/>
      <c r="Y423" s="193"/>
      <c r="Z423" s="193"/>
      <c r="AA423" s="193"/>
      <c r="AB423" s="193"/>
      <c r="AC423" s="193"/>
      <c r="AD423" s="193"/>
      <c r="AE423" s="193"/>
      <c r="AF423" s="3"/>
      <c r="AG423" s="3"/>
      <c r="AH423" s="3"/>
      <c r="AI423" s="3"/>
      <c r="AJ423" s="3"/>
      <c r="AK423" s="3"/>
      <c r="AL423" s="3"/>
    </row>
    <row r="424" spans="1:38" ht="14.25" customHeight="1">
      <c r="A424" s="3"/>
      <c r="B424" s="3"/>
      <c r="C424" s="3"/>
      <c r="D424" s="3"/>
      <c r="E424" s="265"/>
      <c r="F424" s="265"/>
      <c r="G424" s="265"/>
      <c r="H424" s="265"/>
      <c r="I424" s="265"/>
      <c r="J424" s="260"/>
      <c r="K424" s="3"/>
      <c r="L424" s="265"/>
      <c r="M424" s="265"/>
      <c r="N424" s="265"/>
      <c r="O424" s="265"/>
      <c r="P424" s="265"/>
      <c r="Q424" s="260"/>
      <c r="R424" s="3"/>
      <c r="S424" s="265"/>
      <c r="T424" s="265"/>
      <c r="U424" s="265"/>
      <c r="V424" s="265"/>
      <c r="W424" s="265"/>
      <c r="X424" s="193"/>
      <c r="Y424" s="193"/>
      <c r="Z424" s="193"/>
      <c r="AA424" s="193"/>
      <c r="AB424" s="193"/>
      <c r="AC424" s="193"/>
      <c r="AD424" s="193"/>
      <c r="AE424" s="193"/>
      <c r="AF424" s="3"/>
      <c r="AG424" s="3"/>
      <c r="AH424" s="3"/>
      <c r="AI424" s="3"/>
      <c r="AJ424" s="3"/>
      <c r="AK424" s="3"/>
      <c r="AL424" s="3"/>
    </row>
    <row r="425" spans="1:38" ht="14.25" customHeight="1">
      <c r="A425" s="3"/>
      <c r="B425" s="3"/>
      <c r="C425" s="3"/>
      <c r="D425" s="3"/>
      <c r="E425" s="265"/>
      <c r="F425" s="265"/>
      <c r="G425" s="265"/>
      <c r="H425" s="265"/>
      <c r="I425" s="265"/>
      <c r="J425" s="260"/>
      <c r="K425" s="3"/>
      <c r="L425" s="265"/>
      <c r="M425" s="265"/>
      <c r="N425" s="265"/>
      <c r="O425" s="265"/>
      <c r="P425" s="265"/>
      <c r="Q425" s="260"/>
      <c r="R425" s="3"/>
      <c r="S425" s="265"/>
      <c r="T425" s="265"/>
      <c r="U425" s="265"/>
      <c r="V425" s="265"/>
      <c r="W425" s="265"/>
      <c r="X425" s="193"/>
      <c r="Y425" s="193"/>
      <c r="Z425" s="193"/>
      <c r="AA425" s="193"/>
      <c r="AB425" s="193"/>
      <c r="AC425" s="193"/>
      <c r="AD425" s="193"/>
      <c r="AE425" s="193"/>
      <c r="AF425" s="3"/>
      <c r="AG425" s="3"/>
      <c r="AH425" s="3"/>
      <c r="AI425" s="3"/>
      <c r="AJ425" s="3"/>
      <c r="AK425" s="3"/>
      <c r="AL425" s="3"/>
    </row>
    <row r="426" spans="1:38" ht="14.25" customHeight="1">
      <c r="A426" s="3"/>
      <c r="B426" s="3"/>
      <c r="C426" s="3"/>
      <c r="D426" s="3"/>
      <c r="E426" s="265"/>
      <c r="F426" s="265"/>
      <c r="G426" s="265"/>
      <c r="H426" s="265"/>
      <c r="I426" s="265"/>
      <c r="J426" s="260"/>
      <c r="K426" s="3"/>
      <c r="L426" s="265"/>
      <c r="M426" s="265"/>
      <c r="N426" s="265"/>
      <c r="O426" s="265"/>
      <c r="P426" s="265"/>
      <c r="Q426" s="260"/>
      <c r="R426" s="3"/>
      <c r="S426" s="265"/>
      <c r="T426" s="265"/>
      <c r="U426" s="265"/>
      <c r="V426" s="265"/>
      <c r="W426" s="265"/>
      <c r="X426" s="193"/>
      <c r="Y426" s="193"/>
      <c r="Z426" s="193"/>
      <c r="AA426" s="193"/>
      <c r="AB426" s="193"/>
      <c r="AC426" s="193"/>
      <c r="AD426" s="193"/>
      <c r="AE426" s="193"/>
      <c r="AF426" s="3"/>
      <c r="AG426" s="3"/>
      <c r="AH426" s="3"/>
      <c r="AI426" s="3"/>
      <c r="AJ426" s="3"/>
      <c r="AK426" s="3"/>
      <c r="AL426" s="3"/>
    </row>
    <row r="427" spans="1:38" ht="14.25" customHeight="1">
      <c r="A427" s="3"/>
      <c r="B427" s="3"/>
      <c r="C427" s="3"/>
      <c r="D427" s="3"/>
      <c r="E427" s="265"/>
      <c r="F427" s="265"/>
      <c r="G427" s="265"/>
      <c r="H427" s="265"/>
      <c r="I427" s="265"/>
      <c r="J427" s="260"/>
      <c r="K427" s="3"/>
      <c r="L427" s="265"/>
      <c r="M427" s="265"/>
      <c r="N427" s="265"/>
      <c r="O427" s="265"/>
      <c r="P427" s="265"/>
      <c r="Q427" s="260"/>
      <c r="R427" s="3"/>
      <c r="S427" s="265"/>
      <c r="T427" s="265"/>
      <c r="U427" s="265"/>
      <c r="V427" s="265"/>
      <c r="W427" s="265"/>
      <c r="X427" s="193"/>
      <c r="Y427" s="193"/>
      <c r="Z427" s="193"/>
      <c r="AA427" s="193"/>
      <c r="AB427" s="193"/>
      <c r="AC427" s="193"/>
      <c r="AD427" s="193"/>
      <c r="AE427" s="193"/>
      <c r="AF427" s="3"/>
      <c r="AG427" s="3"/>
      <c r="AH427" s="3"/>
      <c r="AI427" s="3"/>
      <c r="AJ427" s="3"/>
      <c r="AK427" s="3"/>
      <c r="AL427" s="3"/>
    </row>
    <row r="428" spans="1:38" ht="14.25" customHeight="1">
      <c r="A428" s="3"/>
      <c r="B428" s="3"/>
      <c r="C428" s="3"/>
      <c r="D428" s="3"/>
      <c r="E428" s="265"/>
      <c r="F428" s="265"/>
      <c r="G428" s="265"/>
      <c r="H428" s="265"/>
      <c r="I428" s="265"/>
      <c r="J428" s="260"/>
      <c r="K428" s="3"/>
      <c r="L428" s="265"/>
      <c r="M428" s="265"/>
      <c r="N428" s="265"/>
      <c r="O428" s="265"/>
      <c r="P428" s="265"/>
      <c r="Q428" s="260"/>
      <c r="R428" s="3"/>
      <c r="S428" s="265"/>
      <c r="T428" s="265"/>
      <c r="U428" s="265"/>
      <c r="V428" s="265"/>
      <c r="W428" s="265"/>
      <c r="X428" s="193"/>
      <c r="Y428" s="193"/>
      <c r="Z428" s="193"/>
      <c r="AA428" s="193"/>
      <c r="AB428" s="193"/>
      <c r="AC428" s="193"/>
      <c r="AD428" s="193"/>
      <c r="AE428" s="193"/>
      <c r="AF428" s="3"/>
      <c r="AG428" s="3"/>
      <c r="AH428" s="3"/>
      <c r="AI428" s="3"/>
      <c r="AJ428" s="3"/>
      <c r="AK428" s="3"/>
      <c r="AL428" s="3"/>
    </row>
    <row r="429" spans="1:38" ht="14.25" customHeight="1">
      <c r="A429" s="3"/>
      <c r="B429" s="3"/>
      <c r="C429" s="3"/>
      <c r="D429" s="3"/>
      <c r="E429" s="265"/>
      <c r="F429" s="265"/>
      <c r="G429" s="265"/>
      <c r="H429" s="265"/>
      <c r="I429" s="265"/>
      <c r="J429" s="260"/>
      <c r="K429" s="3"/>
      <c r="L429" s="265"/>
      <c r="M429" s="265"/>
      <c r="N429" s="265"/>
      <c r="O429" s="265"/>
      <c r="P429" s="265"/>
      <c r="Q429" s="260"/>
      <c r="R429" s="3"/>
      <c r="S429" s="265"/>
      <c r="T429" s="265"/>
      <c r="U429" s="265"/>
      <c r="V429" s="265"/>
      <c r="W429" s="265"/>
      <c r="X429" s="193"/>
      <c r="Y429" s="193"/>
      <c r="Z429" s="193"/>
      <c r="AA429" s="193"/>
      <c r="AB429" s="193"/>
      <c r="AC429" s="193"/>
      <c r="AD429" s="193"/>
      <c r="AE429" s="193"/>
      <c r="AF429" s="3"/>
      <c r="AG429" s="3"/>
      <c r="AH429" s="3"/>
      <c r="AI429" s="3"/>
      <c r="AJ429" s="3"/>
      <c r="AK429" s="3"/>
      <c r="AL429" s="3"/>
    </row>
    <row r="430" spans="1:38" ht="14.25" customHeight="1">
      <c r="A430" s="3"/>
      <c r="B430" s="3"/>
      <c r="C430" s="3"/>
      <c r="D430" s="3"/>
      <c r="E430" s="265"/>
      <c r="F430" s="265"/>
      <c r="G430" s="265"/>
      <c r="H430" s="265"/>
      <c r="I430" s="265"/>
      <c r="J430" s="260"/>
      <c r="K430" s="3"/>
      <c r="L430" s="265"/>
      <c r="M430" s="265"/>
      <c r="N430" s="265"/>
      <c r="O430" s="265"/>
      <c r="P430" s="265"/>
      <c r="Q430" s="260"/>
      <c r="R430" s="3"/>
      <c r="S430" s="265"/>
      <c r="T430" s="265"/>
      <c r="U430" s="265"/>
      <c r="V430" s="265"/>
      <c r="W430" s="265"/>
      <c r="X430" s="193"/>
      <c r="Y430" s="193"/>
      <c r="Z430" s="193"/>
      <c r="AA430" s="193"/>
      <c r="AB430" s="193"/>
      <c r="AC430" s="193"/>
      <c r="AD430" s="193"/>
      <c r="AE430" s="193"/>
      <c r="AF430" s="3"/>
      <c r="AG430" s="3"/>
      <c r="AH430" s="3"/>
      <c r="AI430" s="3"/>
      <c r="AJ430" s="3"/>
      <c r="AK430" s="3"/>
      <c r="AL430" s="3"/>
    </row>
    <row r="431" spans="1:38" ht="14.25" customHeight="1">
      <c r="A431" s="3"/>
      <c r="B431" s="3"/>
      <c r="C431" s="3"/>
      <c r="D431" s="3"/>
      <c r="E431" s="265"/>
      <c r="F431" s="265"/>
      <c r="G431" s="265"/>
      <c r="H431" s="265"/>
      <c r="I431" s="265"/>
      <c r="J431" s="260"/>
      <c r="K431" s="3"/>
      <c r="L431" s="265"/>
      <c r="M431" s="265"/>
      <c r="N431" s="265"/>
      <c r="O431" s="265"/>
      <c r="P431" s="265"/>
      <c r="Q431" s="260"/>
      <c r="R431" s="3"/>
      <c r="S431" s="265"/>
      <c r="T431" s="265"/>
      <c r="U431" s="265"/>
      <c r="V431" s="265"/>
      <c r="W431" s="265"/>
      <c r="X431" s="193"/>
      <c r="Y431" s="193"/>
      <c r="Z431" s="193"/>
      <c r="AA431" s="193"/>
      <c r="AB431" s="193"/>
      <c r="AC431" s="193"/>
      <c r="AD431" s="193"/>
      <c r="AE431" s="193"/>
      <c r="AF431" s="3"/>
      <c r="AG431" s="3"/>
      <c r="AH431" s="3"/>
      <c r="AI431" s="3"/>
      <c r="AJ431" s="3"/>
      <c r="AK431" s="3"/>
      <c r="AL431" s="3"/>
    </row>
    <row r="432" spans="1:38" ht="14.25" customHeight="1">
      <c r="A432" s="3"/>
      <c r="B432" s="3"/>
      <c r="C432" s="3"/>
      <c r="D432" s="3"/>
      <c r="E432" s="265"/>
      <c r="F432" s="265"/>
      <c r="G432" s="265"/>
      <c r="H432" s="265"/>
      <c r="I432" s="265"/>
      <c r="J432" s="260"/>
      <c r="K432" s="3"/>
      <c r="L432" s="265"/>
      <c r="M432" s="265"/>
      <c r="N432" s="265"/>
      <c r="O432" s="265"/>
      <c r="P432" s="265"/>
      <c r="Q432" s="260"/>
      <c r="R432" s="3"/>
      <c r="S432" s="265"/>
      <c r="T432" s="265"/>
      <c r="U432" s="265"/>
      <c r="V432" s="265"/>
      <c r="W432" s="265"/>
      <c r="X432" s="193"/>
      <c r="Y432" s="193"/>
      <c r="Z432" s="193"/>
      <c r="AA432" s="193"/>
      <c r="AB432" s="193"/>
      <c r="AC432" s="193"/>
      <c r="AD432" s="193"/>
      <c r="AE432" s="193"/>
      <c r="AF432" s="3"/>
      <c r="AG432" s="3"/>
      <c r="AH432" s="3"/>
      <c r="AI432" s="3"/>
      <c r="AJ432" s="3"/>
      <c r="AK432" s="3"/>
      <c r="AL432" s="3"/>
    </row>
    <row r="433" spans="1:38" ht="14.25" customHeight="1">
      <c r="A433" s="3"/>
      <c r="B433" s="3"/>
      <c r="C433" s="3"/>
      <c r="D433" s="3"/>
      <c r="E433" s="265"/>
      <c r="F433" s="265"/>
      <c r="G433" s="265"/>
      <c r="H433" s="265"/>
      <c r="I433" s="265"/>
      <c r="J433" s="260"/>
      <c r="K433" s="3"/>
      <c r="L433" s="265"/>
      <c r="M433" s="265"/>
      <c r="N433" s="265"/>
      <c r="O433" s="265"/>
      <c r="P433" s="265"/>
      <c r="Q433" s="260"/>
      <c r="R433" s="3"/>
      <c r="S433" s="265"/>
      <c r="T433" s="265"/>
      <c r="U433" s="265"/>
      <c r="V433" s="265"/>
      <c r="W433" s="265"/>
      <c r="X433" s="193"/>
      <c r="Y433" s="193"/>
      <c r="Z433" s="193"/>
      <c r="AA433" s="193"/>
      <c r="AB433" s="193"/>
      <c r="AC433" s="193"/>
      <c r="AD433" s="193"/>
      <c r="AE433" s="193"/>
      <c r="AF433" s="3"/>
      <c r="AG433" s="3"/>
      <c r="AH433" s="3"/>
      <c r="AI433" s="3"/>
      <c r="AJ433" s="3"/>
      <c r="AK433" s="3"/>
      <c r="AL433" s="3"/>
    </row>
    <row r="434" spans="1:38" ht="14.25" customHeight="1">
      <c r="A434" s="3"/>
      <c r="B434" s="3"/>
      <c r="C434" s="3"/>
      <c r="D434" s="3"/>
      <c r="E434" s="265"/>
      <c r="F434" s="265"/>
      <c r="G434" s="265"/>
      <c r="H434" s="265"/>
      <c r="I434" s="265"/>
      <c r="J434" s="260"/>
      <c r="K434" s="3"/>
      <c r="L434" s="265"/>
      <c r="M434" s="265"/>
      <c r="N434" s="265"/>
      <c r="O434" s="265"/>
      <c r="P434" s="265"/>
      <c r="Q434" s="260"/>
      <c r="R434" s="3"/>
      <c r="S434" s="265"/>
      <c r="T434" s="265"/>
      <c r="U434" s="265"/>
      <c r="V434" s="265"/>
      <c r="W434" s="265"/>
      <c r="X434" s="193"/>
      <c r="Y434" s="193"/>
      <c r="Z434" s="193"/>
      <c r="AA434" s="193"/>
      <c r="AB434" s="193"/>
      <c r="AC434" s="193"/>
      <c r="AD434" s="193"/>
      <c r="AE434" s="193"/>
      <c r="AF434" s="3"/>
      <c r="AG434" s="3"/>
      <c r="AH434" s="3"/>
      <c r="AI434" s="3"/>
      <c r="AJ434" s="3"/>
      <c r="AK434" s="3"/>
      <c r="AL434" s="3"/>
    </row>
    <row r="435" spans="1:38" ht="14.25" customHeight="1">
      <c r="A435" s="3"/>
      <c r="B435" s="3"/>
      <c r="C435" s="3"/>
      <c r="D435" s="3"/>
      <c r="E435" s="265"/>
      <c r="F435" s="265"/>
      <c r="G435" s="265"/>
      <c r="H435" s="265"/>
      <c r="I435" s="265"/>
      <c r="J435" s="260"/>
      <c r="K435" s="3"/>
      <c r="L435" s="265"/>
      <c r="M435" s="265"/>
      <c r="N435" s="265"/>
      <c r="O435" s="265"/>
      <c r="P435" s="265"/>
      <c r="Q435" s="260"/>
      <c r="R435" s="3"/>
      <c r="S435" s="265"/>
      <c r="T435" s="265"/>
      <c r="U435" s="265"/>
      <c r="V435" s="265"/>
      <c r="W435" s="265"/>
      <c r="X435" s="193"/>
      <c r="Y435" s="193"/>
      <c r="Z435" s="193"/>
      <c r="AA435" s="193"/>
      <c r="AB435" s="193"/>
      <c r="AC435" s="193"/>
      <c r="AD435" s="193"/>
      <c r="AE435" s="193"/>
      <c r="AF435" s="3"/>
      <c r="AG435" s="3"/>
      <c r="AH435" s="3"/>
      <c r="AI435" s="3"/>
      <c r="AJ435" s="3"/>
      <c r="AK435" s="3"/>
      <c r="AL435" s="3"/>
    </row>
    <row r="436" spans="1:38" ht="14.25" customHeight="1">
      <c r="A436" s="3"/>
      <c r="B436" s="3"/>
      <c r="C436" s="3"/>
      <c r="D436" s="3"/>
      <c r="E436" s="265"/>
      <c r="F436" s="265"/>
      <c r="G436" s="265"/>
      <c r="H436" s="265"/>
      <c r="I436" s="265"/>
      <c r="J436" s="260"/>
      <c r="K436" s="3"/>
      <c r="L436" s="265"/>
      <c r="M436" s="265"/>
      <c r="N436" s="265"/>
      <c r="O436" s="265"/>
      <c r="P436" s="265"/>
      <c r="Q436" s="260"/>
      <c r="R436" s="3"/>
      <c r="S436" s="265"/>
      <c r="T436" s="265"/>
      <c r="U436" s="265"/>
      <c r="V436" s="265"/>
      <c r="W436" s="265"/>
      <c r="X436" s="193"/>
      <c r="Y436" s="193"/>
      <c r="Z436" s="193"/>
      <c r="AA436" s="193"/>
      <c r="AB436" s="193"/>
      <c r="AC436" s="193"/>
      <c r="AD436" s="193"/>
      <c r="AE436" s="193"/>
      <c r="AF436" s="3"/>
      <c r="AG436" s="3"/>
      <c r="AH436" s="3"/>
      <c r="AI436" s="3"/>
      <c r="AJ436" s="3"/>
      <c r="AK436" s="3"/>
      <c r="AL436" s="3"/>
    </row>
    <row r="437" spans="1:38" ht="14.25" customHeight="1">
      <c r="A437" s="3"/>
      <c r="B437" s="3"/>
      <c r="C437" s="3"/>
      <c r="D437" s="3"/>
      <c r="E437" s="265"/>
      <c r="F437" s="265"/>
      <c r="G437" s="265"/>
      <c r="H437" s="265"/>
      <c r="I437" s="265"/>
      <c r="J437" s="260"/>
      <c r="K437" s="3"/>
      <c r="L437" s="265"/>
      <c r="M437" s="265"/>
      <c r="N437" s="265"/>
      <c r="O437" s="265"/>
      <c r="P437" s="265"/>
      <c r="Q437" s="260"/>
      <c r="R437" s="3"/>
      <c r="S437" s="265"/>
      <c r="T437" s="265"/>
      <c r="U437" s="265"/>
      <c r="V437" s="265"/>
      <c r="W437" s="265"/>
      <c r="X437" s="193"/>
      <c r="Y437" s="193"/>
      <c r="Z437" s="193"/>
      <c r="AA437" s="193"/>
      <c r="AB437" s="193"/>
      <c r="AC437" s="193"/>
      <c r="AD437" s="193"/>
      <c r="AE437" s="193"/>
      <c r="AF437" s="3"/>
      <c r="AG437" s="3"/>
      <c r="AH437" s="3"/>
      <c r="AI437" s="3"/>
      <c r="AJ437" s="3"/>
      <c r="AK437" s="3"/>
      <c r="AL437" s="3"/>
    </row>
    <row r="438" spans="1:38" ht="14.25" customHeight="1">
      <c r="A438" s="3"/>
      <c r="B438" s="3"/>
      <c r="C438" s="3"/>
      <c r="D438" s="3"/>
      <c r="E438" s="265"/>
      <c r="F438" s="265"/>
      <c r="G438" s="265"/>
      <c r="H438" s="265"/>
      <c r="I438" s="265"/>
      <c r="J438" s="260"/>
      <c r="K438" s="3"/>
      <c r="L438" s="265"/>
      <c r="M438" s="265"/>
      <c r="N438" s="265"/>
      <c r="O438" s="265"/>
      <c r="P438" s="265"/>
      <c r="Q438" s="260"/>
      <c r="R438" s="3"/>
      <c r="S438" s="265"/>
      <c r="T438" s="265"/>
      <c r="U438" s="265"/>
      <c r="V438" s="265"/>
      <c r="W438" s="265"/>
      <c r="X438" s="193"/>
      <c r="Y438" s="193"/>
      <c r="Z438" s="193"/>
      <c r="AA438" s="193"/>
      <c r="AB438" s="193"/>
      <c r="AC438" s="193"/>
      <c r="AD438" s="193"/>
      <c r="AE438" s="193"/>
      <c r="AF438" s="3"/>
      <c r="AG438" s="3"/>
      <c r="AH438" s="3"/>
      <c r="AI438" s="3"/>
      <c r="AJ438" s="3"/>
      <c r="AK438" s="3"/>
      <c r="AL438" s="3"/>
    </row>
    <row r="439" spans="1:38" ht="14.25" customHeight="1">
      <c r="A439" s="3"/>
      <c r="B439" s="3"/>
      <c r="C439" s="3"/>
      <c r="D439" s="3"/>
      <c r="E439" s="265"/>
      <c r="F439" s="265"/>
      <c r="G439" s="265"/>
      <c r="H439" s="265"/>
      <c r="I439" s="265"/>
      <c r="J439" s="260"/>
      <c r="K439" s="3"/>
      <c r="L439" s="265"/>
      <c r="M439" s="265"/>
      <c r="N439" s="265"/>
      <c r="O439" s="265"/>
      <c r="P439" s="265"/>
      <c r="Q439" s="260"/>
      <c r="R439" s="3"/>
      <c r="S439" s="265"/>
      <c r="T439" s="265"/>
      <c r="U439" s="265"/>
      <c r="V439" s="265"/>
      <c r="W439" s="265"/>
      <c r="X439" s="193"/>
      <c r="Y439" s="193"/>
      <c r="Z439" s="193"/>
      <c r="AA439" s="193"/>
      <c r="AB439" s="193"/>
      <c r="AC439" s="193"/>
      <c r="AD439" s="193"/>
      <c r="AE439" s="193"/>
      <c r="AF439" s="3"/>
      <c r="AG439" s="3"/>
      <c r="AH439" s="3"/>
      <c r="AI439" s="3"/>
      <c r="AJ439" s="3"/>
      <c r="AK439" s="3"/>
      <c r="AL439" s="3"/>
    </row>
    <row r="440" spans="1:38" ht="14.25" customHeight="1">
      <c r="A440" s="3"/>
      <c r="B440" s="3"/>
      <c r="C440" s="3"/>
      <c r="D440" s="3"/>
      <c r="E440" s="265"/>
      <c r="F440" s="265"/>
      <c r="G440" s="265"/>
      <c r="H440" s="265"/>
      <c r="I440" s="265"/>
      <c r="J440" s="260"/>
      <c r="K440" s="3"/>
      <c r="L440" s="265"/>
      <c r="M440" s="265"/>
      <c r="N440" s="265"/>
      <c r="O440" s="265"/>
      <c r="P440" s="265"/>
      <c r="Q440" s="260"/>
      <c r="R440" s="3"/>
      <c r="S440" s="265"/>
      <c r="T440" s="265"/>
      <c r="U440" s="265"/>
      <c r="V440" s="265"/>
      <c r="W440" s="265"/>
      <c r="X440" s="193"/>
      <c r="Y440" s="193"/>
      <c r="Z440" s="193"/>
      <c r="AA440" s="193"/>
      <c r="AB440" s="193"/>
      <c r="AC440" s="193"/>
      <c r="AD440" s="193"/>
      <c r="AE440" s="193"/>
      <c r="AF440" s="3"/>
      <c r="AG440" s="3"/>
      <c r="AH440" s="3"/>
      <c r="AI440" s="3"/>
      <c r="AJ440" s="3"/>
      <c r="AK440" s="3"/>
      <c r="AL440" s="3"/>
    </row>
    <row r="441" spans="1:38" ht="14.25" customHeight="1">
      <c r="A441" s="3"/>
      <c r="B441" s="3"/>
      <c r="C441" s="3"/>
      <c r="D441" s="3"/>
      <c r="E441" s="265"/>
      <c r="F441" s="265"/>
      <c r="G441" s="265"/>
      <c r="H441" s="265"/>
      <c r="I441" s="265"/>
      <c r="J441" s="260"/>
      <c r="K441" s="3"/>
      <c r="L441" s="265"/>
      <c r="M441" s="265"/>
      <c r="N441" s="265"/>
      <c r="O441" s="265"/>
      <c r="P441" s="265"/>
      <c r="Q441" s="260"/>
      <c r="R441" s="3"/>
      <c r="S441" s="265"/>
      <c r="T441" s="265"/>
      <c r="U441" s="265"/>
      <c r="V441" s="265"/>
      <c r="W441" s="265"/>
      <c r="X441" s="193"/>
      <c r="Y441" s="193"/>
      <c r="Z441" s="193"/>
      <c r="AA441" s="193"/>
      <c r="AB441" s="193"/>
      <c r="AC441" s="193"/>
      <c r="AD441" s="193"/>
      <c r="AE441" s="193"/>
      <c r="AF441" s="3"/>
      <c r="AG441" s="3"/>
      <c r="AH441" s="3"/>
      <c r="AI441" s="3"/>
      <c r="AJ441" s="3"/>
      <c r="AK441" s="3"/>
      <c r="AL441" s="3"/>
    </row>
    <row r="442" spans="1:38" ht="14.25" customHeight="1">
      <c r="A442" s="3"/>
      <c r="B442" s="3"/>
      <c r="C442" s="3"/>
      <c r="D442" s="3"/>
      <c r="E442" s="265"/>
      <c r="F442" s="265"/>
      <c r="G442" s="265"/>
      <c r="H442" s="265"/>
      <c r="I442" s="265"/>
      <c r="J442" s="260"/>
      <c r="K442" s="3"/>
      <c r="L442" s="265"/>
      <c r="M442" s="265"/>
      <c r="N442" s="265"/>
      <c r="O442" s="265"/>
      <c r="P442" s="265"/>
      <c r="Q442" s="260"/>
      <c r="R442" s="3"/>
      <c r="S442" s="265"/>
      <c r="T442" s="265"/>
      <c r="U442" s="265"/>
      <c r="V442" s="265"/>
      <c r="W442" s="265"/>
      <c r="X442" s="193"/>
      <c r="Y442" s="193"/>
      <c r="Z442" s="193"/>
      <c r="AA442" s="193"/>
      <c r="AB442" s="193"/>
      <c r="AC442" s="193"/>
      <c r="AD442" s="193"/>
      <c r="AE442" s="193"/>
      <c r="AF442" s="3"/>
      <c r="AG442" s="3"/>
      <c r="AH442" s="3"/>
      <c r="AI442" s="3"/>
      <c r="AJ442" s="3"/>
      <c r="AK442" s="3"/>
      <c r="AL442" s="3"/>
    </row>
    <row r="443" spans="1:38" ht="14.25" customHeight="1">
      <c r="A443" s="3"/>
      <c r="B443" s="3"/>
      <c r="C443" s="3"/>
      <c r="D443" s="3"/>
      <c r="E443" s="265"/>
      <c r="F443" s="265"/>
      <c r="G443" s="265"/>
      <c r="H443" s="265"/>
      <c r="I443" s="265"/>
      <c r="J443" s="260"/>
      <c r="K443" s="3"/>
      <c r="L443" s="265"/>
      <c r="M443" s="265"/>
      <c r="N443" s="265"/>
      <c r="O443" s="265"/>
      <c r="P443" s="265"/>
      <c r="Q443" s="260"/>
      <c r="R443" s="3"/>
      <c r="S443" s="265"/>
      <c r="T443" s="265"/>
      <c r="U443" s="265"/>
      <c r="V443" s="265"/>
      <c r="W443" s="265"/>
      <c r="X443" s="193"/>
      <c r="Y443" s="193"/>
      <c r="Z443" s="193"/>
      <c r="AA443" s="193"/>
      <c r="AB443" s="193"/>
      <c r="AC443" s="193"/>
      <c r="AD443" s="193"/>
      <c r="AE443" s="193"/>
      <c r="AF443" s="3"/>
      <c r="AG443" s="3"/>
      <c r="AH443" s="3"/>
      <c r="AI443" s="3"/>
      <c r="AJ443" s="3"/>
      <c r="AK443" s="3"/>
      <c r="AL443" s="3"/>
    </row>
    <row r="444" spans="1:38" ht="14.25" customHeight="1">
      <c r="A444" s="3"/>
      <c r="B444" s="3"/>
      <c r="C444" s="3"/>
      <c r="D444" s="3"/>
      <c r="E444" s="265"/>
      <c r="F444" s="265"/>
      <c r="G444" s="265"/>
      <c r="H444" s="265"/>
      <c r="I444" s="265"/>
      <c r="J444" s="260"/>
      <c r="K444" s="3"/>
      <c r="L444" s="265"/>
      <c r="M444" s="265"/>
      <c r="N444" s="265"/>
      <c r="O444" s="265"/>
      <c r="P444" s="265"/>
      <c r="Q444" s="260"/>
      <c r="R444" s="3"/>
      <c r="S444" s="265"/>
      <c r="T444" s="265"/>
      <c r="U444" s="265"/>
      <c r="V444" s="265"/>
      <c r="W444" s="265"/>
      <c r="X444" s="193"/>
      <c r="Y444" s="193"/>
      <c r="Z444" s="193"/>
      <c r="AA444" s="193"/>
      <c r="AB444" s="193"/>
      <c r="AC444" s="193"/>
      <c r="AD444" s="193"/>
      <c r="AE444" s="193"/>
      <c r="AF444" s="3"/>
      <c r="AG444" s="3"/>
      <c r="AH444" s="3"/>
      <c r="AI444" s="3"/>
      <c r="AJ444" s="3"/>
      <c r="AK444" s="3"/>
      <c r="AL444" s="3"/>
    </row>
    <row r="445" spans="1:38" ht="14.25" customHeight="1">
      <c r="A445" s="3"/>
      <c r="B445" s="3"/>
      <c r="C445" s="3"/>
      <c r="D445" s="3"/>
      <c r="E445" s="265"/>
      <c r="F445" s="265"/>
      <c r="G445" s="265"/>
      <c r="H445" s="265"/>
      <c r="I445" s="265"/>
      <c r="J445" s="260"/>
      <c r="K445" s="3"/>
      <c r="L445" s="265"/>
      <c r="M445" s="265"/>
      <c r="N445" s="265"/>
      <c r="O445" s="265"/>
      <c r="P445" s="265"/>
      <c r="Q445" s="260"/>
      <c r="R445" s="3"/>
      <c r="S445" s="265"/>
      <c r="T445" s="265"/>
      <c r="U445" s="265"/>
      <c r="V445" s="265"/>
      <c r="W445" s="265"/>
      <c r="X445" s="193"/>
      <c r="Y445" s="193"/>
      <c r="Z445" s="193"/>
      <c r="AA445" s="193"/>
      <c r="AB445" s="193"/>
      <c r="AC445" s="193"/>
      <c r="AD445" s="193"/>
      <c r="AE445" s="193"/>
      <c r="AF445" s="3"/>
      <c r="AG445" s="3"/>
      <c r="AH445" s="3"/>
      <c r="AI445" s="3"/>
      <c r="AJ445" s="3"/>
      <c r="AK445" s="3"/>
      <c r="AL445" s="3"/>
    </row>
    <row r="446" spans="1:38" ht="14.25" customHeight="1">
      <c r="A446" s="3"/>
      <c r="B446" s="3"/>
      <c r="C446" s="3"/>
      <c r="D446" s="3"/>
      <c r="E446" s="265"/>
      <c r="F446" s="265"/>
      <c r="G446" s="265"/>
      <c r="H446" s="265"/>
      <c r="I446" s="265"/>
      <c r="J446" s="260"/>
      <c r="K446" s="3"/>
      <c r="L446" s="265"/>
      <c r="M446" s="265"/>
      <c r="N446" s="265"/>
      <c r="O446" s="265"/>
      <c r="P446" s="265"/>
      <c r="Q446" s="260"/>
      <c r="R446" s="3"/>
      <c r="S446" s="265"/>
      <c r="T446" s="265"/>
      <c r="U446" s="265"/>
      <c r="V446" s="265"/>
      <c r="W446" s="265"/>
      <c r="X446" s="193"/>
      <c r="Y446" s="193"/>
      <c r="Z446" s="193"/>
      <c r="AA446" s="193"/>
      <c r="AB446" s="193"/>
      <c r="AC446" s="193"/>
      <c r="AD446" s="193"/>
      <c r="AE446" s="193"/>
      <c r="AF446" s="3"/>
      <c r="AG446" s="3"/>
      <c r="AH446" s="3"/>
      <c r="AI446" s="3"/>
      <c r="AJ446" s="3"/>
      <c r="AK446" s="3"/>
      <c r="AL446" s="3"/>
    </row>
    <row r="447" spans="1:38" ht="14.25" customHeight="1">
      <c r="A447" s="3"/>
      <c r="B447" s="3"/>
      <c r="C447" s="3"/>
      <c r="D447" s="3"/>
      <c r="E447" s="265"/>
      <c r="F447" s="265"/>
      <c r="G447" s="265"/>
      <c r="H447" s="265"/>
      <c r="I447" s="265"/>
      <c r="J447" s="260"/>
      <c r="K447" s="3"/>
      <c r="L447" s="265"/>
      <c r="M447" s="265"/>
      <c r="N447" s="265"/>
      <c r="O447" s="265"/>
      <c r="P447" s="265"/>
      <c r="Q447" s="260"/>
      <c r="R447" s="3"/>
      <c r="S447" s="265"/>
      <c r="T447" s="265"/>
      <c r="U447" s="265"/>
      <c r="V447" s="265"/>
      <c r="W447" s="265"/>
      <c r="X447" s="193"/>
      <c r="Y447" s="193"/>
      <c r="Z447" s="193"/>
      <c r="AA447" s="193"/>
      <c r="AB447" s="193"/>
      <c r="AC447" s="193"/>
      <c r="AD447" s="193"/>
      <c r="AE447" s="193"/>
      <c r="AF447" s="3"/>
      <c r="AG447" s="3"/>
      <c r="AH447" s="3"/>
      <c r="AI447" s="3"/>
      <c r="AJ447" s="3"/>
      <c r="AK447" s="3"/>
      <c r="AL447" s="3"/>
    </row>
    <row r="448" spans="1:38" ht="14.25" customHeight="1">
      <c r="A448" s="3"/>
      <c r="B448" s="3"/>
      <c r="C448" s="3"/>
      <c r="D448" s="3"/>
      <c r="E448" s="265"/>
      <c r="F448" s="265"/>
      <c r="G448" s="265"/>
      <c r="H448" s="265"/>
      <c r="I448" s="265"/>
      <c r="J448" s="260"/>
      <c r="K448" s="3"/>
      <c r="L448" s="265"/>
      <c r="M448" s="265"/>
      <c r="N448" s="265"/>
      <c r="O448" s="265"/>
      <c r="P448" s="265"/>
      <c r="Q448" s="260"/>
      <c r="R448" s="3"/>
      <c r="S448" s="265"/>
      <c r="T448" s="265"/>
      <c r="U448" s="265"/>
      <c r="V448" s="265"/>
      <c r="W448" s="265"/>
      <c r="X448" s="193"/>
      <c r="Y448" s="193"/>
      <c r="Z448" s="193"/>
      <c r="AA448" s="193"/>
      <c r="AB448" s="193"/>
      <c r="AC448" s="193"/>
      <c r="AD448" s="193"/>
      <c r="AE448" s="193"/>
      <c r="AF448" s="3"/>
      <c r="AG448" s="3"/>
      <c r="AH448" s="3"/>
      <c r="AI448" s="3"/>
      <c r="AJ448" s="3"/>
      <c r="AK448" s="3"/>
      <c r="AL448" s="3"/>
    </row>
    <row r="449" spans="1:38" ht="14.25" customHeight="1">
      <c r="A449" s="3"/>
      <c r="B449" s="3"/>
      <c r="C449" s="3"/>
      <c r="D449" s="3"/>
      <c r="E449" s="265"/>
      <c r="F449" s="265"/>
      <c r="G449" s="265"/>
      <c r="H449" s="265"/>
      <c r="I449" s="265"/>
      <c r="J449" s="260"/>
      <c r="K449" s="3"/>
      <c r="L449" s="265"/>
      <c r="M449" s="265"/>
      <c r="N449" s="265"/>
      <c r="O449" s="265"/>
      <c r="P449" s="265"/>
      <c r="Q449" s="260"/>
      <c r="R449" s="3"/>
      <c r="S449" s="265"/>
      <c r="T449" s="265"/>
      <c r="U449" s="265"/>
      <c r="V449" s="265"/>
      <c r="W449" s="265"/>
      <c r="X449" s="193"/>
      <c r="Y449" s="193"/>
      <c r="Z449" s="193"/>
      <c r="AA449" s="193"/>
      <c r="AB449" s="193"/>
      <c r="AC449" s="193"/>
      <c r="AD449" s="193"/>
      <c r="AE449" s="193"/>
      <c r="AF449" s="3"/>
      <c r="AG449" s="3"/>
      <c r="AH449" s="3"/>
      <c r="AI449" s="3"/>
      <c r="AJ449" s="3"/>
      <c r="AK449" s="3"/>
      <c r="AL449" s="3"/>
    </row>
    <row r="450" spans="1:38" ht="14.25" customHeight="1">
      <c r="A450" s="3"/>
      <c r="B450" s="3"/>
      <c r="C450" s="3"/>
      <c r="D450" s="3"/>
      <c r="E450" s="265"/>
      <c r="F450" s="265"/>
      <c r="G450" s="265"/>
      <c r="H450" s="265"/>
      <c r="I450" s="265"/>
      <c r="J450" s="260"/>
      <c r="K450" s="3"/>
      <c r="L450" s="265"/>
      <c r="M450" s="265"/>
      <c r="N450" s="265"/>
      <c r="O450" s="265"/>
      <c r="P450" s="265"/>
      <c r="Q450" s="260"/>
      <c r="R450" s="3"/>
      <c r="S450" s="265"/>
      <c r="T450" s="265"/>
      <c r="U450" s="265"/>
      <c r="V450" s="265"/>
      <c r="W450" s="265"/>
      <c r="X450" s="193"/>
      <c r="Y450" s="193"/>
      <c r="Z450" s="193"/>
      <c r="AA450" s="193"/>
      <c r="AB450" s="193"/>
      <c r="AC450" s="193"/>
      <c r="AD450" s="193"/>
      <c r="AE450" s="193"/>
      <c r="AF450" s="3"/>
      <c r="AG450" s="3"/>
      <c r="AH450" s="3"/>
      <c r="AI450" s="3"/>
      <c r="AJ450" s="3"/>
      <c r="AK450" s="3"/>
      <c r="AL450" s="3"/>
    </row>
    <row r="451" spans="1:38" ht="14.25" customHeight="1">
      <c r="A451" s="3"/>
      <c r="B451" s="3"/>
      <c r="C451" s="3"/>
      <c r="D451" s="3"/>
      <c r="E451" s="265"/>
      <c r="F451" s="265"/>
      <c r="G451" s="265"/>
      <c r="H451" s="265"/>
      <c r="I451" s="265"/>
      <c r="J451" s="260"/>
      <c r="K451" s="3"/>
      <c r="L451" s="265"/>
      <c r="M451" s="265"/>
      <c r="N451" s="265"/>
      <c r="O451" s="265"/>
      <c r="P451" s="265"/>
      <c r="Q451" s="260"/>
      <c r="R451" s="3"/>
      <c r="S451" s="265"/>
      <c r="T451" s="265"/>
      <c r="U451" s="265"/>
      <c r="V451" s="265"/>
      <c r="W451" s="265"/>
      <c r="X451" s="193"/>
      <c r="Y451" s="193"/>
      <c r="Z451" s="193"/>
      <c r="AA451" s="193"/>
      <c r="AB451" s="193"/>
      <c r="AC451" s="193"/>
      <c r="AD451" s="193"/>
      <c r="AE451" s="193"/>
      <c r="AF451" s="3"/>
      <c r="AG451" s="3"/>
      <c r="AH451" s="3"/>
      <c r="AI451" s="3"/>
      <c r="AJ451" s="3"/>
      <c r="AK451" s="3"/>
      <c r="AL451" s="3"/>
    </row>
    <row r="452" spans="1:38" ht="14.25" customHeight="1">
      <c r="A452" s="3"/>
      <c r="B452" s="3"/>
      <c r="C452" s="3"/>
      <c r="D452" s="3"/>
      <c r="E452" s="265"/>
      <c r="F452" s="265"/>
      <c r="G452" s="265"/>
      <c r="H452" s="265"/>
      <c r="I452" s="265"/>
      <c r="J452" s="260"/>
      <c r="K452" s="3"/>
      <c r="L452" s="265"/>
      <c r="M452" s="265"/>
      <c r="N452" s="265"/>
      <c r="O452" s="265"/>
      <c r="P452" s="265"/>
      <c r="Q452" s="260"/>
      <c r="R452" s="3"/>
      <c r="S452" s="265"/>
      <c r="T452" s="265"/>
      <c r="U452" s="265"/>
      <c r="V452" s="265"/>
      <c r="W452" s="265"/>
      <c r="X452" s="193"/>
      <c r="Y452" s="193"/>
      <c r="Z452" s="193"/>
      <c r="AA452" s="193"/>
      <c r="AB452" s="193"/>
      <c r="AC452" s="193"/>
      <c r="AD452" s="193"/>
      <c r="AE452" s="193"/>
      <c r="AF452" s="3"/>
      <c r="AG452" s="3"/>
      <c r="AH452" s="3"/>
      <c r="AI452" s="3"/>
      <c r="AJ452" s="3"/>
      <c r="AK452" s="3"/>
      <c r="AL452" s="3"/>
    </row>
    <row r="453" spans="1:38" ht="14.25" customHeight="1">
      <c r="A453" s="3"/>
      <c r="B453" s="3"/>
      <c r="C453" s="3"/>
      <c r="D453" s="3"/>
      <c r="E453" s="265"/>
      <c r="F453" s="265"/>
      <c r="G453" s="265"/>
      <c r="H453" s="265"/>
      <c r="I453" s="265"/>
      <c r="J453" s="260"/>
      <c r="K453" s="3"/>
      <c r="L453" s="265"/>
      <c r="M453" s="265"/>
      <c r="N453" s="265"/>
      <c r="O453" s="265"/>
      <c r="P453" s="265"/>
      <c r="Q453" s="260"/>
      <c r="R453" s="3"/>
      <c r="S453" s="265"/>
      <c r="T453" s="265"/>
      <c r="U453" s="265"/>
      <c r="V453" s="265"/>
      <c r="W453" s="265"/>
      <c r="X453" s="193"/>
      <c r="Y453" s="193"/>
      <c r="Z453" s="193"/>
      <c r="AA453" s="193"/>
      <c r="AB453" s="193"/>
      <c r="AC453" s="193"/>
      <c r="AD453" s="193"/>
      <c r="AE453" s="193"/>
      <c r="AF453" s="3"/>
      <c r="AG453" s="3"/>
      <c r="AH453" s="3"/>
      <c r="AI453" s="3"/>
      <c r="AJ453" s="3"/>
      <c r="AK453" s="3"/>
      <c r="AL453" s="3"/>
    </row>
    <row r="454" spans="1:38" ht="14.25" customHeight="1">
      <c r="A454" s="3"/>
      <c r="B454" s="3"/>
      <c r="C454" s="3"/>
      <c r="D454" s="3"/>
      <c r="E454" s="265"/>
      <c r="F454" s="265"/>
      <c r="G454" s="265"/>
      <c r="H454" s="265"/>
      <c r="I454" s="265"/>
      <c r="J454" s="260"/>
      <c r="K454" s="3"/>
      <c r="L454" s="265"/>
      <c r="M454" s="265"/>
      <c r="N454" s="265"/>
      <c r="O454" s="265"/>
      <c r="P454" s="265"/>
      <c r="Q454" s="260"/>
      <c r="R454" s="3"/>
      <c r="S454" s="265"/>
      <c r="T454" s="265"/>
      <c r="U454" s="265"/>
      <c r="V454" s="265"/>
      <c r="W454" s="265"/>
      <c r="X454" s="193"/>
      <c r="Y454" s="193"/>
      <c r="Z454" s="193"/>
      <c r="AA454" s="193"/>
      <c r="AB454" s="193"/>
      <c r="AC454" s="193"/>
      <c r="AD454" s="193"/>
      <c r="AE454" s="193"/>
      <c r="AF454" s="3"/>
      <c r="AG454" s="3"/>
      <c r="AH454" s="3"/>
      <c r="AI454" s="3"/>
      <c r="AJ454" s="3"/>
      <c r="AK454" s="3"/>
      <c r="AL454" s="3"/>
    </row>
    <row r="455" spans="1:38" ht="14.25" customHeight="1">
      <c r="A455" s="3"/>
      <c r="B455" s="3"/>
      <c r="C455" s="3"/>
      <c r="D455" s="3"/>
      <c r="E455" s="265"/>
      <c r="F455" s="265"/>
      <c r="G455" s="265"/>
      <c r="H455" s="265"/>
      <c r="I455" s="265"/>
      <c r="J455" s="260"/>
      <c r="K455" s="3"/>
      <c r="L455" s="265"/>
      <c r="M455" s="265"/>
      <c r="N455" s="265"/>
      <c r="O455" s="265"/>
      <c r="P455" s="265"/>
      <c r="Q455" s="260"/>
      <c r="R455" s="3"/>
      <c r="S455" s="265"/>
      <c r="T455" s="265"/>
      <c r="U455" s="265"/>
      <c r="V455" s="265"/>
      <c r="W455" s="265"/>
      <c r="X455" s="193"/>
      <c r="Y455" s="193"/>
      <c r="Z455" s="193"/>
      <c r="AA455" s="193"/>
      <c r="AB455" s="193"/>
      <c r="AC455" s="193"/>
      <c r="AD455" s="193"/>
      <c r="AE455" s="193"/>
      <c r="AF455" s="3"/>
      <c r="AG455" s="3"/>
      <c r="AH455" s="3"/>
      <c r="AI455" s="3"/>
      <c r="AJ455" s="3"/>
      <c r="AK455" s="3"/>
      <c r="AL455" s="3"/>
    </row>
    <row r="456" spans="1:38" ht="14.25" customHeight="1">
      <c r="A456" s="3"/>
      <c r="B456" s="3"/>
      <c r="C456" s="3"/>
      <c r="D456" s="3"/>
      <c r="E456" s="265"/>
      <c r="F456" s="265"/>
      <c r="G456" s="265"/>
      <c r="H456" s="265"/>
      <c r="I456" s="265"/>
      <c r="J456" s="260"/>
      <c r="K456" s="3"/>
      <c r="L456" s="265"/>
      <c r="M456" s="265"/>
      <c r="N456" s="265"/>
      <c r="O456" s="265"/>
      <c r="P456" s="265"/>
      <c r="Q456" s="260"/>
      <c r="R456" s="3"/>
      <c r="S456" s="265"/>
      <c r="T456" s="265"/>
      <c r="U456" s="265"/>
      <c r="V456" s="265"/>
      <c r="W456" s="265"/>
      <c r="X456" s="193"/>
      <c r="Y456" s="193"/>
      <c r="Z456" s="193"/>
      <c r="AA456" s="193"/>
      <c r="AB456" s="193"/>
      <c r="AC456" s="193"/>
      <c r="AD456" s="193"/>
      <c r="AE456" s="193"/>
      <c r="AF456" s="3"/>
      <c r="AG456" s="3"/>
      <c r="AH456" s="3"/>
      <c r="AI456" s="3"/>
      <c r="AJ456" s="3"/>
      <c r="AK456" s="3"/>
      <c r="AL456" s="3"/>
    </row>
    <row r="457" spans="1:38" ht="14.25" customHeight="1">
      <c r="A457" s="3"/>
      <c r="B457" s="3"/>
      <c r="C457" s="3"/>
      <c r="D457" s="3"/>
      <c r="E457" s="265"/>
      <c r="F457" s="265"/>
      <c r="G457" s="265"/>
      <c r="H457" s="265"/>
      <c r="I457" s="265"/>
      <c r="J457" s="260"/>
      <c r="K457" s="3"/>
      <c r="L457" s="265"/>
      <c r="M457" s="265"/>
      <c r="N457" s="265"/>
      <c r="O457" s="265"/>
      <c r="P457" s="265"/>
      <c r="Q457" s="260"/>
      <c r="R457" s="3"/>
      <c r="S457" s="265"/>
      <c r="T457" s="265"/>
      <c r="U457" s="265"/>
      <c r="V457" s="265"/>
      <c r="W457" s="265"/>
      <c r="X457" s="193"/>
      <c r="Y457" s="193"/>
      <c r="Z457" s="193"/>
      <c r="AA457" s="193"/>
      <c r="AB457" s="193"/>
      <c r="AC457" s="193"/>
      <c r="AD457" s="193"/>
      <c r="AE457" s="193"/>
      <c r="AF457" s="3"/>
      <c r="AG457" s="3"/>
      <c r="AH457" s="3"/>
      <c r="AI457" s="3"/>
      <c r="AJ457" s="3"/>
      <c r="AK457" s="3"/>
      <c r="AL457" s="3"/>
    </row>
    <row r="458" spans="1:38" ht="14.25" customHeight="1">
      <c r="A458" s="3"/>
      <c r="B458" s="3"/>
      <c r="C458" s="3"/>
      <c r="D458" s="3"/>
      <c r="E458" s="265"/>
      <c r="F458" s="265"/>
      <c r="G458" s="265"/>
      <c r="H458" s="265"/>
      <c r="I458" s="265"/>
      <c r="J458" s="260"/>
      <c r="K458" s="3"/>
      <c r="L458" s="265"/>
      <c r="M458" s="265"/>
      <c r="N458" s="265"/>
      <c r="O458" s="265"/>
      <c r="P458" s="265"/>
      <c r="Q458" s="260"/>
      <c r="R458" s="3"/>
      <c r="S458" s="265"/>
      <c r="T458" s="265"/>
      <c r="U458" s="265"/>
      <c r="V458" s="265"/>
      <c r="W458" s="265"/>
      <c r="X458" s="193"/>
      <c r="Y458" s="193"/>
      <c r="Z458" s="193"/>
      <c r="AA458" s="193"/>
      <c r="AB458" s="193"/>
      <c r="AC458" s="193"/>
      <c r="AD458" s="193"/>
      <c r="AE458" s="193"/>
      <c r="AF458" s="3"/>
      <c r="AG458" s="3"/>
      <c r="AH458" s="3"/>
      <c r="AI458" s="3"/>
      <c r="AJ458" s="3"/>
      <c r="AK458" s="3"/>
      <c r="AL458" s="3"/>
    </row>
    <row r="459" spans="1:38" ht="14.25" customHeight="1">
      <c r="A459" s="3"/>
      <c r="B459" s="3"/>
      <c r="C459" s="3"/>
      <c r="D459" s="3"/>
      <c r="E459" s="265"/>
      <c r="F459" s="265"/>
      <c r="G459" s="265"/>
      <c r="H459" s="265"/>
      <c r="I459" s="265"/>
      <c r="J459" s="260"/>
      <c r="K459" s="3"/>
      <c r="L459" s="265"/>
      <c r="M459" s="265"/>
      <c r="N459" s="265"/>
      <c r="O459" s="265"/>
      <c r="P459" s="265"/>
      <c r="Q459" s="260"/>
      <c r="R459" s="3"/>
      <c r="S459" s="265"/>
      <c r="T459" s="265"/>
      <c r="U459" s="265"/>
      <c r="V459" s="265"/>
      <c r="W459" s="265"/>
      <c r="X459" s="193"/>
      <c r="Y459" s="193"/>
      <c r="Z459" s="193"/>
      <c r="AA459" s="193"/>
      <c r="AB459" s="193"/>
      <c r="AC459" s="193"/>
      <c r="AD459" s="193"/>
      <c r="AE459" s="193"/>
      <c r="AF459" s="3"/>
      <c r="AG459" s="3"/>
      <c r="AH459" s="3"/>
      <c r="AI459" s="3"/>
      <c r="AJ459" s="3"/>
      <c r="AK459" s="3"/>
      <c r="AL459" s="3"/>
    </row>
    <row r="460" spans="1:38" ht="14.25" customHeight="1">
      <c r="A460" s="3"/>
      <c r="B460" s="3"/>
      <c r="C460" s="3"/>
      <c r="D460" s="3"/>
      <c r="E460" s="265"/>
      <c r="F460" s="265"/>
      <c r="G460" s="265"/>
      <c r="H460" s="265"/>
      <c r="I460" s="265"/>
      <c r="J460" s="260"/>
      <c r="K460" s="3"/>
      <c r="L460" s="265"/>
      <c r="M460" s="265"/>
      <c r="N460" s="265"/>
      <c r="O460" s="265"/>
      <c r="P460" s="265"/>
      <c r="Q460" s="260"/>
      <c r="R460" s="3"/>
      <c r="S460" s="265"/>
      <c r="T460" s="265"/>
      <c r="U460" s="265"/>
      <c r="V460" s="265"/>
      <c r="W460" s="265"/>
      <c r="X460" s="193"/>
      <c r="Y460" s="193"/>
      <c r="Z460" s="193"/>
      <c r="AA460" s="193"/>
      <c r="AB460" s="193"/>
      <c r="AC460" s="193"/>
      <c r="AD460" s="193"/>
      <c r="AE460" s="193"/>
      <c r="AF460" s="3"/>
      <c r="AG460" s="3"/>
      <c r="AH460" s="3"/>
      <c r="AI460" s="3"/>
      <c r="AJ460" s="3"/>
      <c r="AK460" s="3"/>
      <c r="AL460" s="3"/>
    </row>
    <row r="461" spans="1:38" ht="14.25" customHeight="1">
      <c r="A461" s="3"/>
      <c r="B461" s="3"/>
      <c r="C461" s="3"/>
      <c r="D461" s="3"/>
      <c r="E461" s="265"/>
      <c r="F461" s="265"/>
      <c r="G461" s="265"/>
      <c r="H461" s="265"/>
      <c r="I461" s="265"/>
      <c r="J461" s="260"/>
      <c r="K461" s="3"/>
      <c r="L461" s="265"/>
      <c r="M461" s="265"/>
      <c r="N461" s="265"/>
      <c r="O461" s="265"/>
      <c r="P461" s="265"/>
      <c r="Q461" s="260"/>
      <c r="R461" s="3"/>
      <c r="S461" s="265"/>
      <c r="T461" s="265"/>
      <c r="U461" s="265"/>
      <c r="V461" s="265"/>
      <c r="W461" s="265"/>
      <c r="X461" s="193"/>
      <c r="Y461" s="193"/>
      <c r="Z461" s="193"/>
      <c r="AA461" s="193"/>
      <c r="AB461" s="193"/>
      <c r="AC461" s="193"/>
      <c r="AD461" s="193"/>
      <c r="AE461" s="193"/>
      <c r="AF461" s="3"/>
      <c r="AG461" s="3"/>
      <c r="AH461" s="3"/>
      <c r="AI461" s="3"/>
      <c r="AJ461" s="3"/>
      <c r="AK461" s="3"/>
      <c r="AL461" s="3"/>
    </row>
    <row r="462" spans="1:38" ht="14.25" customHeight="1">
      <c r="A462" s="3"/>
      <c r="B462" s="3"/>
      <c r="C462" s="3"/>
      <c r="D462" s="3"/>
      <c r="E462" s="265"/>
      <c r="F462" s="265"/>
      <c r="G462" s="265"/>
      <c r="H462" s="265"/>
      <c r="I462" s="265"/>
      <c r="J462" s="260"/>
      <c r="K462" s="3"/>
      <c r="L462" s="265"/>
      <c r="M462" s="265"/>
      <c r="N462" s="265"/>
      <c r="O462" s="265"/>
      <c r="P462" s="265"/>
      <c r="Q462" s="260"/>
      <c r="R462" s="3"/>
      <c r="S462" s="265"/>
      <c r="T462" s="265"/>
      <c r="U462" s="265"/>
      <c r="V462" s="265"/>
      <c r="W462" s="265"/>
      <c r="X462" s="193"/>
      <c r="Y462" s="193"/>
      <c r="Z462" s="193"/>
      <c r="AA462" s="193"/>
      <c r="AB462" s="193"/>
      <c r="AC462" s="193"/>
      <c r="AD462" s="193"/>
      <c r="AE462" s="193"/>
      <c r="AF462" s="3"/>
      <c r="AG462" s="3"/>
      <c r="AH462" s="3"/>
      <c r="AI462" s="3"/>
      <c r="AJ462" s="3"/>
      <c r="AK462" s="3"/>
      <c r="AL462" s="3"/>
    </row>
    <row r="463" spans="1:38" ht="14.25" customHeight="1">
      <c r="A463" s="3"/>
      <c r="B463" s="3"/>
      <c r="C463" s="3"/>
      <c r="D463" s="3"/>
      <c r="E463" s="265"/>
      <c r="F463" s="265"/>
      <c r="G463" s="265"/>
      <c r="H463" s="265"/>
      <c r="I463" s="265"/>
      <c r="J463" s="260"/>
      <c r="K463" s="3"/>
      <c r="L463" s="265"/>
      <c r="M463" s="265"/>
      <c r="N463" s="265"/>
      <c r="O463" s="265"/>
      <c r="P463" s="265"/>
      <c r="Q463" s="260"/>
      <c r="R463" s="3"/>
      <c r="S463" s="265"/>
      <c r="T463" s="265"/>
      <c r="U463" s="265"/>
      <c r="V463" s="265"/>
      <c r="W463" s="265"/>
      <c r="X463" s="193"/>
      <c r="Y463" s="193"/>
      <c r="Z463" s="193"/>
      <c r="AA463" s="193"/>
      <c r="AB463" s="193"/>
      <c r="AC463" s="193"/>
      <c r="AD463" s="193"/>
      <c r="AE463" s="193"/>
      <c r="AF463" s="3"/>
      <c r="AG463" s="3"/>
      <c r="AH463" s="3"/>
      <c r="AI463" s="3"/>
      <c r="AJ463" s="3"/>
      <c r="AK463" s="3"/>
      <c r="AL463" s="3"/>
    </row>
    <row r="464" spans="1:38" ht="14.25" customHeight="1">
      <c r="A464" s="3"/>
      <c r="B464" s="3"/>
      <c r="C464" s="3"/>
      <c r="D464" s="3"/>
      <c r="E464" s="265"/>
      <c r="F464" s="265"/>
      <c r="G464" s="265"/>
      <c r="H464" s="265"/>
      <c r="I464" s="265"/>
      <c r="J464" s="260"/>
      <c r="K464" s="3"/>
      <c r="L464" s="265"/>
      <c r="M464" s="265"/>
      <c r="N464" s="265"/>
      <c r="O464" s="265"/>
      <c r="P464" s="265"/>
      <c r="Q464" s="260"/>
      <c r="R464" s="3"/>
      <c r="S464" s="265"/>
      <c r="T464" s="265"/>
      <c r="U464" s="265"/>
      <c r="V464" s="265"/>
      <c r="W464" s="265"/>
      <c r="X464" s="193"/>
      <c r="Y464" s="193"/>
      <c r="Z464" s="193"/>
      <c r="AA464" s="193"/>
      <c r="AB464" s="193"/>
      <c r="AC464" s="193"/>
      <c r="AD464" s="193"/>
      <c r="AE464" s="193"/>
      <c r="AF464" s="3"/>
      <c r="AG464" s="3"/>
      <c r="AH464" s="3"/>
      <c r="AI464" s="3"/>
      <c r="AJ464" s="3"/>
      <c r="AK464" s="3"/>
      <c r="AL464" s="3"/>
    </row>
    <row r="465" spans="1:38" ht="14.25" customHeight="1">
      <c r="A465" s="3"/>
      <c r="B465" s="3"/>
      <c r="C465" s="3"/>
      <c r="D465" s="3"/>
      <c r="E465" s="265"/>
      <c r="F465" s="265"/>
      <c r="G465" s="265"/>
      <c r="H465" s="265"/>
      <c r="I465" s="265"/>
      <c r="J465" s="260"/>
      <c r="K465" s="3"/>
      <c r="L465" s="265"/>
      <c r="M465" s="265"/>
      <c r="N465" s="265"/>
      <c r="O465" s="265"/>
      <c r="P465" s="265"/>
      <c r="Q465" s="260"/>
      <c r="R465" s="3"/>
      <c r="S465" s="265"/>
      <c r="T465" s="265"/>
      <c r="U465" s="265"/>
      <c r="V465" s="265"/>
      <c r="W465" s="265"/>
      <c r="X465" s="193"/>
      <c r="Y465" s="193"/>
      <c r="Z465" s="193"/>
      <c r="AA465" s="193"/>
      <c r="AB465" s="193"/>
      <c r="AC465" s="193"/>
      <c r="AD465" s="193"/>
      <c r="AE465" s="193"/>
      <c r="AF465" s="3"/>
      <c r="AG465" s="3"/>
      <c r="AH465" s="3"/>
      <c r="AI465" s="3"/>
      <c r="AJ465" s="3"/>
      <c r="AK465" s="3"/>
      <c r="AL465" s="3"/>
    </row>
    <row r="466" spans="1:38" ht="14.25" customHeight="1">
      <c r="A466" s="3"/>
      <c r="B466" s="3"/>
      <c r="C466" s="3"/>
      <c r="D466" s="3"/>
      <c r="E466" s="265"/>
      <c r="F466" s="265"/>
      <c r="G466" s="265"/>
      <c r="H466" s="265"/>
      <c r="I466" s="265"/>
      <c r="J466" s="260"/>
      <c r="K466" s="3"/>
      <c r="L466" s="265"/>
      <c r="M466" s="265"/>
      <c r="N466" s="265"/>
      <c r="O466" s="265"/>
      <c r="P466" s="265"/>
      <c r="Q466" s="260"/>
      <c r="R466" s="3"/>
      <c r="S466" s="265"/>
      <c r="T466" s="265"/>
      <c r="U466" s="265"/>
      <c r="V466" s="265"/>
      <c r="W466" s="265"/>
      <c r="X466" s="193"/>
      <c r="Y466" s="193"/>
      <c r="Z466" s="193"/>
      <c r="AA466" s="193"/>
      <c r="AB466" s="193"/>
      <c r="AC466" s="193"/>
      <c r="AD466" s="193"/>
      <c r="AE466" s="193"/>
      <c r="AF466" s="3"/>
      <c r="AG466" s="3"/>
      <c r="AH466" s="3"/>
      <c r="AI466" s="3"/>
      <c r="AJ466" s="3"/>
      <c r="AK466" s="3"/>
      <c r="AL466" s="3"/>
    </row>
    <row r="467" spans="1:38" ht="14.25" customHeight="1">
      <c r="A467" s="3"/>
      <c r="B467" s="3"/>
      <c r="C467" s="3"/>
      <c r="D467" s="3"/>
      <c r="E467" s="265"/>
      <c r="F467" s="265"/>
      <c r="G467" s="265"/>
      <c r="H467" s="265"/>
      <c r="I467" s="265"/>
      <c r="J467" s="260"/>
      <c r="K467" s="3"/>
      <c r="L467" s="265"/>
      <c r="M467" s="265"/>
      <c r="N467" s="265"/>
      <c r="O467" s="265"/>
      <c r="P467" s="265"/>
      <c r="Q467" s="260"/>
      <c r="R467" s="3"/>
      <c r="S467" s="265"/>
      <c r="T467" s="265"/>
      <c r="U467" s="265"/>
      <c r="V467" s="265"/>
      <c r="W467" s="265"/>
      <c r="X467" s="193"/>
      <c r="Y467" s="193"/>
      <c r="Z467" s="193"/>
      <c r="AA467" s="193"/>
      <c r="AB467" s="193"/>
      <c r="AC467" s="193"/>
      <c r="AD467" s="193"/>
      <c r="AE467" s="193"/>
      <c r="AF467" s="3"/>
      <c r="AG467" s="3"/>
      <c r="AH467" s="3"/>
      <c r="AI467" s="3"/>
      <c r="AJ467" s="3"/>
      <c r="AK467" s="3"/>
      <c r="AL467" s="3"/>
    </row>
    <row r="468" spans="1:38" ht="14.25" customHeight="1">
      <c r="A468" s="3"/>
      <c r="B468" s="3"/>
      <c r="C468" s="3"/>
      <c r="D468" s="3"/>
      <c r="E468" s="265"/>
      <c r="F468" s="265"/>
      <c r="G468" s="265"/>
      <c r="H468" s="265"/>
      <c r="I468" s="265"/>
      <c r="J468" s="260"/>
      <c r="K468" s="3"/>
      <c r="L468" s="265"/>
      <c r="M468" s="265"/>
      <c r="N468" s="265"/>
      <c r="O468" s="265"/>
      <c r="P468" s="265"/>
      <c r="Q468" s="260"/>
      <c r="R468" s="3"/>
      <c r="S468" s="265"/>
      <c r="T468" s="265"/>
      <c r="U468" s="265"/>
      <c r="V468" s="265"/>
      <c r="W468" s="265"/>
      <c r="X468" s="193"/>
      <c r="Y468" s="193"/>
      <c r="Z468" s="193"/>
      <c r="AA468" s="193"/>
      <c r="AB468" s="193"/>
      <c r="AC468" s="193"/>
      <c r="AD468" s="193"/>
      <c r="AE468" s="193"/>
      <c r="AF468" s="3"/>
      <c r="AG468" s="3"/>
      <c r="AH468" s="3"/>
      <c r="AI468" s="3"/>
      <c r="AJ468" s="3"/>
      <c r="AK468" s="3"/>
      <c r="AL468" s="3"/>
    </row>
    <row r="469" spans="1:38" ht="14.25" customHeight="1">
      <c r="A469" s="3"/>
      <c r="B469" s="3"/>
      <c r="C469" s="3"/>
      <c r="D469" s="3"/>
      <c r="E469" s="265"/>
      <c r="F469" s="265"/>
      <c r="G469" s="265"/>
      <c r="H469" s="265"/>
      <c r="I469" s="265"/>
      <c r="J469" s="260"/>
      <c r="K469" s="3"/>
      <c r="L469" s="265"/>
      <c r="M469" s="265"/>
      <c r="N469" s="265"/>
      <c r="O469" s="265"/>
      <c r="P469" s="265"/>
      <c r="Q469" s="260"/>
      <c r="R469" s="3"/>
      <c r="S469" s="265"/>
      <c r="T469" s="265"/>
      <c r="U469" s="265"/>
      <c r="V469" s="265"/>
      <c r="W469" s="265"/>
      <c r="X469" s="193"/>
      <c r="Y469" s="193"/>
      <c r="Z469" s="193"/>
      <c r="AA469" s="193"/>
      <c r="AB469" s="193"/>
      <c r="AC469" s="193"/>
      <c r="AD469" s="193"/>
      <c r="AE469" s="193"/>
      <c r="AF469" s="3"/>
      <c r="AG469" s="3"/>
      <c r="AH469" s="3"/>
      <c r="AI469" s="3"/>
      <c r="AJ469" s="3"/>
      <c r="AK469" s="3"/>
      <c r="AL469" s="3"/>
    </row>
    <row r="470" spans="1:38" ht="14.25" customHeight="1">
      <c r="A470" s="3"/>
      <c r="B470" s="3"/>
      <c r="C470" s="3"/>
      <c r="D470" s="3"/>
      <c r="E470" s="265"/>
      <c r="F470" s="265"/>
      <c r="G470" s="265"/>
      <c r="H470" s="265"/>
      <c r="I470" s="265"/>
      <c r="J470" s="260"/>
      <c r="K470" s="3"/>
      <c r="L470" s="265"/>
      <c r="M470" s="265"/>
      <c r="N470" s="265"/>
      <c r="O470" s="265"/>
      <c r="P470" s="265"/>
      <c r="Q470" s="260"/>
      <c r="R470" s="3"/>
      <c r="S470" s="265"/>
      <c r="T470" s="265"/>
      <c r="U470" s="265"/>
      <c r="V470" s="265"/>
      <c r="W470" s="265"/>
      <c r="X470" s="193"/>
      <c r="Y470" s="193"/>
      <c r="Z470" s="193"/>
      <c r="AA470" s="193"/>
      <c r="AB470" s="193"/>
      <c r="AC470" s="193"/>
      <c r="AD470" s="193"/>
      <c r="AE470" s="193"/>
      <c r="AF470" s="3"/>
      <c r="AG470" s="3"/>
      <c r="AH470" s="3"/>
      <c r="AI470" s="3"/>
      <c r="AJ470" s="3"/>
      <c r="AK470" s="3"/>
      <c r="AL470" s="3"/>
    </row>
    <row r="471" spans="1:38" ht="14.25" customHeight="1">
      <c r="A471" s="3"/>
      <c r="B471" s="3"/>
      <c r="C471" s="3"/>
      <c r="D471" s="3"/>
      <c r="E471" s="265"/>
      <c r="F471" s="265"/>
      <c r="G471" s="265"/>
      <c r="H471" s="265"/>
      <c r="I471" s="265"/>
      <c r="J471" s="260"/>
      <c r="K471" s="3"/>
      <c r="L471" s="265"/>
      <c r="M471" s="265"/>
      <c r="N471" s="265"/>
      <c r="O471" s="265"/>
      <c r="P471" s="265"/>
      <c r="Q471" s="260"/>
      <c r="R471" s="3"/>
      <c r="S471" s="265"/>
      <c r="T471" s="265"/>
      <c r="U471" s="265"/>
      <c r="V471" s="265"/>
      <c r="W471" s="265"/>
      <c r="X471" s="193"/>
      <c r="Y471" s="193"/>
      <c r="Z471" s="193"/>
      <c r="AA471" s="193"/>
      <c r="AB471" s="193"/>
      <c r="AC471" s="193"/>
      <c r="AD471" s="193"/>
      <c r="AE471" s="193"/>
      <c r="AF471" s="3"/>
      <c r="AG471" s="3"/>
      <c r="AH471" s="3"/>
      <c r="AI471" s="3"/>
      <c r="AJ471" s="3"/>
      <c r="AK471" s="3"/>
      <c r="AL471" s="3"/>
    </row>
    <row r="472" spans="1:38" ht="14.25" customHeight="1">
      <c r="A472" s="3"/>
      <c r="B472" s="3"/>
      <c r="C472" s="3"/>
      <c r="D472" s="3"/>
      <c r="E472" s="265"/>
      <c r="F472" s="265"/>
      <c r="G472" s="265"/>
      <c r="H472" s="265"/>
      <c r="I472" s="265"/>
      <c r="J472" s="260"/>
      <c r="K472" s="3"/>
      <c r="L472" s="265"/>
      <c r="M472" s="265"/>
      <c r="N472" s="265"/>
      <c r="O472" s="265"/>
      <c r="P472" s="265"/>
      <c r="Q472" s="260"/>
      <c r="R472" s="3"/>
      <c r="S472" s="265"/>
      <c r="T472" s="265"/>
      <c r="U472" s="265"/>
      <c r="V472" s="265"/>
      <c r="W472" s="265"/>
      <c r="X472" s="193"/>
      <c r="Y472" s="193"/>
      <c r="Z472" s="193"/>
      <c r="AA472" s="193"/>
      <c r="AB472" s="193"/>
      <c r="AC472" s="193"/>
      <c r="AD472" s="193"/>
      <c r="AE472" s="193"/>
      <c r="AF472" s="3"/>
      <c r="AG472" s="3"/>
      <c r="AH472" s="3"/>
      <c r="AI472" s="3"/>
      <c r="AJ472" s="3"/>
      <c r="AK472" s="3"/>
      <c r="AL472" s="3"/>
    </row>
    <row r="473" spans="1:38" ht="14.25" customHeight="1">
      <c r="A473" s="3"/>
      <c r="B473" s="3"/>
      <c r="C473" s="3"/>
      <c r="D473" s="3"/>
      <c r="E473" s="265"/>
      <c r="F473" s="265"/>
      <c r="G473" s="265"/>
      <c r="H473" s="265"/>
      <c r="I473" s="265"/>
      <c r="J473" s="260"/>
      <c r="K473" s="3"/>
      <c r="L473" s="265"/>
      <c r="M473" s="265"/>
      <c r="N473" s="265"/>
      <c r="O473" s="265"/>
      <c r="P473" s="265"/>
      <c r="Q473" s="260"/>
      <c r="R473" s="3"/>
      <c r="S473" s="265"/>
      <c r="T473" s="265"/>
      <c r="U473" s="265"/>
      <c r="V473" s="265"/>
      <c r="W473" s="265"/>
      <c r="X473" s="193"/>
      <c r="Y473" s="193"/>
      <c r="Z473" s="193"/>
      <c r="AA473" s="193"/>
      <c r="AB473" s="193"/>
      <c r="AC473" s="193"/>
      <c r="AD473" s="193"/>
      <c r="AE473" s="193"/>
      <c r="AF473" s="3"/>
      <c r="AG473" s="3"/>
      <c r="AH473" s="3"/>
      <c r="AI473" s="3"/>
      <c r="AJ473" s="3"/>
      <c r="AK473" s="3"/>
      <c r="AL473" s="3"/>
    </row>
    <row r="474" spans="1:38" ht="14.25" customHeight="1">
      <c r="A474" s="3"/>
      <c r="B474" s="3"/>
      <c r="C474" s="3"/>
      <c r="D474" s="3"/>
      <c r="E474" s="265"/>
      <c r="F474" s="265"/>
      <c r="G474" s="265"/>
      <c r="H474" s="265"/>
      <c r="I474" s="265"/>
      <c r="J474" s="260"/>
      <c r="K474" s="3"/>
      <c r="L474" s="265"/>
      <c r="M474" s="265"/>
      <c r="N474" s="265"/>
      <c r="O474" s="265"/>
      <c r="P474" s="265"/>
      <c r="Q474" s="260"/>
      <c r="R474" s="3"/>
      <c r="S474" s="265"/>
      <c r="T474" s="265"/>
      <c r="U474" s="265"/>
      <c r="V474" s="265"/>
      <c r="W474" s="265"/>
      <c r="X474" s="193"/>
      <c r="Y474" s="193"/>
      <c r="Z474" s="193"/>
      <c r="AA474" s="193"/>
      <c r="AB474" s="193"/>
      <c r="AC474" s="193"/>
      <c r="AD474" s="193"/>
      <c r="AE474" s="193"/>
      <c r="AF474" s="3"/>
      <c r="AG474" s="3"/>
      <c r="AH474" s="3"/>
      <c r="AI474" s="3"/>
      <c r="AJ474" s="3"/>
      <c r="AK474" s="3"/>
      <c r="AL474" s="3"/>
    </row>
    <row r="475" spans="1:38" ht="14.25" customHeight="1">
      <c r="A475" s="3"/>
      <c r="B475" s="3"/>
      <c r="C475" s="3"/>
      <c r="D475" s="3"/>
      <c r="E475" s="265"/>
      <c r="F475" s="265"/>
      <c r="G475" s="265"/>
      <c r="H475" s="265"/>
      <c r="I475" s="265"/>
      <c r="J475" s="260"/>
      <c r="K475" s="3"/>
      <c r="L475" s="265"/>
      <c r="M475" s="265"/>
      <c r="N475" s="265"/>
      <c r="O475" s="265"/>
      <c r="P475" s="265"/>
      <c r="Q475" s="260"/>
      <c r="R475" s="3"/>
      <c r="S475" s="265"/>
      <c r="T475" s="265"/>
      <c r="U475" s="265"/>
      <c r="V475" s="265"/>
      <c r="W475" s="265"/>
      <c r="X475" s="193"/>
      <c r="Y475" s="193"/>
      <c r="Z475" s="193"/>
      <c r="AA475" s="193"/>
      <c r="AB475" s="193"/>
      <c r="AC475" s="193"/>
      <c r="AD475" s="193"/>
      <c r="AE475" s="193"/>
      <c r="AF475" s="3"/>
      <c r="AG475" s="3"/>
      <c r="AH475" s="3"/>
      <c r="AI475" s="3"/>
      <c r="AJ475" s="3"/>
      <c r="AK475" s="3"/>
      <c r="AL475" s="3"/>
    </row>
    <row r="476" spans="1:38" ht="14.25" customHeight="1">
      <c r="A476" s="3"/>
      <c r="B476" s="3"/>
      <c r="C476" s="3"/>
      <c r="D476" s="3"/>
      <c r="E476" s="265"/>
      <c r="F476" s="265"/>
      <c r="G476" s="265"/>
      <c r="H476" s="265"/>
      <c r="I476" s="265"/>
      <c r="J476" s="260"/>
      <c r="K476" s="3"/>
      <c r="L476" s="265"/>
      <c r="M476" s="265"/>
      <c r="N476" s="265"/>
      <c r="O476" s="265"/>
      <c r="P476" s="265"/>
      <c r="Q476" s="260"/>
      <c r="R476" s="3"/>
      <c r="S476" s="265"/>
      <c r="T476" s="265"/>
      <c r="U476" s="265"/>
      <c r="V476" s="265"/>
      <c r="W476" s="265"/>
      <c r="X476" s="193"/>
      <c r="Y476" s="193"/>
      <c r="Z476" s="193"/>
      <c r="AA476" s="193"/>
      <c r="AB476" s="193"/>
      <c r="AC476" s="193"/>
      <c r="AD476" s="193"/>
      <c r="AE476" s="193"/>
      <c r="AF476" s="3"/>
      <c r="AG476" s="3"/>
      <c r="AH476" s="3"/>
      <c r="AI476" s="3"/>
      <c r="AJ476" s="3"/>
      <c r="AK476" s="3"/>
      <c r="AL476" s="3"/>
    </row>
    <row r="477" spans="1:38" ht="14.25" customHeight="1">
      <c r="A477" s="3"/>
      <c r="B477" s="3"/>
      <c r="C477" s="3"/>
      <c r="D477" s="3"/>
      <c r="E477" s="265"/>
      <c r="F477" s="265"/>
      <c r="G477" s="265"/>
      <c r="H477" s="265"/>
      <c r="I477" s="265"/>
      <c r="J477" s="260"/>
      <c r="K477" s="3"/>
      <c r="L477" s="265"/>
      <c r="M477" s="265"/>
      <c r="N477" s="265"/>
      <c r="O477" s="265"/>
      <c r="P477" s="265"/>
      <c r="Q477" s="260"/>
      <c r="R477" s="3"/>
      <c r="S477" s="265"/>
      <c r="T477" s="265"/>
      <c r="U477" s="265"/>
      <c r="V477" s="265"/>
      <c r="W477" s="265"/>
      <c r="X477" s="193"/>
      <c r="Y477" s="193"/>
      <c r="Z477" s="193"/>
      <c r="AA477" s="193"/>
      <c r="AB477" s="193"/>
      <c r="AC477" s="193"/>
      <c r="AD477" s="193"/>
      <c r="AE477" s="193"/>
      <c r="AF477" s="3"/>
      <c r="AG477" s="3"/>
      <c r="AH477" s="3"/>
      <c r="AI477" s="3"/>
      <c r="AJ477" s="3"/>
      <c r="AK477" s="3"/>
      <c r="AL477" s="3"/>
    </row>
    <row r="478" spans="1:38" ht="14.25" customHeight="1">
      <c r="A478" s="3"/>
      <c r="B478" s="3"/>
      <c r="C478" s="3"/>
      <c r="D478" s="3"/>
      <c r="E478" s="265"/>
      <c r="F478" s="265"/>
      <c r="G478" s="265"/>
      <c r="H478" s="265"/>
      <c r="I478" s="265"/>
      <c r="J478" s="260"/>
      <c r="K478" s="3"/>
      <c r="L478" s="265"/>
      <c r="M478" s="265"/>
      <c r="N478" s="265"/>
      <c r="O478" s="265"/>
      <c r="P478" s="265"/>
      <c r="Q478" s="260"/>
      <c r="R478" s="3"/>
      <c r="S478" s="265"/>
      <c r="T478" s="265"/>
      <c r="U478" s="265"/>
      <c r="V478" s="265"/>
      <c r="W478" s="265"/>
      <c r="X478" s="193"/>
      <c r="Y478" s="193"/>
      <c r="Z478" s="193"/>
      <c r="AA478" s="193"/>
      <c r="AB478" s="193"/>
      <c r="AC478" s="193"/>
      <c r="AD478" s="193"/>
      <c r="AE478" s="193"/>
      <c r="AF478" s="3"/>
      <c r="AG478" s="3"/>
      <c r="AH478" s="3"/>
      <c r="AI478" s="3"/>
      <c r="AJ478" s="3"/>
      <c r="AK478" s="3"/>
      <c r="AL478" s="3"/>
    </row>
    <row r="479" spans="1:38" ht="14.25" customHeight="1">
      <c r="A479" s="3"/>
      <c r="B479" s="3"/>
      <c r="C479" s="3"/>
      <c r="D479" s="3"/>
      <c r="E479" s="265"/>
      <c r="F479" s="265"/>
      <c r="G479" s="265"/>
      <c r="H479" s="265"/>
      <c r="I479" s="265"/>
      <c r="J479" s="260"/>
      <c r="K479" s="3"/>
      <c r="L479" s="265"/>
      <c r="M479" s="265"/>
      <c r="N479" s="265"/>
      <c r="O479" s="265"/>
      <c r="P479" s="265"/>
      <c r="Q479" s="260"/>
      <c r="R479" s="3"/>
      <c r="S479" s="265"/>
      <c r="T479" s="265"/>
      <c r="U479" s="265"/>
      <c r="V479" s="265"/>
      <c r="W479" s="265"/>
      <c r="X479" s="193"/>
      <c r="Y479" s="193"/>
      <c r="Z479" s="193"/>
      <c r="AA479" s="193"/>
      <c r="AB479" s="193"/>
      <c r="AC479" s="193"/>
      <c r="AD479" s="193"/>
      <c r="AE479" s="193"/>
      <c r="AF479" s="3"/>
      <c r="AG479" s="3"/>
      <c r="AH479" s="3"/>
      <c r="AI479" s="3"/>
      <c r="AJ479" s="3"/>
      <c r="AK479" s="3"/>
      <c r="AL479" s="3"/>
    </row>
    <row r="480" spans="1:38" ht="14.25" customHeight="1">
      <c r="A480" s="3"/>
      <c r="B480" s="3"/>
      <c r="C480" s="3"/>
      <c r="D480" s="3"/>
      <c r="E480" s="265"/>
      <c r="F480" s="265"/>
      <c r="G480" s="265"/>
      <c r="H480" s="265"/>
      <c r="I480" s="265"/>
      <c r="J480" s="260"/>
      <c r="K480" s="3"/>
      <c r="L480" s="265"/>
      <c r="M480" s="265"/>
      <c r="N480" s="265"/>
      <c r="O480" s="265"/>
      <c r="P480" s="265"/>
      <c r="Q480" s="260"/>
      <c r="R480" s="3"/>
      <c r="S480" s="265"/>
      <c r="T480" s="265"/>
      <c r="U480" s="265"/>
      <c r="V480" s="265"/>
      <c r="W480" s="265"/>
      <c r="X480" s="193"/>
      <c r="Y480" s="193"/>
      <c r="Z480" s="193"/>
      <c r="AA480" s="193"/>
      <c r="AB480" s="193"/>
      <c r="AC480" s="193"/>
      <c r="AD480" s="193"/>
      <c r="AE480" s="193"/>
      <c r="AF480" s="3"/>
      <c r="AG480" s="3"/>
      <c r="AH480" s="3"/>
      <c r="AI480" s="3"/>
      <c r="AJ480" s="3"/>
      <c r="AK480" s="3"/>
      <c r="AL480" s="3"/>
    </row>
    <row r="481" spans="1:38" ht="14.25" customHeight="1">
      <c r="A481" s="3"/>
      <c r="B481" s="3"/>
      <c r="C481" s="3"/>
      <c r="D481" s="3"/>
      <c r="E481" s="265"/>
      <c r="F481" s="265"/>
      <c r="G481" s="265"/>
      <c r="H481" s="265"/>
      <c r="I481" s="265"/>
      <c r="J481" s="260"/>
      <c r="K481" s="3"/>
      <c r="L481" s="265"/>
      <c r="M481" s="265"/>
      <c r="N481" s="265"/>
      <c r="O481" s="265"/>
      <c r="P481" s="265"/>
      <c r="Q481" s="260"/>
      <c r="R481" s="3"/>
      <c r="S481" s="265"/>
      <c r="T481" s="265"/>
      <c r="U481" s="265"/>
      <c r="V481" s="265"/>
      <c r="W481" s="265"/>
      <c r="X481" s="193"/>
      <c r="Y481" s="193"/>
      <c r="Z481" s="193"/>
      <c r="AA481" s="193"/>
      <c r="AB481" s="193"/>
      <c r="AC481" s="193"/>
      <c r="AD481" s="193"/>
      <c r="AE481" s="193"/>
      <c r="AF481" s="3"/>
      <c r="AG481" s="3"/>
      <c r="AH481" s="3"/>
      <c r="AI481" s="3"/>
      <c r="AJ481" s="3"/>
      <c r="AK481" s="3"/>
      <c r="AL481" s="3"/>
    </row>
    <row r="482" spans="1:38" ht="14.25" customHeight="1">
      <c r="A482" s="3"/>
      <c r="B482" s="3"/>
      <c r="C482" s="3"/>
      <c r="D482" s="3"/>
      <c r="E482" s="265"/>
      <c r="F482" s="265"/>
      <c r="G482" s="265"/>
      <c r="H482" s="265"/>
      <c r="I482" s="265"/>
      <c r="J482" s="260"/>
      <c r="K482" s="3"/>
      <c r="L482" s="265"/>
      <c r="M482" s="265"/>
      <c r="N482" s="265"/>
      <c r="O482" s="265"/>
      <c r="P482" s="265"/>
      <c r="Q482" s="260"/>
      <c r="R482" s="3"/>
      <c r="S482" s="265"/>
      <c r="T482" s="265"/>
      <c r="U482" s="265"/>
      <c r="V482" s="265"/>
      <c r="W482" s="265"/>
      <c r="X482" s="193"/>
      <c r="Y482" s="193"/>
      <c r="Z482" s="193"/>
      <c r="AA482" s="193"/>
      <c r="AB482" s="193"/>
      <c r="AC482" s="193"/>
      <c r="AD482" s="193"/>
      <c r="AE482" s="193"/>
      <c r="AF482" s="3"/>
      <c r="AG482" s="3"/>
      <c r="AH482" s="3"/>
      <c r="AI482" s="3"/>
      <c r="AJ482" s="3"/>
      <c r="AK482" s="3"/>
      <c r="AL482" s="3"/>
    </row>
    <row r="483" spans="1:38" ht="14.25" customHeight="1">
      <c r="A483" s="3"/>
      <c r="B483" s="3"/>
      <c r="C483" s="3"/>
      <c r="D483" s="3"/>
      <c r="E483" s="265"/>
      <c r="F483" s="265"/>
      <c r="G483" s="265"/>
      <c r="H483" s="265"/>
      <c r="I483" s="265"/>
      <c r="J483" s="260"/>
      <c r="K483" s="3"/>
      <c r="L483" s="265"/>
      <c r="M483" s="265"/>
      <c r="N483" s="265"/>
      <c r="O483" s="265"/>
      <c r="P483" s="265"/>
      <c r="Q483" s="260"/>
      <c r="R483" s="3"/>
      <c r="S483" s="265"/>
      <c r="T483" s="265"/>
      <c r="U483" s="265"/>
      <c r="V483" s="265"/>
      <c r="W483" s="265"/>
      <c r="X483" s="193"/>
      <c r="Y483" s="193"/>
      <c r="Z483" s="193"/>
      <c r="AA483" s="193"/>
      <c r="AB483" s="193"/>
      <c r="AC483" s="193"/>
      <c r="AD483" s="193"/>
      <c r="AE483" s="193"/>
      <c r="AF483" s="3"/>
      <c r="AG483" s="3"/>
      <c r="AH483" s="3"/>
      <c r="AI483" s="3"/>
      <c r="AJ483" s="3"/>
      <c r="AK483" s="3"/>
      <c r="AL483" s="3"/>
    </row>
    <row r="484" spans="1:38" ht="14.25" customHeight="1">
      <c r="A484" s="3"/>
      <c r="B484" s="3"/>
      <c r="C484" s="3"/>
      <c r="D484" s="3"/>
      <c r="E484" s="265"/>
      <c r="F484" s="265"/>
      <c r="G484" s="265"/>
      <c r="H484" s="265"/>
      <c r="I484" s="265"/>
      <c r="J484" s="260"/>
      <c r="K484" s="3"/>
      <c r="L484" s="265"/>
      <c r="M484" s="265"/>
      <c r="N484" s="265"/>
      <c r="O484" s="265"/>
      <c r="P484" s="265"/>
      <c r="Q484" s="260"/>
      <c r="R484" s="3"/>
      <c r="S484" s="265"/>
      <c r="T484" s="265"/>
      <c r="U484" s="265"/>
      <c r="V484" s="265"/>
      <c r="W484" s="265"/>
      <c r="X484" s="193"/>
      <c r="Y484" s="193"/>
      <c r="Z484" s="193"/>
      <c r="AA484" s="193"/>
      <c r="AB484" s="193"/>
      <c r="AC484" s="193"/>
      <c r="AD484" s="193"/>
      <c r="AE484" s="193"/>
      <c r="AF484" s="3"/>
      <c r="AG484" s="3"/>
      <c r="AH484" s="3"/>
      <c r="AI484" s="3"/>
      <c r="AJ484" s="3"/>
      <c r="AK484" s="3"/>
      <c r="AL484" s="3"/>
    </row>
    <row r="485" spans="1:38" ht="14.25" customHeight="1">
      <c r="A485" s="3"/>
      <c r="B485" s="3"/>
      <c r="C485" s="3"/>
      <c r="D485" s="3"/>
      <c r="E485" s="265"/>
      <c r="F485" s="265"/>
      <c r="G485" s="265"/>
      <c r="H485" s="265"/>
      <c r="I485" s="265"/>
      <c r="J485" s="260"/>
      <c r="K485" s="3"/>
      <c r="L485" s="265"/>
      <c r="M485" s="265"/>
      <c r="N485" s="265"/>
      <c r="O485" s="265"/>
      <c r="P485" s="265"/>
      <c r="Q485" s="260"/>
      <c r="R485" s="3"/>
      <c r="S485" s="265"/>
      <c r="T485" s="265"/>
      <c r="U485" s="265"/>
      <c r="V485" s="265"/>
      <c r="W485" s="265"/>
      <c r="X485" s="193"/>
      <c r="Y485" s="193"/>
      <c r="Z485" s="193"/>
      <c r="AA485" s="193"/>
      <c r="AB485" s="193"/>
      <c r="AC485" s="193"/>
      <c r="AD485" s="193"/>
      <c r="AE485" s="193"/>
      <c r="AF485" s="3"/>
      <c r="AG485" s="3"/>
      <c r="AH485" s="3"/>
      <c r="AI485" s="3"/>
      <c r="AJ485" s="3"/>
      <c r="AK485" s="3"/>
      <c r="AL485" s="3"/>
    </row>
    <row r="486" spans="1:38" ht="14.25" customHeight="1">
      <c r="A486" s="3"/>
      <c r="B486" s="3"/>
      <c r="C486" s="3"/>
      <c r="D486" s="3"/>
      <c r="E486" s="265"/>
      <c r="F486" s="265"/>
      <c r="G486" s="265"/>
      <c r="H486" s="265"/>
      <c r="I486" s="265"/>
      <c r="J486" s="260"/>
      <c r="K486" s="3"/>
      <c r="L486" s="265"/>
      <c r="M486" s="265"/>
      <c r="N486" s="265"/>
      <c r="O486" s="265"/>
      <c r="P486" s="265"/>
      <c r="Q486" s="260"/>
      <c r="R486" s="3"/>
      <c r="S486" s="265"/>
      <c r="T486" s="265"/>
      <c r="U486" s="265"/>
      <c r="V486" s="265"/>
      <c r="W486" s="265"/>
      <c r="X486" s="193"/>
      <c r="Y486" s="193"/>
      <c r="Z486" s="193"/>
      <c r="AA486" s="193"/>
      <c r="AB486" s="193"/>
      <c r="AC486" s="193"/>
      <c r="AD486" s="193"/>
      <c r="AE486" s="193"/>
      <c r="AF486" s="3"/>
      <c r="AG486" s="3"/>
      <c r="AH486" s="3"/>
      <c r="AI486" s="3"/>
      <c r="AJ486" s="3"/>
      <c r="AK486" s="3"/>
      <c r="AL486" s="3"/>
    </row>
    <row r="487" spans="1:38" ht="14.25" customHeight="1">
      <c r="A487" s="3"/>
      <c r="B487" s="3"/>
      <c r="C487" s="3"/>
      <c r="D487" s="3"/>
      <c r="E487" s="265"/>
      <c r="F487" s="265"/>
      <c r="G487" s="265"/>
      <c r="H487" s="265"/>
      <c r="I487" s="265"/>
      <c r="J487" s="260"/>
      <c r="K487" s="3"/>
      <c r="L487" s="265"/>
      <c r="M487" s="265"/>
      <c r="N487" s="265"/>
      <c r="O487" s="265"/>
      <c r="P487" s="265"/>
      <c r="Q487" s="260"/>
      <c r="R487" s="3"/>
      <c r="S487" s="265"/>
      <c r="T487" s="265"/>
      <c r="U487" s="265"/>
      <c r="V487" s="265"/>
      <c r="W487" s="265"/>
      <c r="X487" s="193"/>
      <c r="Y487" s="193"/>
      <c r="Z487" s="193"/>
      <c r="AA487" s="193"/>
      <c r="AB487" s="193"/>
      <c r="AC487" s="193"/>
      <c r="AD487" s="193"/>
      <c r="AE487" s="193"/>
      <c r="AF487" s="3"/>
      <c r="AG487" s="3"/>
      <c r="AH487" s="3"/>
      <c r="AI487" s="3"/>
      <c r="AJ487" s="3"/>
      <c r="AK487" s="3"/>
      <c r="AL487" s="3"/>
    </row>
    <row r="488" spans="1:38" ht="14.25" customHeight="1">
      <c r="A488" s="3"/>
      <c r="B488" s="3"/>
      <c r="C488" s="3"/>
      <c r="D488" s="3"/>
      <c r="E488" s="265"/>
      <c r="F488" s="265"/>
      <c r="G488" s="265"/>
      <c r="H488" s="265"/>
      <c r="I488" s="265"/>
      <c r="J488" s="260"/>
      <c r="K488" s="3"/>
      <c r="L488" s="265"/>
      <c r="M488" s="265"/>
      <c r="N488" s="265"/>
      <c r="O488" s="265"/>
      <c r="P488" s="265"/>
      <c r="Q488" s="260"/>
      <c r="R488" s="3"/>
      <c r="S488" s="265"/>
      <c r="T488" s="265"/>
      <c r="U488" s="265"/>
      <c r="V488" s="265"/>
      <c r="W488" s="265"/>
      <c r="X488" s="193"/>
      <c r="Y488" s="193"/>
      <c r="Z488" s="193"/>
      <c r="AA488" s="193"/>
      <c r="AB488" s="193"/>
      <c r="AC488" s="193"/>
      <c r="AD488" s="193"/>
      <c r="AE488" s="193"/>
      <c r="AF488" s="3"/>
      <c r="AG488" s="3"/>
      <c r="AH488" s="3"/>
      <c r="AI488" s="3"/>
      <c r="AJ488" s="3"/>
      <c r="AK488" s="3"/>
      <c r="AL488" s="3"/>
    </row>
    <row r="489" spans="1:38" ht="14.25" customHeight="1">
      <c r="A489" s="3"/>
      <c r="B489" s="3"/>
      <c r="C489" s="3"/>
      <c r="D489" s="3"/>
      <c r="E489" s="265"/>
      <c r="F489" s="265"/>
      <c r="G489" s="265"/>
      <c r="H489" s="265"/>
      <c r="I489" s="265"/>
      <c r="J489" s="260"/>
      <c r="K489" s="3"/>
      <c r="L489" s="265"/>
      <c r="M489" s="265"/>
      <c r="N489" s="265"/>
      <c r="O489" s="265"/>
      <c r="P489" s="265"/>
      <c r="Q489" s="260"/>
      <c r="R489" s="3"/>
      <c r="S489" s="265"/>
      <c r="T489" s="265"/>
      <c r="U489" s="265"/>
      <c r="V489" s="265"/>
      <c r="W489" s="265"/>
      <c r="X489" s="193"/>
      <c r="Y489" s="193"/>
      <c r="Z489" s="193"/>
      <c r="AA489" s="193"/>
      <c r="AB489" s="193"/>
      <c r="AC489" s="193"/>
      <c r="AD489" s="193"/>
      <c r="AE489" s="193"/>
      <c r="AF489" s="3"/>
      <c r="AG489" s="3"/>
      <c r="AH489" s="3"/>
      <c r="AI489" s="3"/>
      <c r="AJ489" s="3"/>
      <c r="AK489" s="3"/>
      <c r="AL489" s="3"/>
    </row>
    <row r="490" spans="1:38" ht="14.25" customHeight="1">
      <c r="A490" s="3"/>
      <c r="B490" s="3"/>
      <c r="C490" s="3"/>
      <c r="D490" s="3"/>
      <c r="E490" s="265"/>
      <c r="F490" s="265"/>
      <c r="G490" s="265"/>
      <c r="H490" s="265"/>
      <c r="I490" s="265"/>
      <c r="J490" s="260"/>
      <c r="K490" s="3"/>
      <c r="L490" s="265"/>
      <c r="M490" s="265"/>
      <c r="N490" s="265"/>
      <c r="O490" s="265"/>
      <c r="P490" s="265"/>
      <c r="Q490" s="260"/>
      <c r="R490" s="3"/>
      <c r="S490" s="265"/>
      <c r="T490" s="265"/>
      <c r="U490" s="265"/>
      <c r="V490" s="265"/>
      <c r="W490" s="265"/>
      <c r="X490" s="193"/>
      <c r="Y490" s="193"/>
      <c r="Z490" s="193"/>
      <c r="AA490" s="193"/>
      <c r="AB490" s="193"/>
      <c r="AC490" s="193"/>
      <c r="AD490" s="193"/>
      <c r="AE490" s="193"/>
      <c r="AF490" s="3"/>
      <c r="AG490" s="3"/>
      <c r="AH490" s="3"/>
      <c r="AI490" s="3"/>
      <c r="AJ490" s="3"/>
      <c r="AK490" s="3"/>
      <c r="AL490" s="3"/>
    </row>
    <row r="491" spans="1:38" ht="14.25" customHeight="1">
      <c r="A491" s="3"/>
      <c r="B491" s="3"/>
      <c r="C491" s="3"/>
      <c r="D491" s="3"/>
      <c r="E491" s="265"/>
      <c r="F491" s="265"/>
      <c r="G491" s="265"/>
      <c r="H491" s="265"/>
      <c r="I491" s="265"/>
      <c r="J491" s="260"/>
      <c r="K491" s="3"/>
      <c r="L491" s="265"/>
      <c r="M491" s="265"/>
      <c r="N491" s="265"/>
      <c r="O491" s="265"/>
      <c r="P491" s="265"/>
      <c r="Q491" s="260"/>
      <c r="R491" s="3"/>
      <c r="S491" s="265"/>
      <c r="T491" s="265"/>
      <c r="U491" s="265"/>
      <c r="V491" s="265"/>
      <c r="W491" s="265"/>
      <c r="X491" s="193"/>
      <c r="Y491" s="193"/>
      <c r="Z491" s="193"/>
      <c r="AA491" s="193"/>
      <c r="AB491" s="193"/>
      <c r="AC491" s="193"/>
      <c r="AD491" s="193"/>
      <c r="AE491" s="193"/>
      <c r="AF491" s="3"/>
      <c r="AG491" s="3"/>
      <c r="AH491" s="3"/>
      <c r="AI491" s="3"/>
      <c r="AJ491" s="3"/>
      <c r="AK491" s="3"/>
      <c r="AL491" s="3"/>
    </row>
    <row r="492" spans="1:38" ht="14.25" customHeight="1">
      <c r="A492" s="3"/>
      <c r="B492" s="3"/>
      <c r="C492" s="3"/>
      <c r="D492" s="3"/>
      <c r="E492" s="265"/>
      <c r="F492" s="265"/>
      <c r="G492" s="265"/>
      <c r="H492" s="265"/>
      <c r="I492" s="265"/>
      <c r="J492" s="260"/>
      <c r="K492" s="3"/>
      <c r="L492" s="265"/>
      <c r="M492" s="265"/>
      <c r="N492" s="265"/>
      <c r="O492" s="265"/>
      <c r="P492" s="265"/>
      <c r="Q492" s="260"/>
      <c r="R492" s="3"/>
      <c r="S492" s="265"/>
      <c r="T492" s="265"/>
      <c r="U492" s="265"/>
      <c r="V492" s="265"/>
      <c r="W492" s="265"/>
      <c r="X492" s="193"/>
      <c r="Y492" s="193"/>
      <c r="Z492" s="193"/>
      <c r="AA492" s="193"/>
      <c r="AB492" s="193"/>
      <c r="AC492" s="193"/>
      <c r="AD492" s="193"/>
      <c r="AE492" s="193"/>
      <c r="AF492" s="3"/>
      <c r="AG492" s="3"/>
      <c r="AH492" s="3"/>
      <c r="AI492" s="3"/>
      <c r="AJ492" s="3"/>
      <c r="AK492" s="3"/>
      <c r="AL492" s="3"/>
    </row>
    <row r="493" spans="1:38" ht="14.25" customHeight="1">
      <c r="A493" s="3"/>
      <c r="B493" s="3"/>
      <c r="C493" s="3"/>
      <c r="D493" s="3"/>
      <c r="E493" s="265"/>
      <c r="F493" s="265"/>
      <c r="G493" s="265"/>
      <c r="H493" s="265"/>
      <c r="I493" s="265"/>
      <c r="J493" s="260"/>
      <c r="K493" s="3"/>
      <c r="L493" s="265"/>
      <c r="M493" s="265"/>
      <c r="N493" s="265"/>
      <c r="O493" s="265"/>
      <c r="P493" s="265"/>
      <c r="Q493" s="260"/>
      <c r="R493" s="3"/>
      <c r="S493" s="265"/>
      <c r="T493" s="265"/>
      <c r="U493" s="265"/>
      <c r="V493" s="265"/>
      <c r="W493" s="265"/>
      <c r="X493" s="193"/>
      <c r="Y493" s="193"/>
      <c r="Z493" s="193"/>
      <c r="AA493" s="193"/>
      <c r="AB493" s="193"/>
      <c r="AC493" s="193"/>
      <c r="AD493" s="193"/>
      <c r="AE493" s="193"/>
      <c r="AF493" s="3"/>
      <c r="AG493" s="3"/>
      <c r="AH493" s="3"/>
      <c r="AI493" s="3"/>
      <c r="AJ493" s="3"/>
      <c r="AK493" s="3"/>
      <c r="AL493" s="3"/>
    </row>
    <row r="494" spans="1:38" ht="14.25" customHeight="1">
      <c r="A494" s="3"/>
      <c r="B494" s="3"/>
      <c r="C494" s="3"/>
      <c r="D494" s="3"/>
      <c r="E494" s="265"/>
      <c r="F494" s="265"/>
      <c r="G494" s="265"/>
      <c r="H494" s="265"/>
      <c r="I494" s="265"/>
      <c r="J494" s="260"/>
      <c r="K494" s="3"/>
      <c r="L494" s="265"/>
      <c r="M494" s="265"/>
      <c r="N494" s="265"/>
      <c r="O494" s="265"/>
      <c r="P494" s="265"/>
      <c r="Q494" s="260"/>
      <c r="R494" s="3"/>
      <c r="S494" s="265"/>
      <c r="T494" s="265"/>
      <c r="U494" s="265"/>
      <c r="V494" s="265"/>
      <c r="W494" s="265"/>
      <c r="X494" s="193"/>
      <c r="Y494" s="193"/>
      <c r="Z494" s="193"/>
      <c r="AA494" s="193"/>
      <c r="AB494" s="193"/>
      <c r="AC494" s="193"/>
      <c r="AD494" s="193"/>
      <c r="AE494" s="193"/>
      <c r="AF494" s="3"/>
      <c r="AG494" s="3"/>
      <c r="AH494" s="3"/>
      <c r="AI494" s="3"/>
      <c r="AJ494" s="3"/>
      <c r="AK494" s="3"/>
      <c r="AL494" s="3"/>
    </row>
    <row r="495" spans="1:38" ht="14.25" customHeight="1">
      <c r="A495" s="3"/>
      <c r="B495" s="3"/>
      <c r="C495" s="3"/>
      <c r="D495" s="3"/>
      <c r="E495" s="265"/>
      <c r="F495" s="265"/>
      <c r="G495" s="265"/>
      <c r="H495" s="265"/>
      <c r="I495" s="265"/>
      <c r="J495" s="260"/>
      <c r="K495" s="3"/>
      <c r="L495" s="265"/>
      <c r="M495" s="265"/>
      <c r="N495" s="265"/>
      <c r="O495" s="265"/>
      <c r="P495" s="265"/>
      <c r="Q495" s="260"/>
      <c r="R495" s="3"/>
      <c r="S495" s="265"/>
      <c r="T495" s="265"/>
      <c r="U495" s="265"/>
      <c r="V495" s="265"/>
      <c r="W495" s="265"/>
      <c r="X495" s="193"/>
      <c r="Y495" s="193"/>
      <c r="Z495" s="193"/>
      <c r="AA495" s="193"/>
      <c r="AB495" s="193"/>
      <c r="AC495" s="193"/>
      <c r="AD495" s="193"/>
      <c r="AE495" s="193"/>
      <c r="AF495" s="3"/>
      <c r="AG495" s="3"/>
      <c r="AH495" s="3"/>
      <c r="AI495" s="3"/>
      <c r="AJ495" s="3"/>
      <c r="AK495" s="3"/>
      <c r="AL495" s="3"/>
    </row>
    <row r="496" spans="1:38" ht="14.25" customHeight="1">
      <c r="A496" s="3"/>
      <c r="B496" s="3"/>
      <c r="C496" s="3"/>
      <c r="D496" s="3"/>
      <c r="E496" s="265"/>
      <c r="F496" s="265"/>
      <c r="G496" s="265"/>
      <c r="H496" s="265"/>
      <c r="I496" s="265"/>
      <c r="J496" s="260"/>
      <c r="K496" s="3"/>
      <c r="L496" s="265"/>
      <c r="M496" s="265"/>
      <c r="N496" s="265"/>
      <c r="O496" s="265"/>
      <c r="P496" s="265"/>
      <c r="Q496" s="260"/>
      <c r="R496" s="3"/>
      <c r="S496" s="265"/>
      <c r="T496" s="265"/>
      <c r="U496" s="265"/>
      <c r="V496" s="265"/>
      <c r="W496" s="265"/>
      <c r="X496" s="193"/>
      <c r="Y496" s="193"/>
      <c r="Z496" s="193"/>
      <c r="AA496" s="193"/>
      <c r="AB496" s="193"/>
      <c r="AC496" s="193"/>
      <c r="AD496" s="193"/>
      <c r="AE496" s="193"/>
      <c r="AF496" s="3"/>
      <c r="AG496" s="3"/>
      <c r="AH496" s="3"/>
      <c r="AI496" s="3"/>
      <c r="AJ496" s="3"/>
      <c r="AK496" s="3"/>
      <c r="AL496" s="3"/>
    </row>
    <row r="497" spans="1:38" ht="14.25" customHeight="1">
      <c r="A497" s="3"/>
      <c r="B497" s="3"/>
      <c r="C497" s="3"/>
      <c r="D497" s="3"/>
      <c r="E497" s="265"/>
      <c r="F497" s="265"/>
      <c r="G497" s="265"/>
      <c r="H497" s="265"/>
      <c r="I497" s="265"/>
      <c r="J497" s="260"/>
      <c r="K497" s="3"/>
      <c r="L497" s="265"/>
      <c r="M497" s="265"/>
      <c r="N497" s="265"/>
      <c r="O497" s="265"/>
      <c r="P497" s="265"/>
      <c r="Q497" s="260"/>
      <c r="R497" s="3"/>
      <c r="S497" s="265"/>
      <c r="T497" s="265"/>
      <c r="U497" s="265"/>
      <c r="V497" s="265"/>
      <c r="W497" s="265"/>
      <c r="X497" s="193"/>
      <c r="Y497" s="193"/>
      <c r="Z497" s="193"/>
      <c r="AA497" s="193"/>
      <c r="AB497" s="193"/>
      <c r="AC497" s="193"/>
      <c r="AD497" s="193"/>
      <c r="AE497" s="193"/>
      <c r="AF497" s="3"/>
      <c r="AG497" s="3"/>
      <c r="AH497" s="3"/>
      <c r="AI497" s="3"/>
      <c r="AJ497" s="3"/>
      <c r="AK497" s="3"/>
      <c r="AL497" s="3"/>
    </row>
    <row r="498" spans="1:38" ht="14.25" customHeight="1">
      <c r="A498" s="3"/>
      <c r="B498" s="3"/>
      <c r="C498" s="3"/>
      <c r="D498" s="3"/>
      <c r="E498" s="265"/>
      <c r="F498" s="265"/>
      <c r="G498" s="265"/>
      <c r="H498" s="265"/>
      <c r="I498" s="265"/>
      <c r="J498" s="260"/>
      <c r="K498" s="3"/>
      <c r="L498" s="265"/>
      <c r="M498" s="265"/>
      <c r="N498" s="265"/>
      <c r="O498" s="265"/>
      <c r="P498" s="265"/>
      <c r="Q498" s="260"/>
      <c r="R498" s="3"/>
      <c r="S498" s="265"/>
      <c r="T498" s="265"/>
      <c r="U498" s="265"/>
      <c r="V498" s="265"/>
      <c r="W498" s="265"/>
      <c r="X498" s="193"/>
      <c r="Y498" s="193"/>
      <c r="Z498" s="193"/>
      <c r="AA498" s="193"/>
      <c r="AB498" s="193"/>
      <c r="AC498" s="193"/>
      <c r="AD498" s="193"/>
      <c r="AE498" s="193"/>
      <c r="AF498" s="3"/>
      <c r="AG498" s="3"/>
      <c r="AH498" s="3"/>
      <c r="AI498" s="3"/>
      <c r="AJ498" s="3"/>
      <c r="AK498" s="3"/>
      <c r="AL498" s="3"/>
    </row>
    <row r="499" spans="1:38" ht="14.25" customHeight="1">
      <c r="A499" s="3"/>
      <c r="B499" s="3"/>
      <c r="C499" s="3"/>
      <c r="D499" s="3"/>
      <c r="E499" s="265"/>
      <c r="F499" s="265"/>
      <c r="G499" s="265"/>
      <c r="H499" s="265"/>
      <c r="I499" s="265"/>
      <c r="J499" s="260"/>
      <c r="K499" s="3"/>
      <c r="L499" s="265"/>
      <c r="M499" s="265"/>
      <c r="N499" s="265"/>
      <c r="O499" s="265"/>
      <c r="P499" s="265"/>
      <c r="Q499" s="260"/>
      <c r="R499" s="3"/>
      <c r="S499" s="265"/>
      <c r="T499" s="265"/>
      <c r="U499" s="265"/>
      <c r="V499" s="265"/>
      <c r="W499" s="265"/>
      <c r="X499" s="193"/>
      <c r="Y499" s="193"/>
      <c r="Z499" s="193"/>
      <c r="AA499" s="193"/>
      <c r="AB499" s="193"/>
      <c r="AC499" s="193"/>
      <c r="AD499" s="193"/>
      <c r="AE499" s="193"/>
      <c r="AF499" s="3"/>
      <c r="AG499" s="3"/>
      <c r="AH499" s="3"/>
      <c r="AI499" s="3"/>
      <c r="AJ499" s="3"/>
      <c r="AK499" s="3"/>
      <c r="AL499" s="3"/>
    </row>
    <row r="500" spans="1:38" ht="14.25" customHeight="1">
      <c r="A500" s="3"/>
      <c r="B500" s="3"/>
      <c r="C500" s="3"/>
      <c r="D500" s="3"/>
      <c r="E500" s="265"/>
      <c r="F500" s="265"/>
      <c r="G500" s="265"/>
      <c r="H500" s="265"/>
      <c r="I500" s="265"/>
      <c r="J500" s="260"/>
      <c r="K500" s="3"/>
      <c r="L500" s="265"/>
      <c r="M500" s="265"/>
      <c r="N500" s="265"/>
      <c r="O500" s="265"/>
      <c r="P500" s="265"/>
      <c r="Q500" s="260"/>
      <c r="R500" s="3"/>
      <c r="S500" s="265"/>
      <c r="T500" s="265"/>
      <c r="U500" s="265"/>
      <c r="V500" s="265"/>
      <c r="W500" s="265"/>
      <c r="X500" s="193"/>
      <c r="Y500" s="193"/>
      <c r="Z500" s="193"/>
      <c r="AA500" s="193"/>
      <c r="AB500" s="193"/>
      <c r="AC500" s="193"/>
      <c r="AD500" s="193"/>
      <c r="AE500" s="193"/>
      <c r="AF500" s="3"/>
      <c r="AG500" s="3"/>
      <c r="AH500" s="3"/>
      <c r="AI500" s="3"/>
      <c r="AJ500" s="3"/>
      <c r="AK500" s="3"/>
      <c r="AL500" s="3"/>
    </row>
    <row r="501" spans="1:38" ht="14.25" customHeight="1">
      <c r="A501" s="3"/>
      <c r="B501" s="3"/>
      <c r="C501" s="3"/>
      <c r="D501" s="3"/>
      <c r="E501" s="265"/>
      <c r="F501" s="265"/>
      <c r="G501" s="265"/>
      <c r="H501" s="265"/>
      <c r="I501" s="265"/>
      <c r="J501" s="260"/>
      <c r="K501" s="3"/>
      <c r="L501" s="265"/>
      <c r="M501" s="265"/>
      <c r="N501" s="265"/>
      <c r="O501" s="265"/>
      <c r="P501" s="265"/>
      <c r="Q501" s="260"/>
      <c r="R501" s="3"/>
      <c r="S501" s="265"/>
      <c r="T501" s="265"/>
      <c r="U501" s="265"/>
      <c r="V501" s="265"/>
      <c r="W501" s="265"/>
      <c r="X501" s="193"/>
      <c r="Y501" s="193"/>
      <c r="Z501" s="193"/>
      <c r="AA501" s="193"/>
      <c r="AB501" s="193"/>
      <c r="AC501" s="193"/>
      <c r="AD501" s="193"/>
      <c r="AE501" s="193"/>
      <c r="AF501" s="3"/>
      <c r="AG501" s="3"/>
      <c r="AH501" s="3"/>
      <c r="AI501" s="3"/>
      <c r="AJ501" s="3"/>
      <c r="AK501" s="3"/>
      <c r="AL501" s="3"/>
    </row>
    <row r="502" spans="1:38" ht="14.25" customHeight="1">
      <c r="A502" s="3"/>
      <c r="B502" s="3"/>
      <c r="C502" s="3"/>
      <c r="D502" s="3"/>
      <c r="E502" s="265"/>
      <c r="F502" s="265"/>
      <c r="G502" s="265"/>
      <c r="H502" s="265"/>
      <c r="I502" s="265"/>
      <c r="J502" s="260"/>
      <c r="K502" s="3"/>
      <c r="L502" s="265"/>
      <c r="M502" s="265"/>
      <c r="N502" s="265"/>
      <c r="O502" s="265"/>
      <c r="P502" s="265"/>
      <c r="Q502" s="260"/>
      <c r="R502" s="3"/>
      <c r="S502" s="265"/>
      <c r="T502" s="265"/>
      <c r="U502" s="265"/>
      <c r="V502" s="265"/>
      <c r="W502" s="265"/>
      <c r="X502" s="193"/>
      <c r="Y502" s="193"/>
      <c r="Z502" s="193"/>
      <c r="AA502" s="193"/>
      <c r="AB502" s="193"/>
      <c r="AC502" s="193"/>
      <c r="AD502" s="193"/>
      <c r="AE502" s="193"/>
      <c r="AF502" s="3"/>
      <c r="AG502" s="3"/>
      <c r="AH502" s="3"/>
      <c r="AI502" s="3"/>
      <c r="AJ502" s="3"/>
      <c r="AK502" s="3"/>
      <c r="AL502" s="3"/>
    </row>
    <row r="503" spans="1:38" ht="14.25" customHeight="1">
      <c r="A503" s="3"/>
      <c r="B503" s="3"/>
      <c r="C503" s="3"/>
      <c r="D503" s="3"/>
      <c r="E503" s="265"/>
      <c r="F503" s="265"/>
      <c r="G503" s="265"/>
      <c r="H503" s="265"/>
      <c r="I503" s="265"/>
      <c r="J503" s="260"/>
      <c r="K503" s="3"/>
      <c r="L503" s="265"/>
      <c r="M503" s="265"/>
      <c r="N503" s="265"/>
      <c r="O503" s="265"/>
      <c r="P503" s="265"/>
      <c r="Q503" s="260"/>
      <c r="R503" s="3"/>
      <c r="S503" s="265"/>
      <c r="T503" s="265"/>
      <c r="U503" s="265"/>
      <c r="V503" s="265"/>
      <c r="W503" s="265"/>
      <c r="X503" s="193"/>
      <c r="Y503" s="193"/>
      <c r="Z503" s="193"/>
      <c r="AA503" s="193"/>
      <c r="AB503" s="193"/>
      <c r="AC503" s="193"/>
      <c r="AD503" s="193"/>
      <c r="AE503" s="193"/>
      <c r="AF503" s="3"/>
      <c r="AG503" s="3"/>
      <c r="AH503" s="3"/>
      <c r="AI503" s="3"/>
      <c r="AJ503" s="3"/>
      <c r="AK503" s="3"/>
      <c r="AL503" s="3"/>
    </row>
    <row r="504" spans="1:38" ht="14.25" customHeight="1">
      <c r="A504" s="3"/>
      <c r="B504" s="3"/>
      <c r="C504" s="3"/>
      <c r="D504" s="3"/>
      <c r="E504" s="265"/>
      <c r="F504" s="265"/>
      <c r="G504" s="265"/>
      <c r="H504" s="265"/>
      <c r="I504" s="265"/>
      <c r="J504" s="260"/>
      <c r="K504" s="3"/>
      <c r="L504" s="265"/>
      <c r="M504" s="265"/>
      <c r="N504" s="265"/>
      <c r="O504" s="265"/>
      <c r="P504" s="265"/>
      <c r="Q504" s="260"/>
      <c r="R504" s="3"/>
      <c r="S504" s="265"/>
      <c r="T504" s="265"/>
      <c r="U504" s="265"/>
      <c r="V504" s="265"/>
      <c r="W504" s="265"/>
      <c r="X504" s="193"/>
      <c r="Y504" s="193"/>
      <c r="Z504" s="193"/>
      <c r="AA504" s="193"/>
      <c r="AB504" s="193"/>
      <c r="AC504" s="193"/>
      <c r="AD504" s="193"/>
      <c r="AE504" s="193"/>
      <c r="AF504" s="3"/>
      <c r="AG504" s="3"/>
      <c r="AH504" s="3"/>
      <c r="AI504" s="3"/>
      <c r="AJ504" s="3"/>
      <c r="AK504" s="3"/>
      <c r="AL504" s="3"/>
    </row>
    <row r="505" spans="1:38" ht="14.25" customHeight="1">
      <c r="A505" s="3"/>
      <c r="B505" s="3"/>
      <c r="C505" s="3"/>
      <c r="D505" s="3"/>
      <c r="E505" s="265"/>
      <c r="F505" s="265"/>
      <c r="G505" s="265"/>
      <c r="H505" s="265"/>
      <c r="I505" s="265"/>
      <c r="J505" s="260"/>
      <c r="K505" s="3"/>
      <c r="L505" s="265"/>
      <c r="M505" s="265"/>
      <c r="N505" s="265"/>
      <c r="O505" s="265"/>
      <c r="P505" s="265"/>
      <c r="Q505" s="260"/>
      <c r="R505" s="3"/>
      <c r="S505" s="265"/>
      <c r="T505" s="265"/>
      <c r="U505" s="265"/>
      <c r="V505" s="265"/>
      <c r="W505" s="265"/>
      <c r="X505" s="193"/>
      <c r="Y505" s="193"/>
      <c r="Z505" s="193"/>
      <c r="AA505" s="193"/>
      <c r="AB505" s="193"/>
      <c r="AC505" s="193"/>
      <c r="AD505" s="193"/>
      <c r="AE505" s="193"/>
      <c r="AF505" s="3"/>
      <c r="AG505" s="3"/>
      <c r="AH505" s="3"/>
      <c r="AI505" s="3"/>
      <c r="AJ505" s="3"/>
      <c r="AK505" s="3"/>
      <c r="AL505" s="3"/>
    </row>
    <row r="506" spans="1:38" ht="14.25" customHeight="1">
      <c r="A506" s="3"/>
      <c r="B506" s="3"/>
      <c r="C506" s="3"/>
      <c r="D506" s="3"/>
      <c r="E506" s="265"/>
      <c r="F506" s="265"/>
      <c r="G506" s="265"/>
      <c r="H506" s="265"/>
      <c r="I506" s="265"/>
      <c r="J506" s="260"/>
      <c r="K506" s="3"/>
      <c r="L506" s="265"/>
      <c r="M506" s="265"/>
      <c r="N506" s="265"/>
      <c r="O506" s="265"/>
      <c r="P506" s="265"/>
      <c r="Q506" s="260"/>
      <c r="R506" s="3"/>
      <c r="S506" s="265"/>
      <c r="T506" s="265"/>
      <c r="U506" s="265"/>
      <c r="V506" s="265"/>
      <c r="W506" s="265"/>
      <c r="X506" s="193"/>
      <c r="Y506" s="193"/>
      <c r="Z506" s="193"/>
      <c r="AA506" s="193"/>
      <c r="AB506" s="193"/>
      <c r="AC506" s="193"/>
      <c r="AD506" s="193"/>
      <c r="AE506" s="193"/>
      <c r="AF506" s="3"/>
      <c r="AG506" s="3"/>
      <c r="AH506" s="3"/>
      <c r="AI506" s="3"/>
      <c r="AJ506" s="3"/>
      <c r="AK506" s="3"/>
      <c r="AL506" s="3"/>
    </row>
    <row r="507" spans="1:38" ht="14.25" customHeight="1">
      <c r="A507" s="3"/>
      <c r="B507" s="3"/>
      <c r="C507" s="3"/>
      <c r="D507" s="3"/>
      <c r="E507" s="265"/>
      <c r="F507" s="265"/>
      <c r="G507" s="265"/>
      <c r="H507" s="265"/>
      <c r="I507" s="265"/>
      <c r="J507" s="260"/>
      <c r="K507" s="3"/>
      <c r="L507" s="265"/>
      <c r="M507" s="265"/>
      <c r="N507" s="265"/>
      <c r="O507" s="265"/>
      <c r="P507" s="265"/>
      <c r="Q507" s="260"/>
      <c r="R507" s="3"/>
      <c r="S507" s="265"/>
      <c r="T507" s="265"/>
      <c r="U507" s="265"/>
      <c r="V507" s="265"/>
      <c r="W507" s="265"/>
      <c r="X507" s="193"/>
      <c r="Y507" s="193"/>
      <c r="Z507" s="193"/>
      <c r="AA507" s="193"/>
      <c r="AB507" s="193"/>
      <c r="AC507" s="193"/>
      <c r="AD507" s="193"/>
      <c r="AE507" s="193"/>
      <c r="AF507" s="3"/>
      <c r="AG507" s="3"/>
      <c r="AH507" s="3"/>
      <c r="AI507" s="3"/>
      <c r="AJ507" s="3"/>
      <c r="AK507" s="3"/>
      <c r="AL507" s="3"/>
    </row>
    <row r="508" spans="1:38" ht="14.25" customHeight="1">
      <c r="A508" s="3"/>
      <c r="B508" s="3"/>
      <c r="C508" s="3"/>
      <c r="D508" s="3"/>
      <c r="E508" s="265"/>
      <c r="F508" s="265"/>
      <c r="G508" s="265"/>
      <c r="H508" s="265"/>
      <c r="I508" s="265"/>
      <c r="J508" s="260"/>
      <c r="K508" s="3"/>
      <c r="L508" s="265"/>
      <c r="M508" s="265"/>
      <c r="N508" s="265"/>
      <c r="O508" s="265"/>
      <c r="P508" s="265"/>
      <c r="Q508" s="260"/>
      <c r="R508" s="3"/>
      <c r="S508" s="265"/>
      <c r="T508" s="265"/>
      <c r="U508" s="265"/>
      <c r="V508" s="265"/>
      <c r="W508" s="265"/>
      <c r="X508" s="193"/>
      <c r="Y508" s="193"/>
      <c r="Z508" s="193"/>
      <c r="AA508" s="193"/>
      <c r="AB508" s="193"/>
      <c r="AC508" s="193"/>
      <c r="AD508" s="193"/>
      <c r="AE508" s="193"/>
      <c r="AF508" s="3"/>
      <c r="AG508" s="3"/>
      <c r="AH508" s="3"/>
      <c r="AI508" s="3"/>
      <c r="AJ508" s="3"/>
      <c r="AK508" s="3"/>
      <c r="AL508" s="3"/>
    </row>
    <row r="509" spans="1:38" ht="14.25" customHeight="1">
      <c r="A509" s="3"/>
      <c r="B509" s="3"/>
      <c r="C509" s="3"/>
      <c r="D509" s="3"/>
      <c r="E509" s="265"/>
      <c r="F509" s="265"/>
      <c r="G509" s="265"/>
      <c r="H509" s="265"/>
      <c r="I509" s="265"/>
      <c r="J509" s="260"/>
      <c r="K509" s="3"/>
      <c r="L509" s="265"/>
      <c r="M509" s="265"/>
      <c r="N509" s="265"/>
      <c r="O509" s="265"/>
      <c r="P509" s="265"/>
      <c r="Q509" s="260"/>
      <c r="R509" s="3"/>
      <c r="S509" s="265"/>
      <c r="T509" s="265"/>
      <c r="U509" s="265"/>
      <c r="V509" s="265"/>
      <c r="W509" s="265"/>
      <c r="X509" s="193"/>
      <c r="Y509" s="193"/>
      <c r="Z509" s="193"/>
      <c r="AA509" s="193"/>
      <c r="AB509" s="193"/>
      <c r="AC509" s="193"/>
      <c r="AD509" s="193"/>
      <c r="AE509" s="193"/>
      <c r="AF509" s="3"/>
      <c r="AG509" s="3"/>
      <c r="AH509" s="3"/>
      <c r="AI509" s="3"/>
      <c r="AJ509" s="3"/>
      <c r="AK509" s="3"/>
      <c r="AL509" s="3"/>
    </row>
    <row r="510" spans="1:38" ht="14.25" customHeight="1">
      <c r="A510" s="3"/>
      <c r="B510" s="3"/>
      <c r="C510" s="3"/>
      <c r="D510" s="3"/>
      <c r="E510" s="265"/>
      <c r="F510" s="265"/>
      <c r="G510" s="265"/>
      <c r="H510" s="265"/>
      <c r="I510" s="265"/>
      <c r="J510" s="260"/>
      <c r="K510" s="3"/>
      <c r="L510" s="265"/>
      <c r="M510" s="265"/>
      <c r="N510" s="265"/>
      <c r="O510" s="265"/>
      <c r="P510" s="265"/>
      <c r="Q510" s="260"/>
      <c r="R510" s="3"/>
      <c r="S510" s="265"/>
      <c r="T510" s="265"/>
      <c r="U510" s="265"/>
      <c r="V510" s="265"/>
      <c r="W510" s="265"/>
      <c r="X510" s="193"/>
      <c r="Y510" s="193"/>
      <c r="Z510" s="193"/>
      <c r="AA510" s="193"/>
      <c r="AB510" s="193"/>
      <c r="AC510" s="193"/>
      <c r="AD510" s="193"/>
      <c r="AE510" s="193"/>
      <c r="AF510" s="3"/>
      <c r="AG510" s="3"/>
      <c r="AH510" s="3"/>
      <c r="AI510" s="3"/>
      <c r="AJ510" s="3"/>
      <c r="AK510" s="3"/>
      <c r="AL510" s="3"/>
    </row>
    <row r="511" spans="1:38" ht="14.25" customHeight="1">
      <c r="A511" s="3"/>
      <c r="B511" s="3"/>
      <c r="C511" s="3"/>
      <c r="D511" s="3"/>
      <c r="E511" s="265"/>
      <c r="F511" s="265"/>
      <c r="G511" s="265"/>
      <c r="H511" s="265"/>
      <c r="I511" s="265"/>
      <c r="J511" s="260"/>
      <c r="K511" s="3"/>
      <c r="L511" s="265"/>
      <c r="M511" s="265"/>
      <c r="N511" s="265"/>
      <c r="O511" s="265"/>
      <c r="P511" s="265"/>
      <c r="Q511" s="260"/>
      <c r="R511" s="3"/>
      <c r="S511" s="265"/>
      <c r="T511" s="265"/>
      <c r="U511" s="265"/>
      <c r="V511" s="265"/>
      <c r="W511" s="265"/>
      <c r="X511" s="193"/>
      <c r="Y511" s="193"/>
      <c r="Z511" s="193"/>
      <c r="AA511" s="193"/>
      <c r="AB511" s="193"/>
      <c r="AC511" s="193"/>
      <c r="AD511" s="193"/>
      <c r="AE511" s="193"/>
      <c r="AF511" s="3"/>
      <c r="AG511" s="3"/>
      <c r="AH511" s="3"/>
      <c r="AI511" s="3"/>
      <c r="AJ511" s="3"/>
      <c r="AK511" s="3"/>
      <c r="AL511" s="3"/>
    </row>
    <row r="512" spans="1:38" ht="14.25" customHeight="1">
      <c r="A512" s="3"/>
      <c r="B512" s="3"/>
      <c r="C512" s="3"/>
      <c r="D512" s="3"/>
      <c r="E512" s="265"/>
      <c r="F512" s="265"/>
      <c r="G512" s="265"/>
      <c r="H512" s="265"/>
      <c r="I512" s="265"/>
      <c r="J512" s="260"/>
      <c r="K512" s="3"/>
      <c r="L512" s="265"/>
      <c r="M512" s="265"/>
      <c r="N512" s="265"/>
      <c r="O512" s="265"/>
      <c r="P512" s="265"/>
      <c r="Q512" s="260"/>
      <c r="R512" s="3"/>
      <c r="S512" s="265"/>
      <c r="T512" s="265"/>
      <c r="U512" s="265"/>
      <c r="V512" s="265"/>
      <c r="W512" s="265"/>
      <c r="X512" s="193"/>
      <c r="Y512" s="193"/>
      <c r="Z512" s="193"/>
      <c r="AA512" s="193"/>
      <c r="AB512" s="193"/>
      <c r="AC512" s="193"/>
      <c r="AD512" s="193"/>
      <c r="AE512" s="193"/>
      <c r="AF512" s="3"/>
      <c r="AG512" s="3"/>
      <c r="AH512" s="3"/>
      <c r="AI512" s="3"/>
      <c r="AJ512" s="3"/>
      <c r="AK512" s="3"/>
      <c r="AL512" s="3"/>
    </row>
    <row r="513" spans="1:38" ht="14.25" customHeight="1">
      <c r="A513" s="3"/>
      <c r="B513" s="3"/>
      <c r="C513" s="3"/>
      <c r="D513" s="3"/>
      <c r="E513" s="265"/>
      <c r="F513" s="265"/>
      <c r="G513" s="265"/>
      <c r="H513" s="265"/>
      <c r="I513" s="265"/>
      <c r="J513" s="260"/>
      <c r="K513" s="3"/>
      <c r="L513" s="265"/>
      <c r="M513" s="265"/>
      <c r="N513" s="265"/>
      <c r="O513" s="265"/>
      <c r="P513" s="265"/>
      <c r="Q513" s="260"/>
      <c r="R513" s="3"/>
      <c r="S513" s="265"/>
      <c r="T513" s="265"/>
      <c r="U513" s="265"/>
      <c r="V513" s="265"/>
      <c r="W513" s="265"/>
      <c r="X513" s="193"/>
      <c r="Y513" s="193"/>
      <c r="Z513" s="193"/>
      <c r="AA513" s="193"/>
      <c r="AB513" s="193"/>
      <c r="AC513" s="193"/>
      <c r="AD513" s="193"/>
      <c r="AE513" s="193"/>
      <c r="AF513" s="3"/>
      <c r="AG513" s="3"/>
      <c r="AH513" s="3"/>
      <c r="AI513" s="3"/>
      <c r="AJ513" s="3"/>
      <c r="AK513" s="3"/>
      <c r="AL513" s="3"/>
    </row>
    <row r="514" spans="1:38" ht="14.25" customHeight="1">
      <c r="A514" s="3"/>
      <c r="B514" s="3"/>
      <c r="C514" s="3"/>
      <c r="D514" s="3"/>
      <c r="E514" s="265"/>
      <c r="F514" s="265"/>
      <c r="G514" s="265"/>
      <c r="H514" s="265"/>
      <c r="I514" s="265"/>
      <c r="J514" s="260"/>
      <c r="K514" s="3"/>
      <c r="L514" s="265"/>
      <c r="M514" s="265"/>
      <c r="N514" s="265"/>
      <c r="O514" s="265"/>
      <c r="P514" s="265"/>
      <c r="Q514" s="260"/>
      <c r="R514" s="3"/>
      <c r="S514" s="265"/>
      <c r="T514" s="265"/>
      <c r="U514" s="265"/>
      <c r="V514" s="265"/>
      <c r="W514" s="265"/>
      <c r="X514" s="193"/>
      <c r="Y514" s="193"/>
      <c r="Z514" s="193"/>
      <c r="AA514" s="193"/>
      <c r="AB514" s="193"/>
      <c r="AC514" s="193"/>
      <c r="AD514" s="193"/>
      <c r="AE514" s="193"/>
      <c r="AF514" s="3"/>
      <c r="AG514" s="3"/>
      <c r="AH514" s="3"/>
      <c r="AI514" s="3"/>
      <c r="AJ514" s="3"/>
      <c r="AK514" s="3"/>
      <c r="AL514" s="3"/>
    </row>
    <row r="515" spans="1:38" ht="14.25" customHeight="1">
      <c r="A515" s="3"/>
      <c r="B515" s="3"/>
      <c r="C515" s="3"/>
      <c r="D515" s="3"/>
      <c r="E515" s="265"/>
      <c r="F515" s="265"/>
      <c r="G515" s="265"/>
      <c r="H515" s="265"/>
      <c r="I515" s="265"/>
      <c r="J515" s="260"/>
      <c r="K515" s="3"/>
      <c r="L515" s="265"/>
      <c r="M515" s="265"/>
      <c r="N515" s="265"/>
      <c r="O515" s="265"/>
      <c r="P515" s="265"/>
      <c r="Q515" s="260"/>
      <c r="R515" s="3"/>
      <c r="S515" s="265"/>
      <c r="T515" s="265"/>
      <c r="U515" s="265"/>
      <c r="V515" s="265"/>
      <c r="W515" s="265"/>
      <c r="X515" s="193"/>
      <c r="Y515" s="193"/>
      <c r="Z515" s="193"/>
      <c r="AA515" s="193"/>
      <c r="AB515" s="193"/>
      <c r="AC515" s="193"/>
      <c r="AD515" s="193"/>
      <c r="AE515" s="193"/>
      <c r="AF515" s="3"/>
      <c r="AG515" s="3"/>
      <c r="AH515" s="3"/>
      <c r="AI515" s="3"/>
      <c r="AJ515" s="3"/>
      <c r="AK515" s="3"/>
      <c r="AL515" s="3"/>
    </row>
    <row r="516" spans="1:38" ht="14.25" customHeight="1">
      <c r="A516" s="3"/>
      <c r="B516" s="3"/>
      <c r="C516" s="3"/>
      <c r="D516" s="3"/>
      <c r="E516" s="265"/>
      <c r="F516" s="265"/>
      <c r="G516" s="265"/>
      <c r="H516" s="265"/>
      <c r="I516" s="265"/>
      <c r="J516" s="260"/>
      <c r="K516" s="3"/>
      <c r="L516" s="265"/>
      <c r="M516" s="265"/>
      <c r="N516" s="265"/>
      <c r="O516" s="265"/>
      <c r="P516" s="265"/>
      <c r="Q516" s="260"/>
      <c r="R516" s="3"/>
      <c r="S516" s="265"/>
      <c r="T516" s="265"/>
      <c r="U516" s="265"/>
      <c r="V516" s="265"/>
      <c r="W516" s="265"/>
      <c r="X516" s="193"/>
      <c r="Y516" s="193"/>
      <c r="Z516" s="193"/>
      <c r="AA516" s="193"/>
      <c r="AB516" s="193"/>
      <c r="AC516" s="193"/>
      <c r="AD516" s="193"/>
      <c r="AE516" s="193"/>
      <c r="AF516" s="3"/>
      <c r="AG516" s="3"/>
      <c r="AH516" s="3"/>
      <c r="AI516" s="3"/>
      <c r="AJ516" s="3"/>
      <c r="AK516" s="3"/>
      <c r="AL516" s="3"/>
    </row>
    <row r="517" spans="1:38" ht="14.25" customHeight="1">
      <c r="A517" s="3"/>
      <c r="B517" s="3"/>
      <c r="C517" s="3"/>
      <c r="D517" s="3"/>
      <c r="E517" s="265"/>
      <c r="F517" s="265"/>
      <c r="G517" s="265"/>
      <c r="H517" s="265"/>
      <c r="I517" s="265"/>
      <c r="J517" s="260"/>
      <c r="K517" s="3"/>
      <c r="L517" s="265"/>
      <c r="M517" s="265"/>
      <c r="N517" s="265"/>
      <c r="O517" s="265"/>
      <c r="P517" s="265"/>
      <c r="Q517" s="260"/>
      <c r="R517" s="3"/>
      <c r="S517" s="265"/>
      <c r="T517" s="265"/>
      <c r="U517" s="265"/>
      <c r="V517" s="265"/>
      <c r="W517" s="265"/>
      <c r="X517" s="193"/>
      <c r="Y517" s="193"/>
      <c r="Z517" s="193"/>
      <c r="AA517" s="193"/>
      <c r="AB517" s="193"/>
      <c r="AC517" s="193"/>
      <c r="AD517" s="193"/>
      <c r="AE517" s="193"/>
      <c r="AF517" s="3"/>
      <c r="AG517" s="3"/>
      <c r="AH517" s="3"/>
      <c r="AI517" s="3"/>
      <c r="AJ517" s="3"/>
      <c r="AK517" s="3"/>
      <c r="AL517" s="3"/>
    </row>
    <row r="518" spans="1:38" ht="14.25" customHeight="1">
      <c r="A518" s="3"/>
      <c r="B518" s="3"/>
      <c r="C518" s="3"/>
      <c r="D518" s="3"/>
      <c r="E518" s="265"/>
      <c r="F518" s="265"/>
      <c r="G518" s="265"/>
      <c r="H518" s="265"/>
      <c r="I518" s="265"/>
      <c r="J518" s="260"/>
      <c r="K518" s="3"/>
      <c r="L518" s="265"/>
      <c r="M518" s="265"/>
      <c r="N518" s="265"/>
      <c r="O518" s="265"/>
      <c r="P518" s="265"/>
      <c r="Q518" s="260"/>
      <c r="R518" s="3"/>
      <c r="S518" s="265"/>
      <c r="T518" s="265"/>
      <c r="U518" s="265"/>
      <c r="V518" s="265"/>
      <c r="W518" s="265"/>
      <c r="X518" s="193"/>
      <c r="Y518" s="193"/>
      <c r="Z518" s="193"/>
      <c r="AA518" s="193"/>
      <c r="AB518" s="193"/>
      <c r="AC518" s="193"/>
      <c r="AD518" s="193"/>
      <c r="AE518" s="193"/>
      <c r="AF518" s="3"/>
      <c r="AG518" s="3"/>
      <c r="AH518" s="3"/>
      <c r="AI518" s="3"/>
      <c r="AJ518" s="3"/>
      <c r="AK518" s="3"/>
      <c r="AL518" s="3"/>
    </row>
    <row r="519" spans="1:38" ht="14.25" customHeight="1">
      <c r="A519" s="3"/>
      <c r="B519" s="3"/>
      <c r="C519" s="3"/>
      <c r="D519" s="3"/>
      <c r="E519" s="265"/>
      <c r="F519" s="265"/>
      <c r="G519" s="265"/>
      <c r="H519" s="265"/>
      <c r="I519" s="265"/>
      <c r="J519" s="260"/>
      <c r="K519" s="3"/>
      <c r="L519" s="265"/>
      <c r="M519" s="265"/>
      <c r="N519" s="265"/>
      <c r="O519" s="265"/>
      <c r="P519" s="265"/>
      <c r="Q519" s="260"/>
      <c r="R519" s="3"/>
      <c r="S519" s="265"/>
      <c r="T519" s="265"/>
      <c r="U519" s="265"/>
      <c r="V519" s="265"/>
      <c r="W519" s="265"/>
      <c r="X519" s="193"/>
      <c r="Y519" s="193"/>
      <c r="Z519" s="193"/>
      <c r="AA519" s="193"/>
      <c r="AB519" s="193"/>
      <c r="AC519" s="193"/>
      <c r="AD519" s="193"/>
      <c r="AE519" s="193"/>
      <c r="AF519" s="3"/>
      <c r="AG519" s="3"/>
      <c r="AH519" s="3"/>
      <c r="AI519" s="3"/>
      <c r="AJ519" s="3"/>
      <c r="AK519" s="3"/>
      <c r="AL519" s="3"/>
    </row>
    <row r="520" spans="1:38" ht="14.25" customHeight="1">
      <c r="A520" s="3"/>
      <c r="B520" s="3"/>
      <c r="C520" s="3"/>
      <c r="D520" s="3"/>
      <c r="E520" s="265"/>
      <c r="F520" s="265"/>
      <c r="G520" s="265"/>
      <c r="H520" s="265"/>
      <c r="I520" s="265"/>
      <c r="J520" s="260"/>
      <c r="K520" s="3"/>
      <c r="L520" s="265"/>
      <c r="M520" s="265"/>
      <c r="N520" s="265"/>
      <c r="O520" s="265"/>
      <c r="P520" s="265"/>
      <c r="Q520" s="260"/>
      <c r="R520" s="3"/>
      <c r="S520" s="265"/>
      <c r="T520" s="265"/>
      <c r="U520" s="265"/>
      <c r="V520" s="265"/>
      <c r="W520" s="265"/>
      <c r="X520" s="193"/>
      <c r="Y520" s="193"/>
      <c r="Z520" s="193"/>
      <c r="AA520" s="193"/>
      <c r="AB520" s="193"/>
      <c r="AC520" s="193"/>
      <c r="AD520" s="193"/>
      <c r="AE520" s="193"/>
      <c r="AF520" s="3"/>
      <c r="AG520" s="3"/>
      <c r="AH520" s="3"/>
      <c r="AI520" s="3"/>
      <c r="AJ520" s="3"/>
      <c r="AK520" s="3"/>
      <c r="AL520" s="3"/>
    </row>
    <row r="521" spans="1:38" ht="14.25" customHeight="1">
      <c r="A521" s="3"/>
      <c r="B521" s="3"/>
      <c r="C521" s="3"/>
      <c r="D521" s="3"/>
      <c r="E521" s="265"/>
      <c r="F521" s="265"/>
      <c r="G521" s="265"/>
      <c r="H521" s="265"/>
      <c r="I521" s="265"/>
      <c r="J521" s="260"/>
      <c r="K521" s="3"/>
      <c r="L521" s="265"/>
      <c r="M521" s="265"/>
      <c r="N521" s="265"/>
      <c r="O521" s="265"/>
      <c r="P521" s="265"/>
      <c r="Q521" s="260"/>
      <c r="R521" s="3"/>
      <c r="S521" s="265"/>
      <c r="T521" s="265"/>
      <c r="U521" s="265"/>
      <c r="V521" s="265"/>
      <c r="W521" s="265"/>
      <c r="X521" s="193"/>
      <c r="Y521" s="193"/>
      <c r="Z521" s="193"/>
      <c r="AA521" s="193"/>
      <c r="AB521" s="193"/>
      <c r="AC521" s="193"/>
      <c r="AD521" s="193"/>
      <c r="AE521" s="193"/>
      <c r="AF521" s="3"/>
      <c r="AG521" s="3"/>
      <c r="AH521" s="3"/>
      <c r="AI521" s="3"/>
      <c r="AJ521" s="3"/>
      <c r="AK521" s="3"/>
      <c r="AL521" s="3"/>
    </row>
    <row r="522" spans="1:38" ht="14.25" customHeight="1">
      <c r="A522" s="3"/>
      <c r="B522" s="3"/>
      <c r="C522" s="3"/>
      <c r="D522" s="3"/>
      <c r="E522" s="265"/>
      <c r="F522" s="265"/>
      <c r="G522" s="265"/>
      <c r="H522" s="265"/>
      <c r="I522" s="265"/>
      <c r="J522" s="260"/>
      <c r="K522" s="3"/>
      <c r="L522" s="265"/>
      <c r="M522" s="265"/>
      <c r="N522" s="265"/>
      <c r="O522" s="265"/>
      <c r="P522" s="265"/>
      <c r="Q522" s="260"/>
      <c r="R522" s="3"/>
      <c r="S522" s="265"/>
      <c r="T522" s="265"/>
      <c r="U522" s="265"/>
      <c r="V522" s="265"/>
      <c r="W522" s="265"/>
      <c r="X522" s="193"/>
      <c r="Y522" s="193"/>
      <c r="Z522" s="193"/>
      <c r="AA522" s="193"/>
      <c r="AB522" s="193"/>
      <c r="AC522" s="193"/>
      <c r="AD522" s="193"/>
      <c r="AE522" s="193"/>
      <c r="AF522" s="3"/>
      <c r="AG522" s="3"/>
      <c r="AH522" s="3"/>
      <c r="AI522" s="3"/>
      <c r="AJ522" s="3"/>
      <c r="AK522" s="3"/>
      <c r="AL522" s="3"/>
    </row>
    <row r="523" spans="1:38" ht="14.25" customHeight="1">
      <c r="A523" s="3"/>
      <c r="B523" s="3"/>
      <c r="C523" s="3"/>
      <c r="D523" s="3"/>
      <c r="E523" s="265"/>
      <c r="F523" s="265"/>
      <c r="G523" s="265"/>
      <c r="H523" s="265"/>
      <c r="I523" s="265"/>
      <c r="J523" s="260"/>
      <c r="K523" s="3"/>
      <c r="L523" s="265"/>
      <c r="M523" s="265"/>
      <c r="N523" s="265"/>
      <c r="O523" s="265"/>
      <c r="P523" s="265"/>
      <c r="Q523" s="260"/>
      <c r="R523" s="3"/>
      <c r="S523" s="265"/>
      <c r="T523" s="265"/>
      <c r="U523" s="265"/>
      <c r="V523" s="265"/>
      <c r="W523" s="265"/>
      <c r="X523" s="193"/>
      <c r="Y523" s="193"/>
      <c r="Z523" s="193"/>
      <c r="AA523" s="193"/>
      <c r="AB523" s="193"/>
      <c r="AC523" s="193"/>
      <c r="AD523" s="193"/>
      <c r="AE523" s="193"/>
      <c r="AF523" s="3"/>
      <c r="AG523" s="3"/>
      <c r="AH523" s="3"/>
      <c r="AI523" s="3"/>
      <c r="AJ523" s="3"/>
      <c r="AK523" s="3"/>
      <c r="AL523" s="3"/>
    </row>
    <row r="524" spans="1:38" ht="14.25" customHeight="1">
      <c r="A524" s="3"/>
      <c r="B524" s="3"/>
      <c r="C524" s="3"/>
      <c r="D524" s="3"/>
      <c r="E524" s="265"/>
      <c r="F524" s="265"/>
      <c r="G524" s="265"/>
      <c r="H524" s="265"/>
      <c r="I524" s="265"/>
      <c r="J524" s="260"/>
      <c r="K524" s="3"/>
      <c r="L524" s="265"/>
      <c r="M524" s="265"/>
      <c r="N524" s="265"/>
      <c r="O524" s="265"/>
      <c r="P524" s="265"/>
      <c r="Q524" s="260"/>
      <c r="R524" s="3"/>
      <c r="S524" s="265"/>
      <c r="T524" s="265"/>
      <c r="U524" s="265"/>
      <c r="V524" s="265"/>
      <c r="W524" s="265"/>
      <c r="X524" s="193"/>
      <c r="Y524" s="193"/>
      <c r="Z524" s="193"/>
      <c r="AA524" s="193"/>
      <c r="AB524" s="193"/>
      <c r="AC524" s="193"/>
      <c r="AD524" s="193"/>
      <c r="AE524" s="193"/>
      <c r="AF524" s="3"/>
      <c r="AG524" s="3"/>
      <c r="AH524" s="3"/>
      <c r="AI524" s="3"/>
      <c r="AJ524" s="3"/>
      <c r="AK524" s="3"/>
      <c r="AL524" s="3"/>
    </row>
    <row r="525" spans="1:38" ht="14.25" customHeight="1">
      <c r="A525" s="3"/>
      <c r="B525" s="3"/>
      <c r="C525" s="3"/>
      <c r="D525" s="3"/>
      <c r="E525" s="265"/>
      <c r="F525" s="265"/>
      <c r="G525" s="265"/>
      <c r="H525" s="265"/>
      <c r="I525" s="265"/>
      <c r="J525" s="260"/>
      <c r="K525" s="3"/>
      <c r="L525" s="265"/>
      <c r="M525" s="265"/>
      <c r="N525" s="265"/>
      <c r="O525" s="265"/>
      <c r="P525" s="265"/>
      <c r="Q525" s="260"/>
      <c r="R525" s="3"/>
      <c r="S525" s="265"/>
      <c r="T525" s="265"/>
      <c r="U525" s="265"/>
      <c r="V525" s="265"/>
      <c r="W525" s="265"/>
      <c r="X525" s="193"/>
      <c r="Y525" s="193"/>
      <c r="Z525" s="193"/>
      <c r="AA525" s="193"/>
      <c r="AB525" s="193"/>
      <c r="AC525" s="193"/>
      <c r="AD525" s="193"/>
      <c r="AE525" s="193"/>
      <c r="AF525" s="3"/>
      <c r="AG525" s="3"/>
      <c r="AH525" s="3"/>
      <c r="AI525" s="3"/>
      <c r="AJ525" s="3"/>
      <c r="AK525" s="3"/>
      <c r="AL525" s="3"/>
    </row>
    <row r="526" spans="1:38" ht="14.25" customHeight="1">
      <c r="A526" s="3"/>
      <c r="B526" s="3"/>
      <c r="C526" s="3"/>
      <c r="D526" s="3"/>
      <c r="E526" s="265"/>
      <c r="F526" s="265"/>
      <c r="G526" s="265"/>
      <c r="H526" s="265"/>
      <c r="I526" s="265"/>
      <c r="J526" s="260"/>
      <c r="K526" s="3"/>
      <c r="L526" s="265"/>
      <c r="M526" s="265"/>
      <c r="N526" s="265"/>
      <c r="O526" s="265"/>
      <c r="P526" s="265"/>
      <c r="Q526" s="260"/>
      <c r="R526" s="3"/>
      <c r="S526" s="265"/>
      <c r="T526" s="265"/>
      <c r="U526" s="265"/>
      <c r="V526" s="265"/>
      <c r="W526" s="265"/>
      <c r="X526" s="193"/>
      <c r="Y526" s="193"/>
      <c r="Z526" s="193"/>
      <c r="AA526" s="193"/>
      <c r="AB526" s="193"/>
      <c r="AC526" s="193"/>
      <c r="AD526" s="193"/>
      <c r="AE526" s="193"/>
      <c r="AF526" s="3"/>
      <c r="AG526" s="3"/>
      <c r="AH526" s="3"/>
      <c r="AI526" s="3"/>
      <c r="AJ526" s="3"/>
      <c r="AK526" s="3"/>
      <c r="AL526" s="3"/>
    </row>
    <row r="527" spans="1:38" ht="14.25" customHeight="1">
      <c r="A527" s="3"/>
      <c r="B527" s="3"/>
      <c r="C527" s="3"/>
      <c r="D527" s="3"/>
      <c r="E527" s="265"/>
      <c r="F527" s="265"/>
      <c r="G527" s="265"/>
      <c r="H527" s="265"/>
      <c r="I527" s="265"/>
      <c r="J527" s="260"/>
      <c r="K527" s="3"/>
      <c r="L527" s="265"/>
      <c r="M527" s="265"/>
      <c r="N527" s="265"/>
      <c r="O527" s="265"/>
      <c r="P527" s="265"/>
      <c r="Q527" s="260"/>
      <c r="R527" s="3"/>
      <c r="S527" s="265"/>
      <c r="T527" s="265"/>
      <c r="U527" s="265"/>
      <c r="V527" s="265"/>
      <c r="W527" s="265"/>
      <c r="X527" s="193"/>
      <c r="Y527" s="193"/>
      <c r="Z527" s="193"/>
      <c r="AA527" s="193"/>
      <c r="AB527" s="193"/>
      <c r="AC527" s="193"/>
      <c r="AD527" s="193"/>
      <c r="AE527" s="193"/>
      <c r="AF527" s="3"/>
      <c r="AG527" s="3"/>
      <c r="AH527" s="3"/>
      <c r="AI527" s="3"/>
      <c r="AJ527" s="3"/>
      <c r="AK527" s="3"/>
      <c r="AL527" s="3"/>
    </row>
    <row r="528" spans="1:38" ht="14.25" customHeight="1">
      <c r="A528" s="3"/>
      <c r="B528" s="3"/>
      <c r="C528" s="3"/>
      <c r="D528" s="3"/>
      <c r="E528" s="265"/>
      <c r="F528" s="265"/>
      <c r="G528" s="265"/>
      <c r="H528" s="265"/>
      <c r="I528" s="265"/>
      <c r="J528" s="260"/>
      <c r="K528" s="3"/>
      <c r="L528" s="265"/>
      <c r="M528" s="265"/>
      <c r="N528" s="265"/>
      <c r="O528" s="265"/>
      <c r="P528" s="265"/>
      <c r="Q528" s="260"/>
      <c r="R528" s="3"/>
      <c r="S528" s="265"/>
      <c r="T528" s="265"/>
      <c r="U528" s="265"/>
      <c r="V528" s="265"/>
      <c r="W528" s="265"/>
      <c r="X528" s="193"/>
      <c r="Y528" s="193"/>
      <c r="Z528" s="193"/>
      <c r="AA528" s="193"/>
      <c r="AB528" s="193"/>
      <c r="AC528" s="193"/>
      <c r="AD528" s="193"/>
      <c r="AE528" s="193"/>
      <c r="AF528" s="3"/>
      <c r="AG528" s="3"/>
      <c r="AH528" s="3"/>
      <c r="AI528" s="3"/>
      <c r="AJ528" s="3"/>
      <c r="AK528" s="3"/>
      <c r="AL528" s="3"/>
    </row>
    <row r="529" spans="1:38" ht="14.25" customHeight="1">
      <c r="A529" s="3"/>
      <c r="B529" s="3"/>
      <c r="C529" s="3"/>
      <c r="D529" s="3"/>
      <c r="E529" s="265"/>
      <c r="F529" s="265"/>
      <c r="G529" s="265"/>
      <c r="H529" s="265"/>
      <c r="I529" s="265"/>
      <c r="J529" s="260"/>
      <c r="K529" s="3"/>
      <c r="L529" s="265"/>
      <c r="M529" s="265"/>
      <c r="N529" s="265"/>
      <c r="O529" s="265"/>
      <c r="P529" s="265"/>
      <c r="Q529" s="260"/>
      <c r="R529" s="3"/>
      <c r="S529" s="265"/>
      <c r="T529" s="265"/>
      <c r="U529" s="265"/>
      <c r="V529" s="265"/>
      <c r="W529" s="265"/>
      <c r="X529" s="193"/>
      <c r="Y529" s="193"/>
      <c r="Z529" s="193"/>
      <c r="AA529" s="193"/>
      <c r="AB529" s="193"/>
      <c r="AC529" s="193"/>
      <c r="AD529" s="193"/>
      <c r="AE529" s="193"/>
      <c r="AF529" s="3"/>
      <c r="AG529" s="3"/>
      <c r="AH529" s="3"/>
      <c r="AI529" s="3"/>
      <c r="AJ529" s="3"/>
      <c r="AK529" s="3"/>
      <c r="AL529" s="3"/>
    </row>
    <row r="530" spans="1:38" ht="14.25" customHeight="1">
      <c r="A530" s="3"/>
      <c r="B530" s="3"/>
      <c r="C530" s="3"/>
      <c r="D530" s="3"/>
      <c r="E530" s="265"/>
      <c r="F530" s="265"/>
      <c r="G530" s="265"/>
      <c r="H530" s="265"/>
      <c r="I530" s="265"/>
      <c r="J530" s="260"/>
      <c r="K530" s="3"/>
      <c r="L530" s="265"/>
      <c r="M530" s="265"/>
      <c r="N530" s="265"/>
      <c r="O530" s="265"/>
      <c r="P530" s="265"/>
      <c r="Q530" s="260"/>
      <c r="R530" s="3"/>
      <c r="S530" s="265"/>
      <c r="T530" s="265"/>
      <c r="U530" s="265"/>
      <c r="V530" s="265"/>
      <c r="W530" s="265"/>
      <c r="X530" s="193"/>
      <c r="Y530" s="193"/>
      <c r="Z530" s="193"/>
      <c r="AA530" s="193"/>
      <c r="AB530" s="193"/>
      <c r="AC530" s="193"/>
      <c r="AD530" s="193"/>
      <c r="AE530" s="193"/>
      <c r="AF530" s="3"/>
      <c r="AG530" s="3"/>
      <c r="AH530" s="3"/>
      <c r="AI530" s="3"/>
      <c r="AJ530" s="3"/>
      <c r="AK530" s="3"/>
      <c r="AL530" s="3"/>
    </row>
    <row r="531" spans="1:38" ht="14.25" customHeight="1">
      <c r="A531" s="3"/>
      <c r="B531" s="3"/>
      <c r="C531" s="3"/>
      <c r="D531" s="3"/>
      <c r="E531" s="265"/>
      <c r="F531" s="265"/>
      <c r="G531" s="265"/>
      <c r="H531" s="265"/>
      <c r="I531" s="265"/>
      <c r="J531" s="260"/>
      <c r="K531" s="3"/>
      <c r="L531" s="265"/>
      <c r="M531" s="265"/>
      <c r="N531" s="265"/>
      <c r="O531" s="265"/>
      <c r="P531" s="265"/>
      <c r="Q531" s="260"/>
      <c r="R531" s="3"/>
      <c r="S531" s="265"/>
      <c r="T531" s="265"/>
      <c r="U531" s="265"/>
      <c r="V531" s="265"/>
      <c r="W531" s="265"/>
      <c r="X531" s="193"/>
      <c r="Y531" s="193"/>
      <c r="Z531" s="193"/>
      <c r="AA531" s="193"/>
      <c r="AB531" s="193"/>
      <c r="AC531" s="193"/>
      <c r="AD531" s="193"/>
      <c r="AE531" s="193"/>
      <c r="AF531" s="3"/>
      <c r="AG531" s="3"/>
      <c r="AH531" s="3"/>
      <c r="AI531" s="3"/>
      <c r="AJ531" s="3"/>
      <c r="AK531" s="3"/>
      <c r="AL531" s="3"/>
    </row>
    <row r="532" spans="1:38" ht="14.25" customHeight="1">
      <c r="A532" s="3"/>
      <c r="B532" s="3"/>
      <c r="C532" s="3"/>
      <c r="D532" s="3"/>
      <c r="E532" s="265"/>
      <c r="F532" s="265"/>
      <c r="G532" s="265"/>
      <c r="H532" s="265"/>
      <c r="I532" s="265"/>
      <c r="J532" s="260"/>
      <c r="K532" s="3"/>
      <c r="L532" s="265"/>
      <c r="M532" s="265"/>
      <c r="N532" s="265"/>
      <c r="O532" s="265"/>
      <c r="P532" s="265"/>
      <c r="Q532" s="260"/>
      <c r="R532" s="3"/>
      <c r="S532" s="265"/>
      <c r="T532" s="265"/>
      <c r="U532" s="265"/>
      <c r="V532" s="265"/>
      <c r="W532" s="265"/>
      <c r="X532" s="193"/>
      <c r="Y532" s="193"/>
      <c r="Z532" s="193"/>
      <c r="AA532" s="193"/>
      <c r="AB532" s="193"/>
      <c r="AC532" s="193"/>
      <c r="AD532" s="193"/>
      <c r="AE532" s="193"/>
      <c r="AF532" s="3"/>
      <c r="AG532" s="3"/>
      <c r="AH532" s="3"/>
      <c r="AI532" s="3"/>
      <c r="AJ532" s="3"/>
      <c r="AK532" s="3"/>
      <c r="AL532" s="3"/>
    </row>
    <row r="533" spans="1:38" ht="14.25" customHeight="1">
      <c r="A533" s="3"/>
      <c r="B533" s="3"/>
      <c r="C533" s="3"/>
      <c r="D533" s="3"/>
      <c r="E533" s="265"/>
      <c r="F533" s="265"/>
      <c r="G533" s="265"/>
      <c r="H533" s="265"/>
      <c r="I533" s="265"/>
      <c r="J533" s="260"/>
      <c r="K533" s="3"/>
      <c r="L533" s="265"/>
      <c r="M533" s="265"/>
      <c r="N533" s="265"/>
      <c r="O533" s="265"/>
      <c r="P533" s="265"/>
      <c r="Q533" s="260"/>
      <c r="R533" s="3"/>
      <c r="S533" s="265"/>
      <c r="T533" s="265"/>
      <c r="U533" s="265"/>
      <c r="V533" s="265"/>
      <c r="W533" s="265"/>
      <c r="X533" s="193"/>
      <c r="Y533" s="193"/>
      <c r="Z533" s="193"/>
      <c r="AA533" s="193"/>
      <c r="AB533" s="193"/>
      <c r="AC533" s="193"/>
      <c r="AD533" s="193"/>
      <c r="AE533" s="193"/>
      <c r="AF533" s="3"/>
      <c r="AG533" s="3"/>
      <c r="AH533" s="3"/>
      <c r="AI533" s="3"/>
      <c r="AJ533" s="3"/>
      <c r="AK533" s="3"/>
      <c r="AL533" s="3"/>
    </row>
    <row r="534" spans="1:38" ht="14.25" customHeight="1">
      <c r="A534" s="3"/>
      <c r="B534" s="3"/>
      <c r="C534" s="3"/>
      <c r="D534" s="3"/>
      <c r="E534" s="265"/>
      <c r="F534" s="265"/>
      <c r="G534" s="265"/>
      <c r="H534" s="265"/>
      <c r="I534" s="265"/>
      <c r="J534" s="260"/>
      <c r="K534" s="3"/>
      <c r="L534" s="265"/>
      <c r="M534" s="265"/>
      <c r="N534" s="265"/>
      <c r="O534" s="265"/>
      <c r="P534" s="265"/>
      <c r="Q534" s="260"/>
      <c r="R534" s="3"/>
      <c r="S534" s="265"/>
      <c r="T534" s="265"/>
      <c r="U534" s="265"/>
      <c r="V534" s="265"/>
      <c r="W534" s="265"/>
      <c r="X534" s="193"/>
      <c r="Y534" s="193"/>
      <c r="Z534" s="193"/>
      <c r="AA534" s="193"/>
      <c r="AB534" s="193"/>
      <c r="AC534" s="193"/>
      <c r="AD534" s="193"/>
      <c r="AE534" s="193"/>
      <c r="AF534" s="3"/>
      <c r="AG534" s="3"/>
      <c r="AH534" s="3"/>
      <c r="AI534" s="3"/>
      <c r="AJ534" s="3"/>
      <c r="AK534" s="3"/>
      <c r="AL534" s="3"/>
    </row>
    <row r="535" spans="1:38" ht="14.25" customHeight="1">
      <c r="A535" s="3"/>
      <c r="B535" s="3"/>
      <c r="C535" s="3"/>
      <c r="D535" s="3"/>
      <c r="E535" s="265"/>
      <c r="F535" s="265"/>
      <c r="G535" s="265"/>
      <c r="H535" s="265"/>
      <c r="I535" s="265"/>
      <c r="J535" s="260"/>
      <c r="K535" s="3"/>
      <c r="L535" s="265"/>
      <c r="M535" s="265"/>
      <c r="N535" s="265"/>
      <c r="O535" s="265"/>
      <c r="P535" s="265"/>
      <c r="Q535" s="260"/>
      <c r="R535" s="3"/>
      <c r="S535" s="265"/>
      <c r="T535" s="265"/>
      <c r="U535" s="265"/>
      <c r="V535" s="265"/>
      <c r="W535" s="265"/>
      <c r="X535" s="193"/>
      <c r="Y535" s="193"/>
      <c r="Z535" s="193"/>
      <c r="AA535" s="193"/>
      <c r="AB535" s="193"/>
      <c r="AC535" s="193"/>
      <c r="AD535" s="193"/>
      <c r="AE535" s="193"/>
      <c r="AF535" s="3"/>
      <c r="AG535" s="3"/>
      <c r="AH535" s="3"/>
      <c r="AI535" s="3"/>
      <c r="AJ535" s="3"/>
      <c r="AK535" s="3"/>
      <c r="AL535" s="3"/>
    </row>
    <row r="536" spans="1:38" ht="14.25" customHeight="1">
      <c r="A536" s="3"/>
      <c r="B536" s="3"/>
      <c r="C536" s="3"/>
      <c r="D536" s="3"/>
      <c r="E536" s="265"/>
      <c r="F536" s="265"/>
      <c r="G536" s="265"/>
      <c r="H536" s="265"/>
      <c r="I536" s="265"/>
      <c r="J536" s="260"/>
      <c r="K536" s="3"/>
      <c r="L536" s="265"/>
      <c r="M536" s="265"/>
      <c r="N536" s="265"/>
      <c r="O536" s="265"/>
      <c r="P536" s="265"/>
      <c r="Q536" s="260"/>
      <c r="R536" s="3"/>
      <c r="S536" s="265"/>
      <c r="T536" s="265"/>
      <c r="U536" s="265"/>
      <c r="V536" s="265"/>
      <c r="W536" s="265"/>
      <c r="X536" s="193"/>
      <c r="Y536" s="193"/>
      <c r="Z536" s="193"/>
      <c r="AA536" s="193"/>
      <c r="AB536" s="193"/>
      <c r="AC536" s="193"/>
      <c r="AD536" s="193"/>
      <c r="AE536" s="193"/>
      <c r="AF536" s="3"/>
      <c r="AG536" s="3"/>
      <c r="AH536" s="3"/>
      <c r="AI536" s="3"/>
      <c r="AJ536" s="3"/>
      <c r="AK536" s="3"/>
      <c r="AL536" s="3"/>
    </row>
    <row r="537" spans="1:38" ht="14.25" customHeight="1">
      <c r="A537" s="3"/>
      <c r="B537" s="3"/>
      <c r="C537" s="3"/>
      <c r="D537" s="3"/>
      <c r="E537" s="265"/>
      <c r="F537" s="265"/>
      <c r="G537" s="265"/>
      <c r="H537" s="265"/>
      <c r="I537" s="265"/>
      <c r="J537" s="260"/>
      <c r="K537" s="3"/>
      <c r="L537" s="265"/>
      <c r="M537" s="265"/>
      <c r="N537" s="265"/>
      <c r="O537" s="265"/>
      <c r="P537" s="265"/>
      <c r="Q537" s="260"/>
      <c r="R537" s="3"/>
      <c r="S537" s="265"/>
      <c r="T537" s="265"/>
      <c r="U537" s="265"/>
      <c r="V537" s="265"/>
      <c r="W537" s="265"/>
      <c r="X537" s="193"/>
      <c r="Y537" s="193"/>
      <c r="Z537" s="193"/>
      <c r="AA537" s="193"/>
      <c r="AB537" s="193"/>
      <c r="AC537" s="193"/>
      <c r="AD537" s="193"/>
      <c r="AE537" s="193"/>
      <c r="AF537" s="3"/>
      <c r="AG537" s="3"/>
      <c r="AH537" s="3"/>
      <c r="AI537" s="3"/>
      <c r="AJ537" s="3"/>
      <c r="AK537" s="3"/>
      <c r="AL537" s="3"/>
    </row>
    <row r="538" spans="1:38" ht="14.25" customHeight="1">
      <c r="A538" s="3"/>
      <c r="B538" s="3"/>
      <c r="C538" s="3"/>
      <c r="D538" s="3"/>
      <c r="E538" s="265"/>
      <c r="F538" s="265"/>
      <c r="G538" s="265"/>
      <c r="H538" s="265"/>
      <c r="I538" s="265"/>
      <c r="J538" s="260"/>
      <c r="K538" s="3"/>
      <c r="L538" s="265"/>
      <c r="M538" s="265"/>
      <c r="N538" s="265"/>
      <c r="O538" s="265"/>
      <c r="P538" s="265"/>
      <c r="Q538" s="260"/>
      <c r="R538" s="3"/>
      <c r="S538" s="265"/>
      <c r="T538" s="265"/>
      <c r="U538" s="265"/>
      <c r="V538" s="265"/>
      <c r="W538" s="265"/>
      <c r="X538" s="193"/>
      <c r="Y538" s="193"/>
      <c r="Z538" s="193"/>
      <c r="AA538" s="193"/>
      <c r="AB538" s="193"/>
      <c r="AC538" s="193"/>
      <c r="AD538" s="193"/>
      <c r="AE538" s="193"/>
      <c r="AF538" s="3"/>
      <c r="AG538" s="3"/>
      <c r="AH538" s="3"/>
      <c r="AI538" s="3"/>
      <c r="AJ538" s="3"/>
      <c r="AK538" s="3"/>
      <c r="AL538" s="3"/>
    </row>
    <row r="539" spans="1:38" ht="14.25" customHeight="1">
      <c r="A539" s="3"/>
      <c r="B539" s="3"/>
      <c r="C539" s="3"/>
      <c r="D539" s="3"/>
      <c r="E539" s="265"/>
      <c r="F539" s="265"/>
      <c r="G539" s="265"/>
      <c r="H539" s="265"/>
      <c r="I539" s="265"/>
      <c r="J539" s="260"/>
      <c r="K539" s="3"/>
      <c r="L539" s="265"/>
      <c r="M539" s="265"/>
      <c r="N539" s="265"/>
      <c r="O539" s="265"/>
      <c r="P539" s="265"/>
      <c r="Q539" s="260"/>
      <c r="R539" s="3"/>
      <c r="S539" s="265"/>
      <c r="T539" s="265"/>
      <c r="U539" s="265"/>
      <c r="V539" s="265"/>
      <c r="W539" s="265"/>
      <c r="X539" s="193"/>
      <c r="Y539" s="193"/>
      <c r="Z539" s="193"/>
      <c r="AA539" s="193"/>
      <c r="AB539" s="193"/>
      <c r="AC539" s="193"/>
      <c r="AD539" s="193"/>
      <c r="AE539" s="193"/>
      <c r="AF539" s="3"/>
      <c r="AG539" s="3"/>
      <c r="AH539" s="3"/>
      <c r="AI539" s="3"/>
      <c r="AJ539" s="3"/>
      <c r="AK539" s="3"/>
      <c r="AL539" s="3"/>
    </row>
    <row r="540" spans="1:38" ht="14.25" customHeight="1">
      <c r="A540" s="3"/>
      <c r="B540" s="3"/>
      <c r="C540" s="3"/>
      <c r="D540" s="3"/>
      <c r="E540" s="265"/>
      <c r="F540" s="265"/>
      <c r="G540" s="265"/>
      <c r="H540" s="265"/>
      <c r="I540" s="265"/>
      <c r="J540" s="260"/>
      <c r="K540" s="3"/>
      <c r="L540" s="265"/>
      <c r="M540" s="265"/>
      <c r="N540" s="265"/>
      <c r="O540" s="265"/>
      <c r="P540" s="265"/>
      <c r="Q540" s="260"/>
      <c r="R540" s="3"/>
      <c r="S540" s="265"/>
      <c r="T540" s="265"/>
      <c r="U540" s="265"/>
      <c r="V540" s="265"/>
      <c r="W540" s="265"/>
      <c r="X540" s="193"/>
      <c r="Y540" s="193"/>
      <c r="Z540" s="193"/>
      <c r="AA540" s="193"/>
      <c r="AB540" s="193"/>
      <c r="AC540" s="193"/>
      <c r="AD540" s="193"/>
      <c r="AE540" s="193"/>
      <c r="AF540" s="3"/>
      <c r="AG540" s="3"/>
      <c r="AH540" s="3"/>
      <c r="AI540" s="3"/>
      <c r="AJ540" s="3"/>
      <c r="AK540" s="3"/>
      <c r="AL540" s="3"/>
    </row>
    <row r="541" spans="1:38" ht="14.25" customHeight="1">
      <c r="A541" s="3"/>
      <c r="B541" s="3"/>
      <c r="C541" s="3"/>
      <c r="D541" s="3"/>
      <c r="E541" s="265"/>
      <c r="F541" s="265"/>
      <c r="G541" s="265"/>
      <c r="H541" s="265"/>
      <c r="I541" s="265"/>
      <c r="J541" s="260"/>
      <c r="K541" s="3"/>
      <c r="L541" s="265"/>
      <c r="M541" s="265"/>
      <c r="N541" s="265"/>
      <c r="O541" s="265"/>
      <c r="P541" s="265"/>
      <c r="Q541" s="260"/>
      <c r="R541" s="3"/>
      <c r="S541" s="265"/>
      <c r="T541" s="265"/>
      <c r="U541" s="265"/>
      <c r="V541" s="265"/>
      <c r="W541" s="265"/>
      <c r="X541" s="193"/>
      <c r="Y541" s="193"/>
      <c r="Z541" s="193"/>
      <c r="AA541" s="193"/>
      <c r="AB541" s="193"/>
      <c r="AC541" s="193"/>
      <c r="AD541" s="193"/>
      <c r="AE541" s="193"/>
      <c r="AF541" s="3"/>
      <c r="AG541" s="3"/>
      <c r="AH541" s="3"/>
      <c r="AI541" s="3"/>
      <c r="AJ541" s="3"/>
      <c r="AK541" s="3"/>
      <c r="AL541" s="3"/>
    </row>
    <row r="542" spans="1:38" ht="14.25" customHeight="1">
      <c r="A542" s="3"/>
      <c r="B542" s="3"/>
      <c r="C542" s="3"/>
      <c r="D542" s="3"/>
      <c r="E542" s="265"/>
      <c r="F542" s="265"/>
      <c r="G542" s="265"/>
      <c r="H542" s="265"/>
      <c r="I542" s="265"/>
      <c r="J542" s="260"/>
      <c r="K542" s="3"/>
      <c r="L542" s="265"/>
      <c r="M542" s="265"/>
      <c r="N542" s="265"/>
      <c r="O542" s="265"/>
      <c r="P542" s="265"/>
      <c r="Q542" s="260"/>
      <c r="R542" s="3"/>
      <c r="S542" s="265"/>
      <c r="T542" s="265"/>
      <c r="U542" s="265"/>
      <c r="V542" s="265"/>
      <c r="W542" s="265"/>
      <c r="X542" s="193"/>
      <c r="Y542" s="193"/>
      <c r="Z542" s="193"/>
      <c r="AA542" s="193"/>
      <c r="AB542" s="193"/>
      <c r="AC542" s="193"/>
      <c r="AD542" s="193"/>
      <c r="AE542" s="193"/>
      <c r="AF542" s="3"/>
      <c r="AG542" s="3"/>
      <c r="AH542" s="3"/>
      <c r="AI542" s="3"/>
      <c r="AJ542" s="3"/>
      <c r="AK542" s="3"/>
      <c r="AL542" s="3"/>
    </row>
    <row r="543" spans="1:38" ht="14.25" customHeight="1">
      <c r="A543" s="3"/>
      <c r="B543" s="3"/>
      <c r="C543" s="3"/>
      <c r="D543" s="3"/>
      <c r="E543" s="265"/>
      <c r="F543" s="265"/>
      <c r="G543" s="265"/>
      <c r="H543" s="265"/>
      <c r="I543" s="265"/>
      <c r="J543" s="260"/>
      <c r="K543" s="3"/>
      <c r="L543" s="265"/>
      <c r="M543" s="265"/>
      <c r="N543" s="265"/>
      <c r="O543" s="265"/>
      <c r="P543" s="265"/>
      <c r="Q543" s="260"/>
      <c r="R543" s="3"/>
      <c r="S543" s="265"/>
      <c r="T543" s="265"/>
      <c r="U543" s="265"/>
      <c r="V543" s="265"/>
      <c r="W543" s="265"/>
      <c r="X543" s="193"/>
      <c r="Y543" s="193"/>
      <c r="Z543" s="193"/>
      <c r="AA543" s="193"/>
      <c r="AB543" s="193"/>
      <c r="AC543" s="193"/>
      <c r="AD543" s="193"/>
      <c r="AE543" s="193"/>
      <c r="AF543" s="3"/>
      <c r="AG543" s="3"/>
      <c r="AH543" s="3"/>
      <c r="AI543" s="3"/>
      <c r="AJ543" s="3"/>
      <c r="AK543" s="3"/>
      <c r="AL543" s="3"/>
    </row>
    <row r="544" spans="1:38" ht="14.25" customHeight="1">
      <c r="A544" s="3"/>
      <c r="B544" s="3"/>
      <c r="C544" s="3"/>
      <c r="D544" s="3"/>
      <c r="E544" s="265"/>
      <c r="F544" s="265"/>
      <c r="G544" s="265"/>
      <c r="H544" s="265"/>
      <c r="I544" s="265"/>
      <c r="J544" s="260"/>
      <c r="K544" s="3"/>
      <c r="L544" s="265"/>
      <c r="M544" s="265"/>
      <c r="N544" s="265"/>
      <c r="O544" s="265"/>
      <c r="P544" s="265"/>
      <c r="Q544" s="260"/>
      <c r="R544" s="3"/>
      <c r="S544" s="265"/>
      <c r="T544" s="265"/>
      <c r="U544" s="265"/>
      <c r="V544" s="265"/>
      <c r="W544" s="265"/>
      <c r="X544" s="193"/>
      <c r="Y544" s="193"/>
      <c r="Z544" s="193"/>
      <c r="AA544" s="193"/>
      <c r="AB544" s="193"/>
      <c r="AC544" s="193"/>
      <c r="AD544" s="193"/>
      <c r="AE544" s="193"/>
      <c r="AF544" s="3"/>
      <c r="AG544" s="3"/>
      <c r="AH544" s="3"/>
      <c r="AI544" s="3"/>
      <c r="AJ544" s="3"/>
      <c r="AK544" s="3"/>
      <c r="AL544" s="3"/>
    </row>
    <row r="545" spans="1:38" ht="14.25" customHeight="1">
      <c r="A545" s="3"/>
      <c r="B545" s="3"/>
      <c r="C545" s="3"/>
      <c r="D545" s="3"/>
      <c r="E545" s="265"/>
      <c r="F545" s="265"/>
      <c r="G545" s="265"/>
      <c r="H545" s="265"/>
      <c r="I545" s="265"/>
      <c r="J545" s="260"/>
      <c r="K545" s="3"/>
      <c r="L545" s="265"/>
      <c r="M545" s="265"/>
      <c r="N545" s="265"/>
      <c r="O545" s="265"/>
      <c r="P545" s="265"/>
      <c r="Q545" s="260"/>
      <c r="R545" s="3"/>
      <c r="S545" s="265"/>
      <c r="T545" s="265"/>
      <c r="U545" s="265"/>
      <c r="V545" s="265"/>
      <c r="W545" s="265"/>
      <c r="X545" s="193"/>
      <c r="Y545" s="193"/>
      <c r="Z545" s="193"/>
      <c r="AA545" s="193"/>
      <c r="AB545" s="193"/>
      <c r="AC545" s="193"/>
      <c r="AD545" s="193"/>
      <c r="AE545" s="193"/>
      <c r="AF545" s="3"/>
      <c r="AG545" s="3"/>
      <c r="AH545" s="3"/>
      <c r="AI545" s="3"/>
      <c r="AJ545" s="3"/>
      <c r="AK545" s="3"/>
      <c r="AL545" s="3"/>
    </row>
    <row r="546" spans="1:38" ht="14.25" customHeight="1">
      <c r="A546" s="3"/>
      <c r="B546" s="3"/>
      <c r="C546" s="3"/>
      <c r="D546" s="3"/>
      <c r="E546" s="265"/>
      <c r="F546" s="265"/>
      <c r="G546" s="265"/>
      <c r="H546" s="265"/>
      <c r="I546" s="265"/>
      <c r="J546" s="260"/>
      <c r="K546" s="3"/>
      <c r="L546" s="265"/>
      <c r="M546" s="265"/>
      <c r="N546" s="265"/>
      <c r="O546" s="265"/>
      <c r="P546" s="265"/>
      <c r="Q546" s="260"/>
      <c r="R546" s="3"/>
      <c r="S546" s="265"/>
      <c r="T546" s="265"/>
      <c r="U546" s="265"/>
      <c r="V546" s="265"/>
      <c r="W546" s="265"/>
      <c r="X546" s="193"/>
      <c r="Y546" s="193"/>
      <c r="Z546" s="193"/>
      <c r="AA546" s="193"/>
      <c r="AB546" s="193"/>
      <c r="AC546" s="193"/>
      <c r="AD546" s="193"/>
      <c r="AE546" s="193"/>
      <c r="AF546" s="3"/>
      <c r="AG546" s="3"/>
      <c r="AH546" s="3"/>
      <c r="AI546" s="3"/>
      <c r="AJ546" s="3"/>
      <c r="AK546" s="3"/>
      <c r="AL546" s="3"/>
    </row>
    <row r="547" spans="1:38" ht="14.25" customHeight="1">
      <c r="A547" s="3"/>
      <c r="B547" s="3"/>
      <c r="C547" s="3"/>
      <c r="D547" s="3"/>
      <c r="E547" s="265"/>
      <c r="F547" s="265"/>
      <c r="G547" s="265"/>
      <c r="H547" s="265"/>
      <c r="I547" s="265"/>
      <c r="J547" s="260"/>
      <c r="K547" s="3"/>
      <c r="L547" s="265"/>
      <c r="M547" s="265"/>
      <c r="N547" s="265"/>
      <c r="O547" s="265"/>
      <c r="P547" s="265"/>
      <c r="Q547" s="260"/>
      <c r="R547" s="3"/>
      <c r="S547" s="265"/>
      <c r="T547" s="265"/>
      <c r="U547" s="265"/>
      <c r="V547" s="265"/>
      <c r="W547" s="265"/>
      <c r="X547" s="193"/>
      <c r="Y547" s="193"/>
      <c r="Z547" s="193"/>
      <c r="AA547" s="193"/>
      <c r="AB547" s="193"/>
      <c r="AC547" s="193"/>
      <c r="AD547" s="193"/>
      <c r="AE547" s="193"/>
      <c r="AF547" s="3"/>
      <c r="AG547" s="3"/>
      <c r="AH547" s="3"/>
      <c r="AI547" s="3"/>
      <c r="AJ547" s="3"/>
      <c r="AK547" s="3"/>
      <c r="AL547" s="3"/>
    </row>
    <row r="548" spans="1:38" ht="14.25" customHeight="1">
      <c r="A548" s="3"/>
      <c r="B548" s="3"/>
      <c r="C548" s="3"/>
      <c r="D548" s="3"/>
      <c r="E548" s="265"/>
      <c r="F548" s="265"/>
      <c r="G548" s="265"/>
      <c r="H548" s="265"/>
      <c r="I548" s="265"/>
      <c r="J548" s="260"/>
      <c r="K548" s="3"/>
      <c r="L548" s="265"/>
      <c r="M548" s="265"/>
      <c r="N548" s="265"/>
      <c r="O548" s="265"/>
      <c r="P548" s="265"/>
      <c r="Q548" s="260"/>
      <c r="R548" s="3"/>
      <c r="S548" s="265"/>
      <c r="T548" s="265"/>
      <c r="U548" s="265"/>
      <c r="V548" s="265"/>
      <c r="W548" s="265"/>
      <c r="X548" s="193"/>
      <c r="Y548" s="193"/>
      <c r="Z548" s="193"/>
      <c r="AA548" s="193"/>
      <c r="AB548" s="193"/>
      <c r="AC548" s="193"/>
      <c r="AD548" s="193"/>
      <c r="AE548" s="193"/>
      <c r="AF548" s="3"/>
      <c r="AG548" s="3"/>
      <c r="AH548" s="3"/>
      <c r="AI548" s="3"/>
      <c r="AJ548" s="3"/>
      <c r="AK548" s="3"/>
      <c r="AL548" s="3"/>
    </row>
    <row r="549" spans="1:38" ht="14.25" customHeight="1">
      <c r="A549" s="3"/>
      <c r="B549" s="3"/>
      <c r="C549" s="3"/>
      <c r="D549" s="3"/>
      <c r="E549" s="265"/>
      <c r="F549" s="265"/>
      <c r="G549" s="265"/>
      <c r="H549" s="265"/>
      <c r="I549" s="265"/>
      <c r="J549" s="260"/>
      <c r="K549" s="3"/>
      <c r="L549" s="265"/>
      <c r="M549" s="265"/>
      <c r="N549" s="265"/>
      <c r="O549" s="265"/>
      <c r="P549" s="265"/>
      <c r="Q549" s="260"/>
      <c r="R549" s="3"/>
      <c r="S549" s="265"/>
      <c r="T549" s="265"/>
      <c r="U549" s="265"/>
      <c r="V549" s="265"/>
      <c r="W549" s="265"/>
      <c r="X549" s="193"/>
      <c r="Y549" s="193"/>
      <c r="Z549" s="193"/>
      <c r="AA549" s="193"/>
      <c r="AB549" s="193"/>
      <c r="AC549" s="193"/>
      <c r="AD549" s="193"/>
      <c r="AE549" s="193"/>
      <c r="AF549" s="3"/>
      <c r="AG549" s="3"/>
      <c r="AH549" s="3"/>
      <c r="AI549" s="3"/>
      <c r="AJ549" s="3"/>
      <c r="AK549" s="3"/>
      <c r="AL549" s="3"/>
    </row>
    <row r="550" spans="1:38" ht="14.25" customHeight="1">
      <c r="A550" s="3"/>
      <c r="B550" s="3"/>
      <c r="C550" s="3"/>
      <c r="D550" s="3"/>
      <c r="E550" s="265"/>
      <c r="F550" s="265"/>
      <c r="G550" s="265"/>
      <c r="H550" s="265"/>
      <c r="I550" s="265"/>
      <c r="J550" s="260"/>
      <c r="K550" s="3"/>
      <c r="L550" s="265"/>
      <c r="M550" s="265"/>
      <c r="N550" s="265"/>
      <c r="O550" s="265"/>
      <c r="P550" s="265"/>
      <c r="Q550" s="260"/>
      <c r="R550" s="3"/>
      <c r="S550" s="265"/>
      <c r="T550" s="265"/>
      <c r="U550" s="265"/>
      <c r="V550" s="265"/>
      <c r="W550" s="265"/>
      <c r="X550" s="193"/>
      <c r="Y550" s="193"/>
      <c r="Z550" s="193"/>
      <c r="AA550" s="193"/>
      <c r="AB550" s="193"/>
      <c r="AC550" s="193"/>
      <c r="AD550" s="193"/>
      <c r="AE550" s="193"/>
      <c r="AF550" s="3"/>
      <c r="AG550" s="3"/>
      <c r="AH550" s="3"/>
      <c r="AI550" s="3"/>
      <c r="AJ550" s="3"/>
      <c r="AK550" s="3"/>
      <c r="AL550" s="3"/>
    </row>
    <row r="551" spans="1:38" ht="14.25" customHeight="1">
      <c r="A551" s="3"/>
      <c r="B551" s="3"/>
      <c r="C551" s="3"/>
      <c r="D551" s="3"/>
      <c r="E551" s="265"/>
      <c r="F551" s="265"/>
      <c r="G551" s="265"/>
      <c r="H551" s="265"/>
      <c r="I551" s="265"/>
      <c r="J551" s="260"/>
      <c r="K551" s="3"/>
      <c r="L551" s="265"/>
      <c r="M551" s="265"/>
      <c r="N551" s="265"/>
      <c r="O551" s="265"/>
      <c r="P551" s="265"/>
      <c r="Q551" s="260"/>
      <c r="R551" s="3"/>
      <c r="S551" s="265"/>
      <c r="T551" s="265"/>
      <c r="U551" s="265"/>
      <c r="V551" s="265"/>
      <c r="W551" s="265"/>
      <c r="X551" s="193"/>
      <c r="Y551" s="193"/>
      <c r="Z551" s="193"/>
      <c r="AA551" s="193"/>
      <c r="AB551" s="193"/>
      <c r="AC551" s="193"/>
      <c r="AD551" s="193"/>
      <c r="AE551" s="193"/>
      <c r="AF551" s="3"/>
      <c r="AG551" s="3"/>
      <c r="AH551" s="3"/>
      <c r="AI551" s="3"/>
      <c r="AJ551" s="3"/>
      <c r="AK551" s="3"/>
      <c r="AL551" s="3"/>
    </row>
    <row r="552" spans="1:38" ht="14.25" customHeight="1">
      <c r="A552" s="3"/>
      <c r="B552" s="3"/>
      <c r="C552" s="3"/>
      <c r="D552" s="3"/>
      <c r="E552" s="265"/>
      <c r="F552" s="265"/>
      <c r="G552" s="265"/>
      <c r="H552" s="265"/>
      <c r="I552" s="265"/>
      <c r="J552" s="260"/>
      <c r="K552" s="3"/>
      <c r="L552" s="265"/>
      <c r="M552" s="265"/>
      <c r="N552" s="265"/>
      <c r="O552" s="265"/>
      <c r="P552" s="265"/>
      <c r="Q552" s="260"/>
      <c r="R552" s="3"/>
      <c r="S552" s="265"/>
      <c r="T552" s="265"/>
      <c r="U552" s="265"/>
      <c r="V552" s="265"/>
      <c r="W552" s="265"/>
      <c r="X552" s="193"/>
      <c r="Y552" s="193"/>
      <c r="Z552" s="193"/>
      <c r="AA552" s="193"/>
      <c r="AB552" s="193"/>
      <c r="AC552" s="193"/>
      <c r="AD552" s="193"/>
      <c r="AE552" s="193"/>
      <c r="AF552" s="3"/>
      <c r="AG552" s="3"/>
      <c r="AH552" s="3"/>
      <c r="AI552" s="3"/>
      <c r="AJ552" s="3"/>
      <c r="AK552" s="3"/>
      <c r="AL552" s="3"/>
    </row>
    <row r="553" spans="1:38" ht="14.25" customHeight="1">
      <c r="A553" s="3"/>
      <c r="B553" s="3"/>
      <c r="C553" s="3"/>
      <c r="D553" s="3"/>
      <c r="E553" s="265"/>
      <c r="F553" s="265"/>
      <c r="G553" s="265"/>
      <c r="H553" s="265"/>
      <c r="I553" s="265"/>
      <c r="J553" s="260"/>
      <c r="K553" s="3"/>
      <c r="L553" s="265"/>
      <c r="M553" s="265"/>
      <c r="N553" s="265"/>
      <c r="O553" s="265"/>
      <c r="P553" s="265"/>
      <c r="Q553" s="260"/>
      <c r="R553" s="3"/>
      <c r="S553" s="265"/>
      <c r="T553" s="265"/>
      <c r="U553" s="265"/>
      <c r="V553" s="265"/>
      <c r="W553" s="265"/>
      <c r="X553" s="193"/>
      <c r="Y553" s="193"/>
      <c r="Z553" s="193"/>
      <c r="AA553" s="193"/>
      <c r="AB553" s="193"/>
      <c r="AC553" s="193"/>
      <c r="AD553" s="193"/>
      <c r="AE553" s="193"/>
      <c r="AF553" s="3"/>
      <c r="AG553" s="3"/>
      <c r="AH553" s="3"/>
      <c r="AI553" s="3"/>
      <c r="AJ553" s="3"/>
      <c r="AK553" s="3"/>
      <c r="AL553" s="3"/>
    </row>
    <row r="554" spans="1:38" ht="14.25" customHeight="1">
      <c r="A554" s="3"/>
      <c r="B554" s="3"/>
      <c r="C554" s="3"/>
      <c r="D554" s="3"/>
      <c r="E554" s="265"/>
      <c r="F554" s="265"/>
      <c r="G554" s="265"/>
      <c r="H554" s="265"/>
      <c r="I554" s="265"/>
      <c r="J554" s="260"/>
      <c r="K554" s="3"/>
      <c r="L554" s="265"/>
      <c r="M554" s="265"/>
      <c r="N554" s="265"/>
      <c r="O554" s="265"/>
      <c r="P554" s="265"/>
      <c r="Q554" s="260"/>
      <c r="R554" s="3"/>
      <c r="S554" s="265"/>
      <c r="T554" s="265"/>
      <c r="U554" s="265"/>
      <c r="V554" s="265"/>
      <c r="W554" s="265"/>
      <c r="X554" s="193"/>
      <c r="Y554" s="193"/>
      <c r="Z554" s="193"/>
      <c r="AA554" s="193"/>
      <c r="AB554" s="193"/>
      <c r="AC554" s="193"/>
      <c r="AD554" s="193"/>
      <c r="AE554" s="193"/>
      <c r="AF554" s="3"/>
      <c r="AG554" s="3"/>
      <c r="AH554" s="3"/>
      <c r="AI554" s="3"/>
      <c r="AJ554" s="3"/>
      <c r="AK554" s="3"/>
      <c r="AL554" s="3"/>
    </row>
    <row r="555" spans="1:38" ht="14.25" customHeight="1">
      <c r="A555" s="3"/>
      <c r="B555" s="3"/>
      <c r="C555" s="3"/>
      <c r="D555" s="3"/>
      <c r="E555" s="265"/>
      <c r="F555" s="265"/>
      <c r="G555" s="265"/>
      <c r="H555" s="265"/>
      <c r="I555" s="265"/>
      <c r="J555" s="260"/>
      <c r="K555" s="3"/>
      <c r="L555" s="265"/>
      <c r="M555" s="265"/>
      <c r="N555" s="265"/>
      <c r="O555" s="265"/>
      <c r="P555" s="265"/>
      <c r="Q555" s="260"/>
      <c r="R555" s="3"/>
      <c r="S555" s="265"/>
      <c r="T555" s="265"/>
      <c r="U555" s="265"/>
      <c r="V555" s="265"/>
      <c r="W555" s="265"/>
      <c r="X555" s="193"/>
      <c r="Y555" s="193"/>
      <c r="Z555" s="193"/>
      <c r="AA555" s="193"/>
      <c r="AB555" s="193"/>
      <c r="AC555" s="193"/>
      <c r="AD555" s="193"/>
      <c r="AE555" s="193"/>
      <c r="AF555" s="3"/>
      <c r="AG555" s="3"/>
      <c r="AH555" s="3"/>
      <c r="AI555" s="3"/>
      <c r="AJ555" s="3"/>
      <c r="AK555" s="3"/>
      <c r="AL555" s="3"/>
    </row>
    <row r="556" spans="1:38" ht="14.25" customHeight="1">
      <c r="A556" s="3"/>
      <c r="B556" s="3"/>
      <c r="C556" s="3"/>
      <c r="D556" s="3"/>
      <c r="E556" s="265"/>
      <c r="F556" s="265"/>
      <c r="G556" s="265"/>
      <c r="H556" s="265"/>
      <c r="I556" s="265"/>
      <c r="J556" s="260"/>
      <c r="K556" s="3"/>
      <c r="L556" s="265"/>
      <c r="M556" s="265"/>
      <c r="N556" s="265"/>
      <c r="O556" s="265"/>
      <c r="P556" s="265"/>
      <c r="Q556" s="260"/>
      <c r="R556" s="3"/>
      <c r="S556" s="265"/>
      <c r="T556" s="265"/>
      <c r="U556" s="265"/>
      <c r="V556" s="265"/>
      <c r="W556" s="265"/>
      <c r="X556" s="193"/>
      <c r="Y556" s="193"/>
      <c r="Z556" s="193"/>
      <c r="AA556" s="193"/>
      <c r="AB556" s="193"/>
      <c r="AC556" s="193"/>
      <c r="AD556" s="193"/>
      <c r="AE556" s="193"/>
      <c r="AF556" s="3"/>
      <c r="AG556" s="3"/>
      <c r="AH556" s="3"/>
      <c r="AI556" s="3"/>
      <c r="AJ556" s="3"/>
      <c r="AK556" s="3"/>
      <c r="AL556" s="3"/>
    </row>
    <row r="557" spans="1:38" ht="14.25" customHeight="1">
      <c r="A557" s="3"/>
      <c r="B557" s="3"/>
      <c r="C557" s="3"/>
      <c r="D557" s="3"/>
      <c r="E557" s="265"/>
      <c r="F557" s="265"/>
      <c r="G557" s="265"/>
      <c r="H557" s="265"/>
      <c r="I557" s="265"/>
      <c r="J557" s="260"/>
      <c r="K557" s="3"/>
      <c r="L557" s="265"/>
      <c r="M557" s="265"/>
      <c r="N557" s="265"/>
      <c r="O557" s="265"/>
      <c r="P557" s="265"/>
      <c r="Q557" s="260"/>
      <c r="R557" s="3"/>
      <c r="S557" s="265"/>
      <c r="T557" s="265"/>
      <c r="U557" s="265"/>
      <c r="V557" s="265"/>
      <c r="W557" s="265"/>
      <c r="X557" s="193"/>
      <c r="Y557" s="193"/>
      <c r="Z557" s="193"/>
      <c r="AA557" s="193"/>
      <c r="AB557" s="193"/>
      <c r="AC557" s="193"/>
      <c r="AD557" s="193"/>
      <c r="AE557" s="193"/>
      <c r="AF557" s="3"/>
      <c r="AG557" s="3"/>
      <c r="AH557" s="3"/>
      <c r="AI557" s="3"/>
      <c r="AJ557" s="3"/>
      <c r="AK557" s="3"/>
      <c r="AL557" s="3"/>
    </row>
    <row r="558" spans="1:38" ht="14.25" customHeight="1">
      <c r="A558" s="3"/>
      <c r="B558" s="3"/>
      <c r="C558" s="3"/>
      <c r="D558" s="3"/>
      <c r="E558" s="265"/>
      <c r="F558" s="265"/>
      <c r="G558" s="265"/>
      <c r="H558" s="265"/>
      <c r="I558" s="265"/>
      <c r="J558" s="260"/>
      <c r="K558" s="3"/>
      <c r="L558" s="265"/>
      <c r="M558" s="265"/>
      <c r="N558" s="265"/>
      <c r="O558" s="265"/>
      <c r="P558" s="265"/>
      <c r="Q558" s="260"/>
      <c r="R558" s="3"/>
      <c r="S558" s="265"/>
      <c r="T558" s="265"/>
      <c r="U558" s="265"/>
      <c r="V558" s="265"/>
      <c r="W558" s="265"/>
      <c r="X558" s="193"/>
      <c r="Y558" s="193"/>
      <c r="Z558" s="193"/>
      <c r="AA558" s="193"/>
      <c r="AB558" s="193"/>
      <c r="AC558" s="193"/>
      <c r="AD558" s="193"/>
      <c r="AE558" s="193"/>
      <c r="AF558" s="3"/>
      <c r="AG558" s="3"/>
      <c r="AH558" s="3"/>
      <c r="AI558" s="3"/>
      <c r="AJ558" s="3"/>
      <c r="AK558" s="3"/>
      <c r="AL558" s="3"/>
    </row>
    <row r="559" spans="1:38" ht="14.25" customHeight="1">
      <c r="A559" s="3"/>
      <c r="B559" s="3"/>
      <c r="C559" s="3"/>
      <c r="D559" s="3"/>
      <c r="E559" s="265"/>
      <c r="F559" s="265"/>
      <c r="G559" s="265"/>
      <c r="H559" s="265"/>
      <c r="I559" s="265"/>
      <c r="J559" s="260"/>
      <c r="K559" s="3"/>
      <c r="L559" s="265"/>
      <c r="M559" s="265"/>
      <c r="N559" s="265"/>
      <c r="O559" s="265"/>
      <c r="P559" s="265"/>
      <c r="Q559" s="260"/>
      <c r="R559" s="3"/>
      <c r="S559" s="265"/>
      <c r="T559" s="265"/>
      <c r="U559" s="265"/>
      <c r="V559" s="265"/>
      <c r="W559" s="265"/>
      <c r="X559" s="193"/>
      <c r="Y559" s="193"/>
      <c r="Z559" s="193"/>
      <c r="AA559" s="193"/>
      <c r="AB559" s="193"/>
      <c r="AC559" s="193"/>
      <c r="AD559" s="193"/>
      <c r="AE559" s="193"/>
      <c r="AF559" s="3"/>
      <c r="AG559" s="3"/>
      <c r="AH559" s="3"/>
      <c r="AI559" s="3"/>
      <c r="AJ559" s="3"/>
      <c r="AK559" s="3"/>
      <c r="AL559" s="3"/>
    </row>
    <row r="560" spans="1:38" ht="14.25" customHeight="1">
      <c r="A560" s="3"/>
      <c r="B560" s="3"/>
      <c r="C560" s="3"/>
      <c r="D560" s="3"/>
      <c r="E560" s="265"/>
      <c r="F560" s="265"/>
      <c r="G560" s="265"/>
      <c r="H560" s="265"/>
      <c r="I560" s="265"/>
      <c r="J560" s="260"/>
      <c r="K560" s="3"/>
      <c r="L560" s="265"/>
      <c r="M560" s="265"/>
      <c r="N560" s="265"/>
      <c r="O560" s="265"/>
      <c r="P560" s="265"/>
      <c r="Q560" s="260"/>
      <c r="R560" s="3"/>
      <c r="S560" s="265"/>
      <c r="T560" s="265"/>
      <c r="U560" s="265"/>
      <c r="V560" s="265"/>
      <c r="W560" s="265"/>
      <c r="X560" s="193"/>
      <c r="Y560" s="193"/>
      <c r="Z560" s="193"/>
      <c r="AA560" s="193"/>
      <c r="AB560" s="193"/>
      <c r="AC560" s="193"/>
      <c r="AD560" s="193"/>
      <c r="AE560" s="193"/>
      <c r="AF560" s="3"/>
      <c r="AG560" s="3"/>
      <c r="AH560" s="3"/>
      <c r="AI560" s="3"/>
      <c r="AJ560" s="3"/>
      <c r="AK560" s="3"/>
      <c r="AL560" s="3"/>
    </row>
    <row r="561" spans="1:38" ht="14.25" customHeight="1">
      <c r="A561" s="3"/>
      <c r="B561" s="3"/>
      <c r="C561" s="3"/>
      <c r="D561" s="3"/>
      <c r="E561" s="265"/>
      <c r="F561" s="265"/>
      <c r="G561" s="265"/>
      <c r="H561" s="265"/>
      <c r="I561" s="265"/>
      <c r="J561" s="260"/>
      <c r="K561" s="3"/>
      <c r="L561" s="265"/>
      <c r="M561" s="265"/>
      <c r="N561" s="265"/>
      <c r="O561" s="265"/>
      <c r="P561" s="265"/>
      <c r="Q561" s="260"/>
      <c r="R561" s="3"/>
      <c r="S561" s="265"/>
      <c r="T561" s="265"/>
      <c r="U561" s="265"/>
      <c r="V561" s="265"/>
      <c r="W561" s="265"/>
      <c r="X561" s="193"/>
      <c r="Y561" s="193"/>
      <c r="Z561" s="193"/>
      <c r="AA561" s="193"/>
      <c r="AB561" s="193"/>
      <c r="AC561" s="193"/>
      <c r="AD561" s="193"/>
      <c r="AE561" s="193"/>
      <c r="AF561" s="3"/>
      <c r="AG561" s="3"/>
      <c r="AH561" s="3"/>
      <c r="AI561" s="3"/>
      <c r="AJ561" s="3"/>
      <c r="AK561" s="3"/>
      <c r="AL561" s="3"/>
    </row>
    <row r="562" spans="1:38" ht="14.25" customHeight="1">
      <c r="A562" s="3"/>
      <c r="B562" s="3"/>
      <c r="C562" s="3"/>
      <c r="D562" s="3"/>
      <c r="E562" s="265"/>
      <c r="F562" s="265"/>
      <c r="G562" s="265"/>
      <c r="H562" s="265"/>
      <c r="I562" s="265"/>
      <c r="J562" s="260"/>
      <c r="K562" s="3"/>
      <c r="L562" s="265"/>
      <c r="M562" s="265"/>
      <c r="N562" s="265"/>
      <c r="O562" s="265"/>
      <c r="P562" s="265"/>
      <c r="Q562" s="260"/>
      <c r="R562" s="3"/>
      <c r="S562" s="265"/>
      <c r="T562" s="265"/>
      <c r="U562" s="265"/>
      <c r="V562" s="265"/>
      <c r="W562" s="265"/>
      <c r="X562" s="193"/>
      <c r="Y562" s="193"/>
      <c r="Z562" s="193"/>
      <c r="AA562" s="193"/>
      <c r="AB562" s="193"/>
      <c r="AC562" s="193"/>
      <c r="AD562" s="193"/>
      <c r="AE562" s="193"/>
      <c r="AF562" s="3"/>
      <c r="AG562" s="3"/>
      <c r="AH562" s="3"/>
      <c r="AI562" s="3"/>
      <c r="AJ562" s="3"/>
      <c r="AK562" s="3"/>
      <c r="AL562" s="3"/>
    </row>
    <row r="563" spans="1:38" ht="14.25" customHeight="1">
      <c r="A563" s="3"/>
      <c r="B563" s="3"/>
      <c r="C563" s="3"/>
      <c r="D563" s="3"/>
      <c r="E563" s="265"/>
      <c r="F563" s="265"/>
      <c r="G563" s="265"/>
      <c r="H563" s="265"/>
      <c r="I563" s="265"/>
      <c r="J563" s="260"/>
      <c r="K563" s="3"/>
      <c r="L563" s="265"/>
      <c r="M563" s="265"/>
      <c r="N563" s="265"/>
      <c r="O563" s="265"/>
      <c r="P563" s="265"/>
      <c r="Q563" s="260"/>
      <c r="R563" s="3"/>
      <c r="S563" s="265"/>
      <c r="T563" s="265"/>
      <c r="U563" s="265"/>
      <c r="V563" s="265"/>
      <c r="W563" s="265"/>
      <c r="X563" s="193"/>
      <c r="Y563" s="193"/>
      <c r="Z563" s="193"/>
      <c r="AA563" s="193"/>
      <c r="AB563" s="193"/>
      <c r="AC563" s="193"/>
      <c r="AD563" s="193"/>
      <c r="AE563" s="193"/>
      <c r="AF563" s="3"/>
      <c r="AG563" s="3"/>
      <c r="AH563" s="3"/>
      <c r="AI563" s="3"/>
      <c r="AJ563" s="3"/>
      <c r="AK563" s="3"/>
      <c r="AL563" s="3"/>
    </row>
    <row r="564" spans="1:38" ht="14.25" customHeight="1">
      <c r="A564" s="3"/>
      <c r="B564" s="3"/>
      <c r="C564" s="3"/>
      <c r="D564" s="3"/>
      <c r="E564" s="265"/>
      <c r="F564" s="265"/>
      <c r="G564" s="265"/>
      <c r="H564" s="265"/>
      <c r="I564" s="265"/>
      <c r="J564" s="260"/>
      <c r="K564" s="3"/>
      <c r="L564" s="265"/>
      <c r="M564" s="265"/>
      <c r="N564" s="265"/>
      <c r="O564" s="265"/>
      <c r="P564" s="265"/>
      <c r="Q564" s="260"/>
      <c r="R564" s="3"/>
      <c r="S564" s="265"/>
      <c r="T564" s="265"/>
      <c r="U564" s="265"/>
      <c r="V564" s="265"/>
      <c r="W564" s="265"/>
      <c r="X564" s="193"/>
      <c r="Y564" s="193"/>
      <c r="Z564" s="193"/>
      <c r="AA564" s="193"/>
      <c r="AB564" s="193"/>
      <c r="AC564" s="193"/>
      <c r="AD564" s="193"/>
      <c r="AE564" s="193"/>
      <c r="AF564" s="3"/>
      <c r="AG564" s="3"/>
      <c r="AH564" s="3"/>
      <c r="AI564" s="3"/>
      <c r="AJ564" s="3"/>
      <c r="AK564" s="3"/>
      <c r="AL564" s="3"/>
    </row>
    <row r="565" spans="1:38" ht="14.25" customHeight="1">
      <c r="A565" s="3"/>
      <c r="B565" s="3"/>
      <c r="C565" s="3"/>
      <c r="D565" s="3"/>
      <c r="E565" s="265"/>
      <c r="F565" s="265"/>
      <c r="G565" s="265"/>
      <c r="H565" s="265"/>
      <c r="I565" s="265"/>
      <c r="J565" s="260"/>
      <c r="K565" s="3"/>
      <c r="L565" s="265"/>
      <c r="M565" s="265"/>
      <c r="N565" s="265"/>
      <c r="O565" s="265"/>
      <c r="P565" s="265"/>
      <c r="Q565" s="260"/>
      <c r="R565" s="3"/>
      <c r="S565" s="265"/>
      <c r="T565" s="265"/>
      <c r="U565" s="265"/>
      <c r="V565" s="265"/>
      <c r="W565" s="265"/>
      <c r="X565" s="193"/>
      <c r="Y565" s="193"/>
      <c r="Z565" s="193"/>
      <c r="AA565" s="193"/>
      <c r="AB565" s="193"/>
      <c r="AC565" s="193"/>
      <c r="AD565" s="193"/>
      <c r="AE565" s="193"/>
      <c r="AF565" s="3"/>
      <c r="AG565" s="3"/>
      <c r="AH565" s="3"/>
      <c r="AI565" s="3"/>
      <c r="AJ565" s="3"/>
      <c r="AK565" s="3"/>
      <c r="AL565" s="3"/>
    </row>
    <row r="566" spans="1:38" ht="14.25" customHeight="1">
      <c r="A566" s="3"/>
      <c r="B566" s="3"/>
      <c r="C566" s="3"/>
      <c r="D566" s="3"/>
      <c r="E566" s="265"/>
      <c r="F566" s="265"/>
      <c r="G566" s="265"/>
      <c r="H566" s="265"/>
      <c r="I566" s="265"/>
      <c r="J566" s="260"/>
      <c r="K566" s="3"/>
      <c r="L566" s="265"/>
      <c r="M566" s="265"/>
      <c r="N566" s="265"/>
      <c r="O566" s="265"/>
      <c r="P566" s="265"/>
      <c r="Q566" s="260"/>
      <c r="R566" s="3"/>
      <c r="S566" s="265"/>
      <c r="T566" s="265"/>
      <c r="U566" s="265"/>
      <c r="V566" s="265"/>
      <c r="W566" s="265"/>
      <c r="X566" s="193"/>
      <c r="Y566" s="193"/>
      <c r="Z566" s="193"/>
      <c r="AA566" s="193"/>
      <c r="AB566" s="193"/>
      <c r="AC566" s="193"/>
      <c r="AD566" s="193"/>
      <c r="AE566" s="193"/>
      <c r="AF566" s="3"/>
      <c r="AG566" s="3"/>
      <c r="AH566" s="3"/>
      <c r="AI566" s="3"/>
      <c r="AJ566" s="3"/>
      <c r="AK566" s="3"/>
      <c r="AL566" s="3"/>
    </row>
    <row r="567" spans="1:38" ht="14.25" customHeight="1">
      <c r="A567" s="3"/>
      <c r="B567" s="3"/>
      <c r="C567" s="3"/>
      <c r="D567" s="3"/>
      <c r="E567" s="265"/>
      <c r="F567" s="265"/>
      <c r="G567" s="265"/>
      <c r="H567" s="265"/>
      <c r="I567" s="265"/>
      <c r="J567" s="260"/>
      <c r="K567" s="3"/>
      <c r="L567" s="265"/>
      <c r="M567" s="265"/>
      <c r="N567" s="265"/>
      <c r="O567" s="265"/>
      <c r="P567" s="265"/>
      <c r="Q567" s="260"/>
      <c r="R567" s="3"/>
      <c r="S567" s="265"/>
      <c r="T567" s="265"/>
      <c r="U567" s="265"/>
      <c r="V567" s="265"/>
      <c r="W567" s="265"/>
      <c r="X567" s="193"/>
      <c r="Y567" s="193"/>
      <c r="Z567" s="193"/>
      <c r="AA567" s="193"/>
      <c r="AB567" s="193"/>
      <c r="AC567" s="193"/>
      <c r="AD567" s="193"/>
      <c r="AE567" s="193"/>
      <c r="AF567" s="3"/>
      <c r="AG567" s="3"/>
      <c r="AH567" s="3"/>
      <c r="AI567" s="3"/>
      <c r="AJ567" s="3"/>
      <c r="AK567" s="3"/>
      <c r="AL567" s="3"/>
    </row>
    <row r="568" spans="1:38" ht="14.25" customHeight="1">
      <c r="A568" s="3"/>
      <c r="B568" s="3"/>
      <c r="C568" s="3"/>
      <c r="D568" s="3"/>
      <c r="E568" s="265"/>
      <c r="F568" s="265"/>
      <c r="G568" s="265"/>
      <c r="H568" s="265"/>
      <c r="I568" s="265"/>
      <c r="J568" s="260"/>
      <c r="K568" s="3"/>
      <c r="L568" s="265"/>
      <c r="M568" s="265"/>
      <c r="N568" s="265"/>
      <c r="O568" s="265"/>
      <c r="P568" s="265"/>
      <c r="Q568" s="260"/>
      <c r="R568" s="3"/>
      <c r="S568" s="265"/>
      <c r="T568" s="265"/>
      <c r="U568" s="265"/>
      <c r="V568" s="265"/>
      <c r="W568" s="265"/>
      <c r="X568" s="193"/>
      <c r="Y568" s="193"/>
      <c r="Z568" s="193"/>
      <c r="AA568" s="193"/>
      <c r="AB568" s="193"/>
      <c r="AC568" s="193"/>
      <c r="AD568" s="193"/>
      <c r="AE568" s="193"/>
      <c r="AF568" s="3"/>
      <c r="AG568" s="3"/>
      <c r="AH568" s="3"/>
      <c r="AI568" s="3"/>
      <c r="AJ568" s="3"/>
      <c r="AK568" s="3"/>
      <c r="AL568" s="3"/>
    </row>
    <row r="569" spans="1:38" ht="14.25" customHeight="1">
      <c r="A569" s="3"/>
      <c r="B569" s="3"/>
      <c r="C569" s="3"/>
      <c r="D569" s="3"/>
      <c r="E569" s="265"/>
      <c r="F569" s="265"/>
      <c r="G569" s="265"/>
      <c r="H569" s="265"/>
      <c r="I569" s="265"/>
      <c r="J569" s="260"/>
      <c r="K569" s="3"/>
      <c r="L569" s="265"/>
      <c r="M569" s="265"/>
      <c r="N569" s="265"/>
      <c r="O569" s="265"/>
      <c r="P569" s="265"/>
      <c r="Q569" s="260"/>
      <c r="R569" s="3"/>
      <c r="S569" s="265"/>
      <c r="T569" s="265"/>
      <c r="U569" s="265"/>
      <c r="V569" s="265"/>
      <c r="W569" s="265"/>
      <c r="X569" s="193"/>
      <c r="Y569" s="193"/>
      <c r="Z569" s="193"/>
      <c r="AA569" s="193"/>
      <c r="AB569" s="193"/>
      <c r="AC569" s="193"/>
      <c r="AD569" s="193"/>
      <c r="AE569" s="193"/>
      <c r="AF569" s="3"/>
      <c r="AG569" s="3"/>
      <c r="AH569" s="3"/>
      <c r="AI569" s="3"/>
      <c r="AJ569" s="3"/>
      <c r="AK569" s="3"/>
      <c r="AL569" s="3"/>
    </row>
    <row r="570" spans="1:38" ht="14.25" customHeight="1">
      <c r="A570" s="3"/>
      <c r="B570" s="3"/>
      <c r="C570" s="3"/>
      <c r="D570" s="3"/>
      <c r="E570" s="265"/>
      <c r="F570" s="265"/>
      <c r="G570" s="265"/>
      <c r="H570" s="265"/>
      <c r="I570" s="265"/>
      <c r="J570" s="260"/>
      <c r="K570" s="3"/>
      <c r="L570" s="265"/>
      <c r="M570" s="265"/>
      <c r="N570" s="265"/>
      <c r="O570" s="265"/>
      <c r="P570" s="265"/>
      <c r="Q570" s="260"/>
      <c r="R570" s="3"/>
      <c r="S570" s="265"/>
      <c r="T570" s="265"/>
      <c r="U570" s="265"/>
      <c r="V570" s="265"/>
      <c r="W570" s="265"/>
      <c r="X570" s="193"/>
      <c r="Y570" s="193"/>
      <c r="Z570" s="193"/>
      <c r="AA570" s="193"/>
      <c r="AB570" s="193"/>
      <c r="AC570" s="193"/>
      <c r="AD570" s="193"/>
      <c r="AE570" s="193"/>
      <c r="AF570" s="3"/>
      <c r="AG570" s="3"/>
      <c r="AH570" s="3"/>
      <c r="AI570" s="3"/>
      <c r="AJ570" s="3"/>
      <c r="AK570" s="3"/>
      <c r="AL570" s="3"/>
    </row>
    <row r="571" spans="1:38" ht="14.25" customHeight="1">
      <c r="A571" s="3"/>
      <c r="B571" s="3"/>
      <c r="C571" s="3"/>
      <c r="D571" s="3"/>
      <c r="E571" s="265"/>
      <c r="F571" s="265"/>
      <c r="G571" s="265"/>
      <c r="H571" s="265"/>
      <c r="I571" s="265"/>
      <c r="J571" s="260"/>
      <c r="K571" s="3"/>
      <c r="L571" s="265"/>
      <c r="M571" s="265"/>
      <c r="N571" s="265"/>
      <c r="O571" s="265"/>
      <c r="P571" s="265"/>
      <c r="Q571" s="260"/>
      <c r="R571" s="3"/>
      <c r="S571" s="265"/>
      <c r="T571" s="265"/>
      <c r="U571" s="265"/>
      <c r="V571" s="265"/>
      <c r="W571" s="265"/>
      <c r="X571" s="193"/>
      <c r="Y571" s="193"/>
      <c r="Z571" s="193"/>
      <c r="AA571" s="193"/>
      <c r="AB571" s="193"/>
      <c r="AC571" s="193"/>
      <c r="AD571" s="193"/>
      <c r="AE571" s="193"/>
      <c r="AF571" s="3"/>
      <c r="AG571" s="3"/>
      <c r="AH571" s="3"/>
      <c r="AI571" s="3"/>
      <c r="AJ571" s="3"/>
      <c r="AK571" s="3"/>
      <c r="AL571" s="3"/>
    </row>
    <row r="572" spans="1:38" ht="14.25" customHeight="1">
      <c r="A572" s="3"/>
      <c r="B572" s="3"/>
      <c r="C572" s="3"/>
      <c r="D572" s="3"/>
      <c r="E572" s="265"/>
      <c r="F572" s="265"/>
      <c r="G572" s="265"/>
      <c r="H572" s="265"/>
      <c r="I572" s="265"/>
      <c r="J572" s="260"/>
      <c r="K572" s="3"/>
      <c r="L572" s="265"/>
      <c r="M572" s="265"/>
      <c r="N572" s="265"/>
      <c r="O572" s="265"/>
      <c r="P572" s="265"/>
      <c r="Q572" s="260"/>
      <c r="R572" s="3"/>
      <c r="S572" s="265"/>
      <c r="T572" s="265"/>
      <c r="U572" s="265"/>
      <c r="V572" s="265"/>
      <c r="W572" s="265"/>
      <c r="X572" s="193"/>
      <c r="Y572" s="193"/>
      <c r="Z572" s="193"/>
      <c r="AA572" s="193"/>
      <c r="AB572" s="193"/>
      <c r="AC572" s="193"/>
      <c r="AD572" s="193"/>
      <c r="AE572" s="193"/>
      <c r="AF572" s="3"/>
      <c r="AG572" s="3"/>
      <c r="AH572" s="3"/>
      <c r="AI572" s="3"/>
      <c r="AJ572" s="3"/>
      <c r="AK572" s="3"/>
      <c r="AL572" s="3"/>
    </row>
    <row r="573" spans="1:38" ht="14.25" customHeight="1">
      <c r="A573" s="3"/>
      <c r="B573" s="3"/>
      <c r="C573" s="3"/>
      <c r="D573" s="3"/>
      <c r="E573" s="265"/>
      <c r="F573" s="265"/>
      <c r="G573" s="265"/>
      <c r="H573" s="265"/>
      <c r="I573" s="265"/>
      <c r="J573" s="260"/>
      <c r="K573" s="3"/>
      <c r="L573" s="265"/>
      <c r="M573" s="265"/>
      <c r="N573" s="265"/>
      <c r="O573" s="265"/>
      <c r="P573" s="265"/>
      <c r="Q573" s="260"/>
      <c r="R573" s="3"/>
      <c r="S573" s="265"/>
      <c r="T573" s="265"/>
      <c r="U573" s="265"/>
      <c r="V573" s="265"/>
      <c r="W573" s="265"/>
      <c r="X573" s="193"/>
      <c r="Y573" s="193"/>
      <c r="Z573" s="193"/>
      <c r="AA573" s="193"/>
      <c r="AB573" s="193"/>
      <c r="AC573" s="193"/>
      <c r="AD573" s="193"/>
      <c r="AE573" s="193"/>
      <c r="AF573" s="3"/>
      <c r="AG573" s="3"/>
      <c r="AH573" s="3"/>
      <c r="AI573" s="3"/>
      <c r="AJ573" s="3"/>
      <c r="AK573" s="3"/>
      <c r="AL573" s="3"/>
    </row>
    <row r="574" spans="1:38" ht="14.25" customHeight="1">
      <c r="A574" s="3"/>
      <c r="B574" s="3"/>
      <c r="C574" s="3"/>
      <c r="D574" s="3"/>
      <c r="E574" s="265"/>
      <c r="F574" s="265"/>
      <c r="G574" s="265"/>
      <c r="H574" s="265"/>
      <c r="I574" s="265"/>
      <c r="J574" s="260"/>
      <c r="K574" s="3"/>
      <c r="L574" s="265"/>
      <c r="M574" s="265"/>
      <c r="N574" s="265"/>
      <c r="O574" s="265"/>
      <c r="P574" s="265"/>
      <c r="Q574" s="260"/>
      <c r="R574" s="3"/>
      <c r="S574" s="265"/>
      <c r="T574" s="265"/>
      <c r="U574" s="265"/>
      <c r="V574" s="265"/>
      <c r="W574" s="265"/>
      <c r="X574" s="193"/>
      <c r="Y574" s="193"/>
      <c r="Z574" s="193"/>
      <c r="AA574" s="193"/>
      <c r="AB574" s="193"/>
      <c r="AC574" s="193"/>
      <c r="AD574" s="193"/>
      <c r="AE574" s="193"/>
      <c r="AF574" s="3"/>
      <c r="AG574" s="3"/>
      <c r="AH574" s="3"/>
      <c r="AI574" s="3"/>
      <c r="AJ574" s="3"/>
      <c r="AK574" s="3"/>
      <c r="AL574" s="3"/>
    </row>
    <row r="575" spans="1:38" ht="14.25" customHeight="1">
      <c r="A575" s="3"/>
      <c r="B575" s="3"/>
      <c r="C575" s="3"/>
      <c r="D575" s="3"/>
      <c r="E575" s="265"/>
      <c r="F575" s="265"/>
      <c r="G575" s="265"/>
      <c r="H575" s="265"/>
      <c r="I575" s="265"/>
      <c r="J575" s="260"/>
      <c r="K575" s="3"/>
      <c r="L575" s="265"/>
      <c r="M575" s="265"/>
      <c r="N575" s="265"/>
      <c r="O575" s="265"/>
      <c r="P575" s="265"/>
      <c r="Q575" s="260"/>
      <c r="R575" s="3"/>
      <c r="S575" s="265"/>
      <c r="T575" s="265"/>
      <c r="U575" s="265"/>
      <c r="V575" s="265"/>
      <c r="W575" s="265"/>
      <c r="X575" s="193"/>
      <c r="Y575" s="193"/>
      <c r="Z575" s="193"/>
      <c r="AA575" s="193"/>
      <c r="AB575" s="193"/>
      <c r="AC575" s="193"/>
      <c r="AD575" s="193"/>
      <c r="AE575" s="193"/>
      <c r="AF575" s="3"/>
      <c r="AG575" s="3"/>
      <c r="AH575" s="3"/>
      <c r="AI575" s="3"/>
      <c r="AJ575" s="3"/>
      <c r="AK575" s="3"/>
      <c r="AL575" s="3"/>
    </row>
    <row r="576" spans="1:38" ht="14.25" customHeight="1">
      <c r="A576" s="3"/>
      <c r="B576" s="3"/>
      <c r="C576" s="3"/>
      <c r="D576" s="3"/>
      <c r="E576" s="265"/>
      <c r="F576" s="265"/>
      <c r="G576" s="265"/>
      <c r="H576" s="265"/>
      <c r="I576" s="265"/>
      <c r="J576" s="260"/>
      <c r="K576" s="3"/>
      <c r="L576" s="265"/>
      <c r="M576" s="265"/>
      <c r="N576" s="265"/>
      <c r="O576" s="265"/>
      <c r="P576" s="265"/>
      <c r="Q576" s="260"/>
      <c r="R576" s="3"/>
      <c r="S576" s="265"/>
      <c r="T576" s="265"/>
      <c r="U576" s="265"/>
      <c r="V576" s="265"/>
      <c r="W576" s="265"/>
      <c r="X576" s="193"/>
      <c r="Y576" s="193"/>
      <c r="Z576" s="193"/>
      <c r="AA576" s="193"/>
      <c r="AB576" s="193"/>
      <c r="AC576" s="193"/>
      <c r="AD576" s="193"/>
      <c r="AE576" s="193"/>
      <c r="AF576" s="3"/>
      <c r="AG576" s="3"/>
      <c r="AH576" s="3"/>
      <c r="AI576" s="3"/>
      <c r="AJ576" s="3"/>
      <c r="AK576" s="3"/>
      <c r="AL576" s="3"/>
    </row>
    <row r="577" spans="1:38" ht="14.25" customHeight="1">
      <c r="A577" s="3"/>
      <c r="B577" s="3"/>
      <c r="C577" s="3"/>
      <c r="D577" s="3"/>
      <c r="E577" s="265"/>
      <c r="F577" s="265"/>
      <c r="G577" s="265"/>
      <c r="H577" s="265"/>
      <c r="I577" s="265"/>
      <c r="J577" s="260"/>
      <c r="K577" s="3"/>
      <c r="L577" s="265"/>
      <c r="M577" s="265"/>
      <c r="N577" s="265"/>
      <c r="O577" s="265"/>
      <c r="P577" s="265"/>
      <c r="Q577" s="260"/>
      <c r="R577" s="3"/>
      <c r="S577" s="265"/>
      <c r="T577" s="265"/>
      <c r="U577" s="265"/>
      <c r="V577" s="265"/>
      <c r="W577" s="265"/>
      <c r="X577" s="193"/>
      <c r="Y577" s="193"/>
      <c r="Z577" s="193"/>
      <c r="AA577" s="193"/>
      <c r="AB577" s="193"/>
      <c r="AC577" s="193"/>
      <c r="AD577" s="193"/>
      <c r="AE577" s="193"/>
      <c r="AF577" s="3"/>
      <c r="AG577" s="3"/>
      <c r="AH577" s="3"/>
      <c r="AI577" s="3"/>
      <c r="AJ577" s="3"/>
      <c r="AK577" s="3"/>
      <c r="AL577" s="3"/>
    </row>
    <row r="578" spans="1:38" ht="14.25" customHeight="1">
      <c r="A578" s="3"/>
      <c r="B578" s="3"/>
      <c r="C578" s="3"/>
      <c r="D578" s="3"/>
      <c r="E578" s="265"/>
      <c r="F578" s="265"/>
      <c r="G578" s="265"/>
      <c r="H578" s="265"/>
      <c r="I578" s="265"/>
      <c r="J578" s="260"/>
      <c r="K578" s="3"/>
      <c r="L578" s="265"/>
      <c r="M578" s="265"/>
      <c r="N578" s="265"/>
      <c r="O578" s="265"/>
      <c r="P578" s="265"/>
      <c r="Q578" s="260"/>
      <c r="R578" s="3"/>
      <c r="S578" s="265"/>
      <c r="T578" s="265"/>
      <c r="U578" s="265"/>
      <c r="V578" s="265"/>
      <c r="W578" s="265"/>
      <c r="X578" s="193"/>
      <c r="Y578" s="193"/>
      <c r="Z578" s="193"/>
      <c r="AA578" s="193"/>
      <c r="AB578" s="193"/>
      <c r="AC578" s="193"/>
      <c r="AD578" s="193"/>
      <c r="AE578" s="193"/>
      <c r="AF578" s="3"/>
      <c r="AG578" s="3"/>
      <c r="AH578" s="3"/>
      <c r="AI578" s="3"/>
      <c r="AJ578" s="3"/>
      <c r="AK578" s="3"/>
      <c r="AL578" s="3"/>
    </row>
    <row r="579" spans="1:38" ht="14.25" customHeight="1">
      <c r="A579" s="3"/>
      <c r="B579" s="3"/>
      <c r="C579" s="3"/>
      <c r="D579" s="3"/>
      <c r="E579" s="265"/>
      <c r="F579" s="265"/>
      <c r="G579" s="265"/>
      <c r="H579" s="265"/>
      <c r="I579" s="265"/>
      <c r="J579" s="260"/>
      <c r="K579" s="3"/>
      <c r="L579" s="265"/>
      <c r="M579" s="265"/>
      <c r="N579" s="265"/>
      <c r="O579" s="265"/>
      <c r="P579" s="265"/>
      <c r="Q579" s="260"/>
      <c r="R579" s="3"/>
      <c r="S579" s="265"/>
      <c r="T579" s="265"/>
      <c r="U579" s="265"/>
      <c r="V579" s="265"/>
      <c r="W579" s="265"/>
      <c r="X579" s="193"/>
      <c r="Y579" s="193"/>
      <c r="Z579" s="193"/>
      <c r="AA579" s="193"/>
      <c r="AB579" s="193"/>
      <c r="AC579" s="193"/>
      <c r="AD579" s="193"/>
      <c r="AE579" s="193"/>
      <c r="AF579" s="3"/>
      <c r="AG579" s="3"/>
      <c r="AH579" s="3"/>
      <c r="AI579" s="3"/>
      <c r="AJ579" s="3"/>
      <c r="AK579" s="3"/>
      <c r="AL579" s="3"/>
    </row>
    <row r="580" spans="1:38" ht="14.25" customHeight="1">
      <c r="A580" s="3"/>
      <c r="B580" s="3"/>
      <c r="C580" s="3"/>
      <c r="D580" s="3"/>
      <c r="E580" s="265"/>
      <c r="F580" s="265"/>
      <c r="G580" s="265"/>
      <c r="H580" s="265"/>
      <c r="I580" s="265"/>
      <c r="J580" s="260"/>
      <c r="K580" s="3"/>
      <c r="L580" s="265"/>
      <c r="M580" s="265"/>
      <c r="N580" s="265"/>
      <c r="O580" s="265"/>
      <c r="P580" s="265"/>
      <c r="Q580" s="260"/>
      <c r="R580" s="3"/>
      <c r="S580" s="265"/>
      <c r="T580" s="265"/>
      <c r="U580" s="265"/>
      <c r="V580" s="265"/>
      <c r="W580" s="265"/>
      <c r="X580" s="193"/>
      <c r="Y580" s="193"/>
      <c r="Z580" s="193"/>
      <c r="AA580" s="193"/>
      <c r="AB580" s="193"/>
      <c r="AC580" s="193"/>
      <c r="AD580" s="193"/>
      <c r="AE580" s="193"/>
      <c r="AF580" s="3"/>
      <c r="AG580" s="3"/>
      <c r="AH580" s="3"/>
      <c r="AI580" s="3"/>
      <c r="AJ580" s="3"/>
      <c r="AK580" s="3"/>
      <c r="AL580" s="3"/>
    </row>
    <row r="581" spans="1:38" ht="14.25" customHeight="1">
      <c r="A581" s="3"/>
      <c r="B581" s="3"/>
      <c r="C581" s="3"/>
      <c r="D581" s="3"/>
      <c r="E581" s="265"/>
      <c r="F581" s="265"/>
      <c r="G581" s="265"/>
      <c r="H581" s="265"/>
      <c r="I581" s="265"/>
      <c r="J581" s="260"/>
      <c r="K581" s="3"/>
      <c r="L581" s="265"/>
      <c r="M581" s="265"/>
      <c r="N581" s="265"/>
      <c r="O581" s="265"/>
      <c r="P581" s="265"/>
      <c r="Q581" s="260"/>
      <c r="R581" s="3"/>
      <c r="S581" s="265"/>
      <c r="T581" s="265"/>
      <c r="U581" s="265"/>
      <c r="V581" s="265"/>
      <c r="W581" s="265"/>
      <c r="X581" s="193"/>
      <c r="Y581" s="193"/>
      <c r="Z581" s="193"/>
      <c r="AA581" s="193"/>
      <c r="AB581" s="193"/>
      <c r="AC581" s="193"/>
      <c r="AD581" s="193"/>
      <c r="AE581" s="193"/>
      <c r="AF581" s="3"/>
      <c r="AG581" s="3"/>
      <c r="AH581" s="3"/>
      <c r="AI581" s="3"/>
      <c r="AJ581" s="3"/>
      <c r="AK581" s="3"/>
      <c r="AL581" s="3"/>
    </row>
    <row r="582" spans="1:38" ht="14.25" customHeight="1">
      <c r="A582" s="3"/>
      <c r="B582" s="3"/>
      <c r="C582" s="3"/>
      <c r="D582" s="3"/>
      <c r="E582" s="265"/>
      <c r="F582" s="265"/>
      <c r="G582" s="265"/>
      <c r="H582" s="265"/>
      <c r="I582" s="265"/>
      <c r="J582" s="260"/>
      <c r="K582" s="3"/>
      <c r="L582" s="265"/>
      <c r="M582" s="265"/>
      <c r="N582" s="265"/>
      <c r="O582" s="265"/>
      <c r="P582" s="265"/>
      <c r="Q582" s="260"/>
      <c r="R582" s="3"/>
      <c r="S582" s="265"/>
      <c r="T582" s="265"/>
      <c r="U582" s="265"/>
      <c r="V582" s="265"/>
      <c r="W582" s="265"/>
      <c r="X582" s="193"/>
      <c r="Y582" s="193"/>
      <c r="Z582" s="193"/>
      <c r="AA582" s="193"/>
      <c r="AB582" s="193"/>
      <c r="AC582" s="193"/>
      <c r="AD582" s="193"/>
      <c r="AE582" s="193"/>
      <c r="AF582" s="3"/>
      <c r="AG582" s="3"/>
      <c r="AH582" s="3"/>
      <c r="AI582" s="3"/>
      <c r="AJ582" s="3"/>
      <c r="AK582" s="3"/>
      <c r="AL582" s="3"/>
    </row>
    <row r="583" spans="1:38" ht="14.25" customHeight="1">
      <c r="A583" s="3"/>
      <c r="B583" s="3"/>
      <c r="C583" s="3"/>
      <c r="D583" s="3"/>
      <c r="E583" s="265"/>
      <c r="F583" s="265"/>
      <c r="G583" s="265"/>
      <c r="H583" s="265"/>
      <c r="I583" s="265"/>
      <c r="J583" s="260"/>
      <c r="K583" s="3"/>
      <c r="L583" s="265"/>
      <c r="M583" s="265"/>
      <c r="N583" s="265"/>
      <c r="O583" s="265"/>
      <c r="P583" s="265"/>
      <c r="Q583" s="260"/>
      <c r="R583" s="3"/>
      <c r="S583" s="265"/>
      <c r="T583" s="265"/>
      <c r="U583" s="265"/>
      <c r="V583" s="265"/>
      <c r="W583" s="265"/>
      <c r="X583" s="193"/>
      <c r="Y583" s="193"/>
      <c r="Z583" s="193"/>
      <c r="AA583" s="193"/>
      <c r="AB583" s="193"/>
      <c r="AC583" s="193"/>
      <c r="AD583" s="193"/>
      <c r="AE583" s="193"/>
      <c r="AF583" s="3"/>
      <c r="AG583" s="3"/>
      <c r="AH583" s="3"/>
      <c r="AI583" s="3"/>
      <c r="AJ583" s="3"/>
      <c r="AK583" s="3"/>
      <c r="AL583" s="3"/>
    </row>
    <row r="584" spans="1:38" ht="14.25" customHeight="1">
      <c r="A584" s="3"/>
      <c r="B584" s="3"/>
      <c r="C584" s="3"/>
      <c r="D584" s="3"/>
      <c r="E584" s="265"/>
      <c r="F584" s="265"/>
      <c r="G584" s="265"/>
      <c r="H584" s="265"/>
      <c r="I584" s="265"/>
      <c r="J584" s="260"/>
      <c r="K584" s="3"/>
      <c r="L584" s="265"/>
      <c r="M584" s="265"/>
      <c r="N584" s="265"/>
      <c r="O584" s="265"/>
      <c r="P584" s="265"/>
      <c r="Q584" s="260"/>
      <c r="R584" s="3"/>
      <c r="S584" s="265"/>
      <c r="T584" s="265"/>
      <c r="U584" s="265"/>
      <c r="V584" s="265"/>
      <c r="W584" s="265"/>
      <c r="X584" s="193"/>
      <c r="Y584" s="193"/>
      <c r="Z584" s="193"/>
      <c r="AA584" s="193"/>
      <c r="AB584" s="193"/>
      <c r="AC584" s="193"/>
      <c r="AD584" s="193"/>
      <c r="AE584" s="193"/>
      <c r="AF584" s="3"/>
      <c r="AG584" s="3"/>
      <c r="AH584" s="3"/>
      <c r="AI584" s="3"/>
      <c r="AJ584" s="3"/>
      <c r="AK584" s="3"/>
      <c r="AL584" s="3"/>
    </row>
    <row r="585" spans="1:38" ht="14.25" customHeight="1">
      <c r="A585" s="3"/>
      <c r="B585" s="3"/>
      <c r="C585" s="3"/>
      <c r="D585" s="3"/>
      <c r="E585" s="265"/>
      <c r="F585" s="265"/>
      <c r="G585" s="265"/>
      <c r="H585" s="265"/>
      <c r="I585" s="265"/>
      <c r="J585" s="260"/>
      <c r="K585" s="3"/>
      <c r="L585" s="265"/>
      <c r="M585" s="265"/>
      <c r="N585" s="265"/>
      <c r="O585" s="265"/>
      <c r="P585" s="265"/>
      <c r="Q585" s="260"/>
      <c r="R585" s="3"/>
      <c r="S585" s="265"/>
      <c r="T585" s="265"/>
      <c r="U585" s="265"/>
      <c r="V585" s="265"/>
      <c r="W585" s="265"/>
      <c r="X585" s="193"/>
      <c r="Y585" s="193"/>
      <c r="Z585" s="193"/>
      <c r="AA585" s="193"/>
      <c r="AB585" s="193"/>
      <c r="AC585" s="193"/>
      <c r="AD585" s="193"/>
      <c r="AE585" s="193"/>
      <c r="AF585" s="3"/>
      <c r="AG585" s="3"/>
      <c r="AH585" s="3"/>
      <c r="AI585" s="3"/>
      <c r="AJ585" s="3"/>
      <c r="AK585" s="3"/>
      <c r="AL585" s="3"/>
    </row>
    <row r="586" spans="1:38" ht="14.25" customHeight="1">
      <c r="A586" s="3"/>
      <c r="B586" s="3"/>
      <c r="C586" s="3"/>
      <c r="D586" s="3"/>
      <c r="E586" s="265"/>
      <c r="F586" s="265"/>
      <c r="G586" s="265"/>
      <c r="H586" s="265"/>
      <c r="I586" s="265"/>
      <c r="J586" s="260"/>
      <c r="K586" s="3"/>
      <c r="L586" s="265"/>
      <c r="M586" s="265"/>
      <c r="N586" s="265"/>
      <c r="O586" s="265"/>
      <c r="P586" s="265"/>
      <c r="Q586" s="260"/>
      <c r="R586" s="3"/>
      <c r="S586" s="265"/>
      <c r="T586" s="265"/>
      <c r="U586" s="265"/>
      <c r="V586" s="265"/>
      <c r="W586" s="265"/>
      <c r="X586" s="193"/>
      <c r="Y586" s="193"/>
      <c r="Z586" s="193"/>
      <c r="AA586" s="193"/>
      <c r="AB586" s="193"/>
      <c r="AC586" s="193"/>
      <c r="AD586" s="193"/>
      <c r="AE586" s="193"/>
      <c r="AF586" s="3"/>
      <c r="AG586" s="3"/>
      <c r="AH586" s="3"/>
      <c r="AI586" s="3"/>
      <c r="AJ586" s="3"/>
      <c r="AK586" s="3"/>
      <c r="AL586" s="3"/>
    </row>
    <row r="587" spans="1:38" ht="14.25" customHeight="1">
      <c r="A587" s="3"/>
      <c r="B587" s="3"/>
      <c r="C587" s="3"/>
      <c r="D587" s="3"/>
      <c r="E587" s="265"/>
      <c r="F587" s="265"/>
      <c r="G587" s="265"/>
      <c r="H587" s="265"/>
      <c r="I587" s="265"/>
      <c r="J587" s="260"/>
      <c r="K587" s="3"/>
      <c r="L587" s="265"/>
      <c r="M587" s="265"/>
      <c r="N587" s="265"/>
      <c r="O587" s="265"/>
      <c r="P587" s="265"/>
      <c r="Q587" s="260"/>
      <c r="R587" s="3"/>
      <c r="S587" s="265"/>
      <c r="T587" s="265"/>
      <c r="U587" s="265"/>
      <c r="V587" s="265"/>
      <c r="W587" s="265"/>
      <c r="X587" s="193"/>
      <c r="Y587" s="193"/>
      <c r="Z587" s="193"/>
      <c r="AA587" s="193"/>
      <c r="AB587" s="193"/>
      <c r="AC587" s="193"/>
      <c r="AD587" s="193"/>
      <c r="AE587" s="193"/>
      <c r="AF587" s="3"/>
      <c r="AG587" s="3"/>
      <c r="AH587" s="3"/>
      <c r="AI587" s="3"/>
      <c r="AJ587" s="3"/>
      <c r="AK587" s="3"/>
      <c r="AL587" s="3"/>
    </row>
    <row r="588" spans="1:38" ht="14.25" customHeight="1">
      <c r="A588" s="3"/>
      <c r="B588" s="3"/>
      <c r="C588" s="3"/>
      <c r="D588" s="3"/>
      <c r="E588" s="265"/>
      <c r="F588" s="265"/>
      <c r="G588" s="265"/>
      <c r="H588" s="265"/>
      <c r="I588" s="265"/>
      <c r="J588" s="260"/>
      <c r="K588" s="3"/>
      <c r="L588" s="265"/>
      <c r="M588" s="265"/>
      <c r="N588" s="265"/>
      <c r="O588" s="265"/>
      <c r="P588" s="265"/>
      <c r="Q588" s="260"/>
      <c r="R588" s="3"/>
      <c r="S588" s="265"/>
      <c r="T588" s="265"/>
      <c r="U588" s="265"/>
      <c r="V588" s="265"/>
      <c r="W588" s="265"/>
      <c r="X588" s="193"/>
      <c r="Y588" s="193"/>
      <c r="Z588" s="193"/>
      <c r="AA588" s="193"/>
      <c r="AB588" s="193"/>
      <c r="AC588" s="193"/>
      <c r="AD588" s="193"/>
      <c r="AE588" s="193"/>
      <c r="AF588" s="3"/>
      <c r="AG588" s="3"/>
      <c r="AH588" s="3"/>
      <c r="AI588" s="3"/>
      <c r="AJ588" s="3"/>
      <c r="AK588" s="3"/>
      <c r="AL588" s="3"/>
    </row>
    <row r="589" spans="1:38" ht="14.25" customHeight="1">
      <c r="A589" s="3"/>
      <c r="B589" s="3"/>
      <c r="C589" s="3"/>
      <c r="D589" s="3"/>
      <c r="E589" s="265"/>
      <c r="F589" s="265"/>
      <c r="G589" s="265"/>
      <c r="H589" s="265"/>
      <c r="I589" s="265"/>
      <c r="J589" s="260"/>
      <c r="K589" s="3"/>
      <c r="L589" s="265"/>
      <c r="M589" s="265"/>
      <c r="N589" s="265"/>
      <c r="O589" s="265"/>
      <c r="P589" s="265"/>
      <c r="Q589" s="260"/>
      <c r="R589" s="3"/>
      <c r="S589" s="265"/>
      <c r="T589" s="265"/>
      <c r="U589" s="265"/>
      <c r="V589" s="265"/>
      <c r="W589" s="265"/>
      <c r="X589" s="193"/>
      <c r="Y589" s="193"/>
      <c r="Z589" s="193"/>
      <c r="AA589" s="193"/>
      <c r="AB589" s="193"/>
      <c r="AC589" s="193"/>
      <c r="AD589" s="193"/>
      <c r="AE589" s="193"/>
      <c r="AF589" s="3"/>
      <c r="AG589" s="3"/>
      <c r="AH589" s="3"/>
      <c r="AI589" s="3"/>
      <c r="AJ589" s="3"/>
      <c r="AK589" s="3"/>
      <c r="AL589" s="3"/>
    </row>
    <row r="590" spans="1:38" ht="14.25" customHeight="1">
      <c r="A590" s="3"/>
      <c r="B590" s="3"/>
      <c r="C590" s="3"/>
      <c r="D590" s="3"/>
      <c r="E590" s="265"/>
      <c r="F590" s="265"/>
      <c r="G590" s="265"/>
      <c r="H590" s="265"/>
      <c r="I590" s="265"/>
      <c r="J590" s="260"/>
      <c r="K590" s="3"/>
      <c r="L590" s="265"/>
      <c r="M590" s="265"/>
      <c r="N590" s="265"/>
      <c r="O590" s="265"/>
      <c r="P590" s="265"/>
      <c r="Q590" s="260"/>
      <c r="R590" s="3"/>
      <c r="S590" s="265"/>
      <c r="T590" s="265"/>
      <c r="U590" s="265"/>
      <c r="V590" s="265"/>
      <c r="W590" s="265"/>
      <c r="X590" s="193"/>
      <c r="Y590" s="193"/>
      <c r="Z590" s="193"/>
      <c r="AA590" s="193"/>
      <c r="AB590" s="193"/>
      <c r="AC590" s="193"/>
      <c r="AD590" s="193"/>
      <c r="AE590" s="193"/>
      <c r="AF590" s="3"/>
      <c r="AG590" s="3"/>
      <c r="AH590" s="3"/>
      <c r="AI590" s="3"/>
      <c r="AJ590" s="3"/>
      <c r="AK590" s="3"/>
      <c r="AL590" s="3"/>
    </row>
    <row r="591" spans="1:38" ht="14.25" customHeight="1">
      <c r="A591" s="3"/>
      <c r="B591" s="3"/>
      <c r="C591" s="3"/>
      <c r="D591" s="3"/>
      <c r="E591" s="265"/>
      <c r="F591" s="265"/>
      <c r="G591" s="265"/>
      <c r="H591" s="265"/>
      <c r="I591" s="265"/>
      <c r="J591" s="260"/>
      <c r="K591" s="3"/>
      <c r="L591" s="265"/>
      <c r="M591" s="265"/>
      <c r="N591" s="265"/>
      <c r="O591" s="265"/>
      <c r="P591" s="265"/>
      <c r="Q591" s="260"/>
      <c r="R591" s="3"/>
      <c r="S591" s="265"/>
      <c r="T591" s="265"/>
      <c r="U591" s="265"/>
      <c r="V591" s="265"/>
      <c r="W591" s="265"/>
      <c r="X591" s="193"/>
      <c r="Y591" s="193"/>
      <c r="Z591" s="193"/>
      <c r="AA591" s="193"/>
      <c r="AB591" s="193"/>
      <c r="AC591" s="193"/>
      <c r="AD591" s="193"/>
      <c r="AE591" s="193"/>
      <c r="AF591" s="3"/>
      <c r="AG591" s="3"/>
      <c r="AH591" s="3"/>
      <c r="AI591" s="3"/>
      <c r="AJ591" s="3"/>
      <c r="AK591" s="3"/>
      <c r="AL591" s="3"/>
    </row>
    <row r="592" spans="1:38" ht="14.25" customHeight="1">
      <c r="A592" s="3"/>
      <c r="B592" s="3"/>
      <c r="C592" s="3"/>
      <c r="D592" s="3"/>
      <c r="E592" s="265"/>
      <c r="F592" s="265"/>
      <c r="G592" s="265"/>
      <c r="H592" s="265"/>
      <c r="I592" s="265"/>
      <c r="J592" s="260"/>
      <c r="K592" s="3"/>
      <c r="L592" s="265"/>
      <c r="M592" s="265"/>
      <c r="N592" s="265"/>
      <c r="O592" s="265"/>
      <c r="P592" s="265"/>
      <c r="Q592" s="260"/>
      <c r="R592" s="3"/>
      <c r="S592" s="265"/>
      <c r="T592" s="265"/>
      <c r="U592" s="265"/>
      <c r="V592" s="265"/>
      <c r="W592" s="265"/>
      <c r="X592" s="193"/>
      <c r="Y592" s="193"/>
      <c r="Z592" s="193"/>
      <c r="AA592" s="193"/>
      <c r="AB592" s="193"/>
      <c r="AC592" s="193"/>
      <c r="AD592" s="193"/>
      <c r="AE592" s="193"/>
      <c r="AF592" s="3"/>
      <c r="AG592" s="3"/>
      <c r="AH592" s="3"/>
      <c r="AI592" s="3"/>
      <c r="AJ592" s="3"/>
      <c r="AK592" s="3"/>
      <c r="AL592" s="3"/>
    </row>
    <row r="593" spans="1:38" ht="14.25" customHeight="1">
      <c r="A593" s="3"/>
      <c r="B593" s="3"/>
      <c r="C593" s="3"/>
      <c r="D593" s="3"/>
      <c r="E593" s="265"/>
      <c r="F593" s="265"/>
      <c r="G593" s="265"/>
      <c r="H593" s="265"/>
      <c r="I593" s="265"/>
      <c r="J593" s="260"/>
      <c r="K593" s="3"/>
      <c r="L593" s="265"/>
      <c r="M593" s="265"/>
      <c r="N593" s="265"/>
      <c r="O593" s="265"/>
      <c r="P593" s="265"/>
      <c r="Q593" s="260"/>
      <c r="R593" s="3"/>
      <c r="S593" s="265"/>
      <c r="T593" s="265"/>
      <c r="U593" s="265"/>
      <c r="V593" s="265"/>
      <c r="W593" s="265"/>
      <c r="X593" s="193"/>
      <c r="Y593" s="193"/>
      <c r="Z593" s="193"/>
      <c r="AA593" s="193"/>
      <c r="AB593" s="193"/>
      <c r="AC593" s="193"/>
      <c r="AD593" s="193"/>
      <c r="AE593" s="193"/>
      <c r="AF593" s="3"/>
      <c r="AG593" s="3"/>
      <c r="AH593" s="3"/>
      <c r="AI593" s="3"/>
      <c r="AJ593" s="3"/>
      <c r="AK593" s="3"/>
      <c r="AL593" s="3"/>
    </row>
    <row r="594" spans="1:38" ht="14.25" customHeight="1">
      <c r="A594" s="3"/>
      <c r="B594" s="3"/>
      <c r="C594" s="3"/>
      <c r="D594" s="3"/>
      <c r="E594" s="265"/>
      <c r="F594" s="265"/>
      <c r="G594" s="265"/>
      <c r="H594" s="265"/>
      <c r="I594" s="265"/>
      <c r="J594" s="260"/>
      <c r="K594" s="3"/>
      <c r="L594" s="265"/>
      <c r="M594" s="265"/>
      <c r="N594" s="265"/>
      <c r="O594" s="265"/>
      <c r="P594" s="265"/>
      <c r="Q594" s="260"/>
      <c r="R594" s="3"/>
      <c r="S594" s="265"/>
      <c r="T594" s="265"/>
      <c r="U594" s="265"/>
      <c r="V594" s="265"/>
      <c r="W594" s="265"/>
      <c r="X594" s="193"/>
      <c r="Y594" s="193"/>
      <c r="Z594" s="193"/>
      <c r="AA594" s="193"/>
      <c r="AB594" s="193"/>
      <c r="AC594" s="193"/>
      <c r="AD594" s="193"/>
      <c r="AE594" s="193"/>
      <c r="AF594" s="3"/>
      <c r="AG594" s="3"/>
      <c r="AH594" s="3"/>
      <c r="AI594" s="3"/>
      <c r="AJ594" s="3"/>
      <c r="AK594" s="3"/>
      <c r="AL594" s="3"/>
    </row>
    <row r="595" spans="1:38" ht="14.25" customHeight="1">
      <c r="A595" s="3"/>
      <c r="B595" s="3"/>
      <c r="C595" s="3"/>
      <c r="D595" s="3"/>
      <c r="E595" s="265"/>
      <c r="F595" s="265"/>
      <c r="G595" s="265"/>
      <c r="H595" s="265"/>
      <c r="I595" s="265"/>
      <c r="J595" s="260"/>
      <c r="K595" s="3"/>
      <c r="L595" s="265"/>
      <c r="M595" s="265"/>
      <c r="N595" s="265"/>
      <c r="O595" s="265"/>
      <c r="P595" s="265"/>
      <c r="Q595" s="260"/>
      <c r="R595" s="3"/>
      <c r="S595" s="265"/>
      <c r="T595" s="265"/>
      <c r="U595" s="265"/>
      <c r="V595" s="265"/>
      <c r="W595" s="265"/>
      <c r="X595" s="193"/>
      <c r="Y595" s="193"/>
      <c r="Z595" s="193"/>
      <c r="AA595" s="193"/>
      <c r="AB595" s="193"/>
      <c r="AC595" s="193"/>
      <c r="AD595" s="193"/>
      <c r="AE595" s="193"/>
      <c r="AF595" s="3"/>
      <c r="AG595" s="3"/>
      <c r="AH595" s="3"/>
      <c r="AI595" s="3"/>
      <c r="AJ595" s="3"/>
      <c r="AK595" s="3"/>
      <c r="AL595" s="3"/>
    </row>
    <row r="596" spans="1:38" ht="14.25" customHeight="1">
      <c r="A596" s="3"/>
      <c r="B596" s="3"/>
      <c r="C596" s="3"/>
      <c r="D596" s="3"/>
      <c r="E596" s="265"/>
      <c r="F596" s="265"/>
      <c r="G596" s="265"/>
      <c r="H596" s="265"/>
      <c r="I596" s="265"/>
      <c r="J596" s="260"/>
      <c r="K596" s="3"/>
      <c r="L596" s="265"/>
      <c r="M596" s="265"/>
      <c r="N596" s="265"/>
      <c r="O596" s="265"/>
      <c r="P596" s="265"/>
      <c r="Q596" s="260"/>
      <c r="R596" s="3"/>
      <c r="S596" s="265"/>
      <c r="T596" s="265"/>
      <c r="U596" s="265"/>
      <c r="V596" s="265"/>
      <c r="W596" s="265"/>
      <c r="X596" s="193"/>
      <c r="Y596" s="193"/>
      <c r="Z596" s="193"/>
      <c r="AA596" s="193"/>
      <c r="AB596" s="193"/>
      <c r="AC596" s="193"/>
      <c r="AD596" s="193"/>
      <c r="AE596" s="193"/>
      <c r="AF596" s="3"/>
      <c r="AG596" s="3"/>
      <c r="AH596" s="3"/>
      <c r="AI596" s="3"/>
      <c r="AJ596" s="3"/>
      <c r="AK596" s="3"/>
      <c r="AL596" s="3"/>
    </row>
    <row r="597" spans="1:38" ht="14.25" customHeight="1">
      <c r="A597" s="3"/>
      <c r="B597" s="3"/>
      <c r="C597" s="3"/>
      <c r="D597" s="3"/>
      <c r="E597" s="265"/>
      <c r="F597" s="265"/>
      <c r="G597" s="265"/>
      <c r="H597" s="265"/>
      <c r="I597" s="265"/>
      <c r="J597" s="260"/>
      <c r="K597" s="3"/>
      <c r="L597" s="265"/>
      <c r="M597" s="265"/>
      <c r="N597" s="265"/>
      <c r="O597" s="265"/>
      <c r="P597" s="265"/>
      <c r="Q597" s="260"/>
      <c r="R597" s="3"/>
      <c r="S597" s="265"/>
      <c r="T597" s="265"/>
      <c r="U597" s="265"/>
      <c r="V597" s="265"/>
      <c r="W597" s="265"/>
      <c r="X597" s="193"/>
      <c r="Y597" s="193"/>
      <c r="Z597" s="193"/>
      <c r="AA597" s="193"/>
      <c r="AB597" s="193"/>
      <c r="AC597" s="193"/>
      <c r="AD597" s="193"/>
      <c r="AE597" s="193"/>
      <c r="AF597" s="3"/>
      <c r="AG597" s="3"/>
      <c r="AH597" s="3"/>
      <c r="AI597" s="3"/>
      <c r="AJ597" s="3"/>
      <c r="AK597" s="3"/>
      <c r="AL597" s="3"/>
    </row>
    <row r="598" spans="1:38" ht="14.25" customHeight="1">
      <c r="A598" s="3"/>
      <c r="B598" s="3"/>
      <c r="C598" s="3"/>
      <c r="D598" s="3"/>
      <c r="E598" s="265"/>
      <c r="F598" s="265"/>
      <c r="G598" s="265"/>
      <c r="H598" s="265"/>
      <c r="I598" s="265"/>
      <c r="J598" s="260"/>
      <c r="K598" s="3"/>
      <c r="L598" s="265"/>
      <c r="M598" s="265"/>
      <c r="N598" s="265"/>
      <c r="O598" s="265"/>
      <c r="P598" s="265"/>
      <c r="Q598" s="260"/>
      <c r="R598" s="3"/>
      <c r="S598" s="265"/>
      <c r="T598" s="265"/>
      <c r="U598" s="265"/>
      <c r="V598" s="265"/>
      <c r="W598" s="265"/>
      <c r="X598" s="193"/>
      <c r="Y598" s="193"/>
      <c r="Z598" s="193"/>
      <c r="AA598" s="193"/>
      <c r="AB598" s="193"/>
      <c r="AC598" s="193"/>
      <c r="AD598" s="193"/>
      <c r="AE598" s="193"/>
      <c r="AF598" s="3"/>
      <c r="AG598" s="3"/>
      <c r="AH598" s="3"/>
      <c r="AI598" s="3"/>
      <c r="AJ598" s="3"/>
      <c r="AK598" s="3"/>
      <c r="AL598" s="3"/>
    </row>
    <row r="599" spans="1:38" ht="14.25" customHeight="1">
      <c r="A599" s="3"/>
      <c r="B599" s="3"/>
      <c r="C599" s="3"/>
      <c r="D599" s="3"/>
      <c r="E599" s="265"/>
      <c r="F599" s="265"/>
      <c r="G599" s="265"/>
      <c r="H599" s="265"/>
      <c r="I599" s="265"/>
      <c r="J599" s="260"/>
      <c r="K599" s="3"/>
      <c r="L599" s="265"/>
      <c r="M599" s="265"/>
      <c r="N599" s="265"/>
      <c r="O599" s="265"/>
      <c r="P599" s="265"/>
      <c r="Q599" s="260"/>
      <c r="R599" s="3"/>
      <c r="S599" s="265"/>
      <c r="T599" s="265"/>
      <c r="U599" s="265"/>
      <c r="V599" s="265"/>
      <c r="W599" s="265"/>
      <c r="X599" s="193"/>
      <c r="Y599" s="193"/>
      <c r="Z599" s="193"/>
      <c r="AA599" s="193"/>
      <c r="AB599" s="193"/>
      <c r="AC599" s="193"/>
      <c r="AD599" s="193"/>
      <c r="AE599" s="193"/>
      <c r="AF599" s="3"/>
      <c r="AG599" s="3"/>
      <c r="AH599" s="3"/>
      <c r="AI599" s="3"/>
      <c r="AJ599" s="3"/>
      <c r="AK599" s="3"/>
      <c r="AL599" s="3"/>
    </row>
    <row r="600" spans="1:38" ht="14.25" customHeight="1">
      <c r="A600" s="3"/>
      <c r="B600" s="3"/>
      <c r="C600" s="3"/>
      <c r="D600" s="3"/>
      <c r="E600" s="265"/>
      <c r="F600" s="265"/>
      <c r="G600" s="265"/>
      <c r="H600" s="265"/>
      <c r="I600" s="265"/>
      <c r="J600" s="260"/>
      <c r="K600" s="3"/>
      <c r="L600" s="265"/>
      <c r="M600" s="265"/>
      <c r="N600" s="265"/>
      <c r="O600" s="265"/>
      <c r="P600" s="265"/>
      <c r="Q600" s="260"/>
      <c r="R600" s="3"/>
      <c r="S600" s="265"/>
      <c r="T600" s="265"/>
      <c r="U600" s="265"/>
      <c r="V600" s="265"/>
      <c r="W600" s="265"/>
      <c r="X600" s="193"/>
      <c r="Y600" s="193"/>
      <c r="Z600" s="193"/>
      <c r="AA600" s="193"/>
      <c r="AB600" s="193"/>
      <c r="AC600" s="193"/>
      <c r="AD600" s="193"/>
      <c r="AE600" s="193"/>
      <c r="AF600" s="3"/>
      <c r="AG600" s="3"/>
      <c r="AH600" s="3"/>
      <c r="AI600" s="3"/>
      <c r="AJ600" s="3"/>
      <c r="AK600" s="3"/>
      <c r="AL600" s="3"/>
    </row>
    <row r="601" spans="1:38" ht="14.25" customHeight="1">
      <c r="A601" s="3"/>
      <c r="B601" s="3"/>
      <c r="C601" s="3"/>
      <c r="D601" s="3"/>
      <c r="E601" s="265"/>
      <c r="F601" s="265"/>
      <c r="G601" s="265"/>
      <c r="H601" s="265"/>
      <c r="I601" s="265"/>
      <c r="J601" s="260"/>
      <c r="K601" s="3"/>
      <c r="L601" s="265"/>
      <c r="M601" s="265"/>
      <c r="N601" s="265"/>
      <c r="O601" s="265"/>
      <c r="P601" s="265"/>
      <c r="Q601" s="260"/>
      <c r="R601" s="3"/>
      <c r="S601" s="265"/>
      <c r="T601" s="265"/>
      <c r="U601" s="265"/>
      <c r="V601" s="265"/>
      <c r="W601" s="265"/>
      <c r="X601" s="193"/>
      <c r="Y601" s="193"/>
      <c r="Z601" s="193"/>
      <c r="AA601" s="193"/>
      <c r="AB601" s="193"/>
      <c r="AC601" s="193"/>
      <c r="AD601" s="193"/>
      <c r="AE601" s="193"/>
      <c r="AF601" s="3"/>
      <c r="AG601" s="3"/>
      <c r="AH601" s="3"/>
      <c r="AI601" s="3"/>
      <c r="AJ601" s="3"/>
      <c r="AK601" s="3"/>
      <c r="AL601" s="3"/>
    </row>
    <row r="602" spans="1:38" ht="14.25" customHeight="1">
      <c r="A602" s="3"/>
      <c r="B602" s="3"/>
      <c r="C602" s="3"/>
      <c r="D602" s="3"/>
      <c r="E602" s="265"/>
      <c r="F602" s="265"/>
      <c r="G602" s="265"/>
      <c r="H602" s="265"/>
      <c r="I602" s="265"/>
      <c r="J602" s="260"/>
      <c r="K602" s="3"/>
      <c r="L602" s="265"/>
      <c r="M602" s="265"/>
      <c r="N602" s="265"/>
      <c r="O602" s="265"/>
      <c r="P602" s="265"/>
      <c r="Q602" s="260"/>
      <c r="R602" s="3"/>
      <c r="S602" s="265"/>
      <c r="T602" s="265"/>
      <c r="U602" s="265"/>
      <c r="V602" s="265"/>
      <c r="W602" s="265"/>
      <c r="X602" s="193"/>
      <c r="Y602" s="193"/>
      <c r="Z602" s="193"/>
      <c r="AA602" s="193"/>
      <c r="AB602" s="193"/>
      <c r="AC602" s="193"/>
      <c r="AD602" s="193"/>
      <c r="AE602" s="193"/>
      <c r="AF602" s="3"/>
      <c r="AG602" s="3"/>
      <c r="AH602" s="3"/>
      <c r="AI602" s="3"/>
      <c r="AJ602" s="3"/>
      <c r="AK602" s="3"/>
      <c r="AL602" s="3"/>
    </row>
    <row r="603" spans="1:38" ht="14.25" customHeight="1">
      <c r="A603" s="3"/>
      <c r="B603" s="3"/>
      <c r="C603" s="3"/>
      <c r="D603" s="3"/>
      <c r="E603" s="265"/>
      <c r="F603" s="265"/>
      <c r="G603" s="265"/>
      <c r="H603" s="265"/>
      <c r="I603" s="265"/>
      <c r="J603" s="260"/>
      <c r="K603" s="3"/>
      <c r="L603" s="265"/>
      <c r="M603" s="265"/>
      <c r="N603" s="265"/>
      <c r="O603" s="265"/>
      <c r="P603" s="265"/>
      <c r="Q603" s="260"/>
      <c r="R603" s="3"/>
      <c r="S603" s="265"/>
      <c r="T603" s="265"/>
      <c r="U603" s="265"/>
      <c r="V603" s="265"/>
      <c r="W603" s="265"/>
      <c r="X603" s="193"/>
      <c r="Y603" s="193"/>
      <c r="Z603" s="193"/>
      <c r="AA603" s="193"/>
      <c r="AB603" s="193"/>
      <c r="AC603" s="193"/>
      <c r="AD603" s="193"/>
      <c r="AE603" s="193"/>
      <c r="AF603" s="3"/>
      <c r="AG603" s="3"/>
      <c r="AH603" s="3"/>
      <c r="AI603" s="3"/>
      <c r="AJ603" s="3"/>
      <c r="AK603" s="3"/>
      <c r="AL603" s="3"/>
    </row>
    <row r="604" spans="1:38" ht="14.25" customHeight="1">
      <c r="A604" s="3"/>
      <c r="B604" s="3"/>
      <c r="C604" s="3"/>
      <c r="D604" s="3"/>
      <c r="E604" s="265"/>
      <c r="F604" s="265"/>
      <c r="G604" s="265"/>
      <c r="H604" s="265"/>
      <c r="I604" s="265"/>
      <c r="J604" s="260"/>
      <c r="K604" s="3"/>
      <c r="L604" s="265"/>
      <c r="M604" s="265"/>
      <c r="N604" s="265"/>
      <c r="O604" s="265"/>
      <c r="P604" s="265"/>
      <c r="Q604" s="260"/>
      <c r="R604" s="3"/>
      <c r="S604" s="265"/>
      <c r="T604" s="265"/>
      <c r="U604" s="265"/>
      <c r="V604" s="265"/>
      <c r="W604" s="265"/>
      <c r="X604" s="193"/>
      <c r="Y604" s="193"/>
      <c r="Z604" s="193"/>
      <c r="AA604" s="193"/>
      <c r="AB604" s="193"/>
      <c r="AC604" s="193"/>
      <c r="AD604" s="193"/>
      <c r="AE604" s="193"/>
      <c r="AF604" s="3"/>
      <c r="AG604" s="3"/>
      <c r="AH604" s="3"/>
      <c r="AI604" s="3"/>
      <c r="AJ604" s="3"/>
      <c r="AK604" s="3"/>
      <c r="AL604" s="3"/>
    </row>
    <row r="605" spans="1:38" ht="14.25" customHeight="1">
      <c r="A605" s="3"/>
      <c r="B605" s="3"/>
      <c r="C605" s="3"/>
      <c r="D605" s="3"/>
      <c r="E605" s="265"/>
      <c r="F605" s="265"/>
      <c r="G605" s="265"/>
      <c r="H605" s="265"/>
      <c r="I605" s="265"/>
      <c r="J605" s="260"/>
      <c r="K605" s="3"/>
      <c r="L605" s="265"/>
      <c r="M605" s="265"/>
      <c r="N605" s="265"/>
      <c r="O605" s="265"/>
      <c r="P605" s="265"/>
      <c r="Q605" s="260"/>
      <c r="R605" s="3"/>
      <c r="S605" s="265"/>
      <c r="T605" s="265"/>
      <c r="U605" s="265"/>
      <c r="V605" s="265"/>
      <c r="W605" s="265"/>
      <c r="X605" s="193"/>
      <c r="Y605" s="193"/>
      <c r="Z605" s="193"/>
      <c r="AA605" s="193"/>
      <c r="AB605" s="193"/>
      <c r="AC605" s="193"/>
      <c r="AD605" s="193"/>
      <c r="AE605" s="193"/>
      <c r="AF605" s="3"/>
      <c r="AG605" s="3"/>
      <c r="AH605" s="3"/>
      <c r="AI605" s="3"/>
      <c r="AJ605" s="3"/>
      <c r="AK605" s="3"/>
      <c r="AL605" s="3"/>
    </row>
    <row r="606" spans="1:38" ht="14.25" customHeight="1">
      <c r="A606" s="3"/>
      <c r="B606" s="3"/>
      <c r="C606" s="3"/>
      <c r="D606" s="3"/>
      <c r="E606" s="265"/>
      <c r="F606" s="265"/>
      <c r="G606" s="265"/>
      <c r="H606" s="265"/>
      <c r="I606" s="265"/>
      <c r="J606" s="260"/>
      <c r="K606" s="3"/>
      <c r="L606" s="265"/>
      <c r="M606" s="265"/>
      <c r="N606" s="265"/>
      <c r="O606" s="265"/>
      <c r="P606" s="265"/>
      <c r="Q606" s="260"/>
      <c r="R606" s="3"/>
      <c r="S606" s="265"/>
      <c r="T606" s="265"/>
      <c r="U606" s="265"/>
      <c r="V606" s="265"/>
      <c r="W606" s="265"/>
      <c r="X606" s="193"/>
      <c r="Y606" s="193"/>
      <c r="Z606" s="193"/>
      <c r="AA606" s="193"/>
      <c r="AB606" s="193"/>
      <c r="AC606" s="193"/>
      <c r="AD606" s="193"/>
      <c r="AE606" s="193"/>
      <c r="AF606" s="3"/>
      <c r="AG606" s="3"/>
      <c r="AH606" s="3"/>
      <c r="AI606" s="3"/>
      <c r="AJ606" s="3"/>
      <c r="AK606" s="3"/>
      <c r="AL606" s="3"/>
    </row>
    <row r="607" spans="1:38" ht="14.25" customHeight="1">
      <c r="A607" s="3"/>
      <c r="B607" s="3"/>
      <c r="C607" s="3"/>
      <c r="D607" s="3"/>
      <c r="E607" s="265"/>
      <c r="F607" s="265"/>
      <c r="G607" s="265"/>
      <c r="H607" s="265"/>
      <c r="I607" s="265"/>
      <c r="J607" s="260"/>
      <c r="K607" s="3"/>
      <c r="L607" s="265"/>
      <c r="M607" s="265"/>
      <c r="N607" s="265"/>
      <c r="O607" s="265"/>
      <c r="P607" s="265"/>
      <c r="Q607" s="260"/>
      <c r="R607" s="3"/>
      <c r="S607" s="265"/>
      <c r="T607" s="265"/>
      <c r="U607" s="265"/>
      <c r="V607" s="265"/>
      <c r="W607" s="265"/>
      <c r="X607" s="193"/>
      <c r="Y607" s="193"/>
      <c r="Z607" s="193"/>
      <c r="AA607" s="193"/>
      <c r="AB607" s="193"/>
      <c r="AC607" s="193"/>
      <c r="AD607" s="193"/>
      <c r="AE607" s="193"/>
      <c r="AF607" s="3"/>
      <c r="AG607" s="3"/>
      <c r="AH607" s="3"/>
      <c r="AI607" s="3"/>
      <c r="AJ607" s="3"/>
      <c r="AK607" s="3"/>
      <c r="AL607" s="3"/>
    </row>
    <row r="608" spans="1:38" ht="14.25" customHeight="1">
      <c r="A608" s="3"/>
      <c r="B608" s="3"/>
      <c r="C608" s="3"/>
      <c r="D608" s="3"/>
      <c r="E608" s="265"/>
      <c r="F608" s="265"/>
      <c r="G608" s="265"/>
      <c r="H608" s="265"/>
      <c r="I608" s="265"/>
      <c r="J608" s="260"/>
      <c r="K608" s="3"/>
      <c r="L608" s="265"/>
      <c r="M608" s="265"/>
      <c r="N608" s="265"/>
      <c r="O608" s="265"/>
      <c r="P608" s="265"/>
      <c r="Q608" s="260"/>
      <c r="R608" s="3"/>
      <c r="S608" s="265"/>
      <c r="T608" s="265"/>
      <c r="U608" s="265"/>
      <c r="V608" s="265"/>
      <c r="W608" s="265"/>
      <c r="X608" s="193"/>
      <c r="Y608" s="193"/>
      <c r="Z608" s="193"/>
      <c r="AA608" s="193"/>
      <c r="AB608" s="193"/>
      <c r="AC608" s="193"/>
      <c r="AD608" s="193"/>
      <c r="AE608" s="193"/>
      <c r="AF608" s="3"/>
      <c r="AG608" s="3"/>
      <c r="AH608" s="3"/>
      <c r="AI608" s="3"/>
      <c r="AJ608" s="3"/>
      <c r="AK608" s="3"/>
      <c r="AL608" s="3"/>
    </row>
    <row r="609" spans="1:38" ht="14.25" customHeight="1">
      <c r="A609" s="3"/>
      <c r="B609" s="3"/>
      <c r="C609" s="3"/>
      <c r="D609" s="3"/>
      <c r="E609" s="265"/>
      <c r="F609" s="265"/>
      <c r="G609" s="265"/>
      <c r="H609" s="265"/>
      <c r="I609" s="265"/>
      <c r="J609" s="260"/>
      <c r="K609" s="3"/>
      <c r="L609" s="265"/>
      <c r="M609" s="265"/>
      <c r="N609" s="265"/>
      <c r="O609" s="265"/>
      <c r="P609" s="265"/>
      <c r="Q609" s="260"/>
      <c r="R609" s="3"/>
      <c r="S609" s="265"/>
      <c r="T609" s="265"/>
      <c r="U609" s="265"/>
      <c r="V609" s="265"/>
      <c r="W609" s="265"/>
      <c r="X609" s="193"/>
      <c r="Y609" s="193"/>
      <c r="Z609" s="193"/>
      <c r="AA609" s="193"/>
      <c r="AB609" s="193"/>
      <c r="AC609" s="193"/>
      <c r="AD609" s="193"/>
      <c r="AE609" s="193"/>
      <c r="AF609" s="3"/>
      <c r="AG609" s="3"/>
      <c r="AH609" s="3"/>
      <c r="AI609" s="3"/>
      <c r="AJ609" s="3"/>
      <c r="AK609" s="3"/>
      <c r="AL609" s="3"/>
    </row>
    <row r="610" spans="1:38" ht="14.25" customHeight="1">
      <c r="A610" s="3"/>
      <c r="B610" s="3"/>
      <c r="C610" s="3"/>
      <c r="D610" s="3"/>
      <c r="E610" s="265"/>
      <c r="F610" s="265"/>
      <c r="G610" s="265"/>
      <c r="H610" s="265"/>
      <c r="I610" s="265"/>
      <c r="J610" s="260"/>
      <c r="K610" s="3"/>
      <c r="L610" s="265"/>
      <c r="M610" s="265"/>
      <c r="N610" s="265"/>
      <c r="O610" s="265"/>
      <c r="P610" s="265"/>
      <c r="Q610" s="260"/>
      <c r="R610" s="3"/>
      <c r="S610" s="265"/>
      <c r="T610" s="265"/>
      <c r="U610" s="265"/>
      <c r="V610" s="265"/>
      <c r="W610" s="265"/>
      <c r="X610" s="193"/>
      <c r="Y610" s="193"/>
      <c r="Z610" s="193"/>
      <c r="AA610" s="193"/>
      <c r="AB610" s="193"/>
      <c r="AC610" s="193"/>
      <c r="AD610" s="193"/>
      <c r="AE610" s="193"/>
      <c r="AF610" s="3"/>
      <c r="AG610" s="3"/>
      <c r="AH610" s="3"/>
      <c r="AI610" s="3"/>
      <c r="AJ610" s="3"/>
      <c r="AK610" s="3"/>
      <c r="AL610" s="3"/>
    </row>
    <row r="611" spans="1:38" ht="14.25" customHeight="1">
      <c r="A611" s="3"/>
      <c r="B611" s="3"/>
      <c r="C611" s="3"/>
      <c r="D611" s="3"/>
      <c r="E611" s="265"/>
      <c r="F611" s="265"/>
      <c r="G611" s="265"/>
      <c r="H611" s="265"/>
      <c r="I611" s="265"/>
      <c r="J611" s="260"/>
      <c r="K611" s="3"/>
      <c r="L611" s="265"/>
      <c r="M611" s="265"/>
      <c r="N611" s="265"/>
      <c r="O611" s="265"/>
      <c r="P611" s="265"/>
      <c r="Q611" s="260"/>
      <c r="R611" s="3"/>
      <c r="S611" s="265"/>
      <c r="T611" s="265"/>
      <c r="U611" s="265"/>
      <c r="V611" s="265"/>
      <c r="W611" s="265"/>
      <c r="X611" s="193"/>
      <c r="Y611" s="193"/>
      <c r="Z611" s="193"/>
      <c r="AA611" s="193"/>
      <c r="AB611" s="193"/>
      <c r="AC611" s="193"/>
      <c r="AD611" s="193"/>
      <c r="AE611" s="193"/>
      <c r="AF611" s="3"/>
      <c r="AG611" s="3"/>
      <c r="AH611" s="3"/>
      <c r="AI611" s="3"/>
      <c r="AJ611" s="3"/>
      <c r="AK611" s="3"/>
      <c r="AL611" s="3"/>
    </row>
    <row r="612" spans="1:38" ht="14.25" customHeight="1">
      <c r="A612" s="3"/>
      <c r="B612" s="3"/>
      <c r="C612" s="3"/>
      <c r="D612" s="3"/>
      <c r="E612" s="265"/>
      <c r="F612" s="265"/>
      <c r="G612" s="265"/>
      <c r="H612" s="265"/>
      <c r="I612" s="265"/>
      <c r="J612" s="260"/>
      <c r="K612" s="3"/>
      <c r="L612" s="265"/>
      <c r="M612" s="265"/>
      <c r="N612" s="265"/>
      <c r="O612" s="265"/>
      <c r="P612" s="265"/>
      <c r="Q612" s="260"/>
      <c r="R612" s="3"/>
      <c r="S612" s="265"/>
      <c r="T612" s="265"/>
      <c r="U612" s="265"/>
      <c r="V612" s="265"/>
      <c r="W612" s="265"/>
      <c r="X612" s="193"/>
      <c r="Y612" s="193"/>
      <c r="Z612" s="193"/>
      <c r="AA612" s="193"/>
      <c r="AB612" s="193"/>
      <c r="AC612" s="193"/>
      <c r="AD612" s="193"/>
      <c r="AE612" s="193"/>
      <c r="AF612" s="3"/>
      <c r="AG612" s="3"/>
      <c r="AH612" s="3"/>
      <c r="AI612" s="3"/>
      <c r="AJ612" s="3"/>
      <c r="AK612" s="3"/>
      <c r="AL612" s="3"/>
    </row>
    <row r="613" spans="1:38" ht="14.25" customHeight="1">
      <c r="A613" s="3"/>
      <c r="B613" s="3"/>
      <c r="C613" s="3"/>
      <c r="D613" s="3"/>
      <c r="E613" s="265"/>
      <c r="F613" s="265"/>
      <c r="G613" s="265"/>
      <c r="H613" s="265"/>
      <c r="I613" s="265"/>
      <c r="J613" s="260"/>
      <c r="K613" s="3"/>
      <c r="L613" s="265"/>
      <c r="M613" s="265"/>
      <c r="N613" s="265"/>
      <c r="O613" s="265"/>
      <c r="P613" s="265"/>
      <c r="Q613" s="260"/>
      <c r="R613" s="3"/>
      <c r="S613" s="265"/>
      <c r="T613" s="265"/>
      <c r="U613" s="265"/>
      <c r="V613" s="265"/>
      <c r="W613" s="265"/>
      <c r="X613" s="193"/>
      <c r="Y613" s="193"/>
      <c r="Z613" s="193"/>
      <c r="AA613" s="193"/>
      <c r="AB613" s="193"/>
      <c r="AC613" s="193"/>
      <c r="AD613" s="193"/>
      <c r="AE613" s="193"/>
      <c r="AF613" s="3"/>
      <c r="AG613" s="3"/>
      <c r="AH613" s="3"/>
      <c r="AI613" s="3"/>
      <c r="AJ613" s="3"/>
      <c r="AK613" s="3"/>
      <c r="AL613" s="3"/>
    </row>
    <row r="614" spans="1:38" ht="14.25" customHeight="1">
      <c r="A614" s="3"/>
      <c r="B614" s="3"/>
      <c r="C614" s="3"/>
      <c r="D614" s="3"/>
      <c r="E614" s="265"/>
      <c r="F614" s="265"/>
      <c r="G614" s="265"/>
      <c r="H614" s="265"/>
      <c r="I614" s="265"/>
      <c r="J614" s="260"/>
      <c r="K614" s="3"/>
      <c r="L614" s="265"/>
      <c r="M614" s="265"/>
      <c r="N614" s="265"/>
      <c r="O614" s="265"/>
      <c r="P614" s="265"/>
      <c r="Q614" s="260"/>
      <c r="R614" s="3"/>
      <c r="S614" s="265"/>
      <c r="T614" s="265"/>
      <c r="U614" s="265"/>
      <c r="V614" s="265"/>
      <c r="W614" s="265"/>
      <c r="X614" s="193"/>
      <c r="Y614" s="193"/>
      <c r="Z614" s="193"/>
      <c r="AA614" s="193"/>
      <c r="AB614" s="193"/>
      <c r="AC614" s="193"/>
      <c r="AD614" s="193"/>
      <c r="AE614" s="193"/>
      <c r="AF614" s="3"/>
      <c r="AG614" s="3"/>
      <c r="AH614" s="3"/>
      <c r="AI614" s="3"/>
      <c r="AJ614" s="3"/>
      <c r="AK614" s="3"/>
      <c r="AL614" s="3"/>
    </row>
    <row r="615" spans="1:38" ht="14.25" customHeight="1">
      <c r="A615" s="3"/>
      <c r="B615" s="3"/>
      <c r="C615" s="3"/>
      <c r="D615" s="3"/>
      <c r="E615" s="265"/>
      <c r="F615" s="265"/>
      <c r="G615" s="265"/>
      <c r="H615" s="265"/>
      <c r="I615" s="265"/>
      <c r="J615" s="260"/>
      <c r="K615" s="3"/>
      <c r="L615" s="265"/>
      <c r="M615" s="265"/>
      <c r="N615" s="265"/>
      <c r="O615" s="265"/>
      <c r="P615" s="265"/>
      <c r="Q615" s="260"/>
      <c r="R615" s="3"/>
      <c r="S615" s="265"/>
      <c r="T615" s="265"/>
      <c r="U615" s="265"/>
      <c r="V615" s="265"/>
      <c r="W615" s="265"/>
      <c r="X615" s="193"/>
      <c r="Y615" s="193"/>
      <c r="Z615" s="193"/>
      <c r="AA615" s="193"/>
      <c r="AB615" s="193"/>
      <c r="AC615" s="193"/>
      <c r="AD615" s="193"/>
      <c r="AE615" s="193"/>
      <c r="AF615" s="3"/>
      <c r="AG615" s="3"/>
      <c r="AH615" s="3"/>
      <c r="AI615" s="3"/>
      <c r="AJ615" s="3"/>
      <c r="AK615" s="3"/>
      <c r="AL615" s="3"/>
    </row>
    <row r="616" spans="1:38" ht="14.25" customHeight="1">
      <c r="A616" s="3"/>
      <c r="B616" s="3"/>
      <c r="C616" s="3"/>
      <c r="D616" s="3"/>
      <c r="E616" s="265"/>
      <c r="F616" s="265"/>
      <c r="G616" s="265"/>
      <c r="H616" s="265"/>
      <c r="I616" s="265"/>
      <c r="J616" s="260"/>
      <c r="K616" s="3"/>
      <c r="L616" s="265"/>
      <c r="M616" s="265"/>
      <c r="N616" s="265"/>
      <c r="O616" s="265"/>
      <c r="P616" s="265"/>
      <c r="Q616" s="260"/>
      <c r="R616" s="3"/>
      <c r="S616" s="265"/>
      <c r="T616" s="265"/>
      <c r="U616" s="265"/>
      <c r="V616" s="265"/>
      <c r="W616" s="265"/>
      <c r="X616" s="193"/>
      <c r="Y616" s="193"/>
      <c r="Z616" s="193"/>
      <c r="AA616" s="193"/>
      <c r="AB616" s="193"/>
      <c r="AC616" s="193"/>
      <c r="AD616" s="193"/>
      <c r="AE616" s="193"/>
      <c r="AF616" s="3"/>
      <c r="AG616" s="3"/>
      <c r="AH616" s="3"/>
      <c r="AI616" s="3"/>
      <c r="AJ616" s="3"/>
      <c r="AK616" s="3"/>
      <c r="AL616" s="3"/>
    </row>
    <row r="617" spans="1:38" ht="14.25" customHeight="1">
      <c r="A617" s="3"/>
      <c r="B617" s="3"/>
      <c r="C617" s="3"/>
      <c r="D617" s="3"/>
      <c r="E617" s="265"/>
      <c r="F617" s="265"/>
      <c r="G617" s="265"/>
      <c r="H617" s="265"/>
      <c r="I617" s="265"/>
      <c r="J617" s="260"/>
      <c r="K617" s="3"/>
      <c r="L617" s="265"/>
      <c r="M617" s="265"/>
      <c r="N617" s="265"/>
      <c r="O617" s="265"/>
      <c r="P617" s="265"/>
      <c r="Q617" s="260"/>
      <c r="R617" s="3"/>
      <c r="S617" s="265"/>
      <c r="T617" s="265"/>
      <c r="U617" s="265"/>
      <c r="V617" s="265"/>
      <c r="W617" s="265"/>
      <c r="X617" s="193"/>
      <c r="Y617" s="193"/>
      <c r="Z617" s="193"/>
      <c r="AA617" s="193"/>
      <c r="AB617" s="193"/>
      <c r="AC617" s="193"/>
      <c r="AD617" s="193"/>
      <c r="AE617" s="193"/>
      <c r="AF617" s="3"/>
      <c r="AG617" s="3"/>
      <c r="AH617" s="3"/>
      <c r="AI617" s="3"/>
      <c r="AJ617" s="3"/>
      <c r="AK617" s="3"/>
      <c r="AL617" s="3"/>
    </row>
    <row r="618" spans="1:38" ht="14.25" customHeight="1">
      <c r="A618" s="3"/>
      <c r="B618" s="3"/>
      <c r="C618" s="3"/>
      <c r="D618" s="3"/>
      <c r="E618" s="265"/>
      <c r="F618" s="265"/>
      <c r="G618" s="265"/>
      <c r="H618" s="265"/>
      <c r="I618" s="265"/>
      <c r="J618" s="260"/>
      <c r="K618" s="3"/>
      <c r="L618" s="265"/>
      <c r="M618" s="265"/>
      <c r="N618" s="265"/>
      <c r="O618" s="265"/>
      <c r="P618" s="265"/>
      <c r="Q618" s="260"/>
      <c r="R618" s="3"/>
      <c r="S618" s="265"/>
      <c r="T618" s="265"/>
      <c r="U618" s="265"/>
      <c r="V618" s="265"/>
      <c r="W618" s="265"/>
      <c r="X618" s="193"/>
      <c r="Y618" s="193"/>
      <c r="Z618" s="193"/>
      <c r="AA618" s="193"/>
      <c r="AB618" s="193"/>
      <c r="AC618" s="193"/>
      <c r="AD618" s="193"/>
      <c r="AE618" s="193"/>
      <c r="AF618" s="3"/>
      <c r="AG618" s="3"/>
      <c r="AH618" s="3"/>
      <c r="AI618" s="3"/>
      <c r="AJ618" s="3"/>
      <c r="AK618" s="3"/>
      <c r="AL618" s="3"/>
    </row>
    <row r="619" spans="1:38" ht="14.25" customHeight="1">
      <c r="A619" s="3"/>
      <c r="B619" s="3"/>
      <c r="C619" s="3"/>
      <c r="D619" s="3"/>
      <c r="E619" s="265"/>
      <c r="F619" s="265"/>
      <c r="G619" s="265"/>
      <c r="H619" s="265"/>
      <c r="I619" s="265"/>
      <c r="J619" s="260"/>
      <c r="K619" s="3"/>
      <c r="L619" s="265"/>
      <c r="M619" s="265"/>
      <c r="N619" s="265"/>
      <c r="O619" s="265"/>
      <c r="P619" s="265"/>
      <c r="Q619" s="260"/>
      <c r="R619" s="3"/>
      <c r="S619" s="265"/>
      <c r="T619" s="265"/>
      <c r="U619" s="265"/>
      <c r="V619" s="265"/>
      <c r="W619" s="265"/>
      <c r="X619" s="193"/>
      <c r="Y619" s="193"/>
      <c r="Z619" s="193"/>
      <c r="AA619" s="193"/>
      <c r="AB619" s="193"/>
      <c r="AC619" s="193"/>
      <c r="AD619" s="193"/>
      <c r="AE619" s="193"/>
      <c r="AF619" s="3"/>
      <c r="AG619" s="3"/>
      <c r="AH619" s="3"/>
      <c r="AI619" s="3"/>
      <c r="AJ619" s="3"/>
      <c r="AK619" s="3"/>
      <c r="AL619" s="3"/>
    </row>
    <row r="620" spans="1:38" ht="14.25" customHeight="1">
      <c r="A620" s="3"/>
      <c r="B620" s="3"/>
      <c r="C620" s="3"/>
      <c r="D620" s="3"/>
      <c r="E620" s="265"/>
      <c r="F620" s="265"/>
      <c r="G620" s="265"/>
      <c r="H620" s="265"/>
      <c r="I620" s="265"/>
      <c r="J620" s="260"/>
      <c r="K620" s="3"/>
      <c r="L620" s="265"/>
      <c r="M620" s="265"/>
      <c r="N620" s="265"/>
      <c r="O620" s="265"/>
      <c r="P620" s="265"/>
      <c r="Q620" s="260"/>
      <c r="R620" s="3"/>
      <c r="S620" s="265"/>
      <c r="T620" s="265"/>
      <c r="U620" s="265"/>
      <c r="V620" s="265"/>
      <c r="W620" s="265"/>
      <c r="X620" s="193"/>
      <c r="Y620" s="193"/>
      <c r="Z620" s="193"/>
      <c r="AA620" s="193"/>
      <c r="AB620" s="193"/>
      <c r="AC620" s="193"/>
      <c r="AD620" s="193"/>
      <c r="AE620" s="193"/>
      <c r="AF620" s="3"/>
      <c r="AG620" s="3"/>
      <c r="AH620" s="3"/>
      <c r="AI620" s="3"/>
      <c r="AJ620" s="3"/>
      <c r="AK620" s="3"/>
      <c r="AL620" s="3"/>
    </row>
    <row r="621" spans="1:38" ht="14.25" customHeight="1">
      <c r="A621" s="3"/>
      <c r="B621" s="3"/>
      <c r="C621" s="3"/>
      <c r="D621" s="3"/>
      <c r="E621" s="265"/>
      <c r="F621" s="265"/>
      <c r="G621" s="265"/>
      <c r="H621" s="265"/>
      <c r="I621" s="265"/>
      <c r="J621" s="260"/>
      <c r="K621" s="3"/>
      <c r="L621" s="265"/>
      <c r="M621" s="265"/>
      <c r="N621" s="265"/>
      <c r="O621" s="265"/>
      <c r="P621" s="265"/>
      <c r="Q621" s="260"/>
      <c r="R621" s="3"/>
      <c r="S621" s="265"/>
      <c r="T621" s="265"/>
      <c r="U621" s="265"/>
      <c r="V621" s="265"/>
      <c r="W621" s="265"/>
      <c r="X621" s="193"/>
      <c r="Y621" s="193"/>
      <c r="Z621" s="193"/>
      <c r="AA621" s="193"/>
      <c r="AB621" s="193"/>
      <c r="AC621" s="193"/>
      <c r="AD621" s="193"/>
      <c r="AE621" s="193"/>
      <c r="AF621" s="3"/>
      <c r="AG621" s="3"/>
      <c r="AH621" s="3"/>
      <c r="AI621" s="3"/>
      <c r="AJ621" s="3"/>
      <c r="AK621" s="3"/>
      <c r="AL621" s="3"/>
    </row>
    <row r="622" spans="1:38" ht="14.25" customHeight="1">
      <c r="A622" s="3"/>
      <c r="B622" s="3"/>
      <c r="C622" s="3"/>
      <c r="D622" s="3"/>
      <c r="E622" s="265"/>
      <c r="F622" s="265"/>
      <c r="G622" s="265"/>
      <c r="H622" s="265"/>
      <c r="I622" s="265"/>
      <c r="J622" s="260"/>
      <c r="K622" s="3"/>
      <c r="L622" s="265"/>
      <c r="M622" s="265"/>
      <c r="N622" s="265"/>
      <c r="O622" s="265"/>
      <c r="P622" s="265"/>
      <c r="Q622" s="260"/>
      <c r="R622" s="3"/>
      <c r="S622" s="265"/>
      <c r="T622" s="265"/>
      <c r="U622" s="265"/>
      <c r="V622" s="265"/>
      <c r="W622" s="265"/>
      <c r="X622" s="193"/>
      <c r="Y622" s="193"/>
      <c r="Z622" s="193"/>
      <c r="AA622" s="193"/>
      <c r="AB622" s="193"/>
      <c r="AC622" s="193"/>
      <c r="AD622" s="193"/>
      <c r="AE622" s="193"/>
      <c r="AF622" s="3"/>
      <c r="AG622" s="3"/>
      <c r="AH622" s="3"/>
      <c r="AI622" s="3"/>
      <c r="AJ622" s="3"/>
      <c r="AK622" s="3"/>
      <c r="AL622" s="3"/>
    </row>
    <row r="623" spans="1:38" ht="14.25" customHeight="1">
      <c r="A623" s="3"/>
      <c r="B623" s="3"/>
      <c r="C623" s="3"/>
      <c r="D623" s="3"/>
      <c r="E623" s="265"/>
      <c r="F623" s="265"/>
      <c r="G623" s="265"/>
      <c r="H623" s="265"/>
      <c r="I623" s="265"/>
      <c r="J623" s="260"/>
      <c r="K623" s="3"/>
      <c r="L623" s="265"/>
      <c r="M623" s="265"/>
      <c r="N623" s="265"/>
      <c r="O623" s="265"/>
      <c r="P623" s="265"/>
      <c r="Q623" s="260"/>
      <c r="R623" s="3"/>
      <c r="S623" s="265"/>
      <c r="T623" s="265"/>
      <c r="U623" s="265"/>
      <c r="V623" s="265"/>
      <c r="W623" s="265"/>
      <c r="X623" s="193"/>
      <c r="Y623" s="193"/>
      <c r="Z623" s="193"/>
      <c r="AA623" s="193"/>
      <c r="AB623" s="193"/>
      <c r="AC623" s="193"/>
      <c r="AD623" s="193"/>
      <c r="AE623" s="193"/>
      <c r="AF623" s="3"/>
      <c r="AG623" s="3"/>
      <c r="AH623" s="3"/>
      <c r="AI623" s="3"/>
      <c r="AJ623" s="3"/>
      <c r="AK623" s="3"/>
      <c r="AL623" s="3"/>
    </row>
    <row r="624" spans="1:38" ht="14.25" customHeight="1">
      <c r="A624" s="3"/>
      <c r="B624" s="3"/>
      <c r="C624" s="3"/>
      <c r="D624" s="3"/>
      <c r="E624" s="265"/>
      <c r="F624" s="265"/>
      <c r="G624" s="265"/>
      <c r="H624" s="265"/>
      <c r="I624" s="265"/>
      <c r="J624" s="260"/>
      <c r="K624" s="3"/>
      <c r="L624" s="265"/>
      <c r="M624" s="265"/>
      <c r="N624" s="265"/>
      <c r="O624" s="265"/>
      <c r="P624" s="265"/>
      <c r="Q624" s="260"/>
      <c r="R624" s="3"/>
      <c r="S624" s="265"/>
      <c r="T624" s="265"/>
      <c r="U624" s="265"/>
      <c r="V624" s="265"/>
      <c r="W624" s="265"/>
      <c r="X624" s="193"/>
      <c r="Y624" s="193"/>
      <c r="Z624" s="193"/>
      <c r="AA624" s="193"/>
      <c r="AB624" s="193"/>
      <c r="AC624" s="193"/>
      <c r="AD624" s="193"/>
      <c r="AE624" s="193"/>
      <c r="AF624" s="3"/>
      <c r="AG624" s="3"/>
      <c r="AH624" s="3"/>
      <c r="AI624" s="3"/>
      <c r="AJ624" s="3"/>
      <c r="AK624" s="3"/>
      <c r="AL624" s="3"/>
    </row>
    <row r="625" spans="1:38" ht="14.25" customHeight="1">
      <c r="A625" s="3"/>
      <c r="B625" s="3"/>
      <c r="C625" s="3"/>
      <c r="D625" s="3"/>
      <c r="E625" s="265"/>
      <c r="F625" s="265"/>
      <c r="G625" s="265"/>
      <c r="H625" s="265"/>
      <c r="I625" s="265"/>
      <c r="J625" s="260"/>
      <c r="K625" s="3"/>
      <c r="L625" s="265"/>
      <c r="M625" s="265"/>
      <c r="N625" s="265"/>
      <c r="O625" s="265"/>
      <c r="P625" s="265"/>
      <c r="Q625" s="260"/>
      <c r="R625" s="3"/>
      <c r="S625" s="265"/>
      <c r="T625" s="265"/>
      <c r="U625" s="265"/>
      <c r="V625" s="265"/>
      <c r="W625" s="265"/>
      <c r="X625" s="193"/>
      <c r="Y625" s="193"/>
      <c r="Z625" s="193"/>
      <c r="AA625" s="193"/>
      <c r="AB625" s="193"/>
      <c r="AC625" s="193"/>
      <c r="AD625" s="193"/>
      <c r="AE625" s="193"/>
      <c r="AF625" s="3"/>
      <c r="AG625" s="3"/>
      <c r="AH625" s="3"/>
      <c r="AI625" s="3"/>
      <c r="AJ625" s="3"/>
      <c r="AK625" s="3"/>
      <c r="AL625" s="3"/>
    </row>
    <row r="626" spans="1:38" ht="14.25" customHeight="1">
      <c r="A626" s="3"/>
      <c r="B626" s="3"/>
      <c r="C626" s="3"/>
      <c r="D626" s="3"/>
      <c r="E626" s="265"/>
      <c r="F626" s="265"/>
      <c r="G626" s="265"/>
      <c r="H626" s="265"/>
      <c r="I626" s="265"/>
      <c r="J626" s="260"/>
      <c r="K626" s="3"/>
      <c r="L626" s="265"/>
      <c r="M626" s="265"/>
      <c r="N626" s="265"/>
      <c r="O626" s="265"/>
      <c r="P626" s="265"/>
      <c r="Q626" s="260"/>
      <c r="R626" s="3"/>
      <c r="S626" s="265"/>
      <c r="T626" s="265"/>
      <c r="U626" s="265"/>
      <c r="V626" s="265"/>
      <c r="W626" s="265"/>
      <c r="X626" s="193"/>
      <c r="Y626" s="193"/>
      <c r="Z626" s="193"/>
      <c r="AA626" s="193"/>
      <c r="AB626" s="193"/>
      <c r="AC626" s="193"/>
      <c r="AD626" s="193"/>
      <c r="AE626" s="193"/>
      <c r="AF626" s="3"/>
      <c r="AG626" s="3"/>
      <c r="AH626" s="3"/>
      <c r="AI626" s="3"/>
      <c r="AJ626" s="3"/>
      <c r="AK626" s="3"/>
      <c r="AL626" s="3"/>
    </row>
    <row r="627" spans="1:38" ht="14.25" customHeight="1">
      <c r="A627" s="3"/>
      <c r="B627" s="3"/>
      <c r="C627" s="3"/>
      <c r="D627" s="3"/>
      <c r="E627" s="265"/>
      <c r="F627" s="265"/>
      <c r="G627" s="265"/>
      <c r="H627" s="265"/>
      <c r="I627" s="265"/>
      <c r="J627" s="260"/>
      <c r="K627" s="3"/>
      <c r="L627" s="265"/>
      <c r="M627" s="265"/>
      <c r="N627" s="265"/>
      <c r="O627" s="265"/>
      <c r="P627" s="265"/>
      <c r="Q627" s="260"/>
      <c r="R627" s="3"/>
      <c r="S627" s="265"/>
      <c r="T627" s="265"/>
      <c r="U627" s="265"/>
      <c r="V627" s="265"/>
      <c r="W627" s="265"/>
      <c r="X627" s="193"/>
      <c r="Y627" s="193"/>
      <c r="Z627" s="193"/>
      <c r="AA627" s="193"/>
      <c r="AB627" s="193"/>
      <c r="AC627" s="193"/>
      <c r="AD627" s="193"/>
      <c r="AE627" s="193"/>
      <c r="AF627" s="3"/>
      <c r="AG627" s="3"/>
      <c r="AH627" s="3"/>
      <c r="AI627" s="3"/>
      <c r="AJ627" s="3"/>
      <c r="AK627" s="3"/>
      <c r="AL627" s="3"/>
    </row>
    <row r="628" spans="1:38" ht="14.25" customHeight="1">
      <c r="A628" s="3"/>
      <c r="B628" s="3"/>
      <c r="C628" s="3"/>
      <c r="D628" s="3"/>
      <c r="E628" s="265"/>
      <c r="F628" s="265"/>
      <c r="G628" s="265"/>
      <c r="H628" s="265"/>
      <c r="I628" s="265"/>
      <c r="J628" s="260"/>
      <c r="K628" s="3"/>
      <c r="L628" s="265"/>
      <c r="M628" s="265"/>
      <c r="N628" s="265"/>
      <c r="O628" s="265"/>
      <c r="P628" s="265"/>
      <c r="Q628" s="260"/>
      <c r="R628" s="3"/>
      <c r="S628" s="265"/>
      <c r="T628" s="265"/>
      <c r="U628" s="265"/>
      <c r="V628" s="265"/>
      <c r="W628" s="265"/>
      <c r="X628" s="193"/>
      <c r="Y628" s="193"/>
      <c r="Z628" s="193"/>
      <c r="AA628" s="193"/>
      <c r="AB628" s="193"/>
      <c r="AC628" s="193"/>
      <c r="AD628" s="193"/>
      <c r="AE628" s="193"/>
      <c r="AF628" s="3"/>
      <c r="AG628" s="3"/>
      <c r="AH628" s="3"/>
      <c r="AI628" s="3"/>
      <c r="AJ628" s="3"/>
      <c r="AK628" s="3"/>
      <c r="AL628" s="3"/>
    </row>
    <row r="629" spans="1:38" ht="14.25" customHeight="1">
      <c r="A629" s="3"/>
      <c r="B629" s="3"/>
      <c r="C629" s="3"/>
      <c r="D629" s="3"/>
      <c r="E629" s="265"/>
      <c r="F629" s="265"/>
      <c r="G629" s="265"/>
      <c r="H629" s="265"/>
      <c r="I629" s="265"/>
      <c r="J629" s="260"/>
      <c r="K629" s="3"/>
      <c r="L629" s="265"/>
      <c r="M629" s="265"/>
      <c r="N629" s="265"/>
      <c r="O629" s="265"/>
      <c r="P629" s="265"/>
      <c r="Q629" s="260"/>
      <c r="R629" s="3"/>
      <c r="S629" s="265"/>
      <c r="T629" s="265"/>
      <c r="U629" s="265"/>
      <c r="V629" s="265"/>
      <c r="W629" s="265"/>
      <c r="X629" s="193"/>
      <c r="Y629" s="193"/>
      <c r="Z629" s="193"/>
      <c r="AA629" s="193"/>
      <c r="AB629" s="193"/>
      <c r="AC629" s="193"/>
      <c r="AD629" s="193"/>
      <c r="AE629" s="193"/>
      <c r="AF629" s="3"/>
      <c r="AG629" s="3"/>
      <c r="AH629" s="3"/>
      <c r="AI629" s="3"/>
      <c r="AJ629" s="3"/>
      <c r="AK629" s="3"/>
      <c r="AL629" s="3"/>
    </row>
    <row r="630" spans="1:38" ht="14.25" customHeight="1">
      <c r="A630" s="3"/>
      <c r="B630" s="3"/>
      <c r="C630" s="3"/>
      <c r="D630" s="3"/>
      <c r="E630" s="265"/>
      <c r="F630" s="265"/>
      <c r="G630" s="265"/>
      <c r="H630" s="265"/>
      <c r="I630" s="265"/>
      <c r="J630" s="260"/>
      <c r="K630" s="3"/>
      <c r="L630" s="265"/>
      <c r="M630" s="265"/>
      <c r="N630" s="265"/>
      <c r="O630" s="265"/>
      <c r="P630" s="265"/>
      <c r="Q630" s="260"/>
      <c r="R630" s="3"/>
      <c r="S630" s="265"/>
      <c r="T630" s="265"/>
      <c r="U630" s="265"/>
      <c r="V630" s="265"/>
      <c r="W630" s="265"/>
      <c r="X630" s="193"/>
      <c r="Y630" s="193"/>
      <c r="Z630" s="193"/>
      <c r="AA630" s="193"/>
      <c r="AB630" s="193"/>
      <c r="AC630" s="193"/>
      <c r="AD630" s="193"/>
      <c r="AE630" s="193"/>
      <c r="AF630" s="3"/>
      <c r="AG630" s="3"/>
      <c r="AH630" s="3"/>
      <c r="AI630" s="3"/>
      <c r="AJ630" s="3"/>
      <c r="AK630" s="3"/>
      <c r="AL630" s="3"/>
    </row>
    <row r="631" spans="1:38" ht="14.25" customHeight="1">
      <c r="A631" s="3"/>
      <c r="B631" s="3"/>
      <c r="C631" s="3"/>
      <c r="D631" s="3"/>
      <c r="E631" s="265"/>
      <c r="F631" s="265"/>
      <c r="G631" s="265"/>
      <c r="H631" s="265"/>
      <c r="I631" s="265"/>
      <c r="J631" s="260"/>
      <c r="K631" s="3"/>
      <c r="L631" s="265"/>
      <c r="M631" s="265"/>
      <c r="N631" s="265"/>
      <c r="O631" s="265"/>
      <c r="P631" s="265"/>
      <c r="Q631" s="260"/>
      <c r="R631" s="3"/>
      <c r="S631" s="265"/>
      <c r="T631" s="265"/>
      <c r="U631" s="265"/>
      <c r="V631" s="265"/>
      <c r="W631" s="265"/>
      <c r="X631" s="193"/>
      <c r="Y631" s="193"/>
      <c r="Z631" s="193"/>
      <c r="AA631" s="193"/>
      <c r="AB631" s="193"/>
      <c r="AC631" s="193"/>
      <c r="AD631" s="193"/>
      <c r="AE631" s="193"/>
      <c r="AF631" s="3"/>
      <c r="AG631" s="3"/>
      <c r="AH631" s="3"/>
      <c r="AI631" s="3"/>
      <c r="AJ631" s="3"/>
      <c r="AK631" s="3"/>
      <c r="AL631" s="3"/>
    </row>
    <row r="632" spans="1:38" ht="14.25" customHeight="1">
      <c r="A632" s="3"/>
      <c r="B632" s="3"/>
      <c r="C632" s="3"/>
      <c r="D632" s="3"/>
      <c r="E632" s="265"/>
      <c r="F632" s="265"/>
      <c r="G632" s="265"/>
      <c r="H632" s="265"/>
      <c r="I632" s="265"/>
      <c r="J632" s="260"/>
      <c r="K632" s="3"/>
      <c r="L632" s="265"/>
      <c r="M632" s="265"/>
      <c r="N632" s="265"/>
      <c r="O632" s="265"/>
      <c r="P632" s="265"/>
      <c r="Q632" s="260"/>
      <c r="R632" s="3"/>
      <c r="S632" s="265"/>
      <c r="T632" s="265"/>
      <c r="U632" s="265"/>
      <c r="V632" s="265"/>
      <c r="W632" s="265"/>
      <c r="X632" s="193"/>
      <c r="Y632" s="193"/>
      <c r="Z632" s="193"/>
      <c r="AA632" s="193"/>
      <c r="AB632" s="193"/>
      <c r="AC632" s="193"/>
      <c r="AD632" s="193"/>
      <c r="AE632" s="193"/>
      <c r="AF632" s="3"/>
      <c r="AG632" s="3"/>
      <c r="AH632" s="3"/>
      <c r="AI632" s="3"/>
      <c r="AJ632" s="3"/>
      <c r="AK632" s="3"/>
      <c r="AL632" s="3"/>
    </row>
    <row r="633" spans="1:38" ht="14.25" customHeight="1">
      <c r="A633" s="3"/>
      <c r="B633" s="3"/>
      <c r="C633" s="3"/>
      <c r="D633" s="3"/>
      <c r="E633" s="265"/>
      <c r="F633" s="265"/>
      <c r="G633" s="265"/>
      <c r="H633" s="265"/>
      <c r="I633" s="265"/>
      <c r="J633" s="260"/>
      <c r="K633" s="3"/>
      <c r="L633" s="265"/>
      <c r="M633" s="265"/>
      <c r="N633" s="265"/>
      <c r="O633" s="265"/>
      <c r="P633" s="265"/>
      <c r="Q633" s="260"/>
      <c r="R633" s="3"/>
      <c r="S633" s="265"/>
      <c r="T633" s="265"/>
      <c r="U633" s="265"/>
      <c r="V633" s="265"/>
      <c r="W633" s="265"/>
      <c r="X633" s="193"/>
      <c r="Y633" s="193"/>
      <c r="Z633" s="193"/>
      <c r="AA633" s="193"/>
      <c r="AB633" s="193"/>
      <c r="AC633" s="193"/>
      <c r="AD633" s="193"/>
      <c r="AE633" s="193"/>
      <c r="AF633" s="3"/>
      <c r="AG633" s="3"/>
      <c r="AH633" s="3"/>
      <c r="AI633" s="3"/>
      <c r="AJ633" s="3"/>
      <c r="AK633" s="3"/>
      <c r="AL633" s="3"/>
    </row>
    <row r="634" spans="1:38" ht="14.25" customHeight="1">
      <c r="A634" s="3"/>
      <c r="B634" s="3"/>
      <c r="C634" s="3"/>
      <c r="D634" s="3"/>
      <c r="E634" s="265"/>
      <c r="F634" s="265"/>
      <c r="G634" s="265"/>
      <c r="H634" s="265"/>
      <c r="I634" s="265"/>
      <c r="J634" s="260"/>
      <c r="K634" s="3"/>
      <c r="L634" s="265"/>
      <c r="M634" s="265"/>
      <c r="N634" s="265"/>
      <c r="O634" s="265"/>
      <c r="P634" s="265"/>
      <c r="Q634" s="260"/>
      <c r="R634" s="3"/>
      <c r="S634" s="265"/>
      <c r="T634" s="265"/>
      <c r="U634" s="265"/>
      <c r="V634" s="265"/>
      <c r="W634" s="265"/>
      <c r="X634" s="193"/>
      <c r="Y634" s="193"/>
      <c r="Z634" s="193"/>
      <c r="AA634" s="193"/>
      <c r="AB634" s="193"/>
      <c r="AC634" s="193"/>
      <c r="AD634" s="193"/>
      <c r="AE634" s="193"/>
      <c r="AF634" s="3"/>
      <c r="AG634" s="3"/>
      <c r="AH634" s="3"/>
      <c r="AI634" s="3"/>
      <c r="AJ634" s="3"/>
      <c r="AK634" s="3"/>
      <c r="AL634" s="3"/>
    </row>
    <row r="635" spans="1:38" ht="14.25" customHeight="1">
      <c r="A635" s="3"/>
      <c r="B635" s="3"/>
      <c r="C635" s="3"/>
      <c r="D635" s="3"/>
      <c r="E635" s="265"/>
      <c r="F635" s="265"/>
      <c r="G635" s="265"/>
      <c r="H635" s="265"/>
      <c r="I635" s="265"/>
      <c r="J635" s="260"/>
      <c r="K635" s="3"/>
      <c r="L635" s="265"/>
      <c r="M635" s="265"/>
      <c r="N635" s="265"/>
      <c r="O635" s="265"/>
      <c r="P635" s="265"/>
      <c r="Q635" s="260"/>
      <c r="R635" s="3"/>
      <c r="S635" s="265"/>
      <c r="T635" s="265"/>
      <c r="U635" s="265"/>
      <c r="V635" s="265"/>
      <c r="W635" s="265"/>
      <c r="X635" s="193"/>
      <c r="Y635" s="193"/>
      <c r="Z635" s="193"/>
      <c r="AA635" s="193"/>
      <c r="AB635" s="193"/>
      <c r="AC635" s="193"/>
      <c r="AD635" s="193"/>
      <c r="AE635" s="193"/>
      <c r="AF635" s="3"/>
      <c r="AG635" s="3"/>
      <c r="AH635" s="3"/>
      <c r="AI635" s="3"/>
      <c r="AJ635" s="3"/>
      <c r="AK635" s="3"/>
      <c r="AL635" s="3"/>
    </row>
    <row r="636" spans="1:38" ht="14.25" customHeight="1">
      <c r="A636" s="3"/>
      <c r="B636" s="3"/>
      <c r="C636" s="3"/>
      <c r="D636" s="3"/>
      <c r="E636" s="265"/>
      <c r="F636" s="265"/>
      <c r="G636" s="265"/>
      <c r="H636" s="265"/>
      <c r="I636" s="265"/>
      <c r="J636" s="260"/>
      <c r="K636" s="3"/>
      <c r="L636" s="265"/>
      <c r="M636" s="265"/>
      <c r="N636" s="265"/>
      <c r="O636" s="265"/>
      <c r="P636" s="265"/>
      <c r="Q636" s="260"/>
      <c r="R636" s="3"/>
      <c r="S636" s="265"/>
      <c r="T636" s="265"/>
      <c r="U636" s="265"/>
      <c r="V636" s="265"/>
      <c r="W636" s="265"/>
      <c r="X636" s="193"/>
      <c r="Y636" s="193"/>
      <c r="Z636" s="193"/>
      <c r="AA636" s="193"/>
      <c r="AB636" s="193"/>
      <c r="AC636" s="193"/>
      <c r="AD636" s="193"/>
      <c r="AE636" s="193"/>
      <c r="AF636" s="3"/>
      <c r="AG636" s="3"/>
      <c r="AH636" s="3"/>
      <c r="AI636" s="3"/>
      <c r="AJ636" s="3"/>
      <c r="AK636" s="3"/>
      <c r="AL636" s="3"/>
    </row>
    <row r="637" spans="1:38" ht="14.25" customHeight="1">
      <c r="A637" s="3"/>
      <c r="B637" s="3"/>
      <c r="C637" s="3"/>
      <c r="D637" s="3"/>
      <c r="E637" s="265"/>
      <c r="F637" s="265"/>
      <c r="G637" s="265"/>
      <c r="H637" s="265"/>
      <c r="I637" s="265"/>
      <c r="J637" s="260"/>
      <c r="K637" s="3"/>
      <c r="L637" s="265"/>
      <c r="M637" s="265"/>
      <c r="N637" s="265"/>
      <c r="O637" s="265"/>
      <c r="P637" s="265"/>
      <c r="Q637" s="260"/>
      <c r="R637" s="3"/>
      <c r="S637" s="265"/>
      <c r="T637" s="265"/>
      <c r="U637" s="265"/>
      <c r="V637" s="265"/>
      <c r="W637" s="265"/>
      <c r="X637" s="193"/>
      <c r="Y637" s="193"/>
      <c r="Z637" s="193"/>
      <c r="AA637" s="193"/>
      <c r="AB637" s="193"/>
      <c r="AC637" s="193"/>
      <c r="AD637" s="193"/>
      <c r="AE637" s="193"/>
      <c r="AF637" s="3"/>
      <c r="AG637" s="3"/>
      <c r="AH637" s="3"/>
      <c r="AI637" s="3"/>
      <c r="AJ637" s="3"/>
      <c r="AK637" s="3"/>
      <c r="AL637" s="3"/>
    </row>
    <row r="638" spans="1:38" ht="14.25" customHeight="1">
      <c r="A638" s="3"/>
      <c r="B638" s="3"/>
      <c r="C638" s="3"/>
      <c r="D638" s="3"/>
      <c r="E638" s="265"/>
      <c r="F638" s="265"/>
      <c r="G638" s="265"/>
      <c r="H638" s="265"/>
      <c r="I638" s="265"/>
      <c r="J638" s="260"/>
      <c r="K638" s="3"/>
      <c r="L638" s="265"/>
      <c r="M638" s="265"/>
      <c r="N638" s="265"/>
      <c r="O638" s="265"/>
      <c r="P638" s="265"/>
      <c r="Q638" s="260"/>
      <c r="R638" s="3"/>
      <c r="S638" s="265"/>
      <c r="T638" s="265"/>
      <c r="U638" s="265"/>
      <c r="V638" s="265"/>
      <c r="W638" s="265"/>
      <c r="X638" s="193"/>
      <c r="Y638" s="193"/>
      <c r="Z638" s="193"/>
      <c r="AA638" s="193"/>
      <c r="AB638" s="193"/>
      <c r="AC638" s="193"/>
      <c r="AD638" s="193"/>
      <c r="AE638" s="193"/>
      <c r="AF638" s="3"/>
      <c r="AG638" s="3"/>
      <c r="AH638" s="3"/>
      <c r="AI638" s="3"/>
      <c r="AJ638" s="3"/>
      <c r="AK638" s="3"/>
      <c r="AL638" s="3"/>
    </row>
    <row r="639" spans="1:38" ht="14.25" customHeight="1">
      <c r="A639" s="3"/>
      <c r="B639" s="3"/>
      <c r="C639" s="3"/>
      <c r="D639" s="3"/>
      <c r="E639" s="265"/>
      <c r="F639" s="265"/>
      <c r="G639" s="265"/>
      <c r="H639" s="265"/>
      <c r="I639" s="265"/>
      <c r="J639" s="260"/>
      <c r="K639" s="3"/>
      <c r="L639" s="265"/>
      <c r="M639" s="265"/>
      <c r="N639" s="265"/>
      <c r="O639" s="265"/>
      <c r="P639" s="265"/>
      <c r="Q639" s="260"/>
      <c r="R639" s="3"/>
      <c r="S639" s="265"/>
      <c r="T639" s="265"/>
      <c r="U639" s="265"/>
      <c r="V639" s="265"/>
      <c r="W639" s="265"/>
      <c r="X639" s="193"/>
      <c r="Y639" s="193"/>
      <c r="Z639" s="193"/>
      <c r="AA639" s="193"/>
      <c r="AB639" s="193"/>
      <c r="AC639" s="193"/>
      <c r="AD639" s="193"/>
      <c r="AE639" s="193"/>
      <c r="AF639" s="3"/>
      <c r="AG639" s="3"/>
      <c r="AH639" s="3"/>
      <c r="AI639" s="3"/>
      <c r="AJ639" s="3"/>
      <c r="AK639" s="3"/>
      <c r="AL639" s="3"/>
    </row>
    <row r="640" spans="1:38" ht="14.25" customHeight="1">
      <c r="A640" s="3"/>
      <c r="B640" s="3"/>
      <c r="C640" s="3"/>
      <c r="D640" s="3"/>
      <c r="E640" s="265"/>
      <c r="F640" s="265"/>
      <c r="G640" s="265"/>
      <c r="H640" s="265"/>
      <c r="I640" s="265"/>
      <c r="J640" s="260"/>
      <c r="K640" s="3"/>
      <c r="L640" s="265"/>
      <c r="M640" s="265"/>
      <c r="N640" s="265"/>
      <c r="O640" s="265"/>
      <c r="P640" s="265"/>
      <c r="Q640" s="260"/>
      <c r="R640" s="3"/>
      <c r="S640" s="265"/>
      <c r="T640" s="265"/>
      <c r="U640" s="265"/>
      <c r="V640" s="265"/>
      <c r="W640" s="265"/>
      <c r="X640" s="193"/>
      <c r="Y640" s="193"/>
      <c r="Z640" s="193"/>
      <c r="AA640" s="193"/>
      <c r="AB640" s="193"/>
      <c r="AC640" s="193"/>
      <c r="AD640" s="193"/>
      <c r="AE640" s="193"/>
      <c r="AF640" s="3"/>
      <c r="AG640" s="3"/>
      <c r="AH640" s="3"/>
      <c r="AI640" s="3"/>
      <c r="AJ640" s="3"/>
      <c r="AK640" s="3"/>
      <c r="AL640" s="3"/>
    </row>
    <row r="641" spans="1:38" ht="14.25" customHeight="1">
      <c r="A641" s="3"/>
      <c r="B641" s="3"/>
      <c r="C641" s="3"/>
      <c r="D641" s="3"/>
      <c r="E641" s="265"/>
      <c r="F641" s="265"/>
      <c r="G641" s="265"/>
      <c r="H641" s="265"/>
      <c r="I641" s="265"/>
      <c r="J641" s="260"/>
      <c r="K641" s="3"/>
      <c r="L641" s="265"/>
      <c r="M641" s="265"/>
      <c r="N641" s="265"/>
      <c r="O641" s="265"/>
      <c r="P641" s="265"/>
      <c r="Q641" s="260"/>
      <c r="R641" s="3"/>
      <c r="S641" s="265"/>
      <c r="T641" s="265"/>
      <c r="U641" s="265"/>
      <c r="V641" s="265"/>
      <c r="W641" s="265"/>
      <c r="X641" s="193"/>
      <c r="Y641" s="193"/>
      <c r="Z641" s="193"/>
      <c r="AA641" s="193"/>
      <c r="AB641" s="193"/>
      <c r="AC641" s="193"/>
      <c r="AD641" s="193"/>
      <c r="AE641" s="193"/>
      <c r="AF641" s="3"/>
      <c r="AG641" s="3"/>
      <c r="AH641" s="3"/>
      <c r="AI641" s="3"/>
      <c r="AJ641" s="3"/>
      <c r="AK641" s="3"/>
      <c r="AL641" s="3"/>
    </row>
    <row r="642" spans="1:38" ht="14.25" customHeight="1">
      <c r="A642" s="3"/>
      <c r="B642" s="3"/>
      <c r="C642" s="3"/>
      <c r="D642" s="3"/>
      <c r="E642" s="265"/>
      <c r="F642" s="265"/>
      <c r="G642" s="265"/>
      <c r="H642" s="265"/>
      <c r="I642" s="265"/>
      <c r="J642" s="260"/>
      <c r="K642" s="3"/>
      <c r="L642" s="265"/>
      <c r="M642" s="265"/>
      <c r="N642" s="265"/>
      <c r="O642" s="265"/>
      <c r="P642" s="265"/>
      <c r="Q642" s="260"/>
      <c r="R642" s="3"/>
      <c r="S642" s="265"/>
      <c r="T642" s="265"/>
      <c r="U642" s="265"/>
      <c r="V642" s="265"/>
      <c r="W642" s="265"/>
      <c r="X642" s="193"/>
      <c r="Y642" s="193"/>
      <c r="Z642" s="193"/>
      <c r="AA642" s="193"/>
      <c r="AB642" s="193"/>
      <c r="AC642" s="193"/>
      <c r="AD642" s="193"/>
      <c r="AE642" s="193"/>
      <c r="AF642" s="3"/>
      <c r="AG642" s="3"/>
      <c r="AH642" s="3"/>
      <c r="AI642" s="3"/>
      <c r="AJ642" s="3"/>
      <c r="AK642" s="3"/>
      <c r="AL642" s="3"/>
    </row>
    <row r="643" spans="1:38" ht="14.25" customHeight="1">
      <c r="A643" s="3"/>
      <c r="B643" s="3"/>
      <c r="C643" s="3"/>
      <c r="D643" s="3"/>
      <c r="E643" s="265"/>
      <c r="F643" s="265"/>
      <c r="G643" s="265"/>
      <c r="H643" s="265"/>
      <c r="I643" s="265"/>
      <c r="J643" s="260"/>
      <c r="K643" s="3"/>
      <c r="L643" s="265"/>
      <c r="M643" s="265"/>
      <c r="N643" s="265"/>
      <c r="O643" s="265"/>
      <c r="P643" s="265"/>
      <c r="Q643" s="260"/>
      <c r="R643" s="3"/>
      <c r="S643" s="265"/>
      <c r="T643" s="265"/>
      <c r="U643" s="265"/>
      <c r="V643" s="265"/>
      <c r="W643" s="265"/>
      <c r="X643" s="193"/>
      <c r="Y643" s="193"/>
      <c r="Z643" s="193"/>
      <c r="AA643" s="193"/>
      <c r="AB643" s="193"/>
      <c r="AC643" s="193"/>
      <c r="AD643" s="193"/>
      <c r="AE643" s="193"/>
      <c r="AF643" s="3"/>
      <c r="AG643" s="3"/>
      <c r="AH643" s="3"/>
      <c r="AI643" s="3"/>
      <c r="AJ643" s="3"/>
      <c r="AK643" s="3"/>
      <c r="AL643" s="3"/>
    </row>
    <row r="644" spans="1:38" ht="14.25" customHeight="1">
      <c r="A644" s="3"/>
      <c r="B644" s="3"/>
      <c r="C644" s="3"/>
      <c r="D644" s="3"/>
      <c r="E644" s="265"/>
      <c r="F644" s="265"/>
      <c r="G644" s="265"/>
      <c r="H644" s="265"/>
      <c r="I644" s="265"/>
      <c r="J644" s="260"/>
      <c r="K644" s="3"/>
      <c r="L644" s="265"/>
      <c r="M644" s="265"/>
      <c r="N644" s="265"/>
      <c r="O644" s="265"/>
      <c r="P644" s="265"/>
      <c r="Q644" s="260"/>
      <c r="R644" s="3"/>
      <c r="S644" s="265"/>
      <c r="T644" s="265"/>
      <c r="U644" s="265"/>
      <c r="V644" s="265"/>
      <c r="W644" s="265"/>
      <c r="X644" s="193"/>
      <c r="Y644" s="193"/>
      <c r="Z644" s="193"/>
      <c r="AA644" s="193"/>
      <c r="AB644" s="193"/>
      <c r="AC644" s="193"/>
      <c r="AD644" s="193"/>
      <c r="AE644" s="193"/>
      <c r="AF644" s="3"/>
      <c r="AG644" s="3"/>
      <c r="AH644" s="3"/>
      <c r="AI644" s="3"/>
      <c r="AJ644" s="3"/>
      <c r="AK644" s="3"/>
      <c r="AL644" s="3"/>
    </row>
    <row r="645" spans="1:38" ht="14.25" customHeight="1">
      <c r="A645" s="3"/>
      <c r="B645" s="3"/>
      <c r="C645" s="3"/>
      <c r="D645" s="3"/>
      <c r="E645" s="265"/>
      <c r="F645" s="265"/>
      <c r="G645" s="265"/>
      <c r="H645" s="265"/>
      <c r="I645" s="265"/>
      <c r="J645" s="260"/>
      <c r="K645" s="3"/>
      <c r="L645" s="265"/>
      <c r="M645" s="265"/>
      <c r="N645" s="265"/>
      <c r="O645" s="265"/>
      <c r="P645" s="265"/>
      <c r="Q645" s="260"/>
      <c r="R645" s="3"/>
      <c r="S645" s="265"/>
      <c r="T645" s="265"/>
      <c r="U645" s="265"/>
      <c r="V645" s="265"/>
      <c r="W645" s="265"/>
      <c r="X645" s="193"/>
      <c r="Y645" s="193"/>
      <c r="Z645" s="193"/>
      <c r="AA645" s="193"/>
      <c r="AB645" s="193"/>
      <c r="AC645" s="193"/>
      <c r="AD645" s="193"/>
      <c r="AE645" s="193"/>
      <c r="AF645" s="3"/>
      <c r="AG645" s="3"/>
      <c r="AH645" s="3"/>
      <c r="AI645" s="3"/>
      <c r="AJ645" s="3"/>
      <c r="AK645" s="3"/>
      <c r="AL645" s="3"/>
    </row>
    <row r="646" spans="1:38" ht="14.25" customHeight="1">
      <c r="A646" s="3"/>
      <c r="B646" s="3"/>
      <c r="C646" s="3"/>
      <c r="D646" s="3"/>
      <c r="E646" s="265"/>
      <c r="F646" s="265"/>
      <c r="G646" s="265"/>
      <c r="H646" s="265"/>
      <c r="I646" s="265"/>
      <c r="J646" s="260"/>
      <c r="K646" s="3"/>
      <c r="L646" s="265"/>
      <c r="M646" s="265"/>
      <c r="N646" s="265"/>
      <c r="O646" s="265"/>
      <c r="P646" s="265"/>
      <c r="Q646" s="260"/>
      <c r="R646" s="3"/>
      <c r="S646" s="265"/>
      <c r="T646" s="265"/>
      <c r="U646" s="265"/>
      <c r="V646" s="265"/>
      <c r="W646" s="265"/>
      <c r="X646" s="193"/>
      <c r="Y646" s="193"/>
      <c r="Z646" s="193"/>
      <c r="AA646" s="193"/>
      <c r="AB646" s="193"/>
      <c r="AC646" s="193"/>
      <c r="AD646" s="193"/>
      <c r="AE646" s="193"/>
      <c r="AF646" s="3"/>
      <c r="AG646" s="3"/>
      <c r="AH646" s="3"/>
      <c r="AI646" s="3"/>
      <c r="AJ646" s="3"/>
      <c r="AK646" s="3"/>
      <c r="AL646" s="3"/>
    </row>
    <row r="647" spans="1:38" ht="14.25" customHeight="1">
      <c r="A647" s="3"/>
      <c r="B647" s="3"/>
      <c r="C647" s="3"/>
      <c r="D647" s="3"/>
      <c r="E647" s="265"/>
      <c r="F647" s="265"/>
      <c r="G647" s="265"/>
      <c r="H647" s="265"/>
      <c r="I647" s="265"/>
      <c r="J647" s="260"/>
      <c r="K647" s="3"/>
      <c r="L647" s="265"/>
      <c r="M647" s="265"/>
      <c r="N647" s="265"/>
      <c r="O647" s="265"/>
      <c r="P647" s="265"/>
      <c r="Q647" s="260"/>
      <c r="R647" s="3"/>
      <c r="S647" s="265"/>
      <c r="T647" s="265"/>
      <c r="U647" s="265"/>
      <c r="V647" s="265"/>
      <c r="W647" s="265"/>
      <c r="X647" s="193"/>
      <c r="Y647" s="193"/>
      <c r="Z647" s="193"/>
      <c r="AA647" s="193"/>
      <c r="AB647" s="193"/>
      <c r="AC647" s="193"/>
      <c r="AD647" s="193"/>
      <c r="AE647" s="193"/>
      <c r="AF647" s="3"/>
      <c r="AG647" s="3"/>
      <c r="AH647" s="3"/>
      <c r="AI647" s="3"/>
      <c r="AJ647" s="3"/>
      <c r="AK647" s="3"/>
      <c r="AL647" s="3"/>
    </row>
    <row r="648" spans="1:38" ht="14.25" customHeight="1">
      <c r="A648" s="3"/>
      <c r="B648" s="3"/>
      <c r="C648" s="3"/>
      <c r="D648" s="3"/>
      <c r="E648" s="265"/>
      <c r="F648" s="265"/>
      <c r="G648" s="265"/>
      <c r="H648" s="265"/>
      <c r="I648" s="265"/>
      <c r="J648" s="260"/>
      <c r="K648" s="3"/>
      <c r="L648" s="265"/>
      <c r="M648" s="265"/>
      <c r="N648" s="265"/>
      <c r="O648" s="265"/>
      <c r="P648" s="265"/>
      <c r="Q648" s="260"/>
      <c r="R648" s="3"/>
      <c r="S648" s="265"/>
      <c r="T648" s="265"/>
      <c r="U648" s="265"/>
      <c r="V648" s="265"/>
      <c r="W648" s="265"/>
      <c r="X648" s="193"/>
      <c r="Y648" s="193"/>
      <c r="Z648" s="193"/>
      <c r="AA648" s="193"/>
      <c r="AB648" s="193"/>
      <c r="AC648" s="193"/>
      <c r="AD648" s="193"/>
      <c r="AE648" s="193"/>
      <c r="AF648" s="3"/>
      <c r="AG648" s="3"/>
      <c r="AH648" s="3"/>
      <c r="AI648" s="3"/>
      <c r="AJ648" s="3"/>
      <c r="AK648" s="3"/>
      <c r="AL648" s="3"/>
    </row>
    <row r="649" spans="1:38" ht="14.25" customHeight="1">
      <c r="A649" s="3"/>
      <c r="B649" s="3"/>
      <c r="C649" s="3"/>
      <c r="D649" s="3"/>
      <c r="E649" s="265"/>
      <c r="F649" s="265"/>
      <c r="G649" s="265"/>
      <c r="H649" s="265"/>
      <c r="I649" s="265"/>
      <c r="J649" s="260"/>
      <c r="K649" s="3"/>
      <c r="L649" s="265"/>
      <c r="M649" s="265"/>
      <c r="N649" s="265"/>
      <c r="O649" s="265"/>
      <c r="P649" s="265"/>
      <c r="Q649" s="260"/>
      <c r="R649" s="3"/>
      <c r="S649" s="265"/>
      <c r="T649" s="265"/>
      <c r="U649" s="265"/>
      <c r="V649" s="265"/>
      <c r="W649" s="265"/>
      <c r="X649" s="193"/>
      <c r="Y649" s="193"/>
      <c r="Z649" s="193"/>
      <c r="AA649" s="193"/>
      <c r="AB649" s="193"/>
      <c r="AC649" s="193"/>
      <c r="AD649" s="193"/>
      <c r="AE649" s="193"/>
      <c r="AF649" s="3"/>
      <c r="AG649" s="3"/>
      <c r="AH649" s="3"/>
      <c r="AI649" s="3"/>
      <c r="AJ649" s="3"/>
      <c r="AK649" s="3"/>
      <c r="AL649" s="3"/>
    </row>
    <row r="650" spans="1:38" ht="14.25" customHeight="1">
      <c r="A650" s="3"/>
      <c r="B650" s="3"/>
      <c r="C650" s="3"/>
      <c r="D650" s="3"/>
      <c r="E650" s="265"/>
      <c r="F650" s="265"/>
      <c r="G650" s="265"/>
      <c r="H650" s="265"/>
      <c r="I650" s="265"/>
      <c r="J650" s="260"/>
      <c r="K650" s="3"/>
      <c r="L650" s="265"/>
      <c r="M650" s="265"/>
      <c r="N650" s="265"/>
      <c r="O650" s="265"/>
      <c r="P650" s="265"/>
      <c r="Q650" s="260"/>
      <c r="R650" s="3"/>
      <c r="S650" s="265"/>
      <c r="T650" s="265"/>
      <c r="U650" s="265"/>
      <c r="V650" s="265"/>
      <c r="W650" s="265"/>
      <c r="X650" s="193"/>
      <c r="Y650" s="193"/>
      <c r="Z650" s="193"/>
      <c r="AA650" s="193"/>
      <c r="AB650" s="193"/>
      <c r="AC650" s="193"/>
      <c r="AD650" s="193"/>
      <c r="AE650" s="193"/>
      <c r="AF650" s="3"/>
      <c r="AG650" s="3"/>
      <c r="AH650" s="3"/>
      <c r="AI650" s="3"/>
      <c r="AJ650" s="3"/>
      <c r="AK650" s="3"/>
      <c r="AL650" s="3"/>
    </row>
    <row r="651" spans="1:38" ht="14.25" customHeight="1">
      <c r="A651" s="3"/>
      <c r="B651" s="3"/>
      <c r="C651" s="3"/>
      <c r="D651" s="3"/>
      <c r="E651" s="265"/>
      <c r="F651" s="265"/>
      <c r="G651" s="265"/>
      <c r="H651" s="265"/>
      <c r="I651" s="265"/>
      <c r="J651" s="260"/>
      <c r="K651" s="3"/>
      <c r="L651" s="265"/>
      <c r="M651" s="265"/>
      <c r="N651" s="265"/>
      <c r="O651" s="265"/>
      <c r="P651" s="265"/>
      <c r="Q651" s="260"/>
      <c r="R651" s="3"/>
      <c r="S651" s="265"/>
      <c r="T651" s="265"/>
      <c r="U651" s="265"/>
      <c r="V651" s="265"/>
      <c r="W651" s="265"/>
      <c r="X651" s="193"/>
      <c r="Y651" s="193"/>
      <c r="Z651" s="193"/>
      <c r="AA651" s="193"/>
      <c r="AB651" s="193"/>
      <c r="AC651" s="193"/>
      <c r="AD651" s="193"/>
      <c r="AE651" s="193"/>
      <c r="AF651" s="3"/>
      <c r="AG651" s="3"/>
      <c r="AH651" s="3"/>
      <c r="AI651" s="3"/>
      <c r="AJ651" s="3"/>
      <c r="AK651" s="3"/>
      <c r="AL651" s="3"/>
    </row>
    <row r="652" spans="1:38" ht="14.25" customHeight="1">
      <c r="A652" s="3"/>
      <c r="B652" s="3"/>
      <c r="C652" s="3"/>
      <c r="D652" s="3"/>
      <c r="E652" s="265"/>
      <c r="F652" s="265"/>
      <c r="G652" s="265"/>
      <c r="H652" s="265"/>
      <c r="I652" s="265"/>
      <c r="J652" s="260"/>
      <c r="K652" s="3"/>
      <c r="L652" s="265"/>
      <c r="M652" s="265"/>
      <c r="N652" s="265"/>
      <c r="O652" s="265"/>
      <c r="P652" s="265"/>
      <c r="Q652" s="260"/>
      <c r="R652" s="3"/>
      <c r="S652" s="265"/>
      <c r="T652" s="265"/>
      <c r="U652" s="265"/>
      <c r="V652" s="265"/>
      <c r="W652" s="265"/>
      <c r="X652" s="193"/>
      <c r="Y652" s="193"/>
      <c r="Z652" s="193"/>
      <c r="AA652" s="193"/>
      <c r="AB652" s="193"/>
      <c r="AC652" s="193"/>
      <c r="AD652" s="193"/>
      <c r="AE652" s="193"/>
      <c r="AF652" s="3"/>
      <c r="AG652" s="3"/>
      <c r="AH652" s="3"/>
      <c r="AI652" s="3"/>
      <c r="AJ652" s="3"/>
      <c r="AK652" s="3"/>
      <c r="AL652" s="3"/>
    </row>
    <row r="653" spans="1:38" ht="14.25" customHeight="1">
      <c r="A653" s="3"/>
      <c r="B653" s="3"/>
      <c r="C653" s="3"/>
      <c r="D653" s="3"/>
      <c r="E653" s="265"/>
      <c r="F653" s="265"/>
      <c r="G653" s="265"/>
      <c r="H653" s="265"/>
      <c r="I653" s="265"/>
      <c r="J653" s="260"/>
      <c r="K653" s="3"/>
      <c r="L653" s="265"/>
      <c r="M653" s="265"/>
      <c r="N653" s="265"/>
      <c r="O653" s="265"/>
      <c r="P653" s="265"/>
      <c r="Q653" s="260"/>
      <c r="R653" s="3"/>
      <c r="S653" s="265"/>
      <c r="T653" s="265"/>
      <c r="U653" s="265"/>
      <c r="V653" s="265"/>
      <c r="W653" s="265"/>
      <c r="X653" s="193"/>
      <c r="Y653" s="193"/>
      <c r="Z653" s="193"/>
      <c r="AA653" s="193"/>
      <c r="AB653" s="193"/>
      <c r="AC653" s="193"/>
      <c r="AD653" s="193"/>
      <c r="AE653" s="193"/>
      <c r="AF653" s="3"/>
      <c r="AG653" s="3"/>
      <c r="AH653" s="3"/>
      <c r="AI653" s="3"/>
      <c r="AJ653" s="3"/>
      <c r="AK653" s="3"/>
      <c r="AL653" s="3"/>
    </row>
    <row r="654" spans="1:38" ht="14.25" customHeight="1">
      <c r="A654" s="3"/>
      <c r="B654" s="3"/>
      <c r="C654" s="3"/>
      <c r="D654" s="3"/>
      <c r="E654" s="265"/>
      <c r="F654" s="265"/>
      <c r="G654" s="265"/>
      <c r="H654" s="265"/>
      <c r="I654" s="265"/>
      <c r="J654" s="260"/>
      <c r="K654" s="3"/>
      <c r="L654" s="265"/>
      <c r="M654" s="265"/>
      <c r="N654" s="265"/>
      <c r="O654" s="265"/>
      <c r="P654" s="265"/>
      <c r="Q654" s="260"/>
      <c r="R654" s="3"/>
      <c r="S654" s="265"/>
      <c r="T654" s="265"/>
      <c r="U654" s="265"/>
      <c r="V654" s="265"/>
      <c r="W654" s="265"/>
      <c r="X654" s="193"/>
      <c r="Y654" s="193"/>
      <c r="Z654" s="193"/>
      <c r="AA654" s="193"/>
      <c r="AB654" s="193"/>
      <c r="AC654" s="193"/>
      <c r="AD654" s="193"/>
      <c r="AE654" s="193"/>
      <c r="AF654" s="3"/>
      <c r="AG654" s="3"/>
      <c r="AH654" s="3"/>
      <c r="AI654" s="3"/>
      <c r="AJ654" s="3"/>
      <c r="AK654" s="3"/>
      <c r="AL654" s="3"/>
    </row>
    <row r="655" spans="1:38" ht="14.25" customHeight="1">
      <c r="A655" s="3"/>
      <c r="B655" s="3"/>
      <c r="C655" s="3"/>
      <c r="D655" s="3"/>
      <c r="E655" s="265"/>
      <c r="F655" s="265"/>
      <c r="G655" s="265"/>
      <c r="H655" s="265"/>
      <c r="I655" s="265"/>
      <c r="J655" s="260"/>
      <c r="K655" s="3"/>
      <c r="L655" s="265"/>
      <c r="M655" s="265"/>
      <c r="N655" s="265"/>
      <c r="O655" s="265"/>
      <c r="P655" s="265"/>
      <c r="Q655" s="260"/>
      <c r="R655" s="3"/>
      <c r="S655" s="265"/>
      <c r="T655" s="265"/>
      <c r="U655" s="265"/>
      <c r="V655" s="265"/>
      <c r="W655" s="265"/>
      <c r="X655" s="193"/>
      <c r="Y655" s="193"/>
      <c r="Z655" s="193"/>
      <c r="AA655" s="193"/>
      <c r="AB655" s="193"/>
      <c r="AC655" s="193"/>
      <c r="AD655" s="193"/>
      <c r="AE655" s="193"/>
      <c r="AF655" s="3"/>
      <c r="AG655" s="3"/>
      <c r="AH655" s="3"/>
      <c r="AI655" s="3"/>
      <c r="AJ655" s="3"/>
      <c r="AK655" s="3"/>
      <c r="AL655" s="3"/>
    </row>
    <row r="656" spans="1:38" ht="14.25" customHeight="1">
      <c r="A656" s="3"/>
      <c r="B656" s="3"/>
      <c r="C656" s="3"/>
      <c r="D656" s="3"/>
      <c r="E656" s="265"/>
      <c r="F656" s="265"/>
      <c r="G656" s="265"/>
      <c r="H656" s="265"/>
      <c r="I656" s="265"/>
      <c r="J656" s="260"/>
      <c r="K656" s="3"/>
      <c r="L656" s="265"/>
      <c r="M656" s="265"/>
      <c r="N656" s="265"/>
      <c r="O656" s="265"/>
      <c r="P656" s="265"/>
      <c r="Q656" s="260"/>
      <c r="R656" s="3"/>
      <c r="S656" s="265"/>
      <c r="T656" s="265"/>
      <c r="U656" s="265"/>
      <c r="V656" s="265"/>
      <c r="W656" s="265"/>
      <c r="X656" s="193"/>
      <c r="Y656" s="193"/>
      <c r="Z656" s="193"/>
      <c r="AA656" s="193"/>
      <c r="AB656" s="193"/>
      <c r="AC656" s="193"/>
      <c r="AD656" s="193"/>
      <c r="AE656" s="193"/>
      <c r="AF656" s="3"/>
      <c r="AG656" s="3"/>
      <c r="AH656" s="3"/>
      <c r="AI656" s="3"/>
      <c r="AJ656" s="3"/>
      <c r="AK656" s="3"/>
      <c r="AL656" s="3"/>
    </row>
    <row r="657" spans="1:38" ht="14.25" customHeight="1">
      <c r="A657" s="3"/>
      <c r="B657" s="3"/>
      <c r="C657" s="3"/>
      <c r="D657" s="3"/>
      <c r="E657" s="265"/>
      <c r="F657" s="265"/>
      <c r="G657" s="265"/>
      <c r="H657" s="265"/>
      <c r="I657" s="265"/>
      <c r="J657" s="260"/>
      <c r="K657" s="3"/>
      <c r="L657" s="265"/>
      <c r="M657" s="265"/>
      <c r="N657" s="265"/>
      <c r="O657" s="265"/>
      <c r="P657" s="265"/>
      <c r="Q657" s="260"/>
      <c r="R657" s="3"/>
      <c r="S657" s="265"/>
      <c r="T657" s="265"/>
      <c r="U657" s="265"/>
      <c r="V657" s="265"/>
      <c r="W657" s="265"/>
      <c r="X657" s="193"/>
      <c r="Y657" s="193"/>
      <c r="Z657" s="193"/>
      <c r="AA657" s="193"/>
      <c r="AB657" s="193"/>
      <c r="AC657" s="193"/>
      <c r="AD657" s="193"/>
      <c r="AE657" s="193"/>
      <c r="AF657" s="3"/>
      <c r="AG657" s="3"/>
      <c r="AH657" s="3"/>
      <c r="AI657" s="3"/>
      <c r="AJ657" s="3"/>
      <c r="AK657" s="3"/>
      <c r="AL657" s="3"/>
    </row>
    <row r="658" spans="1:38" ht="14.25" customHeight="1">
      <c r="A658" s="3"/>
      <c r="B658" s="3"/>
      <c r="C658" s="3"/>
      <c r="D658" s="3"/>
      <c r="E658" s="265"/>
      <c r="F658" s="265"/>
      <c r="G658" s="265"/>
      <c r="H658" s="265"/>
      <c r="I658" s="265"/>
      <c r="J658" s="260"/>
      <c r="K658" s="3"/>
      <c r="L658" s="265"/>
      <c r="M658" s="265"/>
      <c r="N658" s="265"/>
      <c r="O658" s="265"/>
      <c r="P658" s="265"/>
      <c r="Q658" s="260"/>
      <c r="R658" s="3"/>
      <c r="S658" s="265"/>
      <c r="T658" s="265"/>
      <c r="U658" s="265"/>
      <c r="V658" s="265"/>
      <c r="W658" s="265"/>
      <c r="X658" s="193"/>
      <c r="Y658" s="193"/>
      <c r="Z658" s="193"/>
      <c r="AA658" s="193"/>
      <c r="AB658" s="193"/>
      <c r="AC658" s="193"/>
      <c r="AD658" s="193"/>
      <c r="AE658" s="193"/>
      <c r="AF658" s="3"/>
      <c r="AG658" s="3"/>
      <c r="AH658" s="3"/>
      <c r="AI658" s="3"/>
      <c r="AJ658" s="3"/>
      <c r="AK658" s="3"/>
      <c r="AL658" s="3"/>
    </row>
    <row r="659" spans="1:38" ht="14.25" customHeight="1">
      <c r="A659" s="3"/>
      <c r="B659" s="3"/>
      <c r="C659" s="3"/>
      <c r="D659" s="3"/>
      <c r="E659" s="265"/>
      <c r="F659" s="265"/>
      <c r="G659" s="265"/>
      <c r="H659" s="265"/>
      <c r="I659" s="265"/>
      <c r="J659" s="260"/>
      <c r="K659" s="3"/>
      <c r="L659" s="265"/>
      <c r="M659" s="265"/>
      <c r="N659" s="265"/>
      <c r="O659" s="265"/>
      <c r="P659" s="265"/>
      <c r="Q659" s="260"/>
      <c r="R659" s="3"/>
      <c r="S659" s="265"/>
      <c r="T659" s="265"/>
      <c r="U659" s="265"/>
      <c r="V659" s="265"/>
      <c r="W659" s="265"/>
      <c r="X659" s="193"/>
      <c r="Y659" s="193"/>
      <c r="Z659" s="193"/>
      <c r="AA659" s="193"/>
      <c r="AB659" s="193"/>
      <c r="AC659" s="193"/>
      <c r="AD659" s="193"/>
      <c r="AE659" s="193"/>
      <c r="AF659" s="3"/>
      <c r="AG659" s="3"/>
      <c r="AH659" s="3"/>
      <c r="AI659" s="3"/>
      <c r="AJ659" s="3"/>
      <c r="AK659" s="3"/>
      <c r="AL659" s="3"/>
    </row>
    <row r="660" spans="1:38" ht="14.25" customHeight="1">
      <c r="A660" s="3"/>
      <c r="B660" s="3"/>
      <c r="C660" s="3"/>
      <c r="D660" s="3"/>
      <c r="E660" s="265"/>
      <c r="F660" s="265"/>
      <c r="G660" s="265"/>
      <c r="H660" s="265"/>
      <c r="I660" s="265"/>
      <c r="J660" s="260"/>
      <c r="K660" s="3"/>
      <c r="L660" s="265"/>
      <c r="M660" s="265"/>
      <c r="N660" s="265"/>
      <c r="O660" s="265"/>
      <c r="P660" s="265"/>
      <c r="Q660" s="260"/>
      <c r="R660" s="3"/>
      <c r="S660" s="265"/>
      <c r="T660" s="265"/>
      <c r="U660" s="265"/>
      <c r="V660" s="265"/>
      <c r="W660" s="265"/>
      <c r="X660" s="193"/>
      <c r="Y660" s="193"/>
      <c r="Z660" s="193"/>
      <c r="AA660" s="193"/>
      <c r="AB660" s="193"/>
      <c r="AC660" s="193"/>
      <c r="AD660" s="193"/>
      <c r="AE660" s="193"/>
      <c r="AF660" s="3"/>
      <c r="AG660" s="3"/>
      <c r="AH660" s="3"/>
      <c r="AI660" s="3"/>
      <c r="AJ660" s="3"/>
      <c r="AK660" s="3"/>
      <c r="AL660" s="3"/>
    </row>
    <row r="661" spans="1:38" ht="14.25" customHeight="1">
      <c r="A661" s="3"/>
      <c r="B661" s="3"/>
      <c r="C661" s="3"/>
      <c r="D661" s="3"/>
      <c r="E661" s="265"/>
      <c r="F661" s="265"/>
      <c r="G661" s="265"/>
      <c r="H661" s="265"/>
      <c r="I661" s="265"/>
      <c r="J661" s="260"/>
      <c r="K661" s="3"/>
      <c r="L661" s="265"/>
      <c r="M661" s="265"/>
      <c r="N661" s="265"/>
      <c r="O661" s="265"/>
      <c r="P661" s="265"/>
      <c r="Q661" s="260"/>
      <c r="R661" s="3"/>
      <c r="S661" s="265"/>
      <c r="T661" s="265"/>
      <c r="U661" s="265"/>
      <c r="V661" s="265"/>
      <c r="W661" s="265"/>
      <c r="X661" s="193"/>
      <c r="Y661" s="193"/>
      <c r="Z661" s="193"/>
      <c r="AA661" s="193"/>
      <c r="AB661" s="193"/>
      <c r="AC661" s="193"/>
      <c r="AD661" s="193"/>
      <c r="AE661" s="193"/>
      <c r="AF661" s="3"/>
      <c r="AG661" s="3"/>
      <c r="AH661" s="3"/>
      <c r="AI661" s="3"/>
      <c r="AJ661" s="3"/>
      <c r="AK661" s="3"/>
      <c r="AL661" s="3"/>
    </row>
    <row r="662" spans="1:38" ht="14.25" customHeight="1">
      <c r="A662" s="3"/>
      <c r="B662" s="3"/>
      <c r="C662" s="3"/>
      <c r="D662" s="3"/>
      <c r="E662" s="265"/>
      <c r="F662" s="265"/>
      <c r="G662" s="265"/>
      <c r="H662" s="265"/>
      <c r="I662" s="265"/>
      <c r="J662" s="260"/>
      <c r="K662" s="3"/>
      <c r="L662" s="265"/>
      <c r="M662" s="265"/>
      <c r="N662" s="265"/>
      <c r="O662" s="265"/>
      <c r="P662" s="265"/>
      <c r="Q662" s="260"/>
      <c r="R662" s="3"/>
      <c r="S662" s="265"/>
      <c r="T662" s="265"/>
      <c r="U662" s="265"/>
      <c r="V662" s="265"/>
      <c r="W662" s="265"/>
      <c r="X662" s="193"/>
      <c r="Y662" s="193"/>
      <c r="Z662" s="193"/>
      <c r="AA662" s="193"/>
      <c r="AB662" s="193"/>
      <c r="AC662" s="193"/>
      <c r="AD662" s="193"/>
      <c r="AE662" s="193"/>
      <c r="AF662" s="3"/>
      <c r="AG662" s="3"/>
      <c r="AH662" s="3"/>
      <c r="AI662" s="3"/>
      <c r="AJ662" s="3"/>
      <c r="AK662" s="3"/>
      <c r="AL662" s="3"/>
    </row>
    <row r="663" spans="1:38" ht="14.25" customHeight="1">
      <c r="A663" s="3"/>
      <c r="B663" s="3"/>
      <c r="C663" s="3"/>
      <c r="D663" s="3"/>
      <c r="E663" s="265"/>
      <c r="F663" s="265"/>
      <c r="G663" s="265"/>
      <c r="H663" s="265"/>
      <c r="I663" s="265"/>
      <c r="J663" s="260"/>
      <c r="K663" s="3"/>
      <c r="L663" s="265"/>
      <c r="M663" s="265"/>
      <c r="N663" s="265"/>
      <c r="O663" s="265"/>
      <c r="P663" s="265"/>
      <c r="Q663" s="260"/>
      <c r="R663" s="3"/>
      <c r="S663" s="265"/>
      <c r="T663" s="265"/>
      <c r="U663" s="265"/>
      <c r="V663" s="265"/>
      <c r="W663" s="265"/>
      <c r="X663" s="193"/>
      <c r="Y663" s="193"/>
      <c r="Z663" s="193"/>
      <c r="AA663" s="193"/>
      <c r="AB663" s="193"/>
      <c r="AC663" s="193"/>
      <c r="AD663" s="193"/>
      <c r="AE663" s="193"/>
      <c r="AF663" s="3"/>
      <c r="AG663" s="3"/>
      <c r="AH663" s="3"/>
      <c r="AI663" s="3"/>
      <c r="AJ663" s="3"/>
      <c r="AK663" s="3"/>
      <c r="AL663" s="3"/>
    </row>
    <row r="664" spans="1:38" ht="14.25" customHeight="1">
      <c r="A664" s="3"/>
      <c r="B664" s="3"/>
      <c r="C664" s="3"/>
      <c r="D664" s="3"/>
      <c r="E664" s="265"/>
      <c r="F664" s="265"/>
      <c r="G664" s="265"/>
      <c r="H664" s="265"/>
      <c r="I664" s="265"/>
      <c r="J664" s="260"/>
      <c r="K664" s="3"/>
      <c r="L664" s="265"/>
      <c r="M664" s="265"/>
      <c r="N664" s="265"/>
      <c r="O664" s="265"/>
      <c r="P664" s="265"/>
      <c r="Q664" s="260"/>
      <c r="R664" s="3"/>
      <c r="S664" s="265"/>
      <c r="T664" s="265"/>
      <c r="U664" s="265"/>
      <c r="V664" s="265"/>
      <c r="W664" s="265"/>
      <c r="X664" s="193"/>
      <c r="Y664" s="193"/>
      <c r="Z664" s="193"/>
      <c r="AA664" s="193"/>
      <c r="AB664" s="193"/>
      <c r="AC664" s="193"/>
      <c r="AD664" s="193"/>
      <c r="AE664" s="193"/>
      <c r="AF664" s="3"/>
      <c r="AG664" s="3"/>
      <c r="AH664" s="3"/>
      <c r="AI664" s="3"/>
      <c r="AJ664" s="3"/>
      <c r="AK664" s="3"/>
      <c r="AL664" s="3"/>
    </row>
    <row r="665" spans="1:38" ht="14.25" customHeight="1">
      <c r="A665" s="3"/>
      <c r="B665" s="3"/>
      <c r="C665" s="3"/>
      <c r="D665" s="3"/>
      <c r="E665" s="265"/>
      <c r="F665" s="265"/>
      <c r="G665" s="265"/>
      <c r="H665" s="265"/>
      <c r="I665" s="265"/>
      <c r="J665" s="260"/>
      <c r="K665" s="3"/>
      <c r="L665" s="265"/>
      <c r="M665" s="265"/>
      <c r="N665" s="265"/>
      <c r="O665" s="265"/>
      <c r="P665" s="265"/>
      <c r="Q665" s="260"/>
      <c r="R665" s="3"/>
      <c r="S665" s="265"/>
      <c r="T665" s="265"/>
      <c r="U665" s="265"/>
      <c r="V665" s="265"/>
      <c r="W665" s="265"/>
      <c r="X665" s="193"/>
      <c r="Y665" s="193"/>
      <c r="Z665" s="193"/>
      <c r="AA665" s="193"/>
      <c r="AB665" s="193"/>
      <c r="AC665" s="193"/>
      <c r="AD665" s="193"/>
      <c r="AE665" s="193"/>
      <c r="AF665" s="3"/>
      <c r="AG665" s="3"/>
      <c r="AH665" s="3"/>
      <c r="AI665" s="3"/>
      <c r="AJ665" s="3"/>
      <c r="AK665" s="3"/>
      <c r="AL665" s="3"/>
    </row>
    <row r="666" spans="1:38" ht="14.25" customHeight="1">
      <c r="A666" s="3"/>
      <c r="B666" s="3"/>
      <c r="C666" s="3"/>
      <c r="D666" s="3"/>
      <c r="E666" s="265"/>
      <c r="F666" s="265"/>
      <c r="G666" s="265"/>
      <c r="H666" s="265"/>
      <c r="I666" s="265"/>
      <c r="J666" s="260"/>
      <c r="K666" s="3"/>
      <c r="L666" s="265"/>
      <c r="M666" s="265"/>
      <c r="N666" s="265"/>
      <c r="O666" s="265"/>
      <c r="P666" s="265"/>
      <c r="Q666" s="260"/>
      <c r="R666" s="3"/>
      <c r="S666" s="265"/>
      <c r="T666" s="265"/>
      <c r="U666" s="265"/>
      <c r="V666" s="265"/>
      <c r="W666" s="265"/>
      <c r="X666" s="193"/>
      <c r="Y666" s="193"/>
      <c r="Z666" s="193"/>
      <c r="AA666" s="193"/>
      <c r="AB666" s="193"/>
      <c r="AC666" s="193"/>
      <c r="AD666" s="193"/>
      <c r="AE666" s="193"/>
      <c r="AF666" s="3"/>
      <c r="AG666" s="3"/>
      <c r="AH666" s="3"/>
      <c r="AI666" s="3"/>
      <c r="AJ666" s="3"/>
      <c r="AK666" s="3"/>
      <c r="AL666" s="3"/>
    </row>
    <row r="667" spans="1:38" ht="14.25" customHeight="1">
      <c r="A667" s="3"/>
      <c r="B667" s="3"/>
      <c r="C667" s="3"/>
      <c r="D667" s="3"/>
      <c r="E667" s="265"/>
      <c r="F667" s="265"/>
      <c r="G667" s="265"/>
      <c r="H667" s="265"/>
      <c r="I667" s="265"/>
      <c r="J667" s="260"/>
      <c r="K667" s="3"/>
      <c r="L667" s="265"/>
      <c r="M667" s="265"/>
      <c r="N667" s="265"/>
      <c r="O667" s="265"/>
      <c r="P667" s="265"/>
      <c r="Q667" s="260"/>
      <c r="R667" s="3"/>
      <c r="S667" s="265"/>
      <c r="T667" s="265"/>
      <c r="U667" s="265"/>
      <c r="V667" s="265"/>
      <c r="W667" s="265"/>
      <c r="X667" s="193"/>
      <c r="Y667" s="193"/>
      <c r="Z667" s="193"/>
      <c r="AA667" s="193"/>
      <c r="AB667" s="193"/>
      <c r="AC667" s="193"/>
      <c r="AD667" s="193"/>
      <c r="AE667" s="193"/>
      <c r="AF667" s="3"/>
      <c r="AG667" s="3"/>
      <c r="AH667" s="3"/>
      <c r="AI667" s="3"/>
      <c r="AJ667" s="3"/>
      <c r="AK667" s="3"/>
      <c r="AL667" s="3"/>
    </row>
    <row r="668" spans="1:38" ht="14.25" customHeight="1">
      <c r="A668" s="3"/>
      <c r="B668" s="3"/>
      <c r="C668" s="3"/>
      <c r="D668" s="3"/>
      <c r="E668" s="265"/>
      <c r="F668" s="265"/>
      <c r="G668" s="265"/>
      <c r="H668" s="265"/>
      <c r="I668" s="265"/>
      <c r="J668" s="260"/>
      <c r="K668" s="3"/>
      <c r="L668" s="265"/>
      <c r="M668" s="265"/>
      <c r="N668" s="265"/>
      <c r="O668" s="265"/>
      <c r="P668" s="265"/>
      <c r="Q668" s="260"/>
      <c r="R668" s="3"/>
      <c r="S668" s="265"/>
      <c r="T668" s="265"/>
      <c r="U668" s="265"/>
      <c r="V668" s="265"/>
      <c r="W668" s="265"/>
      <c r="X668" s="193"/>
      <c r="Y668" s="193"/>
      <c r="Z668" s="193"/>
      <c r="AA668" s="193"/>
      <c r="AB668" s="193"/>
      <c r="AC668" s="193"/>
      <c r="AD668" s="193"/>
      <c r="AE668" s="193"/>
      <c r="AF668" s="3"/>
      <c r="AG668" s="3"/>
      <c r="AH668" s="3"/>
      <c r="AI668" s="3"/>
      <c r="AJ668" s="3"/>
      <c r="AK668" s="3"/>
      <c r="AL668" s="3"/>
    </row>
    <row r="669" spans="1:38" ht="14.25" customHeight="1">
      <c r="A669" s="3"/>
      <c r="B669" s="3"/>
      <c r="C669" s="3"/>
      <c r="D669" s="3"/>
      <c r="E669" s="265"/>
      <c r="F669" s="265"/>
      <c r="G669" s="265"/>
      <c r="H669" s="265"/>
      <c r="I669" s="265"/>
      <c r="J669" s="260"/>
      <c r="K669" s="3"/>
      <c r="L669" s="265"/>
      <c r="M669" s="265"/>
      <c r="N669" s="265"/>
      <c r="O669" s="265"/>
      <c r="P669" s="265"/>
      <c r="Q669" s="260"/>
      <c r="R669" s="3"/>
      <c r="S669" s="265"/>
      <c r="T669" s="265"/>
      <c r="U669" s="265"/>
      <c r="V669" s="265"/>
      <c r="W669" s="265"/>
      <c r="X669" s="193"/>
      <c r="Y669" s="193"/>
      <c r="Z669" s="193"/>
      <c r="AA669" s="193"/>
      <c r="AB669" s="193"/>
      <c r="AC669" s="193"/>
      <c r="AD669" s="193"/>
      <c r="AE669" s="193"/>
      <c r="AF669" s="3"/>
      <c r="AG669" s="3"/>
      <c r="AH669" s="3"/>
      <c r="AI669" s="3"/>
      <c r="AJ669" s="3"/>
      <c r="AK669" s="3"/>
      <c r="AL669" s="3"/>
    </row>
    <row r="670" spans="1:38" ht="14.25" customHeight="1">
      <c r="A670" s="3"/>
      <c r="B670" s="3"/>
      <c r="C670" s="3"/>
      <c r="D670" s="3"/>
      <c r="E670" s="265"/>
      <c r="F670" s="265"/>
      <c r="G670" s="265"/>
      <c r="H670" s="265"/>
      <c r="I670" s="265"/>
      <c r="J670" s="260"/>
      <c r="K670" s="3"/>
      <c r="L670" s="265"/>
      <c r="M670" s="265"/>
      <c r="N670" s="265"/>
      <c r="O670" s="265"/>
      <c r="P670" s="265"/>
      <c r="Q670" s="260"/>
      <c r="R670" s="3"/>
      <c r="S670" s="265"/>
      <c r="T670" s="265"/>
      <c r="U670" s="265"/>
      <c r="V670" s="265"/>
      <c r="W670" s="265"/>
      <c r="X670" s="193"/>
      <c r="Y670" s="193"/>
      <c r="Z670" s="193"/>
      <c r="AA670" s="193"/>
      <c r="AB670" s="193"/>
      <c r="AC670" s="193"/>
      <c r="AD670" s="193"/>
      <c r="AE670" s="193"/>
      <c r="AF670" s="3"/>
      <c r="AG670" s="3"/>
      <c r="AH670" s="3"/>
      <c r="AI670" s="3"/>
      <c r="AJ670" s="3"/>
      <c r="AK670" s="3"/>
      <c r="AL670" s="3"/>
    </row>
    <row r="671" spans="1:38" ht="14.25" customHeight="1">
      <c r="A671" s="3"/>
      <c r="B671" s="3"/>
      <c r="C671" s="3"/>
      <c r="D671" s="3"/>
      <c r="E671" s="265"/>
      <c r="F671" s="265"/>
      <c r="G671" s="265"/>
      <c r="H671" s="265"/>
      <c r="I671" s="265"/>
      <c r="J671" s="260"/>
      <c r="K671" s="3"/>
      <c r="L671" s="265"/>
      <c r="M671" s="265"/>
      <c r="N671" s="265"/>
      <c r="O671" s="265"/>
      <c r="P671" s="265"/>
      <c r="Q671" s="260"/>
      <c r="R671" s="3"/>
      <c r="S671" s="265"/>
      <c r="T671" s="265"/>
      <c r="U671" s="265"/>
      <c r="V671" s="265"/>
      <c r="W671" s="265"/>
      <c r="X671" s="193"/>
      <c r="Y671" s="193"/>
      <c r="Z671" s="193"/>
      <c r="AA671" s="193"/>
      <c r="AB671" s="193"/>
      <c r="AC671" s="193"/>
      <c r="AD671" s="193"/>
      <c r="AE671" s="193"/>
      <c r="AF671" s="3"/>
      <c r="AG671" s="3"/>
      <c r="AH671" s="3"/>
      <c r="AI671" s="3"/>
      <c r="AJ671" s="3"/>
      <c r="AK671" s="3"/>
      <c r="AL671" s="3"/>
    </row>
    <row r="672" spans="1:38" ht="14.25" customHeight="1">
      <c r="A672" s="3"/>
      <c r="B672" s="3"/>
      <c r="C672" s="3"/>
      <c r="D672" s="3"/>
      <c r="E672" s="265"/>
      <c r="F672" s="265"/>
      <c r="G672" s="265"/>
      <c r="H672" s="265"/>
      <c r="I672" s="265"/>
      <c r="J672" s="260"/>
      <c r="K672" s="3"/>
      <c r="L672" s="265"/>
      <c r="M672" s="265"/>
      <c r="N672" s="265"/>
      <c r="O672" s="265"/>
      <c r="P672" s="265"/>
      <c r="Q672" s="260"/>
      <c r="R672" s="3"/>
      <c r="S672" s="265"/>
      <c r="T672" s="265"/>
      <c r="U672" s="265"/>
      <c r="V672" s="265"/>
      <c r="W672" s="265"/>
      <c r="X672" s="193"/>
      <c r="Y672" s="193"/>
      <c r="Z672" s="193"/>
      <c r="AA672" s="193"/>
      <c r="AB672" s="193"/>
      <c r="AC672" s="193"/>
      <c r="AD672" s="193"/>
      <c r="AE672" s="193"/>
      <c r="AF672" s="3"/>
      <c r="AG672" s="3"/>
      <c r="AH672" s="3"/>
      <c r="AI672" s="3"/>
      <c r="AJ672" s="3"/>
      <c r="AK672" s="3"/>
      <c r="AL672" s="3"/>
    </row>
    <row r="673" spans="1:38" ht="14.25" customHeight="1">
      <c r="A673" s="3"/>
      <c r="B673" s="3"/>
      <c r="C673" s="3"/>
      <c r="D673" s="3"/>
      <c r="E673" s="265"/>
      <c r="F673" s="265"/>
      <c r="G673" s="265"/>
      <c r="H673" s="265"/>
      <c r="I673" s="265"/>
      <c r="J673" s="260"/>
      <c r="K673" s="3"/>
      <c r="L673" s="265"/>
      <c r="M673" s="265"/>
      <c r="N673" s="265"/>
      <c r="O673" s="265"/>
      <c r="P673" s="265"/>
      <c r="Q673" s="260"/>
      <c r="R673" s="3"/>
      <c r="S673" s="265"/>
      <c r="T673" s="265"/>
      <c r="U673" s="265"/>
      <c r="V673" s="265"/>
      <c r="W673" s="265"/>
      <c r="X673" s="193"/>
      <c r="Y673" s="193"/>
      <c r="Z673" s="193"/>
      <c r="AA673" s="193"/>
      <c r="AB673" s="193"/>
      <c r="AC673" s="193"/>
      <c r="AD673" s="193"/>
      <c r="AE673" s="193"/>
      <c r="AF673" s="3"/>
      <c r="AG673" s="3"/>
      <c r="AH673" s="3"/>
      <c r="AI673" s="3"/>
      <c r="AJ673" s="3"/>
      <c r="AK673" s="3"/>
      <c r="AL673" s="3"/>
    </row>
    <row r="674" spans="1:38" ht="14.25" customHeight="1">
      <c r="A674" s="3"/>
      <c r="B674" s="3"/>
      <c r="C674" s="3"/>
      <c r="D674" s="3"/>
      <c r="E674" s="265"/>
      <c r="F674" s="265"/>
      <c r="G674" s="265"/>
      <c r="H674" s="265"/>
      <c r="I674" s="265"/>
      <c r="J674" s="260"/>
      <c r="K674" s="3"/>
      <c r="L674" s="265"/>
      <c r="M674" s="265"/>
      <c r="N674" s="265"/>
      <c r="O674" s="265"/>
      <c r="P674" s="265"/>
      <c r="Q674" s="260"/>
      <c r="R674" s="3"/>
      <c r="S674" s="265"/>
      <c r="T674" s="265"/>
      <c r="U674" s="265"/>
      <c r="V674" s="265"/>
      <c r="W674" s="265"/>
      <c r="X674" s="193"/>
      <c r="Y674" s="193"/>
      <c r="Z674" s="193"/>
      <c r="AA674" s="193"/>
      <c r="AB674" s="193"/>
      <c r="AC674" s="193"/>
      <c r="AD674" s="193"/>
      <c r="AE674" s="193"/>
      <c r="AF674" s="3"/>
      <c r="AG674" s="3"/>
      <c r="AH674" s="3"/>
      <c r="AI674" s="3"/>
      <c r="AJ674" s="3"/>
      <c r="AK674" s="3"/>
      <c r="AL674" s="3"/>
    </row>
    <row r="675" spans="1:38" ht="14.25" customHeight="1">
      <c r="A675" s="3"/>
      <c r="B675" s="3"/>
      <c r="C675" s="3"/>
      <c r="D675" s="3"/>
      <c r="E675" s="265"/>
      <c r="F675" s="265"/>
      <c r="G675" s="265"/>
      <c r="H675" s="265"/>
      <c r="I675" s="265"/>
      <c r="J675" s="260"/>
      <c r="K675" s="3"/>
      <c r="L675" s="265"/>
      <c r="M675" s="265"/>
      <c r="N675" s="265"/>
      <c r="O675" s="265"/>
      <c r="P675" s="265"/>
      <c r="Q675" s="260"/>
      <c r="R675" s="3"/>
      <c r="S675" s="265"/>
      <c r="T675" s="265"/>
      <c r="U675" s="265"/>
      <c r="V675" s="265"/>
      <c r="W675" s="265"/>
      <c r="X675" s="193"/>
      <c r="Y675" s="193"/>
      <c r="Z675" s="193"/>
      <c r="AA675" s="193"/>
      <c r="AB675" s="193"/>
      <c r="AC675" s="193"/>
      <c r="AD675" s="193"/>
      <c r="AE675" s="193"/>
      <c r="AF675" s="3"/>
      <c r="AG675" s="3"/>
      <c r="AH675" s="3"/>
      <c r="AI675" s="3"/>
      <c r="AJ675" s="3"/>
      <c r="AK675" s="3"/>
      <c r="AL675" s="3"/>
    </row>
    <row r="676" spans="1:38" ht="14.25" customHeight="1">
      <c r="A676" s="3"/>
      <c r="B676" s="3"/>
      <c r="C676" s="3"/>
      <c r="D676" s="3"/>
      <c r="E676" s="265"/>
      <c r="F676" s="265"/>
      <c r="G676" s="265"/>
      <c r="H676" s="265"/>
      <c r="I676" s="265"/>
      <c r="J676" s="260"/>
      <c r="K676" s="3"/>
      <c r="L676" s="265"/>
      <c r="M676" s="265"/>
      <c r="N676" s="265"/>
      <c r="O676" s="265"/>
      <c r="P676" s="265"/>
      <c r="Q676" s="260"/>
      <c r="R676" s="3"/>
      <c r="S676" s="265"/>
      <c r="T676" s="265"/>
      <c r="U676" s="265"/>
      <c r="V676" s="265"/>
      <c r="W676" s="265"/>
      <c r="X676" s="193"/>
      <c r="Y676" s="193"/>
      <c r="Z676" s="193"/>
      <c r="AA676" s="193"/>
      <c r="AB676" s="193"/>
      <c r="AC676" s="193"/>
      <c r="AD676" s="193"/>
      <c r="AE676" s="193"/>
      <c r="AF676" s="3"/>
      <c r="AG676" s="3"/>
      <c r="AH676" s="3"/>
      <c r="AI676" s="3"/>
      <c r="AJ676" s="3"/>
      <c r="AK676" s="3"/>
      <c r="AL676" s="3"/>
    </row>
    <row r="677" spans="1:38" ht="14.25" customHeight="1">
      <c r="A677" s="3"/>
      <c r="B677" s="3"/>
      <c r="C677" s="3"/>
      <c r="D677" s="3"/>
      <c r="E677" s="265"/>
      <c r="F677" s="265"/>
      <c r="G677" s="265"/>
      <c r="H677" s="265"/>
      <c r="I677" s="265"/>
      <c r="J677" s="260"/>
      <c r="K677" s="3"/>
      <c r="L677" s="265"/>
      <c r="M677" s="265"/>
      <c r="N677" s="265"/>
      <c r="O677" s="265"/>
      <c r="P677" s="265"/>
      <c r="Q677" s="260"/>
      <c r="R677" s="3"/>
      <c r="S677" s="265"/>
      <c r="T677" s="265"/>
      <c r="U677" s="265"/>
      <c r="V677" s="265"/>
      <c r="W677" s="265"/>
      <c r="X677" s="193"/>
      <c r="Y677" s="193"/>
      <c r="Z677" s="193"/>
      <c r="AA677" s="193"/>
      <c r="AB677" s="193"/>
      <c r="AC677" s="193"/>
      <c r="AD677" s="193"/>
      <c r="AE677" s="193"/>
      <c r="AF677" s="3"/>
      <c r="AG677" s="3"/>
      <c r="AH677" s="3"/>
      <c r="AI677" s="3"/>
      <c r="AJ677" s="3"/>
      <c r="AK677" s="3"/>
      <c r="AL677" s="3"/>
    </row>
    <row r="678" spans="1:38" ht="14.25" customHeight="1">
      <c r="A678" s="3"/>
      <c r="B678" s="3"/>
      <c r="C678" s="3"/>
      <c r="D678" s="3"/>
      <c r="E678" s="265"/>
      <c r="F678" s="265"/>
      <c r="G678" s="265"/>
      <c r="H678" s="265"/>
      <c r="I678" s="265"/>
      <c r="J678" s="260"/>
      <c r="K678" s="3"/>
      <c r="L678" s="265"/>
      <c r="M678" s="265"/>
      <c r="N678" s="265"/>
      <c r="O678" s="265"/>
      <c r="P678" s="265"/>
      <c r="Q678" s="260"/>
      <c r="R678" s="3"/>
      <c r="S678" s="265"/>
      <c r="T678" s="265"/>
      <c r="U678" s="265"/>
      <c r="V678" s="265"/>
      <c r="W678" s="265"/>
      <c r="X678" s="193"/>
      <c r="Y678" s="193"/>
      <c r="Z678" s="193"/>
      <c r="AA678" s="193"/>
      <c r="AB678" s="193"/>
      <c r="AC678" s="193"/>
      <c r="AD678" s="193"/>
      <c r="AE678" s="193"/>
      <c r="AF678" s="3"/>
      <c r="AG678" s="3"/>
      <c r="AH678" s="3"/>
      <c r="AI678" s="3"/>
      <c r="AJ678" s="3"/>
      <c r="AK678" s="3"/>
      <c r="AL678" s="3"/>
    </row>
    <row r="679" spans="1:38" ht="14.25" customHeight="1">
      <c r="A679" s="3"/>
      <c r="B679" s="3"/>
      <c r="C679" s="3"/>
      <c r="D679" s="3"/>
      <c r="E679" s="265"/>
      <c r="F679" s="265"/>
      <c r="G679" s="265"/>
      <c r="H679" s="265"/>
      <c r="I679" s="265"/>
      <c r="J679" s="260"/>
      <c r="K679" s="3"/>
      <c r="L679" s="265"/>
      <c r="M679" s="265"/>
      <c r="N679" s="265"/>
      <c r="O679" s="265"/>
      <c r="P679" s="265"/>
      <c r="Q679" s="260"/>
      <c r="R679" s="3"/>
      <c r="S679" s="265"/>
      <c r="T679" s="265"/>
      <c r="U679" s="265"/>
      <c r="V679" s="265"/>
      <c r="W679" s="265"/>
      <c r="X679" s="193"/>
      <c r="Y679" s="193"/>
      <c r="Z679" s="193"/>
      <c r="AA679" s="193"/>
      <c r="AB679" s="193"/>
      <c r="AC679" s="193"/>
      <c r="AD679" s="193"/>
      <c r="AE679" s="193"/>
      <c r="AF679" s="3"/>
      <c r="AG679" s="3"/>
      <c r="AH679" s="3"/>
      <c r="AI679" s="3"/>
      <c r="AJ679" s="3"/>
      <c r="AK679" s="3"/>
      <c r="AL679" s="3"/>
    </row>
    <row r="680" spans="1:38" ht="14.25" customHeight="1">
      <c r="A680" s="3"/>
      <c r="B680" s="3"/>
      <c r="C680" s="3"/>
      <c r="D680" s="3"/>
      <c r="E680" s="265"/>
      <c r="F680" s="265"/>
      <c r="G680" s="265"/>
      <c r="H680" s="265"/>
      <c r="I680" s="265"/>
      <c r="J680" s="260"/>
      <c r="K680" s="3"/>
      <c r="L680" s="265"/>
      <c r="M680" s="265"/>
      <c r="N680" s="265"/>
      <c r="O680" s="265"/>
      <c r="P680" s="265"/>
      <c r="Q680" s="260"/>
      <c r="R680" s="3"/>
      <c r="S680" s="265"/>
      <c r="T680" s="265"/>
      <c r="U680" s="265"/>
      <c r="V680" s="265"/>
      <c r="W680" s="265"/>
      <c r="X680" s="193"/>
      <c r="Y680" s="193"/>
      <c r="Z680" s="193"/>
      <c r="AA680" s="193"/>
      <c r="AB680" s="193"/>
      <c r="AC680" s="193"/>
      <c r="AD680" s="193"/>
      <c r="AE680" s="193"/>
      <c r="AF680" s="3"/>
      <c r="AG680" s="3"/>
      <c r="AH680" s="3"/>
      <c r="AI680" s="3"/>
      <c r="AJ680" s="3"/>
      <c r="AK680" s="3"/>
      <c r="AL680" s="3"/>
    </row>
    <row r="681" spans="1:38" ht="14.25" customHeight="1">
      <c r="A681" s="3"/>
      <c r="B681" s="3"/>
      <c r="C681" s="3"/>
      <c r="D681" s="3"/>
      <c r="E681" s="265"/>
      <c r="F681" s="265"/>
      <c r="G681" s="265"/>
      <c r="H681" s="265"/>
      <c r="I681" s="265"/>
      <c r="J681" s="260"/>
      <c r="K681" s="3"/>
      <c r="L681" s="265"/>
      <c r="M681" s="265"/>
      <c r="N681" s="265"/>
      <c r="O681" s="265"/>
      <c r="P681" s="265"/>
      <c r="Q681" s="260"/>
      <c r="R681" s="3"/>
      <c r="S681" s="265"/>
      <c r="T681" s="265"/>
      <c r="U681" s="265"/>
      <c r="V681" s="265"/>
      <c r="W681" s="265"/>
      <c r="X681" s="193"/>
      <c r="Y681" s="193"/>
      <c r="Z681" s="193"/>
      <c r="AA681" s="193"/>
      <c r="AB681" s="193"/>
      <c r="AC681" s="193"/>
      <c r="AD681" s="193"/>
      <c r="AE681" s="193"/>
      <c r="AF681" s="3"/>
      <c r="AG681" s="3"/>
      <c r="AH681" s="3"/>
      <c r="AI681" s="3"/>
      <c r="AJ681" s="3"/>
      <c r="AK681" s="3"/>
      <c r="AL681" s="3"/>
    </row>
    <row r="682" spans="1:38" ht="14.25" customHeight="1">
      <c r="A682" s="3"/>
      <c r="B682" s="3"/>
      <c r="C682" s="3"/>
      <c r="D682" s="3"/>
      <c r="E682" s="265"/>
      <c r="F682" s="265"/>
      <c r="G682" s="265"/>
      <c r="H682" s="265"/>
      <c r="I682" s="265"/>
      <c r="J682" s="260"/>
      <c r="K682" s="3"/>
      <c r="L682" s="265"/>
      <c r="M682" s="265"/>
      <c r="N682" s="265"/>
      <c r="O682" s="265"/>
      <c r="P682" s="265"/>
      <c r="Q682" s="260"/>
      <c r="R682" s="3"/>
      <c r="S682" s="265"/>
      <c r="T682" s="265"/>
      <c r="U682" s="265"/>
      <c r="V682" s="265"/>
      <c r="W682" s="265"/>
      <c r="X682" s="193"/>
      <c r="Y682" s="193"/>
      <c r="Z682" s="193"/>
      <c r="AA682" s="193"/>
      <c r="AB682" s="193"/>
      <c r="AC682" s="193"/>
      <c r="AD682" s="193"/>
      <c r="AE682" s="193"/>
      <c r="AF682" s="3"/>
      <c r="AG682" s="3"/>
      <c r="AH682" s="3"/>
      <c r="AI682" s="3"/>
      <c r="AJ682" s="3"/>
      <c r="AK682" s="3"/>
      <c r="AL682" s="3"/>
    </row>
    <row r="683" spans="1:38" ht="14.25" customHeight="1">
      <c r="A683" s="3"/>
      <c r="B683" s="3"/>
      <c r="C683" s="3"/>
      <c r="D683" s="3"/>
      <c r="E683" s="265"/>
      <c r="F683" s="265"/>
      <c r="G683" s="265"/>
      <c r="H683" s="265"/>
      <c r="I683" s="265"/>
      <c r="J683" s="260"/>
      <c r="K683" s="3"/>
      <c r="L683" s="265"/>
      <c r="M683" s="265"/>
      <c r="N683" s="265"/>
      <c r="O683" s="265"/>
      <c r="P683" s="265"/>
      <c r="Q683" s="260"/>
      <c r="R683" s="3"/>
      <c r="S683" s="265"/>
      <c r="T683" s="265"/>
      <c r="U683" s="265"/>
      <c r="V683" s="265"/>
      <c r="W683" s="265"/>
      <c r="X683" s="193"/>
      <c r="Y683" s="193"/>
      <c r="Z683" s="193"/>
      <c r="AA683" s="193"/>
      <c r="AB683" s="193"/>
      <c r="AC683" s="193"/>
      <c r="AD683" s="193"/>
      <c r="AE683" s="193"/>
      <c r="AF683" s="3"/>
      <c r="AG683" s="3"/>
      <c r="AH683" s="3"/>
      <c r="AI683" s="3"/>
      <c r="AJ683" s="3"/>
      <c r="AK683" s="3"/>
      <c r="AL683" s="3"/>
    </row>
    <row r="684" spans="1:38" ht="14.25" customHeight="1">
      <c r="A684" s="3"/>
      <c r="B684" s="3"/>
      <c r="C684" s="3"/>
      <c r="D684" s="3"/>
      <c r="E684" s="265"/>
      <c r="F684" s="265"/>
      <c r="G684" s="265"/>
      <c r="H684" s="265"/>
      <c r="I684" s="265"/>
      <c r="J684" s="260"/>
      <c r="K684" s="3"/>
      <c r="L684" s="265"/>
      <c r="M684" s="265"/>
      <c r="N684" s="265"/>
      <c r="O684" s="265"/>
      <c r="P684" s="265"/>
      <c r="Q684" s="260"/>
      <c r="R684" s="3"/>
      <c r="S684" s="265"/>
      <c r="T684" s="265"/>
      <c r="U684" s="265"/>
      <c r="V684" s="265"/>
      <c r="W684" s="265"/>
      <c r="X684" s="193"/>
      <c r="Y684" s="193"/>
      <c r="Z684" s="193"/>
      <c r="AA684" s="193"/>
      <c r="AB684" s="193"/>
      <c r="AC684" s="193"/>
      <c r="AD684" s="193"/>
      <c r="AE684" s="193"/>
      <c r="AF684" s="3"/>
      <c r="AG684" s="3"/>
      <c r="AH684" s="3"/>
      <c r="AI684" s="3"/>
      <c r="AJ684" s="3"/>
      <c r="AK684" s="3"/>
      <c r="AL684" s="3"/>
    </row>
    <row r="685" spans="1:38" ht="14.25" customHeight="1">
      <c r="A685" s="3"/>
      <c r="B685" s="3"/>
      <c r="C685" s="3"/>
      <c r="D685" s="3"/>
      <c r="E685" s="265"/>
      <c r="F685" s="265"/>
      <c r="G685" s="265"/>
      <c r="H685" s="265"/>
      <c r="I685" s="265"/>
      <c r="J685" s="260"/>
      <c r="K685" s="3"/>
      <c r="L685" s="265"/>
      <c r="M685" s="265"/>
      <c r="N685" s="265"/>
      <c r="O685" s="265"/>
      <c r="P685" s="265"/>
      <c r="Q685" s="260"/>
      <c r="R685" s="3"/>
      <c r="S685" s="265"/>
      <c r="T685" s="265"/>
      <c r="U685" s="265"/>
      <c r="V685" s="265"/>
      <c r="W685" s="265"/>
      <c r="X685" s="193"/>
      <c r="Y685" s="193"/>
      <c r="Z685" s="193"/>
      <c r="AA685" s="193"/>
      <c r="AB685" s="193"/>
      <c r="AC685" s="193"/>
      <c r="AD685" s="193"/>
      <c r="AE685" s="193"/>
      <c r="AF685" s="3"/>
      <c r="AG685" s="3"/>
      <c r="AH685" s="3"/>
      <c r="AI685" s="3"/>
      <c r="AJ685" s="3"/>
      <c r="AK685" s="3"/>
      <c r="AL685" s="3"/>
    </row>
    <row r="686" spans="1:38" ht="14.25" customHeight="1">
      <c r="A686" s="3"/>
      <c r="B686" s="3"/>
      <c r="C686" s="3"/>
      <c r="D686" s="3"/>
      <c r="E686" s="265"/>
      <c r="F686" s="265"/>
      <c r="G686" s="265"/>
      <c r="H686" s="265"/>
      <c r="I686" s="265"/>
      <c r="J686" s="260"/>
      <c r="K686" s="3"/>
      <c r="L686" s="265"/>
      <c r="M686" s="265"/>
      <c r="N686" s="265"/>
      <c r="O686" s="265"/>
      <c r="P686" s="265"/>
      <c r="Q686" s="260"/>
      <c r="R686" s="3"/>
      <c r="S686" s="265"/>
      <c r="T686" s="265"/>
      <c r="U686" s="265"/>
      <c r="V686" s="265"/>
      <c r="W686" s="265"/>
      <c r="X686" s="193"/>
      <c r="Y686" s="193"/>
      <c r="Z686" s="193"/>
      <c r="AA686" s="193"/>
      <c r="AB686" s="193"/>
      <c r="AC686" s="193"/>
      <c r="AD686" s="193"/>
      <c r="AE686" s="193"/>
      <c r="AF686" s="3"/>
      <c r="AG686" s="3"/>
      <c r="AH686" s="3"/>
      <c r="AI686" s="3"/>
      <c r="AJ686" s="3"/>
      <c r="AK686" s="3"/>
      <c r="AL686" s="3"/>
    </row>
    <row r="687" spans="1:38" ht="14.25" customHeight="1">
      <c r="A687" s="3"/>
      <c r="B687" s="3"/>
      <c r="C687" s="3"/>
      <c r="D687" s="3"/>
      <c r="E687" s="265"/>
      <c r="F687" s="265"/>
      <c r="G687" s="265"/>
      <c r="H687" s="265"/>
      <c r="I687" s="265"/>
      <c r="J687" s="260"/>
      <c r="K687" s="3"/>
      <c r="L687" s="265"/>
      <c r="M687" s="265"/>
      <c r="N687" s="265"/>
      <c r="O687" s="265"/>
      <c r="P687" s="265"/>
      <c r="Q687" s="260"/>
      <c r="R687" s="3"/>
      <c r="S687" s="265"/>
      <c r="T687" s="265"/>
      <c r="U687" s="265"/>
      <c r="V687" s="265"/>
      <c r="W687" s="265"/>
      <c r="X687" s="193"/>
      <c r="Y687" s="193"/>
      <c r="Z687" s="193"/>
      <c r="AA687" s="193"/>
      <c r="AB687" s="193"/>
      <c r="AC687" s="193"/>
      <c r="AD687" s="193"/>
      <c r="AE687" s="193"/>
      <c r="AF687" s="3"/>
      <c r="AG687" s="3"/>
      <c r="AH687" s="3"/>
      <c r="AI687" s="3"/>
      <c r="AJ687" s="3"/>
      <c r="AK687" s="3"/>
      <c r="AL687" s="3"/>
    </row>
    <row r="688" spans="1:38" ht="14.25" customHeight="1">
      <c r="A688" s="3"/>
      <c r="B688" s="3"/>
      <c r="C688" s="3"/>
      <c r="D688" s="3"/>
      <c r="E688" s="265"/>
      <c r="F688" s="265"/>
      <c r="G688" s="265"/>
      <c r="H688" s="265"/>
      <c r="I688" s="265"/>
      <c r="J688" s="260"/>
      <c r="K688" s="3"/>
      <c r="L688" s="265"/>
      <c r="M688" s="265"/>
      <c r="N688" s="265"/>
      <c r="O688" s="265"/>
      <c r="P688" s="265"/>
      <c r="Q688" s="260"/>
      <c r="R688" s="3"/>
      <c r="S688" s="265"/>
      <c r="T688" s="265"/>
      <c r="U688" s="265"/>
      <c r="V688" s="265"/>
      <c r="W688" s="265"/>
      <c r="X688" s="193"/>
      <c r="Y688" s="193"/>
      <c r="Z688" s="193"/>
      <c r="AA688" s="193"/>
      <c r="AB688" s="193"/>
      <c r="AC688" s="193"/>
      <c r="AD688" s="193"/>
      <c r="AE688" s="193"/>
      <c r="AF688" s="3"/>
      <c r="AG688" s="3"/>
      <c r="AH688" s="3"/>
      <c r="AI688" s="3"/>
      <c r="AJ688" s="3"/>
      <c r="AK688" s="3"/>
      <c r="AL688" s="3"/>
    </row>
    <row r="689" spans="1:38" ht="14.25" customHeight="1">
      <c r="A689" s="3"/>
      <c r="B689" s="3"/>
      <c r="C689" s="3"/>
      <c r="D689" s="3"/>
      <c r="E689" s="265"/>
      <c r="F689" s="265"/>
      <c r="G689" s="265"/>
      <c r="H689" s="265"/>
      <c r="I689" s="265"/>
      <c r="J689" s="260"/>
      <c r="K689" s="3"/>
      <c r="L689" s="265"/>
      <c r="M689" s="265"/>
      <c r="N689" s="265"/>
      <c r="O689" s="265"/>
      <c r="P689" s="265"/>
      <c r="Q689" s="260"/>
      <c r="R689" s="3"/>
      <c r="S689" s="265"/>
      <c r="T689" s="265"/>
      <c r="U689" s="265"/>
      <c r="V689" s="265"/>
      <c r="W689" s="265"/>
      <c r="X689" s="193"/>
      <c r="Y689" s="193"/>
      <c r="Z689" s="193"/>
      <c r="AA689" s="193"/>
      <c r="AB689" s="193"/>
      <c r="AC689" s="193"/>
      <c r="AD689" s="193"/>
      <c r="AE689" s="193"/>
      <c r="AF689" s="3"/>
      <c r="AG689" s="3"/>
      <c r="AH689" s="3"/>
      <c r="AI689" s="3"/>
      <c r="AJ689" s="3"/>
      <c r="AK689" s="3"/>
      <c r="AL689" s="3"/>
    </row>
    <row r="690" spans="1:38" ht="14.25" customHeight="1">
      <c r="A690" s="3"/>
      <c r="B690" s="3"/>
      <c r="C690" s="3"/>
      <c r="D690" s="3"/>
      <c r="E690" s="265"/>
      <c r="F690" s="265"/>
      <c r="G690" s="265"/>
      <c r="H690" s="265"/>
      <c r="I690" s="265"/>
      <c r="J690" s="260"/>
      <c r="K690" s="3"/>
      <c r="L690" s="265"/>
      <c r="M690" s="265"/>
      <c r="N690" s="265"/>
      <c r="O690" s="265"/>
      <c r="P690" s="265"/>
      <c r="Q690" s="260"/>
      <c r="R690" s="3"/>
      <c r="S690" s="265"/>
      <c r="T690" s="265"/>
      <c r="U690" s="265"/>
      <c r="V690" s="265"/>
      <c r="W690" s="265"/>
      <c r="X690" s="193"/>
      <c r="Y690" s="193"/>
      <c r="Z690" s="193"/>
      <c r="AA690" s="193"/>
      <c r="AB690" s="193"/>
      <c r="AC690" s="193"/>
      <c r="AD690" s="193"/>
      <c r="AE690" s="193"/>
      <c r="AF690" s="3"/>
      <c r="AG690" s="3"/>
      <c r="AH690" s="3"/>
      <c r="AI690" s="3"/>
      <c r="AJ690" s="3"/>
      <c r="AK690" s="3"/>
      <c r="AL690" s="3"/>
    </row>
    <row r="691" spans="1:38" ht="14.25" customHeight="1">
      <c r="A691" s="3"/>
      <c r="B691" s="3"/>
      <c r="C691" s="3"/>
      <c r="D691" s="3"/>
      <c r="E691" s="265"/>
      <c r="F691" s="265"/>
      <c r="G691" s="265"/>
      <c r="H691" s="265"/>
      <c r="I691" s="265"/>
      <c r="J691" s="260"/>
      <c r="K691" s="3"/>
      <c r="L691" s="265"/>
      <c r="M691" s="265"/>
      <c r="N691" s="265"/>
      <c r="O691" s="265"/>
      <c r="P691" s="265"/>
      <c r="Q691" s="260"/>
      <c r="R691" s="3"/>
      <c r="S691" s="265"/>
      <c r="T691" s="265"/>
      <c r="U691" s="265"/>
      <c r="V691" s="265"/>
      <c r="W691" s="265"/>
      <c r="X691" s="193"/>
      <c r="Y691" s="193"/>
      <c r="Z691" s="193"/>
      <c r="AA691" s="193"/>
      <c r="AB691" s="193"/>
      <c r="AC691" s="193"/>
      <c r="AD691" s="193"/>
      <c r="AE691" s="193"/>
      <c r="AF691" s="3"/>
      <c r="AG691" s="3"/>
      <c r="AH691" s="3"/>
      <c r="AI691" s="3"/>
      <c r="AJ691" s="3"/>
      <c r="AK691" s="3"/>
      <c r="AL691" s="3"/>
    </row>
    <row r="692" spans="1:38" ht="14.25" customHeight="1">
      <c r="A692" s="3"/>
      <c r="B692" s="3"/>
      <c r="C692" s="3"/>
      <c r="D692" s="3"/>
      <c r="E692" s="265"/>
      <c r="F692" s="265"/>
      <c r="G692" s="265"/>
      <c r="H692" s="265"/>
      <c r="I692" s="265"/>
      <c r="J692" s="260"/>
      <c r="K692" s="3"/>
      <c r="L692" s="265"/>
      <c r="M692" s="265"/>
      <c r="N692" s="265"/>
      <c r="O692" s="265"/>
      <c r="P692" s="265"/>
      <c r="Q692" s="260"/>
      <c r="R692" s="3"/>
      <c r="S692" s="265"/>
      <c r="T692" s="265"/>
      <c r="U692" s="265"/>
      <c r="V692" s="265"/>
      <c r="W692" s="265"/>
      <c r="X692" s="193"/>
      <c r="Y692" s="193"/>
      <c r="Z692" s="193"/>
      <c r="AA692" s="193"/>
      <c r="AB692" s="193"/>
      <c r="AC692" s="193"/>
      <c r="AD692" s="193"/>
      <c r="AE692" s="193"/>
      <c r="AF692" s="3"/>
      <c r="AG692" s="3"/>
      <c r="AH692" s="3"/>
      <c r="AI692" s="3"/>
      <c r="AJ692" s="3"/>
      <c r="AK692" s="3"/>
      <c r="AL692" s="3"/>
    </row>
    <row r="693" spans="1:38" ht="14.25" customHeight="1">
      <c r="A693" s="3"/>
      <c r="B693" s="3"/>
      <c r="C693" s="3"/>
      <c r="D693" s="3"/>
      <c r="E693" s="265"/>
      <c r="F693" s="265"/>
      <c r="G693" s="265"/>
      <c r="H693" s="265"/>
      <c r="I693" s="265"/>
      <c r="J693" s="260"/>
      <c r="K693" s="3"/>
      <c r="L693" s="265"/>
      <c r="M693" s="265"/>
      <c r="N693" s="265"/>
      <c r="O693" s="265"/>
      <c r="P693" s="265"/>
      <c r="Q693" s="260"/>
      <c r="R693" s="3"/>
      <c r="S693" s="265"/>
      <c r="T693" s="265"/>
      <c r="U693" s="265"/>
      <c r="V693" s="265"/>
      <c r="W693" s="265"/>
      <c r="X693" s="193"/>
      <c r="Y693" s="193"/>
      <c r="Z693" s="193"/>
      <c r="AA693" s="193"/>
      <c r="AB693" s="193"/>
      <c r="AC693" s="193"/>
      <c r="AD693" s="193"/>
      <c r="AE693" s="193"/>
      <c r="AF693" s="3"/>
      <c r="AG693" s="3"/>
      <c r="AH693" s="3"/>
      <c r="AI693" s="3"/>
      <c r="AJ693" s="3"/>
      <c r="AK693" s="3"/>
      <c r="AL693" s="3"/>
    </row>
    <row r="694" spans="1:38" ht="14.25" customHeight="1">
      <c r="A694" s="3"/>
      <c r="B694" s="3"/>
      <c r="C694" s="3"/>
      <c r="D694" s="3"/>
      <c r="E694" s="265"/>
      <c r="F694" s="265"/>
      <c r="G694" s="265"/>
      <c r="H694" s="265"/>
      <c r="I694" s="265"/>
      <c r="J694" s="260"/>
      <c r="K694" s="3"/>
      <c r="L694" s="265"/>
      <c r="M694" s="265"/>
      <c r="N694" s="265"/>
      <c r="O694" s="265"/>
      <c r="P694" s="265"/>
      <c r="Q694" s="260"/>
      <c r="R694" s="3"/>
      <c r="S694" s="265"/>
      <c r="T694" s="265"/>
      <c r="U694" s="265"/>
      <c r="V694" s="265"/>
      <c r="W694" s="265"/>
      <c r="X694" s="193"/>
      <c r="Y694" s="193"/>
      <c r="Z694" s="193"/>
      <c r="AA694" s="193"/>
      <c r="AB694" s="193"/>
      <c r="AC694" s="193"/>
      <c r="AD694" s="193"/>
      <c r="AE694" s="193"/>
      <c r="AF694" s="3"/>
      <c r="AG694" s="3"/>
      <c r="AH694" s="3"/>
      <c r="AI694" s="3"/>
      <c r="AJ694" s="3"/>
      <c r="AK694" s="3"/>
      <c r="AL694" s="3"/>
    </row>
    <row r="695" spans="1:38" ht="14.25" customHeight="1">
      <c r="A695" s="3"/>
      <c r="B695" s="3"/>
      <c r="C695" s="3"/>
      <c r="D695" s="3"/>
      <c r="E695" s="265"/>
      <c r="F695" s="265"/>
      <c r="G695" s="265"/>
      <c r="H695" s="265"/>
      <c r="I695" s="265"/>
      <c r="J695" s="260"/>
      <c r="K695" s="3"/>
      <c r="L695" s="265"/>
      <c r="M695" s="265"/>
      <c r="N695" s="265"/>
      <c r="O695" s="265"/>
      <c r="P695" s="265"/>
      <c r="Q695" s="260"/>
      <c r="R695" s="3"/>
      <c r="S695" s="265"/>
      <c r="T695" s="265"/>
      <c r="U695" s="265"/>
      <c r="V695" s="265"/>
      <c r="W695" s="265"/>
      <c r="X695" s="193"/>
      <c r="Y695" s="193"/>
      <c r="Z695" s="193"/>
      <c r="AA695" s="193"/>
      <c r="AB695" s="193"/>
      <c r="AC695" s="193"/>
      <c r="AD695" s="193"/>
      <c r="AE695" s="193"/>
      <c r="AF695" s="3"/>
      <c r="AG695" s="3"/>
      <c r="AH695" s="3"/>
      <c r="AI695" s="3"/>
      <c r="AJ695" s="3"/>
      <c r="AK695" s="3"/>
      <c r="AL695" s="3"/>
    </row>
    <row r="696" spans="1:38" ht="14.25" customHeight="1">
      <c r="A696" s="3"/>
      <c r="B696" s="3"/>
      <c r="C696" s="3"/>
      <c r="D696" s="3"/>
      <c r="E696" s="265"/>
      <c r="F696" s="265"/>
      <c r="G696" s="265"/>
      <c r="H696" s="265"/>
      <c r="I696" s="265"/>
      <c r="J696" s="260"/>
      <c r="K696" s="3"/>
      <c r="L696" s="265"/>
      <c r="M696" s="265"/>
      <c r="N696" s="265"/>
      <c r="O696" s="265"/>
      <c r="P696" s="265"/>
      <c r="Q696" s="260"/>
      <c r="R696" s="3"/>
      <c r="S696" s="265"/>
      <c r="T696" s="265"/>
      <c r="U696" s="265"/>
      <c r="V696" s="265"/>
      <c r="W696" s="265"/>
      <c r="X696" s="193"/>
      <c r="Y696" s="193"/>
      <c r="Z696" s="193"/>
      <c r="AA696" s="193"/>
      <c r="AB696" s="193"/>
      <c r="AC696" s="193"/>
      <c r="AD696" s="193"/>
      <c r="AE696" s="193"/>
      <c r="AF696" s="3"/>
      <c r="AG696" s="3"/>
      <c r="AH696" s="3"/>
      <c r="AI696" s="3"/>
      <c r="AJ696" s="3"/>
      <c r="AK696" s="3"/>
      <c r="AL696" s="3"/>
    </row>
    <row r="697" spans="1:38" ht="14.25" customHeight="1">
      <c r="A697" s="3"/>
      <c r="B697" s="3"/>
      <c r="C697" s="3"/>
      <c r="D697" s="3"/>
      <c r="E697" s="265"/>
      <c r="F697" s="265"/>
      <c r="G697" s="265"/>
      <c r="H697" s="265"/>
      <c r="I697" s="265"/>
      <c r="J697" s="260"/>
      <c r="K697" s="3"/>
      <c r="L697" s="265"/>
      <c r="M697" s="265"/>
      <c r="N697" s="265"/>
      <c r="O697" s="265"/>
      <c r="P697" s="265"/>
      <c r="Q697" s="260"/>
      <c r="R697" s="3"/>
      <c r="S697" s="265"/>
      <c r="T697" s="265"/>
      <c r="U697" s="265"/>
      <c r="V697" s="265"/>
      <c r="W697" s="265"/>
      <c r="X697" s="193"/>
      <c r="Y697" s="193"/>
      <c r="Z697" s="193"/>
      <c r="AA697" s="193"/>
      <c r="AB697" s="193"/>
      <c r="AC697" s="193"/>
      <c r="AD697" s="193"/>
      <c r="AE697" s="193"/>
      <c r="AF697" s="3"/>
      <c r="AG697" s="3"/>
      <c r="AH697" s="3"/>
      <c r="AI697" s="3"/>
      <c r="AJ697" s="3"/>
      <c r="AK697" s="3"/>
      <c r="AL697" s="3"/>
    </row>
    <row r="698" spans="1:38" ht="14.25" customHeight="1">
      <c r="A698" s="3"/>
      <c r="B698" s="3"/>
      <c r="C698" s="3"/>
      <c r="D698" s="3"/>
      <c r="E698" s="265"/>
      <c r="F698" s="265"/>
      <c r="G698" s="265"/>
      <c r="H698" s="265"/>
      <c r="I698" s="265"/>
      <c r="J698" s="260"/>
      <c r="K698" s="3"/>
      <c r="L698" s="265"/>
      <c r="M698" s="265"/>
      <c r="N698" s="265"/>
      <c r="O698" s="265"/>
      <c r="P698" s="265"/>
      <c r="Q698" s="260"/>
      <c r="R698" s="3"/>
      <c r="S698" s="265"/>
      <c r="T698" s="265"/>
      <c r="U698" s="265"/>
      <c r="V698" s="265"/>
      <c r="W698" s="265"/>
      <c r="X698" s="193"/>
      <c r="Y698" s="193"/>
      <c r="Z698" s="193"/>
      <c r="AA698" s="193"/>
      <c r="AB698" s="193"/>
      <c r="AC698" s="193"/>
      <c r="AD698" s="193"/>
      <c r="AE698" s="193"/>
      <c r="AF698" s="3"/>
      <c r="AG698" s="3"/>
      <c r="AH698" s="3"/>
      <c r="AI698" s="3"/>
      <c r="AJ698" s="3"/>
      <c r="AK698" s="3"/>
      <c r="AL698" s="3"/>
    </row>
    <row r="699" spans="1:38" ht="14.25" customHeight="1">
      <c r="A699" s="3"/>
      <c r="B699" s="3"/>
      <c r="C699" s="3"/>
      <c r="D699" s="3"/>
      <c r="E699" s="265"/>
      <c r="F699" s="265"/>
      <c r="G699" s="265"/>
      <c r="H699" s="265"/>
      <c r="I699" s="265"/>
      <c r="J699" s="260"/>
      <c r="K699" s="3"/>
      <c r="L699" s="265"/>
      <c r="M699" s="265"/>
      <c r="N699" s="265"/>
      <c r="O699" s="265"/>
      <c r="P699" s="265"/>
      <c r="Q699" s="260"/>
      <c r="R699" s="3"/>
      <c r="S699" s="265"/>
      <c r="T699" s="265"/>
      <c r="U699" s="265"/>
      <c r="V699" s="265"/>
      <c r="W699" s="265"/>
      <c r="X699" s="193"/>
      <c r="Y699" s="193"/>
      <c r="Z699" s="193"/>
      <c r="AA699" s="193"/>
      <c r="AB699" s="193"/>
      <c r="AC699" s="193"/>
      <c r="AD699" s="193"/>
      <c r="AE699" s="193"/>
      <c r="AF699" s="3"/>
      <c r="AG699" s="3"/>
      <c r="AH699" s="3"/>
      <c r="AI699" s="3"/>
      <c r="AJ699" s="3"/>
      <c r="AK699" s="3"/>
      <c r="AL699" s="3"/>
    </row>
    <row r="700" spans="1:38" ht="14.25" customHeight="1">
      <c r="A700" s="3"/>
      <c r="B700" s="3"/>
      <c r="C700" s="3"/>
      <c r="D700" s="3"/>
      <c r="E700" s="265"/>
      <c r="F700" s="265"/>
      <c r="G700" s="265"/>
      <c r="H700" s="265"/>
      <c r="I700" s="265"/>
      <c r="J700" s="260"/>
      <c r="K700" s="3"/>
      <c r="L700" s="265"/>
      <c r="M700" s="265"/>
      <c r="N700" s="265"/>
      <c r="O700" s="265"/>
      <c r="P700" s="265"/>
      <c r="Q700" s="260"/>
      <c r="R700" s="3"/>
      <c r="S700" s="265"/>
      <c r="T700" s="265"/>
      <c r="U700" s="265"/>
      <c r="V700" s="265"/>
      <c r="W700" s="265"/>
      <c r="X700" s="193"/>
      <c r="Y700" s="193"/>
      <c r="Z700" s="193"/>
      <c r="AA700" s="193"/>
      <c r="AB700" s="193"/>
      <c r="AC700" s="193"/>
      <c r="AD700" s="193"/>
      <c r="AE700" s="193"/>
      <c r="AF700" s="3"/>
      <c r="AG700" s="3"/>
      <c r="AH700" s="3"/>
      <c r="AI700" s="3"/>
      <c r="AJ700" s="3"/>
      <c r="AK700" s="3"/>
      <c r="AL700" s="3"/>
    </row>
    <row r="701" spans="1:38" ht="14.25" customHeight="1">
      <c r="A701" s="3"/>
      <c r="B701" s="3"/>
      <c r="C701" s="3"/>
      <c r="D701" s="3"/>
      <c r="E701" s="265"/>
      <c r="F701" s="265"/>
      <c r="G701" s="265"/>
      <c r="H701" s="265"/>
      <c r="I701" s="265"/>
      <c r="J701" s="260"/>
      <c r="K701" s="3"/>
      <c r="L701" s="265"/>
      <c r="M701" s="265"/>
      <c r="N701" s="265"/>
      <c r="O701" s="265"/>
      <c r="P701" s="265"/>
      <c r="Q701" s="260"/>
      <c r="R701" s="3"/>
      <c r="S701" s="265"/>
      <c r="T701" s="265"/>
      <c r="U701" s="265"/>
      <c r="V701" s="265"/>
      <c r="W701" s="265"/>
      <c r="X701" s="193"/>
      <c r="Y701" s="193"/>
      <c r="Z701" s="193"/>
      <c r="AA701" s="193"/>
      <c r="AB701" s="193"/>
      <c r="AC701" s="193"/>
      <c r="AD701" s="193"/>
      <c r="AE701" s="193"/>
      <c r="AF701" s="3"/>
      <c r="AG701" s="3"/>
      <c r="AH701" s="3"/>
      <c r="AI701" s="3"/>
      <c r="AJ701" s="3"/>
      <c r="AK701" s="3"/>
      <c r="AL701" s="3"/>
    </row>
    <row r="702" spans="1:38" ht="14.25" customHeight="1">
      <c r="A702" s="3"/>
      <c r="B702" s="3"/>
      <c r="C702" s="3"/>
      <c r="D702" s="3"/>
      <c r="E702" s="265"/>
      <c r="F702" s="265"/>
      <c r="G702" s="265"/>
      <c r="H702" s="265"/>
      <c r="I702" s="265"/>
      <c r="J702" s="260"/>
      <c r="K702" s="3"/>
      <c r="L702" s="265"/>
      <c r="M702" s="265"/>
      <c r="N702" s="265"/>
      <c r="O702" s="265"/>
      <c r="P702" s="265"/>
      <c r="Q702" s="260"/>
      <c r="R702" s="3"/>
      <c r="S702" s="265"/>
      <c r="T702" s="265"/>
      <c r="U702" s="265"/>
      <c r="V702" s="265"/>
      <c r="W702" s="265"/>
      <c r="X702" s="193"/>
      <c r="Y702" s="193"/>
      <c r="Z702" s="193"/>
      <c r="AA702" s="193"/>
      <c r="AB702" s="193"/>
      <c r="AC702" s="193"/>
      <c r="AD702" s="193"/>
      <c r="AE702" s="193"/>
      <c r="AF702" s="3"/>
      <c r="AG702" s="3"/>
      <c r="AH702" s="3"/>
      <c r="AI702" s="3"/>
      <c r="AJ702" s="3"/>
      <c r="AK702" s="3"/>
      <c r="AL702" s="3"/>
    </row>
    <row r="703" spans="1:38" ht="14.25" customHeight="1">
      <c r="A703" s="3"/>
      <c r="B703" s="3"/>
      <c r="C703" s="3"/>
      <c r="D703" s="3"/>
      <c r="E703" s="265"/>
      <c r="F703" s="265"/>
      <c r="G703" s="265"/>
      <c r="H703" s="265"/>
      <c r="I703" s="265"/>
      <c r="J703" s="260"/>
      <c r="K703" s="3"/>
      <c r="L703" s="265"/>
      <c r="M703" s="265"/>
      <c r="N703" s="265"/>
      <c r="O703" s="265"/>
      <c r="P703" s="265"/>
      <c r="Q703" s="260"/>
      <c r="R703" s="3"/>
      <c r="S703" s="265"/>
      <c r="T703" s="265"/>
      <c r="U703" s="265"/>
      <c r="V703" s="265"/>
      <c r="W703" s="265"/>
      <c r="X703" s="193"/>
      <c r="Y703" s="193"/>
      <c r="Z703" s="193"/>
      <c r="AA703" s="193"/>
      <c r="AB703" s="193"/>
      <c r="AC703" s="193"/>
      <c r="AD703" s="193"/>
      <c r="AE703" s="193"/>
      <c r="AF703" s="3"/>
      <c r="AG703" s="3"/>
      <c r="AH703" s="3"/>
      <c r="AI703" s="3"/>
      <c r="AJ703" s="3"/>
      <c r="AK703" s="3"/>
      <c r="AL703" s="3"/>
    </row>
    <row r="704" spans="1:38" ht="14.25" customHeight="1">
      <c r="A704" s="3"/>
      <c r="B704" s="3"/>
      <c r="C704" s="3"/>
      <c r="D704" s="3"/>
      <c r="E704" s="265"/>
      <c r="F704" s="265"/>
      <c r="G704" s="265"/>
      <c r="H704" s="265"/>
      <c r="I704" s="265"/>
      <c r="J704" s="260"/>
      <c r="K704" s="3"/>
      <c r="L704" s="265"/>
      <c r="M704" s="265"/>
      <c r="N704" s="265"/>
      <c r="O704" s="265"/>
      <c r="P704" s="265"/>
      <c r="Q704" s="260"/>
      <c r="R704" s="3"/>
      <c r="S704" s="265"/>
      <c r="T704" s="265"/>
      <c r="U704" s="265"/>
      <c r="V704" s="265"/>
      <c r="W704" s="265"/>
      <c r="X704" s="193"/>
      <c r="Y704" s="193"/>
      <c r="Z704" s="193"/>
      <c r="AA704" s="193"/>
      <c r="AB704" s="193"/>
      <c r="AC704" s="193"/>
      <c r="AD704" s="193"/>
      <c r="AE704" s="193"/>
      <c r="AF704" s="3"/>
      <c r="AG704" s="3"/>
      <c r="AH704" s="3"/>
      <c r="AI704" s="3"/>
      <c r="AJ704" s="3"/>
      <c r="AK704" s="3"/>
      <c r="AL704" s="3"/>
    </row>
    <row r="705" spans="1:38" ht="14.25" customHeight="1">
      <c r="A705" s="3"/>
      <c r="B705" s="3"/>
      <c r="C705" s="3"/>
      <c r="D705" s="3"/>
      <c r="E705" s="265"/>
      <c r="F705" s="265"/>
      <c r="G705" s="265"/>
      <c r="H705" s="265"/>
      <c r="I705" s="265"/>
      <c r="J705" s="260"/>
      <c r="K705" s="3"/>
      <c r="L705" s="265"/>
      <c r="M705" s="265"/>
      <c r="N705" s="265"/>
      <c r="O705" s="265"/>
      <c r="P705" s="265"/>
      <c r="Q705" s="260"/>
      <c r="R705" s="3"/>
      <c r="S705" s="265"/>
      <c r="T705" s="265"/>
      <c r="U705" s="265"/>
      <c r="V705" s="265"/>
      <c r="W705" s="265"/>
      <c r="X705" s="193"/>
      <c r="Y705" s="193"/>
      <c r="Z705" s="193"/>
      <c r="AA705" s="193"/>
      <c r="AB705" s="193"/>
      <c r="AC705" s="193"/>
      <c r="AD705" s="193"/>
      <c r="AE705" s="193"/>
      <c r="AF705" s="3"/>
      <c r="AG705" s="3"/>
      <c r="AH705" s="3"/>
      <c r="AI705" s="3"/>
      <c r="AJ705" s="3"/>
      <c r="AK705" s="3"/>
      <c r="AL705" s="3"/>
    </row>
    <row r="706" spans="1:38" ht="14.25" customHeight="1">
      <c r="A706" s="3"/>
      <c r="B706" s="3"/>
      <c r="C706" s="3"/>
      <c r="D706" s="3"/>
      <c r="E706" s="265"/>
      <c r="F706" s="265"/>
      <c r="G706" s="265"/>
      <c r="H706" s="265"/>
      <c r="I706" s="265"/>
      <c r="J706" s="260"/>
      <c r="K706" s="3"/>
      <c r="L706" s="265"/>
      <c r="M706" s="265"/>
      <c r="N706" s="265"/>
      <c r="O706" s="265"/>
      <c r="P706" s="265"/>
      <c r="Q706" s="260"/>
      <c r="R706" s="3"/>
      <c r="S706" s="265"/>
      <c r="T706" s="265"/>
      <c r="U706" s="265"/>
      <c r="V706" s="265"/>
      <c r="W706" s="265"/>
      <c r="X706" s="193"/>
      <c r="Y706" s="193"/>
      <c r="Z706" s="193"/>
      <c r="AA706" s="193"/>
      <c r="AB706" s="193"/>
      <c r="AC706" s="193"/>
      <c r="AD706" s="193"/>
      <c r="AE706" s="193"/>
      <c r="AF706" s="3"/>
      <c r="AG706" s="3"/>
      <c r="AH706" s="3"/>
      <c r="AI706" s="3"/>
      <c r="AJ706" s="3"/>
      <c r="AK706" s="3"/>
      <c r="AL706" s="3"/>
    </row>
    <row r="707" spans="1:38" ht="14.25" customHeight="1">
      <c r="A707" s="3"/>
      <c r="B707" s="3"/>
      <c r="C707" s="3"/>
      <c r="D707" s="3"/>
      <c r="E707" s="265"/>
      <c r="F707" s="265"/>
      <c r="G707" s="265"/>
      <c r="H707" s="265"/>
      <c r="I707" s="265"/>
      <c r="J707" s="260"/>
      <c r="K707" s="3"/>
      <c r="L707" s="265"/>
      <c r="M707" s="265"/>
      <c r="N707" s="265"/>
      <c r="O707" s="265"/>
      <c r="P707" s="265"/>
      <c r="Q707" s="260"/>
      <c r="R707" s="3"/>
      <c r="S707" s="265"/>
      <c r="T707" s="265"/>
      <c r="U707" s="265"/>
      <c r="V707" s="265"/>
      <c r="W707" s="265"/>
      <c r="X707" s="193"/>
      <c r="Y707" s="193"/>
      <c r="Z707" s="193"/>
      <c r="AA707" s="193"/>
      <c r="AB707" s="193"/>
      <c r="AC707" s="193"/>
      <c r="AD707" s="193"/>
      <c r="AE707" s="193"/>
      <c r="AF707" s="3"/>
      <c r="AG707" s="3"/>
      <c r="AH707" s="3"/>
      <c r="AI707" s="3"/>
      <c r="AJ707" s="3"/>
      <c r="AK707" s="3"/>
      <c r="AL707" s="3"/>
    </row>
    <row r="708" spans="1:38" ht="14.25" customHeight="1">
      <c r="A708" s="3"/>
      <c r="B708" s="3"/>
      <c r="C708" s="3"/>
      <c r="D708" s="3"/>
      <c r="E708" s="265"/>
      <c r="F708" s="265"/>
      <c r="G708" s="265"/>
      <c r="H708" s="265"/>
      <c r="I708" s="265"/>
      <c r="J708" s="260"/>
      <c r="K708" s="3"/>
      <c r="L708" s="265"/>
      <c r="M708" s="265"/>
      <c r="N708" s="265"/>
      <c r="O708" s="265"/>
      <c r="P708" s="265"/>
      <c r="Q708" s="260"/>
      <c r="R708" s="3"/>
      <c r="S708" s="265"/>
      <c r="T708" s="265"/>
      <c r="U708" s="265"/>
      <c r="V708" s="265"/>
      <c r="W708" s="265"/>
      <c r="X708" s="193"/>
      <c r="Y708" s="193"/>
      <c r="Z708" s="193"/>
      <c r="AA708" s="193"/>
      <c r="AB708" s="193"/>
      <c r="AC708" s="193"/>
      <c r="AD708" s="193"/>
      <c r="AE708" s="193"/>
      <c r="AF708" s="3"/>
      <c r="AG708" s="3"/>
      <c r="AH708" s="3"/>
      <c r="AI708" s="3"/>
      <c r="AJ708" s="3"/>
      <c r="AK708" s="3"/>
      <c r="AL708" s="3"/>
    </row>
    <row r="709" spans="1:38" ht="14.25" customHeight="1">
      <c r="A709" s="3"/>
      <c r="B709" s="3"/>
      <c r="C709" s="3"/>
      <c r="D709" s="3"/>
      <c r="E709" s="265"/>
      <c r="F709" s="265"/>
      <c r="G709" s="265"/>
      <c r="H709" s="265"/>
      <c r="I709" s="265"/>
      <c r="J709" s="260"/>
      <c r="K709" s="3"/>
      <c r="L709" s="265"/>
      <c r="M709" s="265"/>
      <c r="N709" s="265"/>
      <c r="O709" s="265"/>
      <c r="P709" s="265"/>
      <c r="Q709" s="260"/>
      <c r="R709" s="3"/>
      <c r="S709" s="265"/>
      <c r="T709" s="265"/>
      <c r="U709" s="265"/>
      <c r="V709" s="265"/>
      <c r="W709" s="265"/>
      <c r="X709" s="193"/>
      <c r="Y709" s="193"/>
      <c r="Z709" s="193"/>
      <c r="AA709" s="193"/>
      <c r="AB709" s="193"/>
      <c r="AC709" s="193"/>
      <c r="AD709" s="193"/>
      <c r="AE709" s="193"/>
      <c r="AF709" s="3"/>
      <c r="AG709" s="3"/>
      <c r="AH709" s="3"/>
      <c r="AI709" s="3"/>
      <c r="AJ709" s="3"/>
      <c r="AK709" s="3"/>
      <c r="AL709" s="3"/>
    </row>
    <row r="710" spans="1:38" ht="14.25" customHeight="1">
      <c r="A710" s="3"/>
      <c r="B710" s="3"/>
      <c r="C710" s="3"/>
      <c r="D710" s="3"/>
      <c r="E710" s="265"/>
      <c r="F710" s="265"/>
      <c r="G710" s="265"/>
      <c r="H710" s="265"/>
      <c r="I710" s="265"/>
      <c r="J710" s="260"/>
      <c r="K710" s="3"/>
      <c r="L710" s="265"/>
      <c r="M710" s="265"/>
      <c r="N710" s="265"/>
      <c r="O710" s="265"/>
      <c r="P710" s="265"/>
      <c r="Q710" s="260"/>
      <c r="R710" s="3"/>
      <c r="S710" s="265"/>
      <c r="T710" s="265"/>
      <c r="U710" s="265"/>
      <c r="V710" s="265"/>
      <c r="W710" s="265"/>
      <c r="X710" s="193"/>
      <c r="Y710" s="193"/>
      <c r="Z710" s="193"/>
      <c r="AA710" s="193"/>
      <c r="AB710" s="193"/>
      <c r="AC710" s="193"/>
      <c r="AD710" s="193"/>
      <c r="AE710" s="193"/>
      <c r="AF710" s="3"/>
      <c r="AG710" s="3"/>
      <c r="AH710" s="3"/>
      <c r="AI710" s="3"/>
      <c r="AJ710" s="3"/>
      <c r="AK710" s="3"/>
      <c r="AL710" s="3"/>
    </row>
    <row r="711" spans="1:38" ht="14.25" customHeight="1">
      <c r="A711" s="3"/>
      <c r="B711" s="3"/>
      <c r="C711" s="3"/>
      <c r="D711" s="3"/>
      <c r="E711" s="265"/>
      <c r="F711" s="265"/>
      <c r="G711" s="265"/>
      <c r="H711" s="265"/>
      <c r="I711" s="265"/>
      <c r="J711" s="260"/>
      <c r="K711" s="3"/>
      <c r="L711" s="265"/>
      <c r="M711" s="265"/>
      <c r="N711" s="265"/>
      <c r="O711" s="265"/>
      <c r="P711" s="265"/>
      <c r="Q711" s="260"/>
      <c r="R711" s="3"/>
      <c r="S711" s="265"/>
      <c r="T711" s="265"/>
      <c r="U711" s="265"/>
      <c r="V711" s="265"/>
      <c r="W711" s="265"/>
      <c r="X711" s="193"/>
      <c r="Y711" s="193"/>
      <c r="Z711" s="193"/>
      <c r="AA711" s="193"/>
      <c r="AB711" s="193"/>
      <c r="AC711" s="193"/>
      <c r="AD711" s="193"/>
      <c r="AE711" s="193"/>
      <c r="AF711" s="3"/>
      <c r="AG711" s="3"/>
      <c r="AH711" s="3"/>
      <c r="AI711" s="3"/>
      <c r="AJ711" s="3"/>
      <c r="AK711" s="3"/>
      <c r="AL711" s="3"/>
    </row>
    <row r="712" spans="1:38" ht="14.25" customHeight="1">
      <c r="A712" s="3"/>
      <c r="B712" s="3"/>
      <c r="C712" s="3"/>
      <c r="D712" s="3"/>
      <c r="E712" s="265"/>
      <c r="F712" s="265"/>
      <c r="G712" s="265"/>
      <c r="H712" s="265"/>
      <c r="I712" s="265"/>
      <c r="J712" s="260"/>
      <c r="K712" s="3"/>
      <c r="L712" s="265"/>
      <c r="M712" s="265"/>
      <c r="N712" s="265"/>
      <c r="O712" s="265"/>
      <c r="P712" s="265"/>
      <c r="Q712" s="260"/>
      <c r="R712" s="3"/>
      <c r="S712" s="265"/>
      <c r="T712" s="265"/>
      <c r="U712" s="265"/>
      <c r="V712" s="265"/>
      <c r="W712" s="265"/>
      <c r="X712" s="193"/>
      <c r="Y712" s="193"/>
      <c r="Z712" s="193"/>
      <c r="AA712" s="193"/>
      <c r="AB712" s="193"/>
      <c r="AC712" s="193"/>
      <c r="AD712" s="193"/>
      <c r="AE712" s="193"/>
      <c r="AF712" s="3"/>
      <c r="AG712" s="3"/>
      <c r="AH712" s="3"/>
      <c r="AI712" s="3"/>
      <c r="AJ712" s="3"/>
      <c r="AK712" s="3"/>
      <c r="AL712" s="3"/>
    </row>
    <row r="713" spans="1:38" ht="14.25" customHeight="1">
      <c r="A713" s="3"/>
      <c r="B713" s="3"/>
      <c r="C713" s="3"/>
      <c r="D713" s="3"/>
      <c r="E713" s="265"/>
      <c r="F713" s="265"/>
      <c r="G713" s="265"/>
      <c r="H713" s="265"/>
      <c r="I713" s="265"/>
      <c r="J713" s="260"/>
      <c r="K713" s="3"/>
      <c r="L713" s="265"/>
      <c r="M713" s="265"/>
      <c r="N713" s="265"/>
      <c r="O713" s="265"/>
      <c r="P713" s="265"/>
      <c r="Q713" s="260"/>
      <c r="R713" s="3"/>
      <c r="S713" s="265"/>
      <c r="T713" s="265"/>
      <c r="U713" s="265"/>
      <c r="V713" s="265"/>
      <c r="W713" s="265"/>
      <c r="X713" s="193"/>
      <c r="Y713" s="193"/>
      <c r="Z713" s="193"/>
      <c r="AA713" s="193"/>
      <c r="AB713" s="193"/>
      <c r="AC713" s="193"/>
      <c r="AD713" s="193"/>
      <c r="AE713" s="193"/>
      <c r="AF713" s="3"/>
      <c r="AG713" s="3"/>
      <c r="AH713" s="3"/>
      <c r="AI713" s="3"/>
      <c r="AJ713" s="3"/>
      <c r="AK713" s="3"/>
      <c r="AL713" s="3"/>
    </row>
    <row r="714" spans="1:38" ht="14.25" customHeight="1">
      <c r="A714" s="3"/>
      <c r="B714" s="3"/>
      <c r="C714" s="3"/>
      <c r="D714" s="3"/>
      <c r="E714" s="265"/>
      <c r="F714" s="265"/>
      <c r="G714" s="265"/>
      <c r="H714" s="265"/>
      <c r="I714" s="265"/>
      <c r="J714" s="260"/>
      <c r="K714" s="3"/>
      <c r="L714" s="265"/>
      <c r="M714" s="265"/>
      <c r="N714" s="265"/>
      <c r="O714" s="265"/>
      <c r="P714" s="265"/>
      <c r="Q714" s="260"/>
      <c r="R714" s="3"/>
      <c r="S714" s="265"/>
      <c r="T714" s="265"/>
      <c r="U714" s="265"/>
      <c r="V714" s="265"/>
      <c r="W714" s="265"/>
      <c r="X714" s="193"/>
      <c r="Y714" s="193"/>
      <c r="Z714" s="193"/>
      <c r="AA714" s="193"/>
      <c r="AB714" s="193"/>
      <c r="AC714" s="193"/>
      <c r="AD714" s="193"/>
      <c r="AE714" s="193"/>
      <c r="AF714" s="3"/>
      <c r="AG714" s="3"/>
      <c r="AH714" s="3"/>
      <c r="AI714" s="3"/>
      <c r="AJ714" s="3"/>
      <c r="AK714" s="3"/>
      <c r="AL714" s="3"/>
    </row>
    <row r="715" spans="1:38" ht="14.25" customHeight="1">
      <c r="A715" s="3"/>
      <c r="B715" s="3"/>
      <c r="C715" s="3"/>
      <c r="D715" s="3"/>
      <c r="E715" s="265"/>
      <c r="F715" s="265"/>
      <c r="G715" s="265"/>
      <c r="H715" s="265"/>
      <c r="I715" s="265"/>
      <c r="J715" s="260"/>
      <c r="K715" s="3"/>
      <c r="L715" s="265"/>
      <c r="M715" s="265"/>
      <c r="N715" s="265"/>
      <c r="O715" s="265"/>
      <c r="P715" s="265"/>
      <c r="Q715" s="260"/>
      <c r="R715" s="3"/>
      <c r="S715" s="265"/>
      <c r="T715" s="265"/>
      <c r="U715" s="265"/>
      <c r="V715" s="265"/>
      <c r="W715" s="265"/>
      <c r="X715" s="193"/>
      <c r="Y715" s="193"/>
      <c r="Z715" s="193"/>
      <c r="AA715" s="193"/>
      <c r="AB715" s="193"/>
      <c r="AC715" s="193"/>
      <c r="AD715" s="193"/>
      <c r="AE715" s="193"/>
      <c r="AF715" s="3"/>
      <c r="AG715" s="3"/>
      <c r="AH715" s="3"/>
      <c r="AI715" s="3"/>
      <c r="AJ715" s="3"/>
      <c r="AK715" s="3"/>
      <c r="AL715" s="3"/>
    </row>
    <row r="716" spans="1:38" ht="14.25" customHeight="1">
      <c r="A716" s="3"/>
      <c r="B716" s="3"/>
      <c r="C716" s="3"/>
      <c r="D716" s="3"/>
      <c r="E716" s="265"/>
      <c r="F716" s="265"/>
      <c r="G716" s="265"/>
      <c r="H716" s="265"/>
      <c r="I716" s="265"/>
      <c r="J716" s="260"/>
      <c r="K716" s="3"/>
      <c r="L716" s="265"/>
      <c r="M716" s="265"/>
      <c r="N716" s="265"/>
      <c r="O716" s="265"/>
      <c r="P716" s="265"/>
      <c r="Q716" s="260"/>
      <c r="R716" s="3"/>
      <c r="S716" s="265"/>
      <c r="T716" s="265"/>
      <c r="U716" s="265"/>
      <c r="V716" s="265"/>
      <c r="W716" s="265"/>
      <c r="X716" s="193"/>
      <c r="Y716" s="193"/>
      <c r="Z716" s="193"/>
      <c r="AA716" s="193"/>
      <c r="AB716" s="193"/>
      <c r="AC716" s="193"/>
      <c r="AD716" s="193"/>
      <c r="AE716" s="193"/>
      <c r="AF716" s="3"/>
      <c r="AG716" s="3"/>
      <c r="AH716" s="3"/>
      <c r="AI716" s="3"/>
      <c r="AJ716" s="3"/>
      <c r="AK716" s="3"/>
      <c r="AL716" s="3"/>
    </row>
    <row r="717" spans="1:38" ht="14.25" customHeight="1">
      <c r="A717" s="3"/>
      <c r="B717" s="3"/>
      <c r="C717" s="3"/>
      <c r="D717" s="3"/>
      <c r="E717" s="265"/>
      <c r="F717" s="265"/>
      <c r="G717" s="265"/>
      <c r="H717" s="265"/>
      <c r="I717" s="265"/>
      <c r="J717" s="260"/>
      <c r="K717" s="3"/>
      <c r="L717" s="265"/>
      <c r="M717" s="265"/>
      <c r="N717" s="265"/>
      <c r="O717" s="265"/>
      <c r="P717" s="265"/>
      <c r="Q717" s="260"/>
      <c r="R717" s="3"/>
      <c r="S717" s="265"/>
      <c r="T717" s="265"/>
      <c r="U717" s="265"/>
      <c r="V717" s="265"/>
      <c r="W717" s="265"/>
      <c r="X717" s="193"/>
      <c r="Y717" s="193"/>
      <c r="Z717" s="193"/>
      <c r="AA717" s="193"/>
      <c r="AB717" s="193"/>
      <c r="AC717" s="193"/>
      <c r="AD717" s="193"/>
      <c r="AE717" s="193"/>
      <c r="AF717" s="3"/>
      <c r="AG717" s="3"/>
      <c r="AH717" s="3"/>
      <c r="AI717" s="3"/>
      <c r="AJ717" s="3"/>
      <c r="AK717" s="3"/>
      <c r="AL717" s="3"/>
    </row>
    <row r="718" spans="1:38" ht="14.25" customHeight="1">
      <c r="A718" s="3"/>
      <c r="B718" s="3"/>
      <c r="C718" s="3"/>
      <c r="D718" s="3"/>
      <c r="E718" s="265"/>
      <c r="F718" s="265"/>
      <c r="G718" s="265"/>
      <c r="H718" s="265"/>
      <c r="I718" s="265"/>
      <c r="J718" s="260"/>
      <c r="K718" s="3"/>
      <c r="L718" s="265"/>
      <c r="M718" s="265"/>
      <c r="N718" s="265"/>
      <c r="O718" s="265"/>
      <c r="P718" s="265"/>
      <c r="Q718" s="260"/>
      <c r="R718" s="3"/>
      <c r="S718" s="265"/>
      <c r="T718" s="265"/>
      <c r="U718" s="265"/>
      <c r="V718" s="265"/>
      <c r="W718" s="265"/>
      <c r="X718" s="193"/>
      <c r="Y718" s="193"/>
      <c r="Z718" s="193"/>
      <c r="AA718" s="193"/>
      <c r="AB718" s="193"/>
      <c r="AC718" s="193"/>
      <c r="AD718" s="193"/>
      <c r="AE718" s="193"/>
      <c r="AF718" s="3"/>
      <c r="AG718" s="3"/>
      <c r="AH718" s="3"/>
      <c r="AI718" s="3"/>
      <c r="AJ718" s="3"/>
      <c r="AK718" s="3"/>
      <c r="AL718" s="3"/>
    </row>
    <row r="719" spans="1:38" ht="14.25" customHeight="1">
      <c r="A719" s="3"/>
      <c r="B719" s="3"/>
      <c r="C719" s="3"/>
      <c r="D719" s="3"/>
      <c r="E719" s="265"/>
      <c r="F719" s="265"/>
      <c r="G719" s="265"/>
      <c r="H719" s="265"/>
      <c r="I719" s="265"/>
      <c r="J719" s="260"/>
      <c r="K719" s="3"/>
      <c r="L719" s="265"/>
      <c r="M719" s="265"/>
      <c r="N719" s="265"/>
      <c r="O719" s="265"/>
      <c r="P719" s="265"/>
      <c r="Q719" s="260"/>
      <c r="R719" s="3"/>
      <c r="S719" s="265"/>
      <c r="T719" s="265"/>
      <c r="U719" s="265"/>
      <c r="V719" s="265"/>
      <c r="W719" s="265"/>
      <c r="X719" s="193"/>
      <c r="Y719" s="193"/>
      <c r="Z719" s="193"/>
      <c r="AA719" s="193"/>
      <c r="AB719" s="193"/>
      <c r="AC719" s="193"/>
      <c r="AD719" s="193"/>
      <c r="AE719" s="193"/>
      <c r="AF719" s="3"/>
      <c r="AG719" s="3"/>
      <c r="AH719" s="3"/>
      <c r="AI719" s="3"/>
      <c r="AJ719" s="3"/>
      <c r="AK719" s="3"/>
      <c r="AL719" s="3"/>
    </row>
    <row r="720" spans="1:38" ht="14.25" customHeight="1">
      <c r="A720" s="3"/>
      <c r="B720" s="3"/>
      <c r="C720" s="3"/>
      <c r="D720" s="3"/>
      <c r="E720" s="265"/>
      <c r="F720" s="265"/>
      <c r="G720" s="265"/>
      <c r="H720" s="265"/>
      <c r="I720" s="265"/>
      <c r="J720" s="260"/>
      <c r="K720" s="3"/>
      <c r="L720" s="265"/>
      <c r="M720" s="265"/>
      <c r="N720" s="265"/>
      <c r="O720" s="265"/>
      <c r="P720" s="265"/>
      <c r="Q720" s="260"/>
      <c r="R720" s="3"/>
      <c r="S720" s="265"/>
      <c r="T720" s="265"/>
      <c r="U720" s="265"/>
      <c r="V720" s="265"/>
      <c r="W720" s="265"/>
      <c r="X720" s="193"/>
      <c r="Y720" s="193"/>
      <c r="Z720" s="193"/>
      <c r="AA720" s="193"/>
      <c r="AB720" s="193"/>
      <c r="AC720" s="193"/>
      <c r="AD720" s="193"/>
      <c r="AE720" s="193"/>
      <c r="AF720" s="3"/>
      <c r="AG720" s="3"/>
      <c r="AH720" s="3"/>
      <c r="AI720" s="3"/>
      <c r="AJ720" s="3"/>
      <c r="AK720" s="3"/>
      <c r="AL720" s="3"/>
    </row>
    <row r="721" spans="1:38" ht="14.25" customHeight="1">
      <c r="A721" s="3"/>
      <c r="B721" s="3"/>
      <c r="C721" s="3"/>
      <c r="D721" s="3"/>
      <c r="E721" s="265"/>
      <c r="F721" s="265"/>
      <c r="G721" s="265"/>
      <c r="H721" s="265"/>
      <c r="I721" s="265"/>
      <c r="J721" s="260"/>
      <c r="K721" s="3"/>
      <c r="L721" s="265"/>
      <c r="M721" s="265"/>
      <c r="N721" s="265"/>
      <c r="O721" s="265"/>
      <c r="P721" s="265"/>
      <c r="Q721" s="260"/>
      <c r="R721" s="3"/>
      <c r="S721" s="265"/>
      <c r="T721" s="265"/>
      <c r="U721" s="265"/>
      <c r="V721" s="265"/>
      <c r="W721" s="265"/>
      <c r="X721" s="193"/>
      <c r="Y721" s="193"/>
      <c r="Z721" s="193"/>
      <c r="AA721" s="193"/>
      <c r="AB721" s="193"/>
      <c r="AC721" s="193"/>
      <c r="AD721" s="193"/>
      <c r="AE721" s="193"/>
      <c r="AF721" s="3"/>
      <c r="AG721" s="3"/>
      <c r="AH721" s="3"/>
      <c r="AI721" s="3"/>
      <c r="AJ721" s="3"/>
      <c r="AK721" s="3"/>
      <c r="AL721" s="3"/>
    </row>
    <row r="722" spans="1:38" ht="14.25" customHeight="1">
      <c r="A722" s="3"/>
      <c r="B722" s="3"/>
      <c r="C722" s="3"/>
      <c r="D722" s="3"/>
      <c r="E722" s="265"/>
      <c r="F722" s="265"/>
      <c r="G722" s="265"/>
      <c r="H722" s="265"/>
      <c r="I722" s="265"/>
      <c r="J722" s="260"/>
      <c r="K722" s="3"/>
      <c r="L722" s="265"/>
      <c r="M722" s="265"/>
      <c r="N722" s="265"/>
      <c r="O722" s="265"/>
      <c r="P722" s="265"/>
      <c r="Q722" s="260"/>
      <c r="R722" s="3"/>
      <c r="S722" s="265"/>
      <c r="T722" s="265"/>
      <c r="U722" s="265"/>
      <c r="V722" s="265"/>
      <c r="W722" s="265"/>
      <c r="X722" s="193"/>
      <c r="Y722" s="193"/>
      <c r="Z722" s="193"/>
      <c r="AA722" s="193"/>
      <c r="AB722" s="193"/>
      <c r="AC722" s="193"/>
      <c r="AD722" s="193"/>
      <c r="AE722" s="193"/>
      <c r="AF722" s="3"/>
      <c r="AG722" s="3"/>
      <c r="AH722" s="3"/>
      <c r="AI722" s="3"/>
      <c r="AJ722" s="3"/>
      <c r="AK722" s="3"/>
      <c r="AL722" s="3"/>
    </row>
    <row r="723" spans="1:38" ht="14.25" customHeight="1">
      <c r="A723" s="3"/>
      <c r="B723" s="3"/>
      <c r="C723" s="3"/>
      <c r="D723" s="3"/>
      <c r="E723" s="265"/>
      <c r="F723" s="265"/>
      <c r="G723" s="265"/>
      <c r="H723" s="265"/>
      <c r="I723" s="265"/>
      <c r="J723" s="260"/>
      <c r="K723" s="3"/>
      <c r="L723" s="265"/>
      <c r="M723" s="265"/>
      <c r="N723" s="265"/>
      <c r="O723" s="265"/>
      <c r="P723" s="265"/>
      <c r="Q723" s="260"/>
      <c r="R723" s="3"/>
      <c r="S723" s="265"/>
      <c r="T723" s="265"/>
      <c r="U723" s="265"/>
      <c r="V723" s="265"/>
      <c r="W723" s="265"/>
      <c r="X723" s="193"/>
      <c r="Y723" s="193"/>
      <c r="Z723" s="193"/>
      <c r="AA723" s="193"/>
      <c r="AB723" s="193"/>
      <c r="AC723" s="193"/>
      <c r="AD723" s="193"/>
      <c r="AE723" s="193"/>
      <c r="AF723" s="3"/>
      <c r="AG723" s="3"/>
      <c r="AH723" s="3"/>
      <c r="AI723" s="3"/>
      <c r="AJ723" s="3"/>
      <c r="AK723" s="3"/>
      <c r="AL723" s="3"/>
    </row>
    <row r="724" spans="1:38" ht="14.25" customHeight="1">
      <c r="A724" s="3"/>
      <c r="B724" s="3"/>
      <c r="C724" s="3"/>
      <c r="D724" s="3"/>
      <c r="E724" s="265"/>
      <c r="F724" s="265"/>
      <c r="G724" s="265"/>
      <c r="H724" s="265"/>
      <c r="I724" s="265"/>
      <c r="J724" s="260"/>
      <c r="K724" s="3"/>
      <c r="L724" s="265"/>
      <c r="M724" s="265"/>
      <c r="N724" s="265"/>
      <c r="O724" s="265"/>
      <c r="P724" s="265"/>
      <c r="Q724" s="260"/>
      <c r="R724" s="3"/>
      <c r="S724" s="265"/>
      <c r="T724" s="265"/>
      <c r="U724" s="265"/>
      <c r="V724" s="265"/>
      <c r="W724" s="265"/>
      <c r="X724" s="193"/>
      <c r="Y724" s="193"/>
      <c r="Z724" s="193"/>
      <c r="AA724" s="193"/>
      <c r="AB724" s="193"/>
      <c r="AC724" s="193"/>
      <c r="AD724" s="193"/>
      <c r="AE724" s="193"/>
      <c r="AF724" s="3"/>
      <c r="AG724" s="3"/>
      <c r="AH724" s="3"/>
      <c r="AI724" s="3"/>
      <c r="AJ724" s="3"/>
      <c r="AK724" s="3"/>
      <c r="AL724" s="3"/>
    </row>
    <row r="725" spans="1:38" ht="14.25" customHeight="1">
      <c r="A725" s="3"/>
      <c r="B725" s="3"/>
      <c r="C725" s="3"/>
      <c r="D725" s="3"/>
      <c r="E725" s="265"/>
      <c r="F725" s="265"/>
      <c r="G725" s="265"/>
      <c r="H725" s="265"/>
      <c r="I725" s="265"/>
      <c r="J725" s="260"/>
      <c r="K725" s="3"/>
      <c r="L725" s="265"/>
      <c r="M725" s="265"/>
      <c r="N725" s="265"/>
      <c r="O725" s="265"/>
      <c r="P725" s="265"/>
      <c r="Q725" s="260"/>
      <c r="R725" s="3"/>
      <c r="S725" s="265"/>
      <c r="T725" s="265"/>
      <c r="U725" s="265"/>
      <c r="V725" s="265"/>
      <c r="W725" s="265"/>
      <c r="X725" s="193"/>
      <c r="Y725" s="193"/>
      <c r="Z725" s="193"/>
      <c r="AA725" s="193"/>
      <c r="AB725" s="193"/>
      <c r="AC725" s="193"/>
      <c r="AD725" s="193"/>
      <c r="AE725" s="193"/>
      <c r="AF725" s="3"/>
      <c r="AG725" s="3"/>
      <c r="AH725" s="3"/>
      <c r="AI725" s="3"/>
      <c r="AJ725" s="3"/>
      <c r="AK725" s="3"/>
      <c r="AL725" s="3"/>
    </row>
    <row r="726" spans="1:38" ht="14.25" customHeight="1">
      <c r="A726" s="3"/>
      <c r="B726" s="3"/>
      <c r="C726" s="3"/>
      <c r="D726" s="3"/>
      <c r="E726" s="265"/>
      <c r="F726" s="265"/>
      <c r="G726" s="265"/>
      <c r="H726" s="265"/>
      <c r="I726" s="265"/>
      <c r="J726" s="260"/>
      <c r="K726" s="3"/>
      <c r="L726" s="265"/>
      <c r="M726" s="265"/>
      <c r="N726" s="265"/>
      <c r="O726" s="265"/>
      <c r="P726" s="265"/>
      <c r="Q726" s="260"/>
      <c r="R726" s="3"/>
      <c r="S726" s="265"/>
      <c r="T726" s="265"/>
      <c r="U726" s="265"/>
      <c r="V726" s="265"/>
      <c r="W726" s="265"/>
      <c r="X726" s="193"/>
      <c r="Y726" s="193"/>
      <c r="Z726" s="193"/>
      <c r="AA726" s="193"/>
      <c r="AB726" s="193"/>
      <c r="AC726" s="193"/>
      <c r="AD726" s="193"/>
      <c r="AE726" s="193"/>
      <c r="AF726" s="3"/>
      <c r="AG726" s="3"/>
      <c r="AH726" s="3"/>
      <c r="AI726" s="3"/>
      <c r="AJ726" s="3"/>
      <c r="AK726" s="3"/>
      <c r="AL726" s="3"/>
    </row>
    <row r="727" spans="1:38" ht="14.25" customHeight="1">
      <c r="A727" s="3"/>
      <c r="B727" s="3"/>
      <c r="C727" s="3"/>
      <c r="D727" s="3"/>
      <c r="E727" s="265"/>
      <c r="F727" s="265"/>
      <c r="G727" s="265"/>
      <c r="H727" s="265"/>
      <c r="I727" s="265"/>
      <c r="J727" s="260"/>
      <c r="K727" s="3"/>
      <c r="L727" s="265"/>
      <c r="M727" s="265"/>
      <c r="N727" s="265"/>
      <c r="O727" s="265"/>
      <c r="P727" s="265"/>
      <c r="Q727" s="260"/>
      <c r="R727" s="3"/>
      <c r="S727" s="265"/>
      <c r="T727" s="265"/>
      <c r="U727" s="265"/>
      <c r="V727" s="265"/>
      <c r="W727" s="265"/>
      <c r="X727" s="193"/>
      <c r="Y727" s="193"/>
      <c r="Z727" s="193"/>
      <c r="AA727" s="193"/>
      <c r="AB727" s="193"/>
      <c r="AC727" s="193"/>
      <c r="AD727" s="193"/>
      <c r="AE727" s="193"/>
      <c r="AF727" s="3"/>
      <c r="AG727" s="3"/>
      <c r="AH727" s="3"/>
      <c r="AI727" s="3"/>
      <c r="AJ727" s="3"/>
      <c r="AK727" s="3"/>
      <c r="AL727" s="3"/>
    </row>
    <row r="728" spans="1:38" ht="14.25" customHeight="1">
      <c r="A728" s="3"/>
      <c r="B728" s="3"/>
      <c r="C728" s="3"/>
      <c r="D728" s="3"/>
      <c r="E728" s="265"/>
      <c r="F728" s="265"/>
      <c r="G728" s="265"/>
      <c r="H728" s="265"/>
      <c r="I728" s="265"/>
      <c r="J728" s="260"/>
      <c r="K728" s="3"/>
      <c r="L728" s="265"/>
      <c r="M728" s="265"/>
      <c r="N728" s="265"/>
      <c r="O728" s="265"/>
      <c r="P728" s="265"/>
      <c r="Q728" s="260"/>
      <c r="R728" s="3"/>
      <c r="S728" s="265"/>
      <c r="T728" s="265"/>
      <c r="U728" s="265"/>
      <c r="V728" s="265"/>
      <c r="W728" s="265"/>
      <c r="X728" s="193"/>
      <c r="Y728" s="193"/>
      <c r="Z728" s="193"/>
      <c r="AA728" s="193"/>
      <c r="AB728" s="193"/>
      <c r="AC728" s="193"/>
      <c r="AD728" s="193"/>
      <c r="AE728" s="193"/>
      <c r="AF728" s="3"/>
      <c r="AG728" s="3"/>
      <c r="AH728" s="3"/>
      <c r="AI728" s="3"/>
      <c r="AJ728" s="3"/>
      <c r="AK728" s="3"/>
      <c r="AL728" s="3"/>
    </row>
    <row r="729" spans="1:38" ht="14.25" customHeight="1">
      <c r="A729" s="3"/>
      <c r="B729" s="3"/>
      <c r="C729" s="3"/>
      <c r="D729" s="3"/>
      <c r="E729" s="265"/>
      <c r="F729" s="265"/>
      <c r="G729" s="265"/>
      <c r="H729" s="265"/>
      <c r="I729" s="265"/>
      <c r="J729" s="260"/>
      <c r="K729" s="3"/>
      <c r="L729" s="265"/>
      <c r="M729" s="265"/>
      <c r="N729" s="265"/>
      <c r="O729" s="265"/>
      <c r="P729" s="265"/>
      <c r="Q729" s="260"/>
      <c r="R729" s="3"/>
      <c r="S729" s="265"/>
      <c r="T729" s="265"/>
      <c r="U729" s="265"/>
      <c r="V729" s="265"/>
      <c r="W729" s="265"/>
      <c r="X729" s="193"/>
      <c r="Y729" s="193"/>
      <c r="Z729" s="193"/>
      <c r="AA729" s="193"/>
      <c r="AB729" s="193"/>
      <c r="AC729" s="193"/>
      <c r="AD729" s="193"/>
      <c r="AE729" s="193"/>
      <c r="AF729" s="3"/>
      <c r="AG729" s="3"/>
      <c r="AH729" s="3"/>
      <c r="AI729" s="3"/>
      <c r="AJ729" s="3"/>
      <c r="AK729" s="3"/>
      <c r="AL729" s="3"/>
    </row>
    <row r="730" spans="1:38" ht="14.25" customHeight="1">
      <c r="A730" s="3"/>
      <c r="B730" s="3"/>
      <c r="C730" s="3"/>
      <c r="D730" s="3"/>
      <c r="E730" s="265"/>
      <c r="F730" s="265"/>
      <c r="G730" s="265"/>
      <c r="H730" s="265"/>
      <c r="I730" s="265"/>
      <c r="J730" s="260"/>
      <c r="K730" s="3"/>
      <c r="L730" s="265"/>
      <c r="M730" s="265"/>
      <c r="N730" s="265"/>
      <c r="O730" s="265"/>
      <c r="P730" s="265"/>
      <c r="Q730" s="260"/>
      <c r="R730" s="3"/>
      <c r="S730" s="265"/>
      <c r="T730" s="265"/>
      <c r="U730" s="265"/>
      <c r="V730" s="265"/>
      <c r="W730" s="265"/>
      <c r="X730" s="193"/>
      <c r="Y730" s="193"/>
      <c r="Z730" s="193"/>
      <c r="AA730" s="193"/>
      <c r="AB730" s="193"/>
      <c r="AC730" s="193"/>
      <c r="AD730" s="193"/>
      <c r="AE730" s="193"/>
      <c r="AF730" s="3"/>
      <c r="AG730" s="3"/>
      <c r="AH730" s="3"/>
      <c r="AI730" s="3"/>
      <c r="AJ730" s="3"/>
      <c r="AK730" s="3"/>
      <c r="AL730" s="3"/>
    </row>
    <row r="731" spans="1:38" ht="14.25" customHeight="1">
      <c r="A731" s="3"/>
      <c r="B731" s="3"/>
      <c r="C731" s="3"/>
      <c r="D731" s="3"/>
      <c r="E731" s="265"/>
      <c r="F731" s="265"/>
      <c r="G731" s="265"/>
      <c r="H731" s="265"/>
      <c r="I731" s="265"/>
      <c r="J731" s="260"/>
      <c r="K731" s="3"/>
      <c r="L731" s="265"/>
      <c r="M731" s="265"/>
      <c r="N731" s="265"/>
      <c r="O731" s="265"/>
      <c r="P731" s="265"/>
      <c r="Q731" s="260"/>
      <c r="R731" s="3"/>
      <c r="S731" s="265"/>
      <c r="T731" s="265"/>
      <c r="U731" s="265"/>
      <c r="V731" s="265"/>
      <c r="W731" s="265"/>
      <c r="X731" s="193"/>
      <c r="Y731" s="193"/>
      <c r="Z731" s="193"/>
      <c r="AA731" s="193"/>
      <c r="AB731" s="193"/>
      <c r="AC731" s="193"/>
      <c r="AD731" s="193"/>
      <c r="AE731" s="193"/>
      <c r="AF731" s="3"/>
      <c r="AG731" s="3"/>
      <c r="AH731" s="3"/>
      <c r="AI731" s="3"/>
      <c r="AJ731" s="3"/>
      <c r="AK731" s="3"/>
      <c r="AL731" s="3"/>
    </row>
    <row r="732" spans="1:38" ht="14.25" customHeight="1">
      <c r="A732" s="3"/>
      <c r="B732" s="3"/>
      <c r="C732" s="3"/>
      <c r="D732" s="3"/>
      <c r="E732" s="265"/>
      <c r="F732" s="265"/>
      <c r="G732" s="265"/>
      <c r="H732" s="265"/>
      <c r="I732" s="265"/>
      <c r="J732" s="260"/>
      <c r="K732" s="3"/>
      <c r="L732" s="265"/>
      <c r="M732" s="265"/>
      <c r="N732" s="265"/>
      <c r="O732" s="265"/>
      <c r="P732" s="265"/>
      <c r="Q732" s="260"/>
      <c r="R732" s="3"/>
      <c r="S732" s="265"/>
      <c r="T732" s="265"/>
      <c r="U732" s="265"/>
      <c r="V732" s="265"/>
      <c r="W732" s="265"/>
      <c r="X732" s="193"/>
      <c r="Y732" s="193"/>
      <c r="Z732" s="193"/>
      <c r="AA732" s="193"/>
      <c r="AB732" s="193"/>
      <c r="AC732" s="193"/>
      <c r="AD732" s="193"/>
      <c r="AE732" s="193"/>
      <c r="AF732" s="3"/>
      <c r="AG732" s="3"/>
      <c r="AH732" s="3"/>
      <c r="AI732" s="3"/>
      <c r="AJ732" s="3"/>
      <c r="AK732" s="3"/>
      <c r="AL732" s="3"/>
    </row>
    <row r="733" spans="1:38" ht="14.25" customHeight="1">
      <c r="A733" s="3"/>
      <c r="B733" s="3"/>
      <c r="C733" s="3"/>
      <c r="D733" s="3"/>
      <c r="E733" s="265"/>
      <c r="F733" s="265"/>
      <c r="G733" s="265"/>
      <c r="H733" s="265"/>
      <c r="I733" s="265"/>
      <c r="J733" s="260"/>
      <c r="K733" s="3"/>
      <c r="L733" s="265"/>
      <c r="M733" s="265"/>
      <c r="N733" s="265"/>
      <c r="O733" s="265"/>
      <c r="P733" s="265"/>
      <c r="Q733" s="260"/>
      <c r="R733" s="3"/>
      <c r="S733" s="265"/>
      <c r="T733" s="265"/>
      <c r="U733" s="265"/>
      <c r="V733" s="265"/>
      <c r="W733" s="265"/>
      <c r="X733" s="193"/>
      <c r="Y733" s="193"/>
      <c r="Z733" s="193"/>
      <c r="AA733" s="193"/>
      <c r="AB733" s="193"/>
      <c r="AC733" s="193"/>
      <c r="AD733" s="193"/>
      <c r="AE733" s="193"/>
      <c r="AF733" s="3"/>
      <c r="AG733" s="3"/>
      <c r="AH733" s="3"/>
      <c r="AI733" s="3"/>
      <c r="AJ733" s="3"/>
      <c r="AK733" s="3"/>
      <c r="AL733" s="3"/>
    </row>
    <row r="734" spans="1:38" ht="14.25" customHeight="1">
      <c r="A734" s="3"/>
      <c r="B734" s="3"/>
      <c r="C734" s="3"/>
      <c r="D734" s="3"/>
      <c r="E734" s="265"/>
      <c r="F734" s="265"/>
      <c r="G734" s="265"/>
      <c r="H734" s="265"/>
      <c r="I734" s="265"/>
      <c r="J734" s="260"/>
      <c r="K734" s="3"/>
      <c r="L734" s="265"/>
      <c r="M734" s="265"/>
      <c r="N734" s="265"/>
      <c r="O734" s="265"/>
      <c r="P734" s="265"/>
      <c r="Q734" s="260"/>
      <c r="R734" s="3"/>
      <c r="S734" s="265"/>
      <c r="T734" s="265"/>
      <c r="U734" s="265"/>
      <c r="V734" s="265"/>
      <c r="W734" s="265"/>
      <c r="X734" s="193"/>
      <c r="Y734" s="193"/>
      <c r="Z734" s="193"/>
      <c r="AA734" s="193"/>
      <c r="AB734" s="193"/>
      <c r="AC734" s="193"/>
      <c r="AD734" s="193"/>
      <c r="AE734" s="193"/>
      <c r="AF734" s="3"/>
      <c r="AG734" s="3"/>
      <c r="AH734" s="3"/>
      <c r="AI734" s="3"/>
      <c r="AJ734" s="3"/>
      <c r="AK734" s="3"/>
      <c r="AL734" s="3"/>
    </row>
    <row r="735" spans="1:38" ht="14.25" customHeight="1">
      <c r="A735" s="3"/>
      <c r="B735" s="3"/>
      <c r="C735" s="3"/>
      <c r="D735" s="3"/>
      <c r="E735" s="265"/>
      <c r="F735" s="265"/>
      <c r="G735" s="265"/>
      <c r="H735" s="265"/>
      <c r="I735" s="265"/>
      <c r="J735" s="260"/>
      <c r="K735" s="3"/>
      <c r="L735" s="265"/>
      <c r="M735" s="265"/>
      <c r="N735" s="265"/>
      <c r="O735" s="265"/>
      <c r="P735" s="265"/>
      <c r="Q735" s="260"/>
      <c r="R735" s="3"/>
      <c r="S735" s="265"/>
      <c r="T735" s="265"/>
      <c r="U735" s="265"/>
      <c r="V735" s="265"/>
      <c r="W735" s="265"/>
      <c r="X735" s="193"/>
      <c r="Y735" s="193"/>
      <c r="Z735" s="193"/>
      <c r="AA735" s="193"/>
      <c r="AB735" s="193"/>
      <c r="AC735" s="193"/>
      <c r="AD735" s="193"/>
      <c r="AE735" s="193"/>
      <c r="AF735" s="3"/>
      <c r="AG735" s="3"/>
      <c r="AH735" s="3"/>
      <c r="AI735" s="3"/>
      <c r="AJ735" s="3"/>
      <c r="AK735" s="3"/>
      <c r="AL735" s="3"/>
    </row>
    <row r="736" spans="1:38" ht="14.25" customHeight="1">
      <c r="A736" s="3"/>
      <c r="B736" s="3"/>
      <c r="C736" s="3"/>
      <c r="D736" s="3"/>
      <c r="E736" s="265"/>
      <c r="F736" s="265"/>
      <c r="G736" s="265"/>
      <c r="H736" s="265"/>
      <c r="I736" s="265"/>
      <c r="J736" s="260"/>
      <c r="K736" s="3"/>
      <c r="L736" s="265"/>
      <c r="M736" s="265"/>
      <c r="N736" s="265"/>
      <c r="O736" s="265"/>
      <c r="P736" s="265"/>
      <c r="Q736" s="260"/>
      <c r="R736" s="3"/>
      <c r="S736" s="265"/>
      <c r="T736" s="265"/>
      <c r="U736" s="265"/>
      <c r="V736" s="265"/>
      <c r="W736" s="265"/>
      <c r="X736" s="193"/>
      <c r="Y736" s="193"/>
      <c r="Z736" s="193"/>
      <c r="AA736" s="193"/>
      <c r="AB736" s="193"/>
      <c r="AC736" s="193"/>
      <c r="AD736" s="193"/>
      <c r="AE736" s="193"/>
      <c r="AF736" s="3"/>
      <c r="AG736" s="3"/>
      <c r="AH736" s="3"/>
      <c r="AI736" s="3"/>
      <c r="AJ736" s="3"/>
      <c r="AK736" s="3"/>
      <c r="AL736" s="3"/>
    </row>
    <row r="737" spans="1:38" ht="14.25" customHeight="1">
      <c r="A737" s="3"/>
      <c r="B737" s="3"/>
      <c r="C737" s="3"/>
      <c r="D737" s="3"/>
      <c r="E737" s="265"/>
      <c r="F737" s="265"/>
      <c r="G737" s="265"/>
      <c r="H737" s="265"/>
      <c r="I737" s="265"/>
      <c r="J737" s="260"/>
      <c r="K737" s="3"/>
      <c r="L737" s="265"/>
      <c r="M737" s="265"/>
      <c r="N737" s="265"/>
      <c r="O737" s="265"/>
      <c r="P737" s="265"/>
      <c r="Q737" s="260"/>
      <c r="R737" s="3"/>
      <c r="S737" s="265"/>
      <c r="T737" s="265"/>
      <c r="U737" s="265"/>
      <c r="V737" s="265"/>
      <c r="W737" s="265"/>
      <c r="X737" s="193"/>
      <c r="Y737" s="193"/>
      <c r="Z737" s="193"/>
      <c r="AA737" s="193"/>
      <c r="AB737" s="193"/>
      <c r="AC737" s="193"/>
      <c r="AD737" s="193"/>
      <c r="AE737" s="193"/>
      <c r="AF737" s="3"/>
      <c r="AG737" s="3"/>
      <c r="AH737" s="3"/>
      <c r="AI737" s="3"/>
      <c r="AJ737" s="3"/>
      <c r="AK737" s="3"/>
      <c r="AL737" s="3"/>
    </row>
    <row r="738" spans="1:38" ht="14.25" customHeight="1">
      <c r="A738" s="3"/>
      <c r="B738" s="3"/>
      <c r="C738" s="3"/>
      <c r="D738" s="3"/>
      <c r="E738" s="265"/>
      <c r="F738" s="265"/>
      <c r="G738" s="265"/>
      <c r="H738" s="265"/>
      <c r="I738" s="265"/>
      <c r="J738" s="260"/>
      <c r="K738" s="3"/>
      <c r="L738" s="265"/>
      <c r="M738" s="265"/>
      <c r="N738" s="265"/>
      <c r="O738" s="265"/>
      <c r="P738" s="265"/>
      <c r="Q738" s="260"/>
      <c r="R738" s="3"/>
      <c r="S738" s="265"/>
      <c r="T738" s="265"/>
      <c r="U738" s="265"/>
      <c r="V738" s="265"/>
      <c r="W738" s="265"/>
      <c r="X738" s="193"/>
      <c r="Y738" s="193"/>
      <c r="Z738" s="193"/>
      <c r="AA738" s="193"/>
      <c r="AB738" s="193"/>
      <c r="AC738" s="193"/>
      <c r="AD738" s="193"/>
      <c r="AE738" s="193"/>
      <c r="AF738" s="3"/>
      <c r="AG738" s="3"/>
      <c r="AH738" s="3"/>
      <c r="AI738" s="3"/>
      <c r="AJ738" s="3"/>
      <c r="AK738" s="3"/>
      <c r="AL738" s="3"/>
    </row>
    <row r="739" spans="1:38" ht="14.25" customHeight="1">
      <c r="A739" s="3"/>
      <c r="B739" s="3"/>
      <c r="C739" s="3"/>
      <c r="D739" s="3"/>
      <c r="E739" s="265"/>
      <c r="F739" s="265"/>
      <c r="G739" s="265"/>
      <c r="H739" s="265"/>
      <c r="I739" s="265"/>
      <c r="J739" s="260"/>
      <c r="K739" s="3"/>
      <c r="L739" s="265"/>
      <c r="M739" s="265"/>
      <c r="N739" s="265"/>
      <c r="O739" s="265"/>
      <c r="P739" s="265"/>
      <c r="Q739" s="260"/>
      <c r="R739" s="3"/>
      <c r="S739" s="265"/>
      <c r="T739" s="265"/>
      <c r="U739" s="265"/>
      <c r="V739" s="265"/>
      <c r="W739" s="265"/>
      <c r="X739" s="193"/>
      <c r="Y739" s="193"/>
      <c r="Z739" s="193"/>
      <c r="AA739" s="193"/>
      <c r="AB739" s="193"/>
      <c r="AC739" s="193"/>
      <c r="AD739" s="193"/>
      <c r="AE739" s="193"/>
      <c r="AF739" s="3"/>
      <c r="AG739" s="3"/>
      <c r="AH739" s="3"/>
      <c r="AI739" s="3"/>
      <c r="AJ739" s="3"/>
      <c r="AK739" s="3"/>
      <c r="AL739" s="3"/>
    </row>
    <row r="740" spans="1:38" ht="14.25" customHeight="1">
      <c r="A740" s="3"/>
      <c r="B740" s="3"/>
      <c r="C740" s="3"/>
      <c r="D740" s="3"/>
      <c r="E740" s="265"/>
      <c r="F740" s="265"/>
      <c r="G740" s="265"/>
      <c r="H740" s="265"/>
      <c r="I740" s="265"/>
      <c r="J740" s="260"/>
      <c r="K740" s="3"/>
      <c r="L740" s="265"/>
      <c r="M740" s="265"/>
      <c r="N740" s="265"/>
      <c r="O740" s="265"/>
      <c r="P740" s="265"/>
      <c r="Q740" s="260"/>
      <c r="R740" s="3"/>
      <c r="S740" s="265"/>
      <c r="T740" s="265"/>
      <c r="U740" s="265"/>
      <c r="V740" s="265"/>
      <c r="W740" s="265"/>
      <c r="X740" s="193"/>
      <c r="Y740" s="193"/>
      <c r="Z740" s="193"/>
      <c r="AA740" s="193"/>
      <c r="AB740" s="193"/>
      <c r="AC740" s="193"/>
      <c r="AD740" s="193"/>
      <c r="AE740" s="193"/>
      <c r="AF740" s="3"/>
      <c r="AG740" s="3"/>
      <c r="AH740" s="3"/>
      <c r="AI740" s="3"/>
      <c r="AJ740" s="3"/>
      <c r="AK740" s="3"/>
      <c r="AL740" s="3"/>
    </row>
    <row r="741" spans="1:38" ht="14.25" customHeight="1">
      <c r="A741" s="3"/>
      <c r="B741" s="3"/>
      <c r="C741" s="3"/>
      <c r="D741" s="3"/>
      <c r="E741" s="265"/>
      <c r="F741" s="265"/>
      <c r="G741" s="265"/>
      <c r="H741" s="265"/>
      <c r="I741" s="265"/>
      <c r="J741" s="260"/>
      <c r="K741" s="3"/>
      <c r="L741" s="265"/>
      <c r="M741" s="265"/>
      <c r="N741" s="265"/>
      <c r="O741" s="265"/>
      <c r="P741" s="265"/>
      <c r="Q741" s="260"/>
      <c r="R741" s="3"/>
      <c r="S741" s="265"/>
      <c r="T741" s="265"/>
      <c r="U741" s="265"/>
      <c r="V741" s="265"/>
      <c r="W741" s="265"/>
      <c r="X741" s="193"/>
      <c r="Y741" s="193"/>
      <c r="Z741" s="193"/>
      <c r="AA741" s="193"/>
      <c r="AB741" s="193"/>
      <c r="AC741" s="193"/>
      <c r="AD741" s="193"/>
      <c r="AE741" s="193"/>
      <c r="AF741" s="3"/>
      <c r="AG741" s="3"/>
      <c r="AH741" s="3"/>
      <c r="AI741" s="3"/>
      <c r="AJ741" s="3"/>
      <c r="AK741" s="3"/>
      <c r="AL741" s="3"/>
    </row>
    <row r="742" spans="1:38" ht="14.25" customHeight="1">
      <c r="A742" s="3"/>
      <c r="B742" s="3"/>
      <c r="C742" s="3"/>
      <c r="D742" s="3"/>
      <c r="E742" s="265"/>
      <c r="F742" s="265"/>
      <c r="G742" s="265"/>
      <c r="H742" s="265"/>
      <c r="I742" s="265"/>
      <c r="J742" s="260"/>
      <c r="K742" s="3"/>
      <c r="L742" s="265"/>
      <c r="M742" s="265"/>
      <c r="N742" s="265"/>
      <c r="O742" s="265"/>
      <c r="P742" s="265"/>
      <c r="Q742" s="260"/>
      <c r="R742" s="3"/>
      <c r="S742" s="265"/>
      <c r="T742" s="265"/>
      <c r="U742" s="265"/>
      <c r="V742" s="265"/>
      <c r="W742" s="265"/>
      <c r="X742" s="193"/>
      <c r="Y742" s="193"/>
      <c r="Z742" s="193"/>
      <c r="AA742" s="193"/>
      <c r="AB742" s="193"/>
      <c r="AC742" s="193"/>
      <c r="AD742" s="193"/>
      <c r="AE742" s="193"/>
      <c r="AF742" s="3"/>
      <c r="AG742" s="3"/>
      <c r="AH742" s="3"/>
      <c r="AI742" s="3"/>
      <c r="AJ742" s="3"/>
      <c r="AK742" s="3"/>
      <c r="AL742" s="3"/>
    </row>
    <row r="743" spans="1:38" ht="14.25" customHeight="1">
      <c r="A743" s="3"/>
      <c r="B743" s="3"/>
      <c r="C743" s="3"/>
      <c r="D743" s="3"/>
      <c r="E743" s="265"/>
      <c r="F743" s="265"/>
      <c r="G743" s="265"/>
      <c r="H743" s="265"/>
      <c r="I743" s="265"/>
      <c r="J743" s="260"/>
      <c r="K743" s="3"/>
      <c r="L743" s="265"/>
      <c r="M743" s="265"/>
      <c r="N743" s="265"/>
      <c r="O743" s="265"/>
      <c r="P743" s="265"/>
      <c r="Q743" s="260"/>
      <c r="R743" s="3"/>
      <c r="S743" s="265"/>
      <c r="T743" s="265"/>
      <c r="U743" s="265"/>
      <c r="V743" s="265"/>
      <c r="W743" s="265"/>
      <c r="X743" s="193"/>
      <c r="Y743" s="193"/>
      <c r="Z743" s="193"/>
      <c r="AA743" s="193"/>
      <c r="AB743" s="193"/>
      <c r="AC743" s="193"/>
      <c r="AD743" s="193"/>
      <c r="AE743" s="193"/>
      <c r="AF743" s="3"/>
      <c r="AG743" s="3"/>
      <c r="AH743" s="3"/>
      <c r="AI743" s="3"/>
      <c r="AJ743" s="3"/>
      <c r="AK743" s="3"/>
      <c r="AL743" s="3"/>
    </row>
    <row r="744" spans="1:38" ht="14.25" customHeight="1">
      <c r="A744" s="3"/>
      <c r="B744" s="3"/>
      <c r="C744" s="3"/>
      <c r="D744" s="3"/>
      <c r="E744" s="265"/>
      <c r="F744" s="265"/>
      <c r="G744" s="265"/>
      <c r="H744" s="265"/>
      <c r="I744" s="265"/>
      <c r="J744" s="260"/>
      <c r="K744" s="3"/>
      <c r="L744" s="265"/>
      <c r="M744" s="265"/>
      <c r="N744" s="265"/>
      <c r="O744" s="265"/>
      <c r="P744" s="265"/>
      <c r="Q744" s="260"/>
      <c r="R744" s="3"/>
      <c r="S744" s="265"/>
      <c r="T744" s="265"/>
      <c r="U744" s="265"/>
      <c r="V744" s="265"/>
      <c r="W744" s="265"/>
      <c r="X744" s="193"/>
      <c r="Y744" s="193"/>
      <c r="Z744" s="193"/>
      <c r="AA744" s="193"/>
      <c r="AB744" s="193"/>
      <c r="AC744" s="193"/>
      <c r="AD744" s="193"/>
      <c r="AE744" s="193"/>
      <c r="AF744" s="3"/>
      <c r="AG744" s="3"/>
      <c r="AH744" s="3"/>
      <c r="AI744" s="3"/>
      <c r="AJ744" s="3"/>
      <c r="AK744" s="3"/>
      <c r="AL744" s="3"/>
    </row>
    <row r="745" spans="1:38" ht="14.25" customHeight="1">
      <c r="A745" s="3"/>
      <c r="B745" s="3"/>
      <c r="C745" s="3"/>
      <c r="D745" s="3"/>
      <c r="E745" s="265"/>
      <c r="F745" s="265"/>
      <c r="G745" s="265"/>
      <c r="H745" s="265"/>
      <c r="I745" s="265"/>
      <c r="J745" s="260"/>
      <c r="K745" s="3"/>
      <c r="L745" s="265"/>
      <c r="M745" s="265"/>
      <c r="N745" s="265"/>
      <c r="O745" s="265"/>
      <c r="P745" s="265"/>
      <c r="Q745" s="260"/>
      <c r="R745" s="3"/>
      <c r="S745" s="265"/>
      <c r="T745" s="265"/>
      <c r="U745" s="265"/>
      <c r="V745" s="265"/>
      <c r="W745" s="265"/>
      <c r="X745" s="193"/>
      <c r="Y745" s="193"/>
      <c r="Z745" s="193"/>
      <c r="AA745" s="193"/>
      <c r="AB745" s="193"/>
      <c r="AC745" s="193"/>
      <c r="AD745" s="193"/>
      <c r="AE745" s="193"/>
      <c r="AF745" s="3"/>
      <c r="AG745" s="3"/>
      <c r="AH745" s="3"/>
      <c r="AI745" s="3"/>
      <c r="AJ745" s="3"/>
      <c r="AK745" s="3"/>
      <c r="AL745" s="3"/>
    </row>
    <row r="746" spans="1:38" ht="14.25" customHeight="1">
      <c r="A746" s="3"/>
      <c r="B746" s="3"/>
      <c r="C746" s="3"/>
      <c r="D746" s="3"/>
      <c r="E746" s="265"/>
      <c r="F746" s="265"/>
      <c r="G746" s="265"/>
      <c r="H746" s="265"/>
      <c r="I746" s="265"/>
      <c r="J746" s="260"/>
      <c r="K746" s="3"/>
      <c r="L746" s="265"/>
      <c r="M746" s="265"/>
      <c r="N746" s="265"/>
      <c r="O746" s="265"/>
      <c r="P746" s="265"/>
      <c r="Q746" s="260"/>
      <c r="R746" s="3"/>
      <c r="S746" s="265"/>
      <c r="T746" s="265"/>
      <c r="U746" s="265"/>
      <c r="V746" s="265"/>
      <c r="W746" s="265"/>
      <c r="X746" s="193"/>
      <c r="Y746" s="193"/>
      <c r="Z746" s="193"/>
      <c r="AA746" s="193"/>
      <c r="AB746" s="193"/>
      <c r="AC746" s="193"/>
      <c r="AD746" s="193"/>
      <c r="AE746" s="193"/>
      <c r="AF746" s="3"/>
      <c r="AG746" s="3"/>
      <c r="AH746" s="3"/>
      <c r="AI746" s="3"/>
      <c r="AJ746" s="3"/>
      <c r="AK746" s="3"/>
      <c r="AL746" s="3"/>
    </row>
    <row r="747" spans="1:38" ht="14.25" customHeight="1">
      <c r="A747" s="3"/>
      <c r="B747" s="3"/>
      <c r="C747" s="3"/>
      <c r="D747" s="3"/>
      <c r="E747" s="265"/>
      <c r="F747" s="265"/>
      <c r="G747" s="265"/>
      <c r="H747" s="265"/>
      <c r="I747" s="265"/>
      <c r="J747" s="260"/>
      <c r="K747" s="3"/>
      <c r="L747" s="265"/>
      <c r="M747" s="265"/>
      <c r="N747" s="265"/>
      <c r="O747" s="265"/>
      <c r="P747" s="265"/>
      <c r="Q747" s="260"/>
      <c r="R747" s="3"/>
      <c r="S747" s="265"/>
      <c r="T747" s="265"/>
      <c r="U747" s="265"/>
      <c r="V747" s="265"/>
      <c r="W747" s="265"/>
      <c r="X747" s="193"/>
      <c r="Y747" s="193"/>
      <c r="Z747" s="193"/>
      <c r="AA747" s="193"/>
      <c r="AB747" s="193"/>
      <c r="AC747" s="193"/>
      <c r="AD747" s="193"/>
      <c r="AE747" s="193"/>
      <c r="AF747" s="3"/>
      <c r="AG747" s="3"/>
      <c r="AH747" s="3"/>
      <c r="AI747" s="3"/>
      <c r="AJ747" s="3"/>
      <c r="AK747" s="3"/>
      <c r="AL747" s="3"/>
    </row>
    <row r="748" spans="1:38" ht="14.25" customHeight="1">
      <c r="A748" s="3"/>
      <c r="B748" s="3"/>
      <c r="C748" s="3"/>
      <c r="D748" s="3"/>
      <c r="E748" s="265"/>
      <c r="F748" s="265"/>
      <c r="G748" s="265"/>
      <c r="H748" s="265"/>
      <c r="I748" s="265"/>
      <c r="J748" s="260"/>
      <c r="K748" s="3"/>
      <c r="L748" s="265"/>
      <c r="M748" s="265"/>
      <c r="N748" s="265"/>
      <c r="O748" s="265"/>
      <c r="P748" s="265"/>
      <c r="Q748" s="260"/>
      <c r="R748" s="3"/>
      <c r="S748" s="265"/>
      <c r="T748" s="265"/>
      <c r="U748" s="265"/>
      <c r="V748" s="265"/>
      <c r="W748" s="265"/>
      <c r="X748" s="193"/>
      <c r="Y748" s="193"/>
      <c r="Z748" s="193"/>
      <c r="AA748" s="193"/>
      <c r="AB748" s="193"/>
      <c r="AC748" s="193"/>
      <c r="AD748" s="193"/>
      <c r="AE748" s="193"/>
      <c r="AF748" s="3"/>
      <c r="AG748" s="3"/>
      <c r="AH748" s="3"/>
      <c r="AI748" s="3"/>
      <c r="AJ748" s="3"/>
      <c r="AK748" s="3"/>
      <c r="AL748" s="3"/>
    </row>
    <row r="749" spans="1:38" ht="14.25" customHeight="1">
      <c r="A749" s="3"/>
      <c r="B749" s="3"/>
      <c r="C749" s="3"/>
      <c r="D749" s="3"/>
      <c r="E749" s="265"/>
      <c r="F749" s="265"/>
      <c r="G749" s="265"/>
      <c r="H749" s="265"/>
      <c r="I749" s="265"/>
      <c r="J749" s="260"/>
      <c r="K749" s="3"/>
      <c r="L749" s="265"/>
      <c r="M749" s="265"/>
      <c r="N749" s="265"/>
      <c r="O749" s="265"/>
      <c r="P749" s="265"/>
      <c r="Q749" s="260"/>
      <c r="R749" s="3"/>
      <c r="S749" s="265"/>
      <c r="T749" s="265"/>
      <c r="U749" s="265"/>
      <c r="V749" s="265"/>
      <c r="W749" s="265"/>
      <c r="X749" s="193"/>
      <c r="Y749" s="193"/>
      <c r="Z749" s="193"/>
      <c r="AA749" s="193"/>
      <c r="AB749" s="193"/>
      <c r="AC749" s="193"/>
      <c r="AD749" s="193"/>
      <c r="AE749" s="193"/>
      <c r="AF749" s="3"/>
      <c r="AG749" s="3"/>
      <c r="AH749" s="3"/>
      <c r="AI749" s="3"/>
      <c r="AJ749" s="3"/>
      <c r="AK749" s="3"/>
      <c r="AL749" s="3"/>
    </row>
    <row r="750" spans="1:38" ht="14.25" customHeight="1">
      <c r="A750" s="3"/>
      <c r="B750" s="3"/>
      <c r="C750" s="3"/>
      <c r="D750" s="3"/>
      <c r="E750" s="265"/>
      <c r="F750" s="265"/>
      <c r="G750" s="265"/>
      <c r="H750" s="265"/>
      <c r="I750" s="265"/>
      <c r="J750" s="260"/>
      <c r="K750" s="3"/>
      <c r="L750" s="265"/>
      <c r="M750" s="265"/>
      <c r="N750" s="265"/>
      <c r="O750" s="265"/>
      <c r="P750" s="265"/>
      <c r="Q750" s="260"/>
      <c r="R750" s="3"/>
      <c r="S750" s="265"/>
      <c r="T750" s="265"/>
      <c r="U750" s="265"/>
      <c r="V750" s="265"/>
      <c r="W750" s="265"/>
      <c r="X750" s="193"/>
      <c r="Y750" s="193"/>
      <c r="Z750" s="193"/>
      <c r="AA750" s="193"/>
      <c r="AB750" s="193"/>
      <c r="AC750" s="193"/>
      <c r="AD750" s="193"/>
      <c r="AE750" s="193"/>
      <c r="AF750" s="3"/>
      <c r="AG750" s="3"/>
      <c r="AH750" s="3"/>
      <c r="AI750" s="3"/>
      <c r="AJ750" s="3"/>
      <c r="AK750" s="3"/>
      <c r="AL750" s="3"/>
    </row>
    <row r="751" spans="1:38" ht="14.25" customHeight="1">
      <c r="A751" s="3"/>
      <c r="B751" s="3"/>
      <c r="C751" s="3"/>
      <c r="D751" s="3"/>
      <c r="E751" s="265"/>
      <c r="F751" s="265"/>
      <c r="G751" s="265"/>
      <c r="H751" s="265"/>
      <c r="I751" s="265"/>
      <c r="J751" s="260"/>
      <c r="K751" s="3"/>
      <c r="L751" s="265"/>
      <c r="M751" s="265"/>
      <c r="N751" s="265"/>
      <c r="O751" s="265"/>
      <c r="P751" s="265"/>
      <c r="Q751" s="260"/>
      <c r="R751" s="3"/>
      <c r="S751" s="265"/>
      <c r="T751" s="265"/>
      <c r="U751" s="265"/>
      <c r="V751" s="265"/>
      <c r="W751" s="265"/>
      <c r="X751" s="193"/>
      <c r="Y751" s="193"/>
      <c r="Z751" s="193"/>
      <c r="AA751" s="193"/>
      <c r="AB751" s="193"/>
      <c r="AC751" s="193"/>
      <c r="AD751" s="193"/>
      <c r="AE751" s="193"/>
      <c r="AF751" s="3"/>
      <c r="AG751" s="3"/>
      <c r="AH751" s="3"/>
      <c r="AI751" s="3"/>
      <c r="AJ751" s="3"/>
      <c r="AK751" s="3"/>
      <c r="AL751" s="3"/>
    </row>
    <row r="752" spans="1:38" ht="14.25" customHeight="1">
      <c r="A752" s="3"/>
      <c r="B752" s="3"/>
      <c r="C752" s="3"/>
      <c r="D752" s="3"/>
      <c r="E752" s="265"/>
      <c r="F752" s="265"/>
      <c r="G752" s="265"/>
      <c r="H752" s="265"/>
      <c r="I752" s="265"/>
      <c r="J752" s="260"/>
      <c r="K752" s="3"/>
      <c r="L752" s="265"/>
      <c r="M752" s="265"/>
      <c r="N752" s="265"/>
      <c r="O752" s="265"/>
      <c r="P752" s="265"/>
      <c r="Q752" s="260"/>
      <c r="R752" s="3"/>
      <c r="S752" s="265"/>
      <c r="T752" s="265"/>
      <c r="U752" s="265"/>
      <c r="V752" s="265"/>
      <c r="W752" s="265"/>
      <c r="X752" s="193"/>
      <c r="Y752" s="193"/>
      <c r="Z752" s="193"/>
      <c r="AA752" s="193"/>
      <c r="AB752" s="193"/>
      <c r="AC752" s="193"/>
      <c r="AD752" s="193"/>
      <c r="AE752" s="193"/>
      <c r="AF752" s="3"/>
      <c r="AG752" s="3"/>
      <c r="AH752" s="3"/>
      <c r="AI752" s="3"/>
      <c r="AJ752" s="3"/>
      <c r="AK752" s="3"/>
      <c r="AL752" s="3"/>
    </row>
    <row r="753" spans="1:38" ht="14.25" customHeight="1">
      <c r="A753" s="3"/>
      <c r="B753" s="3"/>
      <c r="C753" s="3"/>
      <c r="D753" s="3"/>
      <c r="E753" s="265"/>
      <c r="F753" s="265"/>
      <c r="G753" s="265"/>
      <c r="H753" s="265"/>
      <c r="I753" s="265"/>
      <c r="J753" s="260"/>
      <c r="K753" s="3"/>
      <c r="L753" s="265"/>
      <c r="M753" s="265"/>
      <c r="N753" s="265"/>
      <c r="O753" s="265"/>
      <c r="P753" s="265"/>
      <c r="Q753" s="260"/>
      <c r="R753" s="3"/>
      <c r="S753" s="265"/>
      <c r="T753" s="265"/>
      <c r="U753" s="265"/>
      <c r="V753" s="265"/>
      <c r="W753" s="265"/>
      <c r="X753" s="193"/>
      <c r="Y753" s="193"/>
      <c r="Z753" s="193"/>
      <c r="AA753" s="193"/>
      <c r="AB753" s="193"/>
      <c r="AC753" s="193"/>
      <c r="AD753" s="193"/>
      <c r="AE753" s="193"/>
      <c r="AF753" s="3"/>
      <c r="AG753" s="3"/>
      <c r="AH753" s="3"/>
      <c r="AI753" s="3"/>
      <c r="AJ753" s="3"/>
      <c r="AK753" s="3"/>
      <c r="AL753" s="3"/>
    </row>
    <row r="754" spans="1:38" ht="14.25" customHeight="1">
      <c r="A754" s="3"/>
      <c r="B754" s="3"/>
      <c r="C754" s="3"/>
      <c r="D754" s="3"/>
      <c r="E754" s="265"/>
      <c r="F754" s="265"/>
      <c r="G754" s="265"/>
      <c r="H754" s="265"/>
      <c r="I754" s="265"/>
      <c r="J754" s="260"/>
      <c r="K754" s="3"/>
      <c r="L754" s="265"/>
      <c r="M754" s="265"/>
      <c r="N754" s="265"/>
      <c r="O754" s="265"/>
      <c r="P754" s="265"/>
      <c r="Q754" s="260"/>
      <c r="R754" s="3"/>
      <c r="S754" s="265"/>
      <c r="T754" s="265"/>
      <c r="U754" s="265"/>
      <c r="V754" s="265"/>
      <c r="W754" s="265"/>
      <c r="X754" s="193"/>
      <c r="Y754" s="193"/>
      <c r="Z754" s="193"/>
      <c r="AA754" s="193"/>
      <c r="AB754" s="193"/>
      <c r="AC754" s="193"/>
      <c r="AD754" s="193"/>
      <c r="AE754" s="193"/>
      <c r="AF754" s="3"/>
      <c r="AG754" s="3"/>
      <c r="AH754" s="3"/>
      <c r="AI754" s="3"/>
      <c r="AJ754" s="3"/>
      <c r="AK754" s="3"/>
      <c r="AL754" s="3"/>
    </row>
    <row r="755" spans="1:38" ht="14.25" customHeight="1">
      <c r="A755" s="3"/>
      <c r="B755" s="3"/>
      <c r="C755" s="3"/>
      <c r="D755" s="3"/>
      <c r="E755" s="265"/>
      <c r="F755" s="265"/>
      <c r="G755" s="265"/>
      <c r="H755" s="265"/>
      <c r="I755" s="265"/>
      <c r="J755" s="260"/>
      <c r="K755" s="3"/>
      <c r="L755" s="265"/>
      <c r="M755" s="265"/>
      <c r="N755" s="265"/>
      <c r="O755" s="265"/>
      <c r="P755" s="265"/>
      <c r="Q755" s="260"/>
      <c r="R755" s="3"/>
      <c r="S755" s="265"/>
      <c r="T755" s="265"/>
      <c r="U755" s="265"/>
      <c r="V755" s="265"/>
      <c r="W755" s="265"/>
      <c r="X755" s="193"/>
      <c r="Y755" s="193"/>
      <c r="Z755" s="193"/>
      <c r="AA755" s="193"/>
      <c r="AB755" s="193"/>
      <c r="AC755" s="193"/>
      <c r="AD755" s="193"/>
      <c r="AE755" s="193"/>
      <c r="AF755" s="3"/>
      <c r="AG755" s="3"/>
      <c r="AH755" s="3"/>
      <c r="AI755" s="3"/>
      <c r="AJ755" s="3"/>
      <c r="AK755" s="3"/>
      <c r="AL755" s="3"/>
    </row>
    <row r="756" spans="1:38" ht="14.25" customHeight="1">
      <c r="A756" s="3"/>
      <c r="B756" s="3"/>
      <c r="C756" s="3"/>
      <c r="D756" s="3"/>
      <c r="E756" s="265"/>
      <c r="F756" s="265"/>
      <c r="G756" s="265"/>
      <c r="H756" s="265"/>
      <c r="I756" s="265"/>
      <c r="J756" s="260"/>
      <c r="K756" s="3"/>
      <c r="L756" s="265"/>
      <c r="M756" s="265"/>
      <c r="N756" s="265"/>
      <c r="O756" s="265"/>
      <c r="P756" s="265"/>
      <c r="Q756" s="260"/>
      <c r="R756" s="3"/>
      <c r="S756" s="265"/>
      <c r="T756" s="265"/>
      <c r="U756" s="265"/>
      <c r="V756" s="265"/>
      <c r="W756" s="265"/>
      <c r="X756" s="193"/>
      <c r="Y756" s="193"/>
      <c r="Z756" s="193"/>
      <c r="AA756" s="193"/>
      <c r="AB756" s="193"/>
      <c r="AC756" s="193"/>
      <c r="AD756" s="193"/>
      <c r="AE756" s="193"/>
      <c r="AF756" s="3"/>
      <c r="AG756" s="3"/>
      <c r="AH756" s="3"/>
      <c r="AI756" s="3"/>
      <c r="AJ756" s="3"/>
      <c r="AK756" s="3"/>
      <c r="AL756" s="3"/>
    </row>
    <row r="757" spans="1:38" ht="14.25" customHeight="1">
      <c r="A757" s="3"/>
      <c r="B757" s="3"/>
      <c r="C757" s="3"/>
      <c r="D757" s="3"/>
      <c r="E757" s="265"/>
      <c r="F757" s="265"/>
      <c r="G757" s="265"/>
      <c r="H757" s="265"/>
      <c r="I757" s="265"/>
      <c r="J757" s="260"/>
      <c r="K757" s="3"/>
      <c r="L757" s="265"/>
      <c r="M757" s="265"/>
      <c r="N757" s="265"/>
      <c r="O757" s="265"/>
      <c r="P757" s="265"/>
      <c r="Q757" s="260"/>
      <c r="R757" s="3"/>
      <c r="S757" s="265"/>
      <c r="T757" s="265"/>
      <c r="U757" s="265"/>
      <c r="V757" s="265"/>
      <c r="W757" s="265"/>
      <c r="X757" s="193"/>
      <c r="Y757" s="193"/>
      <c r="Z757" s="193"/>
      <c r="AA757" s="193"/>
      <c r="AB757" s="193"/>
      <c r="AC757" s="193"/>
      <c r="AD757" s="193"/>
      <c r="AE757" s="193"/>
      <c r="AF757" s="3"/>
      <c r="AG757" s="3"/>
      <c r="AH757" s="3"/>
      <c r="AI757" s="3"/>
      <c r="AJ757" s="3"/>
      <c r="AK757" s="3"/>
      <c r="AL757" s="3"/>
    </row>
    <row r="758" spans="1:38" ht="14.25" customHeight="1">
      <c r="A758" s="3"/>
      <c r="B758" s="3"/>
      <c r="C758" s="3"/>
      <c r="D758" s="3"/>
      <c r="E758" s="265"/>
      <c r="F758" s="265"/>
      <c r="G758" s="265"/>
      <c r="H758" s="265"/>
      <c r="I758" s="265"/>
      <c r="J758" s="260"/>
      <c r="K758" s="3"/>
      <c r="L758" s="265"/>
      <c r="M758" s="265"/>
      <c r="N758" s="265"/>
      <c r="O758" s="265"/>
      <c r="P758" s="265"/>
      <c r="Q758" s="260"/>
      <c r="R758" s="3"/>
      <c r="S758" s="265"/>
      <c r="T758" s="265"/>
      <c r="U758" s="265"/>
      <c r="V758" s="265"/>
      <c r="W758" s="265"/>
      <c r="X758" s="193"/>
      <c r="Y758" s="193"/>
      <c r="Z758" s="193"/>
      <c r="AA758" s="193"/>
      <c r="AB758" s="193"/>
      <c r="AC758" s="193"/>
      <c r="AD758" s="193"/>
      <c r="AE758" s="193"/>
      <c r="AF758" s="3"/>
      <c r="AG758" s="3"/>
      <c r="AH758" s="3"/>
      <c r="AI758" s="3"/>
      <c r="AJ758" s="3"/>
      <c r="AK758" s="3"/>
      <c r="AL758" s="3"/>
    </row>
    <row r="759" spans="1:38" ht="14.25" customHeight="1">
      <c r="A759" s="3"/>
      <c r="B759" s="3"/>
      <c r="C759" s="3"/>
      <c r="D759" s="3"/>
      <c r="E759" s="265"/>
      <c r="F759" s="265"/>
      <c r="G759" s="265"/>
      <c r="H759" s="265"/>
      <c r="I759" s="265"/>
      <c r="J759" s="260"/>
      <c r="K759" s="3"/>
      <c r="L759" s="265"/>
      <c r="M759" s="265"/>
      <c r="N759" s="265"/>
      <c r="O759" s="265"/>
      <c r="P759" s="265"/>
      <c r="Q759" s="260"/>
      <c r="R759" s="3"/>
      <c r="S759" s="265"/>
      <c r="T759" s="265"/>
      <c r="U759" s="265"/>
      <c r="V759" s="265"/>
      <c r="W759" s="265"/>
      <c r="X759" s="193"/>
      <c r="Y759" s="193"/>
      <c r="Z759" s="193"/>
      <c r="AA759" s="193"/>
      <c r="AB759" s="193"/>
      <c r="AC759" s="193"/>
      <c r="AD759" s="193"/>
      <c r="AE759" s="193"/>
      <c r="AF759" s="3"/>
      <c r="AG759" s="3"/>
      <c r="AH759" s="3"/>
      <c r="AI759" s="3"/>
      <c r="AJ759" s="3"/>
      <c r="AK759" s="3"/>
      <c r="AL759" s="3"/>
    </row>
    <row r="760" spans="1:38" ht="14.25" customHeight="1">
      <c r="A760" s="3"/>
      <c r="B760" s="3"/>
      <c r="C760" s="3"/>
      <c r="D760" s="3"/>
      <c r="E760" s="265"/>
      <c r="F760" s="265"/>
      <c r="G760" s="265"/>
      <c r="H760" s="265"/>
      <c r="I760" s="265"/>
      <c r="J760" s="260"/>
      <c r="K760" s="3"/>
      <c r="L760" s="265"/>
      <c r="M760" s="265"/>
      <c r="N760" s="265"/>
      <c r="O760" s="265"/>
      <c r="P760" s="265"/>
      <c r="Q760" s="260"/>
      <c r="R760" s="3"/>
      <c r="S760" s="265"/>
      <c r="T760" s="265"/>
      <c r="U760" s="265"/>
      <c r="V760" s="265"/>
      <c r="W760" s="265"/>
      <c r="X760" s="193"/>
      <c r="Y760" s="193"/>
      <c r="Z760" s="193"/>
      <c r="AA760" s="193"/>
      <c r="AB760" s="193"/>
      <c r="AC760" s="193"/>
      <c r="AD760" s="193"/>
      <c r="AE760" s="193"/>
      <c r="AF760" s="3"/>
      <c r="AG760" s="3"/>
      <c r="AH760" s="3"/>
      <c r="AI760" s="3"/>
      <c r="AJ760" s="3"/>
      <c r="AK760" s="3"/>
      <c r="AL760" s="3"/>
    </row>
    <row r="761" spans="1:38" ht="14.25" customHeight="1">
      <c r="A761" s="3"/>
      <c r="B761" s="3"/>
      <c r="C761" s="3"/>
      <c r="D761" s="3"/>
      <c r="E761" s="265"/>
      <c r="F761" s="265"/>
      <c r="G761" s="265"/>
      <c r="H761" s="265"/>
      <c r="I761" s="265"/>
      <c r="J761" s="260"/>
      <c r="K761" s="3"/>
      <c r="L761" s="265"/>
      <c r="M761" s="265"/>
      <c r="N761" s="265"/>
      <c r="O761" s="265"/>
      <c r="P761" s="265"/>
      <c r="Q761" s="260"/>
      <c r="R761" s="3"/>
      <c r="S761" s="265"/>
      <c r="T761" s="265"/>
      <c r="U761" s="265"/>
      <c r="V761" s="265"/>
      <c r="W761" s="265"/>
      <c r="X761" s="193"/>
      <c r="Y761" s="193"/>
      <c r="Z761" s="193"/>
      <c r="AA761" s="193"/>
      <c r="AB761" s="193"/>
      <c r="AC761" s="193"/>
      <c r="AD761" s="193"/>
      <c r="AE761" s="193"/>
      <c r="AF761" s="3"/>
      <c r="AG761" s="3"/>
      <c r="AH761" s="3"/>
      <c r="AI761" s="3"/>
      <c r="AJ761" s="3"/>
      <c r="AK761" s="3"/>
      <c r="AL761" s="3"/>
    </row>
    <row r="762" spans="1:38" ht="14.25" customHeight="1">
      <c r="A762" s="3"/>
      <c r="B762" s="3"/>
      <c r="C762" s="3"/>
      <c r="D762" s="3"/>
      <c r="E762" s="265"/>
      <c r="F762" s="265"/>
      <c r="G762" s="265"/>
      <c r="H762" s="265"/>
      <c r="I762" s="265"/>
      <c r="J762" s="260"/>
      <c r="K762" s="3"/>
      <c r="L762" s="265"/>
      <c r="M762" s="265"/>
      <c r="N762" s="265"/>
      <c r="O762" s="265"/>
      <c r="P762" s="265"/>
      <c r="Q762" s="260"/>
      <c r="R762" s="3"/>
      <c r="S762" s="265"/>
      <c r="T762" s="265"/>
      <c r="U762" s="265"/>
      <c r="V762" s="265"/>
      <c r="W762" s="265"/>
      <c r="X762" s="193"/>
      <c r="Y762" s="193"/>
      <c r="Z762" s="193"/>
      <c r="AA762" s="193"/>
      <c r="AB762" s="193"/>
      <c r="AC762" s="193"/>
      <c r="AD762" s="193"/>
      <c r="AE762" s="193"/>
      <c r="AF762" s="3"/>
      <c r="AG762" s="3"/>
      <c r="AH762" s="3"/>
      <c r="AI762" s="3"/>
      <c r="AJ762" s="3"/>
      <c r="AK762" s="3"/>
      <c r="AL762" s="3"/>
    </row>
    <row r="763" spans="1:38" ht="14.25" customHeight="1">
      <c r="A763" s="3"/>
      <c r="B763" s="3"/>
      <c r="C763" s="3"/>
      <c r="D763" s="3"/>
      <c r="E763" s="265"/>
      <c r="F763" s="265"/>
      <c r="G763" s="265"/>
      <c r="H763" s="265"/>
      <c r="I763" s="265"/>
      <c r="J763" s="260"/>
      <c r="K763" s="3"/>
      <c r="L763" s="265"/>
      <c r="M763" s="265"/>
      <c r="N763" s="265"/>
      <c r="O763" s="265"/>
      <c r="P763" s="265"/>
      <c r="Q763" s="260"/>
      <c r="R763" s="3"/>
      <c r="S763" s="265"/>
      <c r="T763" s="265"/>
      <c r="U763" s="265"/>
      <c r="V763" s="265"/>
      <c r="W763" s="265"/>
      <c r="X763" s="193"/>
      <c r="Y763" s="193"/>
      <c r="Z763" s="193"/>
      <c r="AA763" s="193"/>
      <c r="AB763" s="193"/>
      <c r="AC763" s="193"/>
      <c r="AD763" s="193"/>
      <c r="AE763" s="193"/>
      <c r="AF763" s="3"/>
      <c r="AG763" s="3"/>
      <c r="AH763" s="3"/>
      <c r="AI763" s="3"/>
      <c r="AJ763" s="3"/>
      <c r="AK763" s="3"/>
      <c r="AL763" s="3"/>
    </row>
    <row r="764" spans="1:38" ht="14.25" customHeight="1">
      <c r="A764" s="3"/>
      <c r="B764" s="3"/>
      <c r="C764" s="3"/>
      <c r="D764" s="3"/>
      <c r="E764" s="265"/>
      <c r="F764" s="265"/>
      <c r="G764" s="265"/>
      <c r="H764" s="265"/>
      <c r="I764" s="265"/>
      <c r="J764" s="260"/>
      <c r="K764" s="3"/>
      <c r="L764" s="265"/>
      <c r="M764" s="265"/>
      <c r="N764" s="265"/>
      <c r="O764" s="265"/>
      <c r="P764" s="265"/>
      <c r="Q764" s="260"/>
      <c r="R764" s="3"/>
      <c r="S764" s="265"/>
      <c r="T764" s="265"/>
      <c r="U764" s="265"/>
      <c r="V764" s="265"/>
      <c r="W764" s="265"/>
      <c r="X764" s="193"/>
      <c r="Y764" s="193"/>
      <c r="Z764" s="193"/>
      <c r="AA764" s="193"/>
      <c r="AB764" s="193"/>
      <c r="AC764" s="193"/>
      <c r="AD764" s="193"/>
      <c r="AE764" s="193"/>
      <c r="AF764" s="3"/>
      <c r="AG764" s="3"/>
      <c r="AH764" s="3"/>
      <c r="AI764" s="3"/>
      <c r="AJ764" s="3"/>
      <c r="AK764" s="3"/>
      <c r="AL764" s="3"/>
    </row>
    <row r="765" spans="1:38" ht="14.25" customHeight="1">
      <c r="A765" s="3"/>
      <c r="B765" s="3"/>
      <c r="C765" s="3"/>
      <c r="D765" s="3"/>
      <c r="E765" s="265"/>
      <c r="F765" s="265"/>
      <c r="G765" s="265"/>
      <c r="H765" s="265"/>
      <c r="I765" s="265"/>
      <c r="J765" s="260"/>
      <c r="K765" s="3"/>
      <c r="L765" s="265"/>
      <c r="M765" s="265"/>
      <c r="N765" s="265"/>
      <c r="O765" s="265"/>
      <c r="P765" s="265"/>
      <c r="Q765" s="260"/>
      <c r="R765" s="3"/>
      <c r="S765" s="265"/>
      <c r="T765" s="265"/>
      <c r="U765" s="265"/>
      <c r="V765" s="265"/>
      <c r="W765" s="265"/>
      <c r="X765" s="193"/>
      <c r="Y765" s="193"/>
      <c r="Z765" s="193"/>
      <c r="AA765" s="193"/>
      <c r="AB765" s="193"/>
      <c r="AC765" s="193"/>
      <c r="AD765" s="193"/>
      <c r="AE765" s="193"/>
      <c r="AF765" s="3"/>
      <c r="AG765" s="3"/>
      <c r="AH765" s="3"/>
      <c r="AI765" s="3"/>
      <c r="AJ765" s="3"/>
      <c r="AK765" s="3"/>
      <c r="AL765" s="3"/>
    </row>
    <row r="766" spans="1:38" ht="14.25" customHeight="1">
      <c r="A766" s="3"/>
      <c r="B766" s="3"/>
      <c r="C766" s="3"/>
      <c r="D766" s="3"/>
      <c r="E766" s="265"/>
      <c r="F766" s="265"/>
      <c r="G766" s="265"/>
      <c r="H766" s="265"/>
      <c r="I766" s="265"/>
      <c r="J766" s="260"/>
      <c r="K766" s="3"/>
      <c r="L766" s="265"/>
      <c r="M766" s="265"/>
      <c r="N766" s="265"/>
      <c r="O766" s="265"/>
      <c r="P766" s="265"/>
      <c r="Q766" s="260"/>
      <c r="R766" s="3"/>
      <c r="S766" s="265"/>
      <c r="T766" s="265"/>
      <c r="U766" s="265"/>
      <c r="V766" s="265"/>
      <c r="W766" s="265"/>
      <c r="X766" s="193"/>
      <c r="Y766" s="193"/>
      <c r="Z766" s="193"/>
      <c r="AA766" s="193"/>
      <c r="AB766" s="193"/>
      <c r="AC766" s="193"/>
      <c r="AD766" s="193"/>
      <c r="AE766" s="193"/>
      <c r="AF766" s="3"/>
      <c r="AG766" s="3"/>
      <c r="AH766" s="3"/>
      <c r="AI766" s="3"/>
      <c r="AJ766" s="3"/>
      <c r="AK766" s="3"/>
      <c r="AL766" s="3"/>
    </row>
    <row r="767" spans="1:38" ht="14.25" customHeight="1">
      <c r="A767" s="3"/>
      <c r="B767" s="3"/>
      <c r="C767" s="3"/>
      <c r="D767" s="3"/>
      <c r="E767" s="265"/>
      <c r="F767" s="265"/>
      <c r="G767" s="265"/>
      <c r="H767" s="265"/>
      <c r="I767" s="265"/>
      <c r="J767" s="260"/>
      <c r="K767" s="3"/>
      <c r="L767" s="265"/>
      <c r="M767" s="265"/>
      <c r="N767" s="265"/>
      <c r="O767" s="265"/>
      <c r="P767" s="265"/>
      <c r="Q767" s="260"/>
      <c r="R767" s="3"/>
      <c r="S767" s="265"/>
      <c r="T767" s="265"/>
      <c r="U767" s="265"/>
      <c r="V767" s="265"/>
      <c r="W767" s="265"/>
      <c r="X767" s="193"/>
      <c r="Y767" s="193"/>
      <c r="Z767" s="193"/>
      <c r="AA767" s="193"/>
      <c r="AB767" s="193"/>
      <c r="AC767" s="193"/>
      <c r="AD767" s="193"/>
      <c r="AE767" s="193"/>
      <c r="AF767" s="3"/>
      <c r="AG767" s="3"/>
      <c r="AH767" s="3"/>
      <c r="AI767" s="3"/>
      <c r="AJ767" s="3"/>
      <c r="AK767" s="3"/>
      <c r="AL767" s="3"/>
    </row>
    <row r="768" spans="1:38" ht="14.25" customHeight="1">
      <c r="A768" s="3"/>
      <c r="B768" s="3"/>
      <c r="C768" s="3"/>
      <c r="D768" s="3"/>
      <c r="E768" s="265"/>
      <c r="F768" s="265"/>
      <c r="G768" s="265"/>
      <c r="H768" s="265"/>
      <c r="I768" s="265"/>
      <c r="J768" s="260"/>
      <c r="K768" s="3"/>
      <c r="L768" s="265"/>
      <c r="M768" s="265"/>
      <c r="N768" s="265"/>
      <c r="O768" s="265"/>
      <c r="P768" s="265"/>
      <c r="Q768" s="260"/>
      <c r="R768" s="3"/>
      <c r="S768" s="265"/>
      <c r="T768" s="265"/>
      <c r="U768" s="265"/>
      <c r="V768" s="265"/>
      <c r="W768" s="265"/>
      <c r="X768" s="193"/>
      <c r="Y768" s="193"/>
      <c r="Z768" s="193"/>
      <c r="AA768" s="193"/>
      <c r="AB768" s="193"/>
      <c r="AC768" s="193"/>
      <c r="AD768" s="193"/>
      <c r="AE768" s="193"/>
      <c r="AF768" s="3"/>
      <c r="AG768" s="3"/>
      <c r="AH768" s="3"/>
      <c r="AI768" s="3"/>
      <c r="AJ768" s="3"/>
      <c r="AK768" s="3"/>
      <c r="AL768" s="3"/>
    </row>
    <row r="769" spans="1:38" ht="14.25" customHeight="1">
      <c r="A769" s="3"/>
      <c r="B769" s="3"/>
      <c r="C769" s="3"/>
      <c r="D769" s="3"/>
      <c r="E769" s="265"/>
      <c r="F769" s="265"/>
      <c r="G769" s="265"/>
      <c r="H769" s="265"/>
      <c r="I769" s="265"/>
      <c r="J769" s="260"/>
      <c r="K769" s="3"/>
      <c r="L769" s="265"/>
      <c r="M769" s="265"/>
      <c r="N769" s="265"/>
      <c r="O769" s="265"/>
      <c r="P769" s="265"/>
      <c r="Q769" s="260"/>
      <c r="R769" s="3"/>
      <c r="S769" s="265"/>
      <c r="T769" s="265"/>
      <c r="U769" s="265"/>
      <c r="V769" s="265"/>
      <c r="W769" s="265"/>
      <c r="X769" s="193"/>
      <c r="Y769" s="193"/>
      <c r="Z769" s="193"/>
      <c r="AA769" s="193"/>
      <c r="AB769" s="193"/>
      <c r="AC769" s="193"/>
      <c r="AD769" s="193"/>
      <c r="AE769" s="193"/>
      <c r="AF769" s="3"/>
      <c r="AG769" s="3"/>
      <c r="AH769" s="3"/>
      <c r="AI769" s="3"/>
      <c r="AJ769" s="3"/>
      <c r="AK769" s="3"/>
      <c r="AL769" s="3"/>
    </row>
    <row r="770" spans="1:38" ht="14.25" customHeight="1">
      <c r="A770" s="3"/>
      <c r="B770" s="3"/>
      <c r="C770" s="3"/>
      <c r="D770" s="3"/>
      <c r="E770" s="265"/>
      <c r="F770" s="265"/>
      <c r="G770" s="265"/>
      <c r="H770" s="265"/>
      <c r="I770" s="265"/>
      <c r="J770" s="260"/>
      <c r="K770" s="3"/>
      <c r="L770" s="265"/>
      <c r="M770" s="265"/>
      <c r="N770" s="265"/>
      <c r="O770" s="265"/>
      <c r="P770" s="265"/>
      <c r="Q770" s="260"/>
      <c r="R770" s="3"/>
      <c r="S770" s="265"/>
      <c r="T770" s="265"/>
      <c r="U770" s="265"/>
      <c r="V770" s="265"/>
      <c r="W770" s="265"/>
      <c r="X770" s="193"/>
      <c r="Y770" s="193"/>
      <c r="Z770" s="193"/>
      <c r="AA770" s="193"/>
      <c r="AB770" s="193"/>
      <c r="AC770" s="193"/>
      <c r="AD770" s="193"/>
      <c r="AE770" s="193"/>
      <c r="AF770" s="3"/>
      <c r="AG770" s="3"/>
      <c r="AH770" s="3"/>
      <c r="AI770" s="3"/>
      <c r="AJ770" s="3"/>
      <c r="AK770" s="3"/>
      <c r="AL770" s="3"/>
    </row>
    <row r="771" spans="1:38" ht="14.25" customHeight="1">
      <c r="A771" s="3"/>
      <c r="B771" s="3"/>
      <c r="C771" s="3"/>
      <c r="D771" s="3"/>
      <c r="E771" s="265"/>
      <c r="F771" s="265"/>
      <c r="G771" s="265"/>
      <c r="H771" s="265"/>
      <c r="I771" s="265"/>
      <c r="J771" s="260"/>
      <c r="K771" s="3"/>
      <c r="L771" s="265"/>
      <c r="M771" s="265"/>
      <c r="N771" s="265"/>
      <c r="O771" s="265"/>
      <c r="P771" s="265"/>
      <c r="Q771" s="260"/>
      <c r="R771" s="3"/>
      <c r="S771" s="265"/>
      <c r="T771" s="265"/>
      <c r="U771" s="265"/>
      <c r="V771" s="265"/>
      <c r="W771" s="265"/>
      <c r="X771" s="193"/>
      <c r="Y771" s="193"/>
      <c r="Z771" s="193"/>
      <c r="AA771" s="193"/>
      <c r="AB771" s="193"/>
      <c r="AC771" s="193"/>
      <c r="AD771" s="193"/>
      <c r="AE771" s="193"/>
      <c r="AF771" s="3"/>
      <c r="AG771" s="3"/>
      <c r="AH771" s="3"/>
      <c r="AI771" s="3"/>
      <c r="AJ771" s="3"/>
      <c r="AK771" s="3"/>
      <c r="AL771" s="3"/>
    </row>
    <row r="772" spans="1:38" ht="14.25" customHeight="1">
      <c r="A772" s="3"/>
      <c r="B772" s="3"/>
      <c r="C772" s="3"/>
      <c r="D772" s="3"/>
      <c r="E772" s="265"/>
      <c r="F772" s="265"/>
      <c r="G772" s="265"/>
      <c r="H772" s="265"/>
      <c r="I772" s="265"/>
      <c r="J772" s="260"/>
      <c r="K772" s="3"/>
      <c r="L772" s="265"/>
      <c r="M772" s="265"/>
      <c r="N772" s="265"/>
      <c r="O772" s="265"/>
      <c r="P772" s="265"/>
      <c r="Q772" s="260"/>
      <c r="R772" s="3"/>
      <c r="S772" s="265"/>
      <c r="T772" s="265"/>
      <c r="U772" s="265"/>
      <c r="V772" s="265"/>
      <c r="W772" s="265"/>
      <c r="X772" s="193"/>
      <c r="Y772" s="193"/>
      <c r="Z772" s="193"/>
      <c r="AA772" s="193"/>
      <c r="AB772" s="193"/>
      <c r="AC772" s="193"/>
      <c r="AD772" s="193"/>
      <c r="AE772" s="193"/>
      <c r="AF772" s="3"/>
      <c r="AG772" s="3"/>
      <c r="AH772" s="3"/>
      <c r="AI772" s="3"/>
      <c r="AJ772" s="3"/>
      <c r="AK772" s="3"/>
      <c r="AL772" s="3"/>
    </row>
    <row r="773" spans="1:38" ht="14.25" customHeight="1">
      <c r="A773" s="3"/>
      <c r="B773" s="3"/>
      <c r="C773" s="3"/>
      <c r="D773" s="3"/>
      <c r="E773" s="265"/>
      <c r="F773" s="265"/>
      <c r="G773" s="265"/>
      <c r="H773" s="265"/>
      <c r="I773" s="265"/>
      <c r="J773" s="260"/>
      <c r="K773" s="3"/>
      <c r="L773" s="265"/>
      <c r="M773" s="265"/>
      <c r="N773" s="265"/>
      <c r="O773" s="265"/>
      <c r="P773" s="265"/>
      <c r="Q773" s="260"/>
      <c r="R773" s="3"/>
      <c r="S773" s="265"/>
      <c r="T773" s="265"/>
      <c r="U773" s="265"/>
      <c r="V773" s="265"/>
      <c r="W773" s="265"/>
      <c r="X773" s="193"/>
      <c r="Y773" s="193"/>
      <c r="Z773" s="193"/>
      <c r="AA773" s="193"/>
      <c r="AB773" s="193"/>
      <c r="AC773" s="193"/>
      <c r="AD773" s="193"/>
      <c r="AE773" s="193"/>
      <c r="AF773" s="3"/>
      <c r="AG773" s="3"/>
      <c r="AH773" s="3"/>
      <c r="AI773" s="3"/>
      <c r="AJ773" s="3"/>
      <c r="AK773" s="3"/>
      <c r="AL773" s="3"/>
    </row>
    <row r="774" spans="1:38" ht="14.25" customHeight="1">
      <c r="A774" s="3"/>
      <c r="B774" s="3"/>
      <c r="C774" s="3"/>
      <c r="D774" s="3"/>
      <c r="E774" s="265"/>
      <c r="F774" s="265"/>
      <c r="G774" s="265"/>
      <c r="H774" s="265"/>
      <c r="I774" s="265"/>
      <c r="J774" s="260"/>
      <c r="K774" s="3"/>
      <c r="L774" s="265"/>
      <c r="M774" s="265"/>
      <c r="N774" s="265"/>
      <c r="O774" s="265"/>
      <c r="P774" s="265"/>
      <c r="Q774" s="260"/>
      <c r="R774" s="3"/>
      <c r="S774" s="265"/>
      <c r="T774" s="265"/>
      <c r="U774" s="265"/>
      <c r="V774" s="265"/>
      <c r="W774" s="265"/>
      <c r="X774" s="193"/>
      <c r="Y774" s="193"/>
      <c r="Z774" s="193"/>
      <c r="AA774" s="193"/>
      <c r="AB774" s="193"/>
      <c r="AC774" s="193"/>
      <c r="AD774" s="193"/>
      <c r="AE774" s="193"/>
      <c r="AF774" s="3"/>
      <c r="AG774" s="3"/>
      <c r="AH774" s="3"/>
      <c r="AI774" s="3"/>
      <c r="AJ774" s="3"/>
      <c r="AK774" s="3"/>
      <c r="AL774" s="3"/>
    </row>
    <row r="775" spans="1:38" ht="14.25" customHeight="1">
      <c r="A775" s="3"/>
      <c r="B775" s="3"/>
      <c r="C775" s="3"/>
      <c r="D775" s="3"/>
      <c r="E775" s="265"/>
      <c r="F775" s="265"/>
      <c r="G775" s="265"/>
      <c r="H775" s="265"/>
      <c r="I775" s="265"/>
      <c r="J775" s="260"/>
      <c r="K775" s="3"/>
      <c r="L775" s="265"/>
      <c r="M775" s="265"/>
      <c r="N775" s="265"/>
      <c r="O775" s="265"/>
      <c r="P775" s="265"/>
      <c r="Q775" s="260"/>
      <c r="R775" s="3"/>
      <c r="S775" s="265"/>
      <c r="T775" s="265"/>
      <c r="U775" s="265"/>
      <c r="V775" s="265"/>
      <c r="W775" s="265"/>
      <c r="X775" s="193"/>
      <c r="Y775" s="193"/>
      <c r="Z775" s="193"/>
      <c r="AA775" s="193"/>
      <c r="AB775" s="193"/>
      <c r="AC775" s="193"/>
      <c r="AD775" s="193"/>
      <c r="AE775" s="193"/>
      <c r="AF775" s="3"/>
      <c r="AG775" s="3"/>
      <c r="AH775" s="3"/>
      <c r="AI775" s="3"/>
      <c r="AJ775" s="3"/>
      <c r="AK775" s="3"/>
      <c r="AL775" s="3"/>
    </row>
    <row r="776" spans="1:38" ht="14.25" customHeight="1">
      <c r="A776" s="3"/>
      <c r="B776" s="3"/>
      <c r="C776" s="3"/>
      <c r="D776" s="3"/>
      <c r="E776" s="265"/>
      <c r="F776" s="265"/>
      <c r="G776" s="265"/>
      <c r="H776" s="265"/>
      <c r="I776" s="265"/>
      <c r="J776" s="260"/>
      <c r="K776" s="3"/>
      <c r="L776" s="265"/>
      <c r="M776" s="265"/>
      <c r="N776" s="265"/>
      <c r="O776" s="265"/>
      <c r="P776" s="265"/>
      <c r="Q776" s="260"/>
      <c r="R776" s="3"/>
      <c r="S776" s="265"/>
      <c r="T776" s="265"/>
      <c r="U776" s="265"/>
      <c r="V776" s="265"/>
      <c r="W776" s="265"/>
      <c r="X776" s="193"/>
      <c r="Y776" s="193"/>
      <c r="Z776" s="193"/>
      <c r="AA776" s="193"/>
      <c r="AB776" s="193"/>
      <c r="AC776" s="193"/>
      <c r="AD776" s="193"/>
      <c r="AE776" s="193"/>
      <c r="AF776" s="3"/>
      <c r="AG776" s="3"/>
      <c r="AH776" s="3"/>
      <c r="AI776" s="3"/>
      <c r="AJ776" s="3"/>
      <c r="AK776" s="3"/>
      <c r="AL776" s="3"/>
    </row>
    <row r="777" spans="1:38" ht="14.25" customHeight="1">
      <c r="A777" s="3"/>
      <c r="B777" s="3"/>
      <c r="C777" s="3"/>
      <c r="D777" s="3"/>
      <c r="E777" s="265"/>
      <c r="F777" s="265"/>
      <c r="G777" s="265"/>
      <c r="H777" s="265"/>
      <c r="I777" s="265"/>
      <c r="J777" s="260"/>
      <c r="K777" s="3"/>
      <c r="L777" s="265"/>
      <c r="M777" s="265"/>
      <c r="N777" s="265"/>
      <c r="O777" s="265"/>
      <c r="P777" s="265"/>
      <c r="Q777" s="260"/>
      <c r="R777" s="3"/>
      <c r="S777" s="265"/>
      <c r="T777" s="265"/>
      <c r="U777" s="265"/>
      <c r="V777" s="265"/>
      <c r="W777" s="265"/>
      <c r="X777" s="193"/>
      <c r="Y777" s="193"/>
      <c r="Z777" s="193"/>
      <c r="AA777" s="193"/>
      <c r="AB777" s="193"/>
      <c r="AC777" s="193"/>
      <c r="AD777" s="193"/>
      <c r="AE777" s="193"/>
      <c r="AF777" s="3"/>
      <c r="AG777" s="3"/>
      <c r="AH777" s="3"/>
      <c r="AI777" s="3"/>
      <c r="AJ777" s="3"/>
      <c r="AK777" s="3"/>
      <c r="AL777" s="3"/>
    </row>
    <row r="778" spans="1:38" ht="14.25" customHeight="1">
      <c r="A778" s="3"/>
      <c r="B778" s="3"/>
      <c r="C778" s="3"/>
      <c r="D778" s="3"/>
      <c r="E778" s="265"/>
      <c r="F778" s="265"/>
      <c r="G778" s="265"/>
      <c r="H778" s="265"/>
      <c r="I778" s="265"/>
      <c r="J778" s="260"/>
      <c r="K778" s="3"/>
      <c r="L778" s="265"/>
      <c r="M778" s="265"/>
      <c r="N778" s="265"/>
      <c r="O778" s="265"/>
      <c r="P778" s="265"/>
      <c r="Q778" s="260"/>
      <c r="R778" s="3"/>
      <c r="S778" s="265"/>
      <c r="T778" s="265"/>
      <c r="U778" s="265"/>
      <c r="V778" s="265"/>
      <c r="W778" s="265"/>
      <c r="X778" s="193"/>
      <c r="Y778" s="193"/>
      <c r="Z778" s="193"/>
      <c r="AA778" s="193"/>
      <c r="AB778" s="193"/>
      <c r="AC778" s="193"/>
      <c r="AD778" s="193"/>
      <c r="AE778" s="193"/>
      <c r="AF778" s="3"/>
      <c r="AG778" s="3"/>
      <c r="AH778" s="3"/>
      <c r="AI778" s="3"/>
      <c r="AJ778" s="3"/>
      <c r="AK778" s="3"/>
      <c r="AL778" s="3"/>
    </row>
    <row r="779" spans="1:38" ht="14.25" customHeight="1">
      <c r="A779" s="3"/>
      <c r="B779" s="3"/>
      <c r="C779" s="3"/>
      <c r="D779" s="3"/>
      <c r="E779" s="265"/>
      <c r="F779" s="265"/>
      <c r="G779" s="265"/>
      <c r="H779" s="265"/>
      <c r="I779" s="265"/>
      <c r="J779" s="260"/>
      <c r="K779" s="3"/>
      <c r="L779" s="265"/>
      <c r="M779" s="265"/>
      <c r="N779" s="265"/>
      <c r="O779" s="265"/>
      <c r="P779" s="265"/>
      <c r="Q779" s="260"/>
      <c r="R779" s="3"/>
      <c r="S779" s="265"/>
      <c r="T779" s="265"/>
      <c r="U779" s="265"/>
      <c r="V779" s="265"/>
      <c r="W779" s="265"/>
      <c r="X779" s="193"/>
      <c r="Y779" s="193"/>
      <c r="Z779" s="193"/>
      <c r="AA779" s="193"/>
      <c r="AB779" s="193"/>
      <c r="AC779" s="193"/>
      <c r="AD779" s="193"/>
      <c r="AE779" s="193"/>
      <c r="AF779" s="3"/>
      <c r="AG779" s="3"/>
      <c r="AH779" s="3"/>
      <c r="AI779" s="3"/>
      <c r="AJ779" s="3"/>
      <c r="AK779" s="3"/>
      <c r="AL779" s="3"/>
    </row>
    <row r="780" spans="1:38" ht="14.25" customHeight="1">
      <c r="A780" s="3"/>
      <c r="B780" s="3"/>
      <c r="C780" s="3"/>
      <c r="D780" s="3"/>
      <c r="E780" s="265"/>
      <c r="F780" s="265"/>
      <c r="G780" s="265"/>
      <c r="H780" s="265"/>
      <c r="I780" s="265"/>
      <c r="J780" s="260"/>
      <c r="K780" s="3"/>
      <c r="L780" s="265"/>
      <c r="M780" s="265"/>
      <c r="N780" s="265"/>
      <c r="O780" s="265"/>
      <c r="P780" s="265"/>
      <c r="Q780" s="260"/>
      <c r="R780" s="3"/>
      <c r="S780" s="265"/>
      <c r="T780" s="265"/>
      <c r="U780" s="265"/>
      <c r="V780" s="265"/>
      <c r="W780" s="265"/>
      <c r="X780" s="193"/>
      <c r="Y780" s="193"/>
      <c r="Z780" s="193"/>
      <c r="AA780" s="193"/>
      <c r="AB780" s="193"/>
      <c r="AC780" s="193"/>
      <c r="AD780" s="193"/>
      <c r="AE780" s="193"/>
      <c r="AF780" s="3"/>
      <c r="AG780" s="3"/>
      <c r="AH780" s="3"/>
      <c r="AI780" s="3"/>
      <c r="AJ780" s="3"/>
      <c r="AK780" s="3"/>
      <c r="AL780" s="3"/>
    </row>
    <row r="781" spans="1:38" ht="14.25" customHeight="1">
      <c r="A781" s="3"/>
      <c r="B781" s="3"/>
      <c r="C781" s="3"/>
      <c r="D781" s="3"/>
      <c r="E781" s="265"/>
      <c r="F781" s="265"/>
      <c r="G781" s="265"/>
      <c r="H781" s="265"/>
      <c r="I781" s="265"/>
      <c r="J781" s="260"/>
      <c r="K781" s="3"/>
      <c r="L781" s="265"/>
      <c r="M781" s="265"/>
      <c r="N781" s="265"/>
      <c r="O781" s="265"/>
      <c r="P781" s="265"/>
      <c r="Q781" s="260"/>
      <c r="R781" s="3"/>
      <c r="S781" s="265"/>
      <c r="T781" s="265"/>
      <c r="U781" s="265"/>
      <c r="V781" s="265"/>
      <c r="W781" s="265"/>
      <c r="X781" s="193"/>
      <c r="Y781" s="193"/>
      <c r="Z781" s="193"/>
      <c r="AA781" s="193"/>
      <c r="AB781" s="193"/>
      <c r="AC781" s="193"/>
      <c r="AD781" s="193"/>
      <c r="AE781" s="193"/>
      <c r="AF781" s="3"/>
      <c r="AG781" s="3"/>
      <c r="AH781" s="3"/>
      <c r="AI781" s="3"/>
      <c r="AJ781" s="3"/>
      <c r="AK781" s="3"/>
      <c r="AL781" s="3"/>
    </row>
    <row r="782" spans="1:38" ht="14.25" customHeight="1">
      <c r="A782" s="3"/>
      <c r="B782" s="3"/>
      <c r="C782" s="3"/>
      <c r="D782" s="3"/>
      <c r="E782" s="265"/>
      <c r="F782" s="265"/>
      <c r="G782" s="265"/>
      <c r="H782" s="265"/>
      <c r="I782" s="265"/>
      <c r="J782" s="260"/>
      <c r="K782" s="3"/>
      <c r="L782" s="265"/>
      <c r="M782" s="265"/>
      <c r="N782" s="265"/>
      <c r="O782" s="265"/>
      <c r="P782" s="265"/>
      <c r="Q782" s="260"/>
      <c r="R782" s="3"/>
      <c r="S782" s="265"/>
      <c r="T782" s="265"/>
      <c r="U782" s="265"/>
      <c r="V782" s="265"/>
      <c r="W782" s="265"/>
      <c r="X782" s="193"/>
      <c r="Y782" s="193"/>
      <c r="Z782" s="193"/>
      <c r="AA782" s="193"/>
      <c r="AB782" s="193"/>
      <c r="AC782" s="193"/>
      <c r="AD782" s="193"/>
      <c r="AE782" s="193"/>
      <c r="AF782" s="3"/>
      <c r="AG782" s="3"/>
      <c r="AH782" s="3"/>
      <c r="AI782" s="3"/>
      <c r="AJ782" s="3"/>
      <c r="AK782" s="3"/>
      <c r="AL782" s="3"/>
    </row>
    <row r="783" spans="1:38" ht="14.25" customHeight="1">
      <c r="A783" s="3"/>
      <c r="B783" s="3"/>
      <c r="C783" s="3"/>
      <c r="D783" s="3"/>
      <c r="E783" s="265"/>
      <c r="F783" s="265"/>
      <c r="G783" s="265"/>
      <c r="H783" s="265"/>
      <c r="I783" s="265"/>
      <c r="J783" s="260"/>
      <c r="K783" s="3"/>
      <c r="L783" s="265"/>
      <c r="M783" s="265"/>
      <c r="N783" s="265"/>
      <c r="O783" s="265"/>
      <c r="P783" s="265"/>
      <c r="Q783" s="260"/>
      <c r="R783" s="3"/>
      <c r="S783" s="265"/>
      <c r="T783" s="265"/>
      <c r="U783" s="265"/>
      <c r="V783" s="265"/>
      <c r="W783" s="265"/>
      <c r="X783" s="193"/>
      <c r="Y783" s="193"/>
      <c r="Z783" s="193"/>
      <c r="AA783" s="193"/>
      <c r="AB783" s="193"/>
      <c r="AC783" s="193"/>
      <c r="AD783" s="193"/>
      <c r="AE783" s="193"/>
      <c r="AF783" s="3"/>
      <c r="AG783" s="3"/>
      <c r="AH783" s="3"/>
      <c r="AI783" s="3"/>
      <c r="AJ783" s="3"/>
      <c r="AK783" s="3"/>
      <c r="AL783" s="3"/>
    </row>
    <row r="784" spans="1:38" ht="14.25" customHeight="1">
      <c r="A784" s="3"/>
      <c r="B784" s="3"/>
      <c r="C784" s="3"/>
      <c r="D784" s="3"/>
      <c r="E784" s="265"/>
      <c r="F784" s="265"/>
      <c r="G784" s="265"/>
      <c r="H784" s="265"/>
      <c r="I784" s="265"/>
      <c r="J784" s="260"/>
      <c r="K784" s="3"/>
      <c r="L784" s="265"/>
      <c r="M784" s="265"/>
      <c r="N784" s="265"/>
      <c r="O784" s="265"/>
      <c r="P784" s="265"/>
      <c r="Q784" s="260"/>
      <c r="R784" s="3"/>
      <c r="S784" s="265"/>
      <c r="T784" s="265"/>
      <c r="U784" s="265"/>
      <c r="V784" s="265"/>
      <c r="W784" s="265"/>
      <c r="X784" s="193"/>
      <c r="Y784" s="193"/>
      <c r="Z784" s="193"/>
      <c r="AA784" s="193"/>
      <c r="AB784" s="193"/>
      <c r="AC784" s="193"/>
      <c r="AD784" s="193"/>
      <c r="AE784" s="193"/>
      <c r="AF784" s="3"/>
      <c r="AG784" s="3"/>
      <c r="AH784" s="3"/>
      <c r="AI784" s="3"/>
      <c r="AJ784" s="3"/>
      <c r="AK784" s="3"/>
      <c r="AL784" s="3"/>
    </row>
    <row r="785" spans="1:38" ht="14.25" customHeight="1">
      <c r="A785" s="3"/>
      <c r="B785" s="3"/>
      <c r="C785" s="3"/>
      <c r="D785" s="3"/>
      <c r="E785" s="265"/>
      <c r="F785" s="265"/>
      <c r="G785" s="265"/>
      <c r="H785" s="265"/>
      <c r="I785" s="265"/>
      <c r="J785" s="260"/>
      <c r="K785" s="3"/>
      <c r="L785" s="265"/>
      <c r="M785" s="265"/>
      <c r="N785" s="265"/>
      <c r="O785" s="265"/>
      <c r="P785" s="265"/>
      <c r="Q785" s="260"/>
      <c r="R785" s="3"/>
      <c r="S785" s="265"/>
      <c r="T785" s="265"/>
      <c r="U785" s="265"/>
      <c r="V785" s="265"/>
      <c r="W785" s="265"/>
      <c r="X785" s="193"/>
      <c r="Y785" s="193"/>
      <c r="Z785" s="193"/>
      <c r="AA785" s="193"/>
      <c r="AB785" s="193"/>
      <c r="AC785" s="193"/>
      <c r="AD785" s="193"/>
      <c r="AE785" s="193"/>
      <c r="AF785" s="3"/>
      <c r="AG785" s="3"/>
      <c r="AH785" s="3"/>
      <c r="AI785" s="3"/>
      <c r="AJ785" s="3"/>
      <c r="AK785" s="3"/>
      <c r="AL785" s="3"/>
    </row>
    <row r="786" spans="1:38" ht="14.25" customHeight="1">
      <c r="A786" s="3"/>
      <c r="B786" s="3"/>
      <c r="C786" s="3"/>
      <c r="D786" s="3"/>
      <c r="E786" s="265"/>
      <c r="F786" s="265"/>
      <c r="G786" s="265"/>
      <c r="H786" s="265"/>
      <c r="I786" s="265"/>
      <c r="J786" s="260"/>
      <c r="K786" s="3"/>
      <c r="L786" s="265"/>
      <c r="M786" s="265"/>
      <c r="N786" s="265"/>
      <c r="O786" s="265"/>
      <c r="P786" s="265"/>
      <c r="Q786" s="260"/>
      <c r="R786" s="3"/>
      <c r="S786" s="265"/>
      <c r="T786" s="265"/>
      <c r="U786" s="265"/>
      <c r="V786" s="265"/>
      <c r="W786" s="265"/>
      <c r="X786" s="193"/>
      <c r="Y786" s="193"/>
      <c r="Z786" s="193"/>
      <c r="AA786" s="193"/>
      <c r="AB786" s="193"/>
      <c r="AC786" s="193"/>
      <c r="AD786" s="193"/>
      <c r="AE786" s="193"/>
      <c r="AF786" s="3"/>
      <c r="AG786" s="3"/>
      <c r="AH786" s="3"/>
      <c r="AI786" s="3"/>
      <c r="AJ786" s="3"/>
      <c r="AK786" s="3"/>
      <c r="AL786" s="3"/>
    </row>
    <row r="787" spans="1:38" ht="14.25" customHeight="1">
      <c r="A787" s="3"/>
      <c r="B787" s="3"/>
      <c r="C787" s="3"/>
      <c r="D787" s="3"/>
      <c r="E787" s="265"/>
      <c r="F787" s="265"/>
      <c r="G787" s="265"/>
      <c r="H787" s="265"/>
      <c r="I787" s="265"/>
      <c r="J787" s="260"/>
      <c r="K787" s="3"/>
      <c r="L787" s="265"/>
      <c r="M787" s="265"/>
      <c r="N787" s="265"/>
      <c r="O787" s="265"/>
      <c r="P787" s="265"/>
      <c r="Q787" s="260"/>
      <c r="R787" s="3"/>
      <c r="S787" s="265"/>
      <c r="T787" s="265"/>
      <c r="U787" s="265"/>
      <c r="V787" s="265"/>
      <c r="W787" s="265"/>
      <c r="X787" s="193"/>
      <c r="Y787" s="193"/>
      <c r="Z787" s="193"/>
      <c r="AA787" s="193"/>
      <c r="AB787" s="193"/>
      <c r="AC787" s="193"/>
      <c r="AD787" s="193"/>
      <c r="AE787" s="193"/>
      <c r="AF787" s="3"/>
      <c r="AG787" s="3"/>
      <c r="AH787" s="3"/>
      <c r="AI787" s="3"/>
      <c r="AJ787" s="3"/>
      <c r="AK787" s="3"/>
      <c r="AL787" s="3"/>
    </row>
    <row r="788" spans="1:38" ht="14.25" customHeight="1">
      <c r="A788" s="3"/>
      <c r="B788" s="3"/>
      <c r="C788" s="3"/>
      <c r="D788" s="3"/>
      <c r="E788" s="265"/>
      <c r="F788" s="265"/>
      <c r="G788" s="265"/>
      <c r="H788" s="265"/>
      <c r="I788" s="265"/>
      <c r="J788" s="260"/>
      <c r="K788" s="3"/>
      <c r="L788" s="265"/>
      <c r="M788" s="265"/>
      <c r="N788" s="265"/>
      <c r="O788" s="265"/>
      <c r="P788" s="265"/>
      <c r="Q788" s="260"/>
      <c r="R788" s="3"/>
      <c r="S788" s="265"/>
      <c r="T788" s="265"/>
      <c r="U788" s="265"/>
      <c r="V788" s="265"/>
      <c r="W788" s="265"/>
      <c r="X788" s="193"/>
      <c r="Y788" s="193"/>
      <c r="Z788" s="193"/>
      <c r="AA788" s="193"/>
      <c r="AB788" s="193"/>
      <c r="AC788" s="193"/>
      <c r="AD788" s="193"/>
      <c r="AE788" s="193"/>
      <c r="AF788" s="3"/>
      <c r="AG788" s="3"/>
      <c r="AH788" s="3"/>
      <c r="AI788" s="3"/>
      <c r="AJ788" s="3"/>
      <c r="AK788" s="3"/>
      <c r="AL788" s="3"/>
    </row>
    <row r="789" spans="1:38" ht="14.25" customHeight="1">
      <c r="A789" s="3"/>
      <c r="B789" s="3"/>
      <c r="C789" s="3"/>
      <c r="D789" s="3"/>
      <c r="E789" s="265"/>
      <c r="F789" s="265"/>
      <c r="G789" s="265"/>
      <c r="H789" s="265"/>
      <c r="I789" s="265"/>
      <c r="J789" s="260"/>
      <c r="K789" s="3"/>
      <c r="L789" s="265"/>
      <c r="M789" s="265"/>
      <c r="N789" s="265"/>
      <c r="O789" s="265"/>
      <c r="P789" s="265"/>
      <c r="Q789" s="260"/>
      <c r="R789" s="3"/>
      <c r="S789" s="265"/>
      <c r="T789" s="265"/>
      <c r="U789" s="265"/>
      <c r="V789" s="265"/>
      <c r="W789" s="265"/>
      <c r="X789" s="193"/>
      <c r="Y789" s="193"/>
      <c r="Z789" s="193"/>
      <c r="AA789" s="193"/>
      <c r="AB789" s="193"/>
      <c r="AC789" s="193"/>
      <c r="AD789" s="193"/>
      <c r="AE789" s="193"/>
      <c r="AF789" s="3"/>
      <c r="AG789" s="3"/>
      <c r="AH789" s="3"/>
      <c r="AI789" s="3"/>
      <c r="AJ789" s="3"/>
      <c r="AK789" s="3"/>
      <c r="AL789" s="3"/>
    </row>
    <row r="790" spans="1:38" ht="14.25" customHeight="1">
      <c r="A790" s="3"/>
      <c r="B790" s="3"/>
      <c r="C790" s="3"/>
      <c r="D790" s="3"/>
      <c r="E790" s="265"/>
      <c r="F790" s="265"/>
      <c r="G790" s="265"/>
      <c r="H790" s="265"/>
      <c r="I790" s="265"/>
      <c r="J790" s="260"/>
      <c r="K790" s="3"/>
      <c r="L790" s="265"/>
      <c r="M790" s="265"/>
      <c r="N790" s="265"/>
      <c r="O790" s="265"/>
      <c r="P790" s="265"/>
      <c r="Q790" s="260"/>
      <c r="R790" s="3"/>
      <c r="S790" s="265"/>
      <c r="T790" s="265"/>
      <c r="U790" s="265"/>
      <c r="V790" s="265"/>
      <c r="W790" s="265"/>
      <c r="X790" s="193"/>
      <c r="Y790" s="193"/>
      <c r="Z790" s="193"/>
      <c r="AA790" s="193"/>
      <c r="AB790" s="193"/>
      <c r="AC790" s="193"/>
      <c r="AD790" s="193"/>
      <c r="AE790" s="193"/>
      <c r="AF790" s="3"/>
      <c r="AG790" s="3"/>
      <c r="AH790" s="3"/>
      <c r="AI790" s="3"/>
      <c r="AJ790" s="3"/>
      <c r="AK790" s="3"/>
      <c r="AL790" s="3"/>
    </row>
    <row r="791" spans="1:38" ht="14.25" customHeight="1">
      <c r="A791" s="3"/>
      <c r="B791" s="3"/>
      <c r="C791" s="3"/>
      <c r="D791" s="3"/>
      <c r="E791" s="265"/>
      <c r="F791" s="265"/>
      <c r="G791" s="265"/>
      <c r="H791" s="265"/>
      <c r="I791" s="265"/>
      <c r="J791" s="260"/>
      <c r="K791" s="3"/>
      <c r="L791" s="265"/>
      <c r="M791" s="265"/>
      <c r="N791" s="265"/>
      <c r="O791" s="265"/>
      <c r="P791" s="265"/>
      <c r="Q791" s="260"/>
      <c r="R791" s="3"/>
      <c r="S791" s="265"/>
      <c r="T791" s="265"/>
      <c r="U791" s="265"/>
      <c r="V791" s="265"/>
      <c r="W791" s="265"/>
      <c r="X791" s="193"/>
      <c r="Y791" s="193"/>
      <c r="Z791" s="193"/>
      <c r="AA791" s="193"/>
      <c r="AB791" s="193"/>
      <c r="AC791" s="193"/>
      <c r="AD791" s="193"/>
      <c r="AE791" s="193"/>
      <c r="AF791" s="3"/>
      <c r="AG791" s="3"/>
      <c r="AH791" s="3"/>
      <c r="AI791" s="3"/>
      <c r="AJ791" s="3"/>
      <c r="AK791" s="3"/>
      <c r="AL791" s="3"/>
    </row>
    <row r="792" spans="1:38" ht="14.25" customHeight="1">
      <c r="A792" s="3"/>
      <c r="B792" s="3"/>
      <c r="C792" s="3"/>
      <c r="D792" s="3"/>
      <c r="E792" s="265"/>
      <c r="F792" s="265"/>
      <c r="G792" s="265"/>
      <c r="H792" s="265"/>
      <c r="I792" s="265"/>
      <c r="J792" s="260"/>
      <c r="K792" s="3"/>
      <c r="L792" s="265"/>
      <c r="M792" s="265"/>
      <c r="N792" s="265"/>
      <c r="O792" s="265"/>
      <c r="P792" s="265"/>
      <c r="Q792" s="260"/>
      <c r="R792" s="3"/>
      <c r="S792" s="265"/>
      <c r="T792" s="265"/>
      <c r="U792" s="265"/>
      <c r="V792" s="265"/>
      <c r="W792" s="265"/>
      <c r="X792" s="193"/>
      <c r="Y792" s="193"/>
      <c r="Z792" s="193"/>
      <c r="AA792" s="193"/>
      <c r="AB792" s="193"/>
      <c r="AC792" s="193"/>
      <c r="AD792" s="193"/>
      <c r="AE792" s="193"/>
      <c r="AF792" s="3"/>
      <c r="AG792" s="3"/>
      <c r="AH792" s="3"/>
      <c r="AI792" s="3"/>
      <c r="AJ792" s="3"/>
      <c r="AK792" s="3"/>
      <c r="AL792" s="3"/>
    </row>
    <row r="793" spans="1:38" ht="14.25" customHeight="1">
      <c r="A793" s="3"/>
      <c r="B793" s="3"/>
      <c r="C793" s="3"/>
      <c r="D793" s="3"/>
      <c r="E793" s="265"/>
      <c r="F793" s="265"/>
      <c r="G793" s="265"/>
      <c r="H793" s="265"/>
      <c r="I793" s="265"/>
      <c r="J793" s="260"/>
      <c r="K793" s="3"/>
      <c r="L793" s="265"/>
      <c r="M793" s="265"/>
      <c r="N793" s="265"/>
      <c r="O793" s="265"/>
      <c r="P793" s="265"/>
      <c r="Q793" s="260"/>
      <c r="R793" s="3"/>
      <c r="S793" s="265"/>
      <c r="T793" s="265"/>
      <c r="U793" s="265"/>
      <c r="V793" s="265"/>
      <c r="W793" s="265"/>
      <c r="X793" s="193"/>
      <c r="Y793" s="193"/>
      <c r="Z793" s="193"/>
      <c r="AA793" s="193"/>
      <c r="AB793" s="193"/>
      <c r="AC793" s="193"/>
      <c r="AD793" s="193"/>
      <c r="AE793" s="193"/>
      <c r="AF793" s="3"/>
      <c r="AG793" s="3"/>
      <c r="AH793" s="3"/>
      <c r="AI793" s="3"/>
      <c r="AJ793" s="3"/>
      <c r="AK793" s="3"/>
      <c r="AL793" s="3"/>
    </row>
    <row r="794" spans="1:38" ht="14.25" customHeight="1">
      <c r="A794" s="3"/>
      <c r="B794" s="3"/>
      <c r="C794" s="3"/>
      <c r="D794" s="3"/>
      <c r="E794" s="265"/>
      <c r="F794" s="265"/>
      <c r="G794" s="265"/>
      <c r="H794" s="265"/>
      <c r="I794" s="265"/>
      <c r="J794" s="260"/>
      <c r="K794" s="3"/>
      <c r="L794" s="265"/>
      <c r="M794" s="265"/>
      <c r="N794" s="265"/>
      <c r="O794" s="265"/>
      <c r="P794" s="265"/>
      <c r="Q794" s="260"/>
      <c r="R794" s="3"/>
      <c r="S794" s="265"/>
      <c r="T794" s="265"/>
      <c r="U794" s="265"/>
      <c r="V794" s="265"/>
      <c r="W794" s="265"/>
      <c r="X794" s="193"/>
      <c r="Y794" s="193"/>
      <c r="Z794" s="193"/>
      <c r="AA794" s="193"/>
      <c r="AB794" s="193"/>
      <c r="AC794" s="193"/>
      <c r="AD794" s="193"/>
      <c r="AE794" s="193"/>
      <c r="AF794" s="3"/>
      <c r="AG794" s="3"/>
      <c r="AH794" s="3"/>
      <c r="AI794" s="3"/>
      <c r="AJ794" s="3"/>
      <c r="AK794" s="3"/>
      <c r="AL794" s="3"/>
    </row>
    <row r="795" spans="1:38" ht="14.25" customHeight="1">
      <c r="A795" s="3"/>
      <c r="B795" s="3"/>
      <c r="C795" s="3"/>
      <c r="D795" s="3"/>
      <c r="E795" s="265"/>
      <c r="F795" s="265"/>
      <c r="G795" s="265"/>
      <c r="H795" s="265"/>
      <c r="I795" s="265"/>
      <c r="J795" s="260"/>
      <c r="K795" s="3"/>
      <c r="L795" s="265"/>
      <c r="M795" s="265"/>
      <c r="N795" s="265"/>
      <c r="O795" s="265"/>
      <c r="P795" s="265"/>
      <c r="Q795" s="260"/>
      <c r="R795" s="3"/>
      <c r="S795" s="265"/>
      <c r="T795" s="265"/>
      <c r="U795" s="265"/>
      <c r="V795" s="265"/>
      <c r="W795" s="265"/>
      <c r="X795" s="193"/>
      <c r="Y795" s="193"/>
      <c r="Z795" s="193"/>
      <c r="AA795" s="193"/>
      <c r="AB795" s="193"/>
      <c r="AC795" s="193"/>
      <c r="AD795" s="193"/>
      <c r="AE795" s="193"/>
      <c r="AF795" s="3"/>
      <c r="AG795" s="3"/>
      <c r="AH795" s="3"/>
      <c r="AI795" s="3"/>
      <c r="AJ795" s="3"/>
      <c r="AK795" s="3"/>
      <c r="AL795" s="3"/>
    </row>
    <row r="796" spans="1:38" ht="14.25" customHeight="1">
      <c r="A796" s="3"/>
      <c r="B796" s="3"/>
      <c r="C796" s="3"/>
      <c r="D796" s="3"/>
      <c r="E796" s="265"/>
      <c r="F796" s="265"/>
      <c r="G796" s="265"/>
      <c r="H796" s="265"/>
      <c r="I796" s="265"/>
      <c r="J796" s="260"/>
      <c r="K796" s="3"/>
      <c r="L796" s="265"/>
      <c r="M796" s="265"/>
      <c r="N796" s="265"/>
      <c r="O796" s="265"/>
      <c r="P796" s="265"/>
      <c r="Q796" s="260"/>
      <c r="R796" s="3"/>
      <c r="S796" s="265"/>
      <c r="T796" s="265"/>
      <c r="U796" s="265"/>
      <c r="V796" s="265"/>
      <c r="W796" s="265"/>
      <c r="X796" s="193"/>
      <c r="Y796" s="193"/>
      <c r="Z796" s="193"/>
      <c r="AA796" s="193"/>
      <c r="AB796" s="193"/>
      <c r="AC796" s="193"/>
      <c r="AD796" s="193"/>
      <c r="AE796" s="193"/>
      <c r="AF796" s="3"/>
      <c r="AG796" s="3"/>
      <c r="AH796" s="3"/>
      <c r="AI796" s="3"/>
      <c r="AJ796" s="3"/>
      <c r="AK796" s="3"/>
      <c r="AL796" s="3"/>
    </row>
    <row r="797" spans="1:38" ht="14.25" customHeight="1">
      <c r="A797" s="3"/>
      <c r="B797" s="3"/>
      <c r="C797" s="3"/>
      <c r="D797" s="3"/>
      <c r="E797" s="265"/>
      <c r="F797" s="265"/>
      <c r="G797" s="265"/>
      <c r="H797" s="265"/>
      <c r="I797" s="265"/>
      <c r="J797" s="260"/>
      <c r="K797" s="3"/>
      <c r="L797" s="265"/>
      <c r="M797" s="265"/>
      <c r="N797" s="265"/>
      <c r="O797" s="265"/>
      <c r="P797" s="265"/>
      <c r="Q797" s="260"/>
      <c r="R797" s="3"/>
      <c r="S797" s="265"/>
      <c r="T797" s="265"/>
      <c r="U797" s="265"/>
      <c r="V797" s="265"/>
      <c r="W797" s="265"/>
      <c r="X797" s="193"/>
      <c r="Y797" s="193"/>
      <c r="Z797" s="193"/>
      <c r="AA797" s="193"/>
      <c r="AB797" s="193"/>
      <c r="AC797" s="193"/>
      <c r="AD797" s="193"/>
      <c r="AE797" s="193"/>
      <c r="AF797" s="3"/>
      <c r="AG797" s="3"/>
      <c r="AH797" s="3"/>
      <c r="AI797" s="3"/>
      <c r="AJ797" s="3"/>
      <c r="AK797" s="3"/>
      <c r="AL797" s="3"/>
    </row>
    <row r="798" spans="1:38" ht="14.25" customHeight="1">
      <c r="A798" s="3"/>
      <c r="B798" s="3"/>
      <c r="C798" s="3"/>
      <c r="D798" s="3"/>
      <c r="E798" s="265"/>
      <c r="F798" s="265"/>
      <c r="G798" s="265"/>
      <c r="H798" s="265"/>
      <c r="I798" s="265"/>
      <c r="J798" s="260"/>
      <c r="K798" s="3"/>
      <c r="L798" s="265"/>
      <c r="M798" s="265"/>
      <c r="N798" s="265"/>
      <c r="O798" s="265"/>
      <c r="P798" s="265"/>
      <c r="Q798" s="260"/>
      <c r="R798" s="3"/>
      <c r="S798" s="265"/>
      <c r="T798" s="265"/>
      <c r="U798" s="265"/>
      <c r="V798" s="265"/>
      <c r="W798" s="265"/>
      <c r="X798" s="193"/>
      <c r="Y798" s="193"/>
      <c r="Z798" s="193"/>
      <c r="AA798" s="193"/>
      <c r="AB798" s="193"/>
      <c r="AC798" s="193"/>
      <c r="AD798" s="193"/>
      <c r="AE798" s="193"/>
      <c r="AF798" s="3"/>
      <c r="AG798" s="3"/>
      <c r="AH798" s="3"/>
      <c r="AI798" s="3"/>
      <c r="AJ798" s="3"/>
      <c r="AK798" s="3"/>
      <c r="AL798" s="3"/>
    </row>
    <row r="799" spans="1:38" ht="14.25" customHeight="1">
      <c r="A799" s="3"/>
      <c r="B799" s="3"/>
      <c r="C799" s="3"/>
      <c r="D799" s="3"/>
      <c r="E799" s="265"/>
      <c r="F799" s="265"/>
      <c r="G799" s="265"/>
      <c r="H799" s="265"/>
      <c r="I799" s="265"/>
      <c r="J799" s="260"/>
      <c r="K799" s="3"/>
      <c r="L799" s="265"/>
      <c r="M799" s="265"/>
      <c r="N799" s="265"/>
      <c r="O799" s="265"/>
      <c r="P799" s="265"/>
      <c r="Q799" s="260"/>
      <c r="R799" s="3"/>
      <c r="S799" s="265"/>
      <c r="T799" s="265"/>
      <c r="U799" s="265"/>
      <c r="V799" s="265"/>
      <c r="W799" s="265"/>
      <c r="X799" s="193"/>
      <c r="Y799" s="193"/>
      <c r="Z799" s="193"/>
      <c r="AA799" s="193"/>
      <c r="AB799" s="193"/>
      <c r="AC799" s="193"/>
      <c r="AD799" s="193"/>
      <c r="AE799" s="193"/>
      <c r="AF799" s="3"/>
      <c r="AG799" s="3"/>
      <c r="AH799" s="3"/>
      <c r="AI799" s="3"/>
      <c r="AJ799" s="3"/>
      <c r="AK799" s="3"/>
      <c r="AL799" s="3"/>
    </row>
    <row r="800" spans="1:38" ht="14.25" customHeight="1">
      <c r="A800" s="3"/>
      <c r="B800" s="3"/>
      <c r="C800" s="3"/>
      <c r="D800" s="3"/>
      <c r="E800" s="265"/>
      <c r="F800" s="265"/>
      <c r="G800" s="265"/>
      <c r="H800" s="265"/>
      <c r="I800" s="265"/>
      <c r="J800" s="260"/>
      <c r="K800" s="3"/>
      <c r="L800" s="265"/>
      <c r="M800" s="265"/>
      <c r="N800" s="265"/>
      <c r="O800" s="265"/>
      <c r="P800" s="265"/>
      <c r="Q800" s="260"/>
      <c r="R800" s="3"/>
      <c r="S800" s="265"/>
      <c r="T800" s="265"/>
      <c r="U800" s="265"/>
      <c r="V800" s="265"/>
      <c r="W800" s="265"/>
      <c r="X800" s="193"/>
      <c r="Y800" s="193"/>
      <c r="Z800" s="193"/>
      <c r="AA800" s="193"/>
      <c r="AB800" s="193"/>
      <c r="AC800" s="193"/>
      <c r="AD800" s="193"/>
      <c r="AE800" s="193"/>
      <c r="AF800" s="3"/>
      <c r="AG800" s="3"/>
      <c r="AH800" s="3"/>
      <c r="AI800" s="3"/>
      <c r="AJ800" s="3"/>
      <c r="AK800" s="3"/>
      <c r="AL800" s="3"/>
    </row>
    <row r="801" spans="1:38" ht="14.25" customHeight="1">
      <c r="A801" s="3"/>
      <c r="B801" s="3"/>
      <c r="C801" s="3"/>
      <c r="D801" s="3"/>
      <c r="E801" s="265"/>
      <c r="F801" s="265"/>
      <c r="G801" s="265"/>
      <c r="H801" s="265"/>
      <c r="I801" s="265"/>
      <c r="J801" s="260"/>
      <c r="K801" s="3"/>
      <c r="L801" s="265"/>
      <c r="M801" s="265"/>
      <c r="N801" s="265"/>
      <c r="O801" s="265"/>
      <c r="P801" s="265"/>
      <c r="Q801" s="260"/>
      <c r="R801" s="3"/>
      <c r="S801" s="265"/>
      <c r="T801" s="265"/>
      <c r="U801" s="265"/>
      <c r="V801" s="265"/>
      <c r="W801" s="265"/>
      <c r="X801" s="193"/>
      <c r="Y801" s="193"/>
      <c r="Z801" s="193"/>
      <c r="AA801" s="193"/>
      <c r="AB801" s="193"/>
      <c r="AC801" s="193"/>
      <c r="AD801" s="193"/>
      <c r="AE801" s="193"/>
      <c r="AF801" s="3"/>
      <c r="AG801" s="3"/>
      <c r="AH801" s="3"/>
      <c r="AI801" s="3"/>
      <c r="AJ801" s="3"/>
      <c r="AK801" s="3"/>
      <c r="AL801" s="3"/>
    </row>
    <row r="802" spans="1:38" ht="14.25" customHeight="1">
      <c r="A802" s="3"/>
      <c r="B802" s="3"/>
      <c r="C802" s="3"/>
      <c r="D802" s="3"/>
      <c r="E802" s="265"/>
      <c r="F802" s="265"/>
      <c r="G802" s="265"/>
      <c r="H802" s="265"/>
      <c r="I802" s="265"/>
      <c r="J802" s="260"/>
      <c r="K802" s="3"/>
      <c r="L802" s="265"/>
      <c r="M802" s="265"/>
      <c r="N802" s="265"/>
      <c r="O802" s="265"/>
      <c r="P802" s="265"/>
      <c r="Q802" s="260"/>
      <c r="R802" s="3"/>
      <c r="S802" s="265"/>
      <c r="T802" s="265"/>
      <c r="U802" s="265"/>
      <c r="V802" s="265"/>
      <c r="W802" s="265"/>
      <c r="X802" s="193"/>
      <c r="Y802" s="193"/>
      <c r="Z802" s="193"/>
      <c r="AA802" s="193"/>
      <c r="AB802" s="193"/>
      <c r="AC802" s="193"/>
      <c r="AD802" s="193"/>
      <c r="AE802" s="193"/>
      <c r="AF802" s="3"/>
      <c r="AG802" s="3"/>
      <c r="AH802" s="3"/>
      <c r="AI802" s="3"/>
      <c r="AJ802" s="3"/>
      <c r="AK802" s="3"/>
      <c r="AL802" s="3"/>
    </row>
    <row r="803" spans="1:38" ht="14.25" customHeight="1">
      <c r="A803" s="3"/>
      <c r="B803" s="3"/>
      <c r="C803" s="3"/>
      <c r="D803" s="3"/>
      <c r="E803" s="265"/>
      <c r="F803" s="265"/>
      <c r="G803" s="265"/>
      <c r="H803" s="265"/>
      <c r="I803" s="265"/>
      <c r="J803" s="260"/>
      <c r="K803" s="3"/>
      <c r="L803" s="265"/>
      <c r="M803" s="265"/>
      <c r="N803" s="265"/>
      <c r="O803" s="265"/>
      <c r="P803" s="265"/>
      <c r="Q803" s="260"/>
      <c r="R803" s="3"/>
      <c r="S803" s="265"/>
      <c r="T803" s="265"/>
      <c r="U803" s="265"/>
      <c r="V803" s="265"/>
      <c r="W803" s="265"/>
      <c r="X803" s="193"/>
      <c r="Y803" s="193"/>
      <c r="Z803" s="193"/>
      <c r="AA803" s="193"/>
      <c r="AB803" s="193"/>
      <c r="AC803" s="193"/>
      <c r="AD803" s="193"/>
      <c r="AE803" s="193"/>
      <c r="AF803" s="3"/>
      <c r="AG803" s="3"/>
      <c r="AH803" s="3"/>
      <c r="AI803" s="3"/>
      <c r="AJ803" s="3"/>
      <c r="AK803" s="3"/>
      <c r="AL803" s="3"/>
    </row>
    <row r="804" spans="1:38" ht="14.25" customHeight="1">
      <c r="A804" s="3"/>
      <c r="B804" s="3"/>
      <c r="C804" s="3"/>
      <c r="D804" s="3"/>
      <c r="E804" s="265"/>
      <c r="F804" s="265"/>
      <c r="G804" s="265"/>
      <c r="H804" s="265"/>
      <c r="I804" s="265"/>
      <c r="J804" s="260"/>
      <c r="K804" s="3"/>
      <c r="L804" s="265"/>
      <c r="M804" s="265"/>
      <c r="N804" s="265"/>
      <c r="O804" s="265"/>
      <c r="P804" s="265"/>
      <c r="Q804" s="260"/>
      <c r="R804" s="3"/>
      <c r="S804" s="265"/>
      <c r="T804" s="265"/>
      <c r="U804" s="265"/>
      <c r="V804" s="265"/>
      <c r="W804" s="265"/>
      <c r="X804" s="193"/>
      <c r="Y804" s="193"/>
      <c r="Z804" s="193"/>
      <c r="AA804" s="193"/>
      <c r="AB804" s="193"/>
      <c r="AC804" s="193"/>
      <c r="AD804" s="193"/>
      <c r="AE804" s="193"/>
      <c r="AF804" s="3"/>
      <c r="AG804" s="3"/>
      <c r="AH804" s="3"/>
      <c r="AI804" s="3"/>
      <c r="AJ804" s="3"/>
      <c r="AK804" s="3"/>
      <c r="AL804" s="3"/>
    </row>
    <row r="805" spans="1:38" ht="14.25" customHeight="1">
      <c r="A805" s="3"/>
      <c r="B805" s="3"/>
      <c r="C805" s="3"/>
      <c r="D805" s="3"/>
      <c r="E805" s="265"/>
      <c r="F805" s="265"/>
      <c r="G805" s="265"/>
      <c r="H805" s="265"/>
      <c r="I805" s="265"/>
      <c r="J805" s="260"/>
      <c r="K805" s="3"/>
      <c r="L805" s="265"/>
      <c r="M805" s="265"/>
      <c r="N805" s="265"/>
      <c r="O805" s="265"/>
      <c r="P805" s="265"/>
      <c r="Q805" s="260"/>
      <c r="R805" s="3"/>
      <c r="S805" s="265"/>
      <c r="T805" s="265"/>
      <c r="U805" s="265"/>
      <c r="V805" s="265"/>
      <c r="W805" s="265"/>
      <c r="X805" s="193"/>
      <c r="Y805" s="193"/>
      <c r="Z805" s="193"/>
      <c r="AA805" s="193"/>
      <c r="AB805" s="193"/>
      <c r="AC805" s="193"/>
      <c r="AD805" s="193"/>
      <c r="AE805" s="193"/>
      <c r="AF805" s="3"/>
      <c r="AG805" s="3"/>
      <c r="AH805" s="3"/>
      <c r="AI805" s="3"/>
      <c r="AJ805" s="3"/>
      <c r="AK805" s="3"/>
      <c r="AL805" s="3"/>
    </row>
    <row r="806" spans="1:38" ht="14.25" customHeight="1">
      <c r="A806" s="3"/>
      <c r="B806" s="3"/>
      <c r="C806" s="3"/>
      <c r="D806" s="3"/>
      <c r="E806" s="265"/>
      <c r="F806" s="265"/>
      <c r="G806" s="265"/>
      <c r="H806" s="265"/>
      <c r="I806" s="265"/>
      <c r="J806" s="260"/>
      <c r="K806" s="3"/>
      <c r="L806" s="265"/>
      <c r="M806" s="265"/>
      <c r="N806" s="265"/>
      <c r="O806" s="265"/>
      <c r="P806" s="265"/>
      <c r="Q806" s="260"/>
      <c r="R806" s="3"/>
      <c r="S806" s="265"/>
      <c r="T806" s="265"/>
      <c r="U806" s="265"/>
      <c r="V806" s="265"/>
      <c r="W806" s="265"/>
      <c r="X806" s="193"/>
      <c r="Y806" s="193"/>
      <c r="Z806" s="193"/>
      <c r="AA806" s="193"/>
      <c r="AB806" s="193"/>
      <c r="AC806" s="193"/>
      <c r="AD806" s="193"/>
      <c r="AE806" s="193"/>
      <c r="AF806" s="3"/>
      <c r="AG806" s="3"/>
      <c r="AH806" s="3"/>
      <c r="AI806" s="3"/>
      <c r="AJ806" s="3"/>
      <c r="AK806" s="3"/>
      <c r="AL806" s="3"/>
    </row>
    <row r="807" spans="1:38" ht="14.25" customHeight="1">
      <c r="A807" s="3"/>
      <c r="B807" s="3"/>
      <c r="C807" s="3"/>
      <c r="D807" s="3"/>
      <c r="E807" s="265"/>
      <c r="F807" s="265"/>
      <c r="G807" s="265"/>
      <c r="H807" s="265"/>
      <c r="I807" s="265"/>
      <c r="J807" s="260"/>
      <c r="K807" s="3"/>
      <c r="L807" s="265"/>
      <c r="M807" s="265"/>
      <c r="N807" s="265"/>
      <c r="O807" s="265"/>
      <c r="P807" s="265"/>
      <c r="Q807" s="260"/>
      <c r="R807" s="3"/>
      <c r="S807" s="265"/>
      <c r="T807" s="265"/>
      <c r="U807" s="265"/>
      <c r="V807" s="265"/>
      <c r="W807" s="265"/>
      <c r="X807" s="193"/>
      <c r="Y807" s="193"/>
      <c r="Z807" s="193"/>
      <c r="AA807" s="193"/>
      <c r="AB807" s="193"/>
      <c r="AC807" s="193"/>
      <c r="AD807" s="193"/>
      <c r="AE807" s="193"/>
      <c r="AF807" s="3"/>
      <c r="AG807" s="3"/>
      <c r="AH807" s="3"/>
      <c r="AI807" s="3"/>
      <c r="AJ807" s="3"/>
      <c r="AK807" s="3"/>
      <c r="AL807" s="3"/>
    </row>
    <row r="808" spans="1:38" ht="14.25" customHeight="1">
      <c r="A808" s="3"/>
      <c r="B808" s="3"/>
      <c r="C808" s="3"/>
      <c r="D808" s="3"/>
      <c r="E808" s="265"/>
      <c r="F808" s="265"/>
      <c r="G808" s="265"/>
      <c r="H808" s="265"/>
      <c r="I808" s="265"/>
      <c r="J808" s="260"/>
      <c r="K808" s="3"/>
      <c r="L808" s="265"/>
      <c r="M808" s="265"/>
      <c r="N808" s="265"/>
      <c r="O808" s="265"/>
      <c r="P808" s="265"/>
      <c r="Q808" s="260"/>
      <c r="R808" s="3"/>
      <c r="S808" s="265"/>
      <c r="T808" s="265"/>
      <c r="U808" s="265"/>
      <c r="V808" s="265"/>
      <c r="W808" s="265"/>
      <c r="X808" s="193"/>
      <c r="Y808" s="193"/>
      <c r="Z808" s="193"/>
      <c r="AA808" s="193"/>
      <c r="AB808" s="193"/>
      <c r="AC808" s="193"/>
      <c r="AD808" s="193"/>
      <c r="AE808" s="193"/>
      <c r="AF808" s="3"/>
      <c r="AG808" s="3"/>
      <c r="AH808" s="3"/>
      <c r="AI808" s="3"/>
      <c r="AJ808" s="3"/>
      <c r="AK808" s="3"/>
      <c r="AL808" s="3"/>
    </row>
    <row r="809" spans="1:38" ht="14.25" customHeight="1">
      <c r="A809" s="3"/>
      <c r="B809" s="3"/>
      <c r="C809" s="3"/>
      <c r="D809" s="3"/>
      <c r="E809" s="265"/>
      <c r="F809" s="265"/>
      <c r="G809" s="265"/>
      <c r="H809" s="265"/>
      <c r="I809" s="265"/>
      <c r="J809" s="260"/>
      <c r="K809" s="3"/>
      <c r="L809" s="265"/>
      <c r="M809" s="265"/>
      <c r="N809" s="265"/>
      <c r="O809" s="265"/>
      <c r="P809" s="265"/>
      <c r="Q809" s="260"/>
      <c r="R809" s="3"/>
      <c r="S809" s="265"/>
      <c r="T809" s="265"/>
      <c r="U809" s="265"/>
      <c r="V809" s="265"/>
      <c r="W809" s="265"/>
      <c r="X809" s="193"/>
      <c r="Y809" s="193"/>
      <c r="Z809" s="193"/>
      <c r="AA809" s="193"/>
      <c r="AB809" s="193"/>
      <c r="AC809" s="193"/>
      <c r="AD809" s="193"/>
      <c r="AE809" s="193"/>
      <c r="AF809" s="3"/>
      <c r="AG809" s="3"/>
      <c r="AH809" s="3"/>
      <c r="AI809" s="3"/>
      <c r="AJ809" s="3"/>
      <c r="AK809" s="3"/>
      <c r="AL809" s="3"/>
    </row>
    <row r="810" spans="1:38" ht="14.25" customHeight="1">
      <c r="A810" s="3"/>
      <c r="B810" s="3"/>
      <c r="C810" s="3"/>
      <c r="D810" s="3"/>
      <c r="E810" s="265"/>
      <c r="F810" s="265"/>
      <c r="G810" s="265"/>
      <c r="H810" s="265"/>
      <c r="I810" s="265"/>
      <c r="J810" s="260"/>
      <c r="K810" s="3"/>
      <c r="L810" s="265"/>
      <c r="M810" s="265"/>
      <c r="N810" s="265"/>
      <c r="O810" s="265"/>
      <c r="P810" s="265"/>
      <c r="Q810" s="260"/>
      <c r="R810" s="3"/>
      <c r="S810" s="265"/>
      <c r="T810" s="265"/>
      <c r="U810" s="265"/>
      <c r="V810" s="265"/>
      <c r="W810" s="265"/>
      <c r="X810" s="193"/>
      <c r="Y810" s="193"/>
      <c r="Z810" s="193"/>
      <c r="AA810" s="193"/>
      <c r="AB810" s="193"/>
      <c r="AC810" s="193"/>
      <c r="AD810" s="193"/>
      <c r="AE810" s="193"/>
      <c r="AF810" s="3"/>
      <c r="AG810" s="3"/>
      <c r="AH810" s="3"/>
      <c r="AI810" s="3"/>
      <c r="AJ810" s="3"/>
      <c r="AK810" s="3"/>
      <c r="AL810" s="3"/>
    </row>
    <row r="811" spans="1:38" ht="14.25" customHeight="1">
      <c r="A811" s="3"/>
      <c r="B811" s="3"/>
      <c r="C811" s="3"/>
      <c r="D811" s="3"/>
      <c r="E811" s="265"/>
      <c r="F811" s="265"/>
      <c r="G811" s="265"/>
      <c r="H811" s="265"/>
      <c r="I811" s="265"/>
      <c r="J811" s="260"/>
      <c r="K811" s="3"/>
      <c r="L811" s="265"/>
      <c r="M811" s="265"/>
      <c r="N811" s="265"/>
      <c r="O811" s="265"/>
      <c r="P811" s="265"/>
      <c r="Q811" s="260"/>
      <c r="R811" s="3"/>
      <c r="S811" s="265"/>
      <c r="T811" s="265"/>
      <c r="U811" s="265"/>
      <c r="V811" s="265"/>
      <c r="W811" s="265"/>
      <c r="X811" s="193"/>
      <c r="Y811" s="193"/>
      <c r="Z811" s="193"/>
      <c r="AA811" s="193"/>
      <c r="AB811" s="193"/>
      <c r="AC811" s="193"/>
      <c r="AD811" s="193"/>
      <c r="AE811" s="193"/>
      <c r="AF811" s="3"/>
      <c r="AG811" s="3"/>
      <c r="AH811" s="3"/>
      <c r="AI811" s="3"/>
      <c r="AJ811" s="3"/>
      <c r="AK811" s="3"/>
      <c r="AL811" s="3"/>
    </row>
    <row r="812" spans="1:38" ht="14.25" customHeight="1">
      <c r="A812" s="3"/>
      <c r="B812" s="3"/>
      <c r="C812" s="3"/>
      <c r="D812" s="3"/>
      <c r="E812" s="265"/>
      <c r="F812" s="265"/>
      <c r="G812" s="265"/>
      <c r="H812" s="265"/>
      <c r="I812" s="265"/>
      <c r="J812" s="260"/>
      <c r="K812" s="3"/>
      <c r="L812" s="265"/>
      <c r="M812" s="265"/>
      <c r="N812" s="265"/>
      <c r="O812" s="265"/>
      <c r="P812" s="265"/>
      <c r="Q812" s="260"/>
      <c r="R812" s="3"/>
      <c r="S812" s="265"/>
      <c r="T812" s="265"/>
      <c r="U812" s="265"/>
      <c r="V812" s="265"/>
      <c r="W812" s="265"/>
      <c r="X812" s="193"/>
      <c r="Y812" s="193"/>
      <c r="Z812" s="193"/>
      <c r="AA812" s="193"/>
      <c r="AB812" s="193"/>
      <c r="AC812" s="193"/>
      <c r="AD812" s="193"/>
      <c r="AE812" s="193"/>
      <c r="AF812" s="3"/>
      <c r="AG812" s="3"/>
      <c r="AH812" s="3"/>
      <c r="AI812" s="3"/>
      <c r="AJ812" s="3"/>
      <c r="AK812" s="3"/>
      <c r="AL812" s="3"/>
    </row>
    <row r="813" spans="1:38" ht="14.25" customHeight="1">
      <c r="A813" s="3"/>
      <c r="B813" s="3"/>
      <c r="C813" s="3"/>
      <c r="D813" s="3"/>
      <c r="E813" s="265"/>
      <c r="F813" s="265"/>
      <c r="G813" s="265"/>
      <c r="H813" s="265"/>
      <c r="I813" s="265"/>
      <c r="J813" s="260"/>
      <c r="K813" s="3"/>
      <c r="L813" s="265"/>
      <c r="M813" s="265"/>
      <c r="N813" s="265"/>
      <c r="O813" s="265"/>
      <c r="P813" s="265"/>
      <c r="Q813" s="260"/>
      <c r="R813" s="3"/>
      <c r="S813" s="265"/>
      <c r="T813" s="265"/>
      <c r="U813" s="265"/>
      <c r="V813" s="265"/>
      <c r="W813" s="265"/>
      <c r="X813" s="193"/>
      <c r="Y813" s="193"/>
      <c r="Z813" s="193"/>
      <c r="AA813" s="193"/>
      <c r="AB813" s="193"/>
      <c r="AC813" s="193"/>
      <c r="AD813" s="193"/>
      <c r="AE813" s="193"/>
      <c r="AF813" s="3"/>
      <c r="AG813" s="3"/>
      <c r="AH813" s="3"/>
      <c r="AI813" s="3"/>
      <c r="AJ813" s="3"/>
      <c r="AK813" s="3"/>
      <c r="AL813" s="3"/>
    </row>
    <row r="814" spans="1:38" ht="14.25" customHeight="1">
      <c r="A814" s="3"/>
      <c r="B814" s="3"/>
      <c r="C814" s="3"/>
      <c r="D814" s="3"/>
      <c r="E814" s="265"/>
      <c r="F814" s="265"/>
      <c r="G814" s="265"/>
      <c r="H814" s="265"/>
      <c r="I814" s="265"/>
      <c r="J814" s="260"/>
      <c r="K814" s="3"/>
      <c r="L814" s="265"/>
      <c r="M814" s="265"/>
      <c r="N814" s="265"/>
      <c r="O814" s="265"/>
      <c r="P814" s="265"/>
      <c r="Q814" s="260"/>
      <c r="R814" s="3"/>
      <c r="S814" s="265"/>
      <c r="T814" s="265"/>
      <c r="U814" s="265"/>
      <c r="V814" s="265"/>
      <c r="W814" s="265"/>
      <c r="X814" s="193"/>
      <c r="Y814" s="193"/>
      <c r="Z814" s="193"/>
      <c r="AA814" s="193"/>
      <c r="AB814" s="193"/>
      <c r="AC814" s="193"/>
      <c r="AD814" s="193"/>
      <c r="AE814" s="193"/>
      <c r="AF814" s="3"/>
      <c r="AG814" s="3"/>
      <c r="AH814" s="3"/>
      <c r="AI814" s="3"/>
      <c r="AJ814" s="3"/>
      <c r="AK814" s="3"/>
      <c r="AL814" s="3"/>
    </row>
    <row r="815" spans="1:38" ht="14.25" customHeight="1">
      <c r="A815" s="3"/>
      <c r="B815" s="3"/>
      <c r="C815" s="3"/>
      <c r="D815" s="3"/>
      <c r="E815" s="265"/>
      <c r="F815" s="265"/>
      <c r="G815" s="265"/>
      <c r="H815" s="265"/>
      <c r="I815" s="265"/>
      <c r="J815" s="260"/>
      <c r="K815" s="3"/>
      <c r="L815" s="265"/>
      <c r="M815" s="265"/>
      <c r="N815" s="265"/>
      <c r="O815" s="265"/>
      <c r="P815" s="265"/>
      <c r="Q815" s="260"/>
      <c r="R815" s="3"/>
      <c r="S815" s="265"/>
      <c r="T815" s="265"/>
      <c r="U815" s="265"/>
      <c r="V815" s="265"/>
      <c r="W815" s="265"/>
      <c r="X815" s="193"/>
      <c r="Y815" s="193"/>
      <c r="Z815" s="193"/>
      <c r="AA815" s="193"/>
      <c r="AB815" s="193"/>
      <c r="AC815" s="193"/>
      <c r="AD815" s="193"/>
      <c r="AE815" s="193"/>
      <c r="AF815" s="3"/>
      <c r="AG815" s="3"/>
      <c r="AH815" s="3"/>
      <c r="AI815" s="3"/>
      <c r="AJ815" s="3"/>
      <c r="AK815" s="3"/>
      <c r="AL815" s="3"/>
    </row>
    <row r="816" spans="1:38" ht="14.25" customHeight="1">
      <c r="A816" s="3"/>
      <c r="B816" s="3"/>
      <c r="C816" s="3"/>
      <c r="D816" s="3"/>
      <c r="E816" s="265"/>
      <c r="F816" s="265"/>
      <c r="G816" s="265"/>
      <c r="H816" s="265"/>
      <c r="I816" s="265"/>
      <c r="J816" s="260"/>
      <c r="K816" s="3"/>
      <c r="L816" s="265"/>
      <c r="M816" s="265"/>
      <c r="N816" s="265"/>
      <c r="O816" s="265"/>
      <c r="P816" s="265"/>
      <c r="Q816" s="260"/>
      <c r="R816" s="3"/>
      <c r="S816" s="265"/>
      <c r="T816" s="265"/>
      <c r="U816" s="265"/>
      <c r="V816" s="265"/>
      <c r="W816" s="265"/>
      <c r="X816" s="193"/>
      <c r="Y816" s="193"/>
      <c r="Z816" s="193"/>
      <c r="AA816" s="193"/>
      <c r="AB816" s="193"/>
      <c r="AC816" s="193"/>
      <c r="AD816" s="193"/>
      <c r="AE816" s="193"/>
      <c r="AF816" s="3"/>
      <c r="AG816" s="3"/>
      <c r="AH816" s="3"/>
      <c r="AI816" s="3"/>
      <c r="AJ816" s="3"/>
      <c r="AK816" s="3"/>
      <c r="AL816" s="3"/>
    </row>
    <row r="817" spans="1:38" ht="14.25" customHeight="1">
      <c r="A817" s="3"/>
      <c r="B817" s="3"/>
      <c r="C817" s="3"/>
      <c r="D817" s="3"/>
      <c r="E817" s="265"/>
      <c r="F817" s="265"/>
      <c r="G817" s="265"/>
      <c r="H817" s="265"/>
      <c r="I817" s="265"/>
      <c r="J817" s="260"/>
      <c r="K817" s="3"/>
      <c r="L817" s="265"/>
      <c r="M817" s="265"/>
      <c r="N817" s="265"/>
      <c r="O817" s="265"/>
      <c r="P817" s="265"/>
      <c r="Q817" s="260"/>
      <c r="R817" s="3"/>
      <c r="S817" s="265"/>
      <c r="T817" s="265"/>
      <c r="U817" s="265"/>
      <c r="V817" s="265"/>
      <c r="W817" s="265"/>
      <c r="X817" s="193"/>
      <c r="Y817" s="193"/>
      <c r="Z817" s="193"/>
      <c r="AA817" s="193"/>
      <c r="AB817" s="193"/>
      <c r="AC817" s="193"/>
      <c r="AD817" s="193"/>
      <c r="AE817" s="193"/>
      <c r="AF817" s="3"/>
      <c r="AG817" s="3"/>
      <c r="AH817" s="3"/>
      <c r="AI817" s="3"/>
      <c r="AJ817" s="3"/>
      <c r="AK817" s="3"/>
      <c r="AL817" s="3"/>
    </row>
    <row r="818" spans="1:38" ht="14.25" customHeight="1">
      <c r="A818" s="3"/>
      <c r="B818" s="3"/>
      <c r="C818" s="3"/>
      <c r="D818" s="3"/>
      <c r="E818" s="265"/>
      <c r="F818" s="265"/>
      <c r="G818" s="265"/>
      <c r="H818" s="265"/>
      <c r="I818" s="265"/>
      <c r="J818" s="260"/>
      <c r="K818" s="3"/>
      <c r="L818" s="265"/>
      <c r="M818" s="265"/>
      <c r="N818" s="265"/>
      <c r="O818" s="265"/>
      <c r="P818" s="265"/>
      <c r="Q818" s="260"/>
      <c r="R818" s="3"/>
      <c r="S818" s="265"/>
      <c r="T818" s="265"/>
      <c r="U818" s="265"/>
      <c r="V818" s="265"/>
      <c r="W818" s="265"/>
      <c r="X818" s="193"/>
      <c r="Y818" s="193"/>
      <c r="Z818" s="193"/>
      <c r="AA818" s="193"/>
      <c r="AB818" s="193"/>
      <c r="AC818" s="193"/>
      <c r="AD818" s="193"/>
      <c r="AE818" s="193"/>
      <c r="AF818" s="3"/>
      <c r="AG818" s="3"/>
      <c r="AH818" s="3"/>
      <c r="AI818" s="3"/>
      <c r="AJ818" s="3"/>
      <c r="AK818" s="3"/>
      <c r="AL818" s="3"/>
    </row>
    <row r="819" spans="1:38" ht="14.25" customHeight="1">
      <c r="A819" s="3"/>
      <c r="B819" s="3"/>
      <c r="C819" s="3"/>
      <c r="D819" s="3"/>
      <c r="E819" s="265"/>
      <c r="F819" s="265"/>
      <c r="G819" s="265"/>
      <c r="H819" s="265"/>
      <c r="I819" s="265"/>
      <c r="J819" s="260"/>
      <c r="K819" s="3"/>
      <c r="L819" s="265"/>
      <c r="M819" s="265"/>
      <c r="N819" s="265"/>
      <c r="O819" s="265"/>
      <c r="P819" s="265"/>
      <c r="Q819" s="260"/>
      <c r="R819" s="3"/>
      <c r="S819" s="265"/>
      <c r="T819" s="265"/>
      <c r="U819" s="265"/>
      <c r="V819" s="265"/>
      <c r="W819" s="265"/>
      <c r="X819" s="193"/>
      <c r="Y819" s="193"/>
      <c r="Z819" s="193"/>
      <c r="AA819" s="193"/>
      <c r="AB819" s="193"/>
      <c r="AC819" s="193"/>
      <c r="AD819" s="193"/>
      <c r="AE819" s="193"/>
      <c r="AF819" s="3"/>
      <c r="AG819" s="3"/>
      <c r="AH819" s="3"/>
      <c r="AI819" s="3"/>
      <c r="AJ819" s="3"/>
      <c r="AK819" s="3"/>
      <c r="AL819" s="3"/>
    </row>
    <row r="820" spans="1:38" ht="14.25" customHeight="1">
      <c r="A820" s="3"/>
      <c r="B820" s="3"/>
      <c r="C820" s="3"/>
      <c r="D820" s="3"/>
      <c r="E820" s="265"/>
      <c r="F820" s="265"/>
      <c r="G820" s="265"/>
      <c r="H820" s="265"/>
      <c r="I820" s="265"/>
      <c r="J820" s="260"/>
      <c r="K820" s="3"/>
      <c r="L820" s="265"/>
      <c r="M820" s="265"/>
      <c r="N820" s="265"/>
      <c r="O820" s="265"/>
      <c r="P820" s="265"/>
      <c r="Q820" s="260"/>
      <c r="R820" s="3"/>
      <c r="S820" s="265"/>
      <c r="T820" s="265"/>
      <c r="U820" s="265"/>
      <c r="V820" s="265"/>
      <c r="W820" s="265"/>
      <c r="X820" s="193"/>
      <c r="Y820" s="193"/>
      <c r="Z820" s="193"/>
      <c r="AA820" s="193"/>
      <c r="AB820" s="193"/>
      <c r="AC820" s="193"/>
      <c r="AD820" s="193"/>
      <c r="AE820" s="193"/>
      <c r="AF820" s="3"/>
      <c r="AG820" s="3"/>
      <c r="AH820" s="3"/>
      <c r="AI820" s="3"/>
      <c r="AJ820" s="3"/>
      <c r="AK820" s="3"/>
      <c r="AL820" s="3"/>
    </row>
    <row r="821" spans="1:38" ht="14.25" customHeight="1">
      <c r="A821" s="3"/>
      <c r="B821" s="3"/>
      <c r="C821" s="3"/>
      <c r="D821" s="3"/>
      <c r="E821" s="265"/>
      <c r="F821" s="265"/>
      <c r="G821" s="265"/>
      <c r="H821" s="265"/>
      <c r="I821" s="265"/>
      <c r="J821" s="260"/>
      <c r="K821" s="3"/>
      <c r="L821" s="265"/>
      <c r="M821" s="265"/>
      <c r="N821" s="265"/>
      <c r="O821" s="265"/>
      <c r="P821" s="265"/>
      <c r="Q821" s="260"/>
      <c r="R821" s="3"/>
      <c r="S821" s="265"/>
      <c r="T821" s="265"/>
      <c r="U821" s="265"/>
      <c r="V821" s="265"/>
      <c r="W821" s="265"/>
      <c r="X821" s="193"/>
      <c r="Y821" s="193"/>
      <c r="Z821" s="193"/>
      <c r="AA821" s="193"/>
      <c r="AB821" s="193"/>
      <c r="AC821" s="193"/>
      <c r="AD821" s="193"/>
      <c r="AE821" s="193"/>
      <c r="AF821" s="3"/>
      <c r="AG821" s="3"/>
      <c r="AH821" s="3"/>
      <c r="AI821" s="3"/>
      <c r="AJ821" s="3"/>
      <c r="AK821" s="3"/>
      <c r="AL821" s="3"/>
    </row>
    <row r="822" spans="1:38" ht="14.25" customHeight="1">
      <c r="A822" s="3"/>
      <c r="B822" s="3"/>
      <c r="C822" s="3"/>
      <c r="D822" s="3"/>
      <c r="E822" s="265"/>
      <c r="F822" s="265"/>
      <c r="G822" s="265"/>
      <c r="H822" s="265"/>
      <c r="I822" s="265"/>
      <c r="J822" s="260"/>
      <c r="K822" s="3"/>
      <c r="L822" s="265"/>
      <c r="M822" s="265"/>
      <c r="N822" s="265"/>
      <c r="O822" s="265"/>
      <c r="P822" s="265"/>
      <c r="Q822" s="260"/>
      <c r="R822" s="3"/>
      <c r="S822" s="265"/>
      <c r="T822" s="265"/>
      <c r="U822" s="265"/>
      <c r="V822" s="265"/>
      <c r="W822" s="265"/>
      <c r="X822" s="193"/>
      <c r="Y822" s="193"/>
      <c r="Z822" s="193"/>
      <c r="AA822" s="193"/>
      <c r="AB822" s="193"/>
      <c r="AC822" s="193"/>
      <c r="AD822" s="193"/>
      <c r="AE822" s="193"/>
      <c r="AF822" s="3"/>
      <c r="AG822" s="3"/>
      <c r="AH822" s="3"/>
      <c r="AI822" s="3"/>
      <c r="AJ822" s="3"/>
      <c r="AK822" s="3"/>
      <c r="AL822" s="3"/>
    </row>
    <row r="823" spans="1:38" ht="14.25" customHeight="1">
      <c r="A823" s="3"/>
      <c r="B823" s="3"/>
      <c r="C823" s="3"/>
      <c r="D823" s="3"/>
      <c r="E823" s="265"/>
      <c r="F823" s="265"/>
      <c r="G823" s="265"/>
      <c r="H823" s="265"/>
      <c r="I823" s="265"/>
      <c r="J823" s="260"/>
      <c r="K823" s="3"/>
      <c r="L823" s="265"/>
      <c r="M823" s="265"/>
      <c r="N823" s="265"/>
      <c r="O823" s="265"/>
      <c r="P823" s="265"/>
      <c r="Q823" s="260"/>
      <c r="R823" s="3"/>
      <c r="S823" s="265"/>
      <c r="T823" s="265"/>
      <c r="U823" s="265"/>
      <c r="V823" s="265"/>
      <c r="W823" s="265"/>
      <c r="X823" s="193"/>
      <c r="Y823" s="193"/>
      <c r="Z823" s="193"/>
      <c r="AA823" s="193"/>
      <c r="AB823" s="193"/>
      <c r="AC823" s="193"/>
      <c r="AD823" s="193"/>
      <c r="AE823" s="193"/>
      <c r="AF823" s="3"/>
      <c r="AG823" s="3"/>
      <c r="AH823" s="3"/>
      <c r="AI823" s="3"/>
      <c r="AJ823" s="3"/>
      <c r="AK823" s="3"/>
      <c r="AL823" s="3"/>
    </row>
    <row r="824" spans="1:38" ht="14.25" customHeight="1">
      <c r="A824" s="3"/>
      <c r="B824" s="3"/>
      <c r="C824" s="3"/>
      <c r="D824" s="3"/>
      <c r="E824" s="265"/>
      <c r="F824" s="265"/>
      <c r="G824" s="265"/>
      <c r="H824" s="265"/>
      <c r="I824" s="265"/>
      <c r="J824" s="260"/>
      <c r="K824" s="3"/>
      <c r="L824" s="265"/>
      <c r="M824" s="265"/>
      <c r="N824" s="265"/>
      <c r="O824" s="265"/>
      <c r="P824" s="265"/>
      <c r="Q824" s="260"/>
      <c r="R824" s="3"/>
      <c r="S824" s="265"/>
      <c r="T824" s="265"/>
      <c r="U824" s="265"/>
      <c r="V824" s="265"/>
      <c r="W824" s="265"/>
      <c r="X824" s="193"/>
      <c r="Y824" s="193"/>
      <c r="Z824" s="193"/>
      <c r="AA824" s="193"/>
      <c r="AB824" s="193"/>
      <c r="AC824" s="193"/>
      <c r="AD824" s="193"/>
      <c r="AE824" s="193"/>
      <c r="AF824" s="3"/>
      <c r="AG824" s="3"/>
      <c r="AH824" s="3"/>
      <c r="AI824" s="3"/>
      <c r="AJ824" s="3"/>
      <c r="AK824" s="3"/>
      <c r="AL824" s="3"/>
    </row>
    <row r="825" spans="1:38" ht="14.25" customHeight="1">
      <c r="A825" s="3"/>
      <c r="B825" s="3"/>
      <c r="C825" s="3"/>
      <c r="D825" s="3"/>
      <c r="E825" s="265"/>
      <c r="F825" s="265"/>
      <c r="G825" s="265"/>
      <c r="H825" s="265"/>
      <c r="I825" s="265"/>
      <c r="J825" s="260"/>
      <c r="K825" s="3"/>
      <c r="L825" s="265"/>
      <c r="M825" s="265"/>
      <c r="N825" s="265"/>
      <c r="O825" s="265"/>
      <c r="P825" s="265"/>
      <c r="Q825" s="260"/>
      <c r="R825" s="3"/>
      <c r="S825" s="265"/>
      <c r="T825" s="265"/>
      <c r="U825" s="265"/>
      <c r="V825" s="265"/>
      <c r="W825" s="265"/>
      <c r="X825" s="193"/>
      <c r="Y825" s="193"/>
      <c r="Z825" s="193"/>
      <c r="AA825" s="193"/>
      <c r="AB825" s="193"/>
      <c r="AC825" s="193"/>
      <c r="AD825" s="193"/>
      <c r="AE825" s="193"/>
      <c r="AF825" s="3"/>
      <c r="AG825" s="3"/>
      <c r="AH825" s="3"/>
      <c r="AI825" s="3"/>
      <c r="AJ825" s="3"/>
      <c r="AK825" s="3"/>
      <c r="AL825" s="3"/>
    </row>
    <row r="826" spans="1:38" ht="14.25" customHeight="1">
      <c r="A826" s="3"/>
      <c r="B826" s="3"/>
      <c r="C826" s="3"/>
      <c r="D826" s="3"/>
      <c r="E826" s="265"/>
      <c r="F826" s="265"/>
      <c r="G826" s="265"/>
      <c r="H826" s="265"/>
      <c r="I826" s="265"/>
      <c r="J826" s="260"/>
      <c r="K826" s="3"/>
      <c r="L826" s="265"/>
      <c r="M826" s="265"/>
      <c r="N826" s="265"/>
      <c r="O826" s="265"/>
      <c r="P826" s="265"/>
      <c r="Q826" s="260"/>
      <c r="R826" s="3"/>
      <c r="S826" s="265"/>
      <c r="T826" s="265"/>
      <c r="U826" s="265"/>
      <c r="V826" s="265"/>
      <c r="W826" s="265"/>
      <c r="X826" s="193"/>
      <c r="Y826" s="193"/>
      <c r="Z826" s="193"/>
      <c r="AA826" s="193"/>
      <c r="AB826" s="193"/>
      <c r="AC826" s="193"/>
      <c r="AD826" s="193"/>
      <c r="AE826" s="193"/>
      <c r="AF826" s="3"/>
      <c r="AG826" s="3"/>
      <c r="AH826" s="3"/>
      <c r="AI826" s="3"/>
      <c r="AJ826" s="3"/>
      <c r="AK826" s="3"/>
      <c r="AL826" s="3"/>
    </row>
    <row r="827" spans="1:38" ht="14.25" customHeight="1">
      <c r="A827" s="3"/>
      <c r="B827" s="3"/>
      <c r="C827" s="3"/>
      <c r="D827" s="3"/>
      <c r="E827" s="265"/>
      <c r="F827" s="265"/>
      <c r="G827" s="265"/>
      <c r="H827" s="265"/>
      <c r="I827" s="265"/>
      <c r="J827" s="260"/>
      <c r="K827" s="3"/>
      <c r="L827" s="265"/>
      <c r="M827" s="265"/>
      <c r="N827" s="265"/>
      <c r="O827" s="265"/>
      <c r="P827" s="265"/>
      <c r="Q827" s="260"/>
      <c r="R827" s="3"/>
      <c r="S827" s="265"/>
      <c r="T827" s="265"/>
      <c r="U827" s="265"/>
      <c r="V827" s="265"/>
      <c r="W827" s="265"/>
      <c r="X827" s="193"/>
      <c r="Y827" s="193"/>
      <c r="Z827" s="193"/>
      <c r="AA827" s="193"/>
      <c r="AB827" s="193"/>
      <c r="AC827" s="193"/>
      <c r="AD827" s="193"/>
      <c r="AE827" s="193"/>
      <c r="AF827" s="3"/>
      <c r="AG827" s="3"/>
      <c r="AH827" s="3"/>
      <c r="AI827" s="3"/>
      <c r="AJ827" s="3"/>
      <c r="AK827" s="3"/>
      <c r="AL827" s="3"/>
    </row>
    <row r="828" spans="1:38" ht="14.25" customHeight="1">
      <c r="A828" s="3"/>
      <c r="B828" s="3"/>
      <c r="C828" s="3"/>
      <c r="D828" s="3"/>
      <c r="E828" s="265"/>
      <c r="F828" s="265"/>
      <c r="G828" s="265"/>
      <c r="H828" s="265"/>
      <c r="I828" s="265"/>
      <c r="J828" s="260"/>
      <c r="K828" s="3"/>
      <c r="L828" s="265"/>
      <c r="M828" s="265"/>
      <c r="N828" s="265"/>
      <c r="O828" s="265"/>
      <c r="P828" s="265"/>
      <c r="Q828" s="260"/>
      <c r="R828" s="3"/>
      <c r="S828" s="265"/>
      <c r="T828" s="265"/>
      <c r="U828" s="265"/>
      <c r="V828" s="265"/>
      <c r="W828" s="265"/>
      <c r="X828" s="193"/>
      <c r="Y828" s="193"/>
      <c r="Z828" s="193"/>
      <c r="AA828" s="193"/>
      <c r="AB828" s="193"/>
      <c r="AC828" s="193"/>
      <c r="AD828" s="193"/>
      <c r="AE828" s="193"/>
      <c r="AF828" s="3"/>
      <c r="AG828" s="3"/>
      <c r="AH828" s="3"/>
      <c r="AI828" s="3"/>
      <c r="AJ828" s="3"/>
      <c r="AK828" s="3"/>
      <c r="AL828" s="3"/>
    </row>
    <row r="829" spans="1:38" ht="14.25" customHeight="1">
      <c r="A829" s="3"/>
      <c r="B829" s="3"/>
      <c r="C829" s="3"/>
      <c r="D829" s="3"/>
      <c r="E829" s="265"/>
      <c r="F829" s="265"/>
      <c r="G829" s="265"/>
      <c r="H829" s="265"/>
      <c r="I829" s="265"/>
      <c r="J829" s="260"/>
      <c r="K829" s="3"/>
      <c r="L829" s="265"/>
      <c r="M829" s="265"/>
      <c r="N829" s="265"/>
      <c r="O829" s="265"/>
      <c r="P829" s="265"/>
      <c r="Q829" s="260"/>
      <c r="R829" s="3"/>
      <c r="S829" s="265"/>
      <c r="T829" s="265"/>
      <c r="U829" s="265"/>
      <c r="V829" s="265"/>
      <c r="W829" s="265"/>
      <c r="X829" s="193"/>
      <c r="Y829" s="193"/>
      <c r="Z829" s="193"/>
      <c r="AA829" s="193"/>
      <c r="AB829" s="193"/>
      <c r="AC829" s="193"/>
      <c r="AD829" s="193"/>
      <c r="AE829" s="193"/>
      <c r="AF829" s="3"/>
      <c r="AG829" s="3"/>
      <c r="AH829" s="3"/>
      <c r="AI829" s="3"/>
      <c r="AJ829" s="3"/>
      <c r="AK829" s="3"/>
      <c r="AL829" s="3"/>
    </row>
    <row r="830" spans="1:38" ht="14.25" customHeight="1">
      <c r="A830" s="3"/>
      <c r="B830" s="3"/>
      <c r="C830" s="3"/>
      <c r="D830" s="3"/>
      <c r="E830" s="265"/>
      <c r="F830" s="265"/>
      <c r="G830" s="265"/>
      <c r="H830" s="265"/>
      <c r="I830" s="265"/>
      <c r="J830" s="260"/>
      <c r="K830" s="3"/>
      <c r="L830" s="265"/>
      <c r="M830" s="265"/>
      <c r="N830" s="265"/>
      <c r="O830" s="265"/>
      <c r="P830" s="265"/>
      <c r="Q830" s="260"/>
      <c r="R830" s="3"/>
      <c r="S830" s="265"/>
      <c r="T830" s="265"/>
      <c r="U830" s="265"/>
      <c r="V830" s="265"/>
      <c r="W830" s="265"/>
      <c r="X830" s="193"/>
      <c r="Y830" s="193"/>
      <c r="Z830" s="193"/>
      <c r="AA830" s="193"/>
      <c r="AB830" s="193"/>
      <c r="AC830" s="193"/>
      <c r="AD830" s="193"/>
      <c r="AE830" s="193"/>
      <c r="AF830" s="3"/>
      <c r="AG830" s="3"/>
      <c r="AH830" s="3"/>
      <c r="AI830" s="3"/>
      <c r="AJ830" s="3"/>
      <c r="AK830" s="3"/>
      <c r="AL830" s="3"/>
    </row>
    <row r="831" spans="1:38" ht="14.25" customHeight="1">
      <c r="A831" s="3"/>
      <c r="B831" s="3"/>
      <c r="C831" s="3"/>
      <c r="D831" s="3"/>
      <c r="E831" s="265"/>
      <c r="F831" s="265"/>
      <c r="G831" s="265"/>
      <c r="H831" s="265"/>
      <c r="I831" s="265"/>
      <c r="J831" s="260"/>
      <c r="K831" s="3"/>
      <c r="L831" s="265"/>
      <c r="M831" s="265"/>
      <c r="N831" s="265"/>
      <c r="O831" s="265"/>
      <c r="P831" s="265"/>
      <c r="Q831" s="260"/>
      <c r="R831" s="3"/>
      <c r="S831" s="265"/>
      <c r="T831" s="265"/>
      <c r="U831" s="265"/>
      <c r="V831" s="265"/>
      <c r="W831" s="265"/>
      <c r="X831" s="193"/>
      <c r="Y831" s="193"/>
      <c r="Z831" s="193"/>
      <c r="AA831" s="193"/>
      <c r="AB831" s="193"/>
      <c r="AC831" s="193"/>
      <c r="AD831" s="193"/>
      <c r="AE831" s="193"/>
      <c r="AF831" s="3"/>
      <c r="AG831" s="3"/>
      <c r="AH831" s="3"/>
      <c r="AI831" s="3"/>
      <c r="AJ831" s="3"/>
      <c r="AK831" s="3"/>
      <c r="AL831" s="3"/>
    </row>
    <row r="832" spans="1:38" ht="14.25" customHeight="1">
      <c r="A832" s="3"/>
      <c r="B832" s="3"/>
      <c r="C832" s="3"/>
      <c r="D832" s="3"/>
      <c r="E832" s="265"/>
      <c r="F832" s="265"/>
      <c r="G832" s="265"/>
      <c r="H832" s="265"/>
      <c r="I832" s="265"/>
      <c r="J832" s="260"/>
      <c r="K832" s="3"/>
      <c r="L832" s="265"/>
      <c r="M832" s="265"/>
      <c r="N832" s="265"/>
      <c r="O832" s="265"/>
      <c r="P832" s="265"/>
      <c r="Q832" s="260"/>
      <c r="R832" s="3"/>
      <c r="S832" s="265"/>
      <c r="T832" s="265"/>
      <c r="U832" s="265"/>
      <c r="V832" s="265"/>
      <c r="W832" s="265"/>
      <c r="X832" s="193"/>
      <c r="Y832" s="193"/>
      <c r="Z832" s="193"/>
      <c r="AA832" s="193"/>
      <c r="AB832" s="193"/>
      <c r="AC832" s="193"/>
      <c r="AD832" s="193"/>
      <c r="AE832" s="193"/>
      <c r="AF832" s="3"/>
      <c r="AG832" s="3"/>
      <c r="AH832" s="3"/>
      <c r="AI832" s="3"/>
      <c r="AJ832" s="3"/>
      <c r="AK832" s="3"/>
      <c r="AL832" s="3"/>
    </row>
    <row r="833" spans="1:38" ht="14.25" customHeight="1">
      <c r="A833" s="3"/>
      <c r="B833" s="3"/>
      <c r="C833" s="3"/>
      <c r="D833" s="3"/>
      <c r="E833" s="265"/>
      <c r="F833" s="265"/>
      <c r="G833" s="265"/>
      <c r="H833" s="265"/>
      <c r="I833" s="265"/>
      <c r="J833" s="260"/>
      <c r="K833" s="3"/>
      <c r="L833" s="265"/>
      <c r="M833" s="265"/>
      <c r="N833" s="265"/>
      <c r="O833" s="265"/>
      <c r="P833" s="265"/>
      <c r="Q833" s="260"/>
      <c r="R833" s="3"/>
      <c r="S833" s="265"/>
      <c r="T833" s="265"/>
      <c r="U833" s="265"/>
      <c r="V833" s="265"/>
      <c r="W833" s="265"/>
      <c r="X833" s="193"/>
      <c r="Y833" s="193"/>
      <c r="Z833" s="193"/>
      <c r="AA833" s="193"/>
      <c r="AB833" s="193"/>
      <c r="AC833" s="193"/>
      <c r="AD833" s="193"/>
      <c r="AE833" s="193"/>
      <c r="AF833" s="3"/>
      <c r="AG833" s="3"/>
      <c r="AH833" s="3"/>
      <c r="AI833" s="3"/>
      <c r="AJ833" s="3"/>
      <c r="AK833" s="3"/>
      <c r="AL833" s="3"/>
    </row>
    <row r="834" spans="1:38" ht="14.25" customHeight="1">
      <c r="A834" s="3"/>
      <c r="B834" s="3"/>
      <c r="C834" s="3"/>
      <c r="D834" s="3"/>
      <c r="E834" s="265"/>
      <c r="F834" s="265"/>
      <c r="G834" s="265"/>
      <c r="H834" s="265"/>
      <c r="I834" s="265"/>
      <c r="J834" s="260"/>
      <c r="K834" s="3"/>
      <c r="L834" s="265"/>
      <c r="M834" s="265"/>
      <c r="N834" s="265"/>
      <c r="O834" s="265"/>
      <c r="P834" s="265"/>
      <c r="Q834" s="260"/>
      <c r="R834" s="3"/>
      <c r="S834" s="265"/>
      <c r="T834" s="265"/>
      <c r="U834" s="265"/>
      <c r="V834" s="265"/>
      <c r="W834" s="265"/>
      <c r="X834" s="193"/>
      <c r="Y834" s="193"/>
      <c r="Z834" s="193"/>
      <c r="AA834" s="193"/>
      <c r="AB834" s="193"/>
      <c r="AC834" s="193"/>
      <c r="AD834" s="193"/>
      <c r="AE834" s="193"/>
      <c r="AF834" s="3"/>
      <c r="AG834" s="3"/>
      <c r="AH834" s="3"/>
      <c r="AI834" s="3"/>
      <c r="AJ834" s="3"/>
      <c r="AK834" s="3"/>
      <c r="AL834" s="3"/>
    </row>
    <row r="835" spans="1:38" ht="14.25" customHeight="1">
      <c r="A835" s="3"/>
      <c r="B835" s="3"/>
      <c r="C835" s="3"/>
      <c r="D835" s="3"/>
      <c r="E835" s="265"/>
      <c r="F835" s="265"/>
      <c r="G835" s="265"/>
      <c r="H835" s="265"/>
      <c r="I835" s="265"/>
      <c r="J835" s="260"/>
      <c r="K835" s="3"/>
      <c r="L835" s="265"/>
      <c r="M835" s="265"/>
      <c r="N835" s="265"/>
      <c r="O835" s="265"/>
      <c r="P835" s="265"/>
      <c r="Q835" s="260"/>
      <c r="R835" s="3"/>
      <c r="S835" s="265"/>
      <c r="T835" s="265"/>
      <c r="U835" s="265"/>
      <c r="V835" s="265"/>
      <c r="W835" s="265"/>
      <c r="X835" s="193"/>
      <c r="Y835" s="193"/>
      <c r="Z835" s="193"/>
      <c r="AA835" s="193"/>
      <c r="AB835" s="193"/>
      <c r="AC835" s="193"/>
      <c r="AD835" s="193"/>
      <c r="AE835" s="193"/>
      <c r="AF835" s="3"/>
      <c r="AG835" s="3"/>
      <c r="AH835" s="3"/>
      <c r="AI835" s="3"/>
      <c r="AJ835" s="3"/>
      <c r="AK835" s="3"/>
      <c r="AL835" s="3"/>
    </row>
    <row r="836" spans="1:38" ht="14.25" customHeight="1">
      <c r="A836" s="3"/>
      <c r="B836" s="3"/>
      <c r="C836" s="3"/>
      <c r="D836" s="3"/>
      <c r="E836" s="265"/>
      <c r="F836" s="265"/>
      <c r="G836" s="265"/>
      <c r="H836" s="265"/>
      <c r="I836" s="265"/>
      <c r="J836" s="260"/>
      <c r="K836" s="3"/>
      <c r="L836" s="265"/>
      <c r="M836" s="265"/>
      <c r="N836" s="265"/>
      <c r="O836" s="265"/>
      <c r="P836" s="265"/>
      <c r="Q836" s="260"/>
      <c r="R836" s="3"/>
      <c r="S836" s="265"/>
      <c r="T836" s="265"/>
      <c r="U836" s="265"/>
      <c r="V836" s="265"/>
      <c r="W836" s="265"/>
      <c r="X836" s="193"/>
      <c r="Y836" s="193"/>
      <c r="Z836" s="193"/>
      <c r="AA836" s="193"/>
      <c r="AB836" s="193"/>
      <c r="AC836" s="193"/>
      <c r="AD836" s="193"/>
      <c r="AE836" s="193"/>
      <c r="AF836" s="3"/>
      <c r="AG836" s="3"/>
      <c r="AH836" s="3"/>
      <c r="AI836" s="3"/>
      <c r="AJ836" s="3"/>
      <c r="AK836" s="3"/>
      <c r="AL836" s="3"/>
    </row>
    <row r="837" spans="1:38" ht="14.25" customHeight="1">
      <c r="A837" s="3"/>
      <c r="B837" s="3"/>
      <c r="C837" s="3"/>
      <c r="D837" s="3"/>
      <c r="E837" s="265"/>
      <c r="F837" s="265"/>
      <c r="G837" s="265"/>
      <c r="H837" s="265"/>
      <c r="I837" s="265"/>
      <c r="J837" s="260"/>
      <c r="K837" s="3"/>
      <c r="L837" s="265"/>
      <c r="M837" s="265"/>
      <c r="N837" s="265"/>
      <c r="O837" s="265"/>
      <c r="P837" s="265"/>
      <c r="Q837" s="260"/>
      <c r="R837" s="3"/>
      <c r="S837" s="265"/>
      <c r="T837" s="265"/>
      <c r="U837" s="265"/>
      <c r="V837" s="265"/>
      <c r="W837" s="265"/>
      <c r="X837" s="193"/>
      <c r="Y837" s="193"/>
      <c r="Z837" s="193"/>
      <c r="AA837" s="193"/>
      <c r="AB837" s="193"/>
      <c r="AC837" s="193"/>
      <c r="AD837" s="193"/>
      <c r="AE837" s="193"/>
      <c r="AF837" s="3"/>
      <c r="AG837" s="3"/>
      <c r="AH837" s="3"/>
      <c r="AI837" s="3"/>
      <c r="AJ837" s="3"/>
      <c r="AK837" s="3"/>
      <c r="AL837" s="3"/>
    </row>
    <row r="838" spans="1:38" ht="14.25" customHeight="1">
      <c r="A838" s="3"/>
      <c r="B838" s="3"/>
      <c r="C838" s="3"/>
      <c r="D838" s="3"/>
      <c r="E838" s="265"/>
      <c r="F838" s="265"/>
      <c r="G838" s="265"/>
      <c r="H838" s="265"/>
      <c r="I838" s="265"/>
      <c r="J838" s="260"/>
      <c r="K838" s="3"/>
      <c r="L838" s="265"/>
      <c r="M838" s="265"/>
      <c r="N838" s="265"/>
      <c r="O838" s="265"/>
      <c r="P838" s="265"/>
      <c r="Q838" s="260"/>
      <c r="R838" s="3"/>
      <c r="S838" s="265"/>
      <c r="T838" s="265"/>
      <c r="U838" s="265"/>
      <c r="V838" s="265"/>
      <c r="W838" s="265"/>
      <c r="X838" s="193"/>
      <c r="Y838" s="193"/>
      <c r="Z838" s="193"/>
      <c r="AA838" s="193"/>
      <c r="AB838" s="193"/>
      <c r="AC838" s="193"/>
      <c r="AD838" s="193"/>
      <c r="AE838" s="193"/>
      <c r="AF838" s="3"/>
      <c r="AG838" s="3"/>
      <c r="AH838" s="3"/>
      <c r="AI838" s="3"/>
      <c r="AJ838" s="3"/>
      <c r="AK838" s="3"/>
      <c r="AL838" s="3"/>
    </row>
    <row r="839" spans="1:38" ht="14.25" customHeight="1">
      <c r="A839" s="3"/>
      <c r="B839" s="3"/>
      <c r="C839" s="3"/>
      <c r="D839" s="3"/>
      <c r="E839" s="265"/>
      <c r="F839" s="265"/>
      <c r="G839" s="265"/>
      <c r="H839" s="265"/>
      <c r="I839" s="265"/>
      <c r="J839" s="260"/>
      <c r="K839" s="3"/>
      <c r="L839" s="265"/>
      <c r="M839" s="265"/>
      <c r="N839" s="265"/>
      <c r="O839" s="265"/>
      <c r="P839" s="265"/>
      <c r="Q839" s="260"/>
      <c r="R839" s="3"/>
      <c r="S839" s="265"/>
      <c r="T839" s="265"/>
      <c r="U839" s="265"/>
      <c r="V839" s="265"/>
      <c r="W839" s="265"/>
      <c r="X839" s="193"/>
      <c r="Y839" s="193"/>
      <c r="Z839" s="193"/>
      <c r="AA839" s="193"/>
      <c r="AB839" s="193"/>
      <c r="AC839" s="193"/>
      <c r="AD839" s="193"/>
      <c r="AE839" s="193"/>
      <c r="AF839" s="3"/>
      <c r="AG839" s="3"/>
      <c r="AH839" s="3"/>
      <c r="AI839" s="3"/>
      <c r="AJ839" s="3"/>
      <c r="AK839" s="3"/>
      <c r="AL839" s="3"/>
    </row>
    <row r="840" spans="1:38" ht="14.25" customHeight="1">
      <c r="A840" s="3"/>
      <c r="B840" s="3"/>
      <c r="C840" s="3"/>
      <c r="D840" s="3"/>
      <c r="E840" s="265"/>
      <c r="F840" s="265"/>
      <c r="G840" s="265"/>
      <c r="H840" s="265"/>
      <c r="I840" s="265"/>
      <c r="J840" s="260"/>
      <c r="K840" s="3"/>
      <c r="L840" s="265"/>
      <c r="M840" s="265"/>
      <c r="N840" s="265"/>
      <c r="O840" s="265"/>
      <c r="P840" s="265"/>
      <c r="Q840" s="260"/>
      <c r="R840" s="3"/>
      <c r="S840" s="265"/>
      <c r="T840" s="265"/>
      <c r="U840" s="265"/>
      <c r="V840" s="265"/>
      <c r="W840" s="265"/>
      <c r="X840" s="193"/>
      <c r="Y840" s="193"/>
      <c r="Z840" s="193"/>
      <c r="AA840" s="193"/>
      <c r="AB840" s="193"/>
      <c r="AC840" s="193"/>
      <c r="AD840" s="193"/>
      <c r="AE840" s="193"/>
      <c r="AF840" s="3"/>
      <c r="AG840" s="3"/>
      <c r="AH840" s="3"/>
      <c r="AI840" s="3"/>
      <c r="AJ840" s="3"/>
      <c r="AK840" s="3"/>
      <c r="AL840" s="3"/>
    </row>
    <row r="841" spans="1:38" ht="14.25" customHeight="1">
      <c r="A841" s="3"/>
      <c r="B841" s="3"/>
      <c r="C841" s="3"/>
      <c r="D841" s="3"/>
      <c r="E841" s="265"/>
      <c r="F841" s="265"/>
      <c r="G841" s="265"/>
      <c r="H841" s="265"/>
      <c r="I841" s="265"/>
      <c r="J841" s="260"/>
      <c r="K841" s="3"/>
      <c r="L841" s="265"/>
      <c r="M841" s="265"/>
      <c r="N841" s="265"/>
      <c r="O841" s="265"/>
      <c r="P841" s="265"/>
      <c r="Q841" s="260"/>
      <c r="R841" s="3"/>
      <c r="S841" s="265"/>
      <c r="T841" s="265"/>
      <c r="U841" s="265"/>
      <c r="V841" s="265"/>
      <c r="W841" s="265"/>
      <c r="X841" s="193"/>
      <c r="Y841" s="193"/>
      <c r="Z841" s="193"/>
      <c r="AA841" s="193"/>
      <c r="AB841" s="193"/>
      <c r="AC841" s="193"/>
      <c r="AD841" s="193"/>
      <c r="AE841" s="193"/>
      <c r="AF841" s="3"/>
      <c r="AG841" s="3"/>
      <c r="AH841" s="3"/>
      <c r="AI841" s="3"/>
      <c r="AJ841" s="3"/>
      <c r="AK841" s="3"/>
      <c r="AL841" s="3"/>
    </row>
    <row r="842" spans="1:38" ht="14.25" customHeight="1">
      <c r="A842" s="3"/>
      <c r="B842" s="3"/>
      <c r="C842" s="3"/>
      <c r="D842" s="3"/>
      <c r="E842" s="265"/>
      <c r="F842" s="265"/>
      <c r="G842" s="265"/>
      <c r="H842" s="265"/>
      <c r="I842" s="265"/>
      <c r="J842" s="260"/>
      <c r="K842" s="3"/>
      <c r="L842" s="265"/>
      <c r="M842" s="265"/>
      <c r="N842" s="265"/>
      <c r="O842" s="265"/>
      <c r="P842" s="265"/>
      <c r="Q842" s="260"/>
      <c r="R842" s="3"/>
      <c r="S842" s="265"/>
      <c r="T842" s="265"/>
      <c r="U842" s="265"/>
      <c r="V842" s="265"/>
      <c r="W842" s="265"/>
      <c r="X842" s="193"/>
      <c r="Y842" s="193"/>
      <c r="Z842" s="193"/>
      <c r="AA842" s="193"/>
      <c r="AB842" s="193"/>
      <c r="AC842" s="193"/>
      <c r="AD842" s="193"/>
      <c r="AE842" s="193"/>
      <c r="AF842" s="3"/>
      <c r="AG842" s="3"/>
      <c r="AH842" s="3"/>
      <c r="AI842" s="3"/>
      <c r="AJ842" s="3"/>
      <c r="AK842" s="3"/>
      <c r="AL842" s="3"/>
    </row>
    <row r="843" spans="1:38" ht="14.25" customHeight="1">
      <c r="A843" s="3"/>
      <c r="B843" s="3"/>
      <c r="C843" s="3"/>
      <c r="D843" s="3"/>
      <c r="E843" s="265"/>
      <c r="F843" s="265"/>
      <c r="G843" s="265"/>
      <c r="H843" s="265"/>
      <c r="I843" s="265"/>
      <c r="J843" s="260"/>
      <c r="K843" s="3"/>
      <c r="L843" s="265"/>
      <c r="M843" s="265"/>
      <c r="N843" s="265"/>
      <c r="O843" s="265"/>
      <c r="P843" s="265"/>
      <c r="Q843" s="260"/>
      <c r="R843" s="3"/>
      <c r="S843" s="265"/>
      <c r="T843" s="265"/>
      <c r="U843" s="265"/>
      <c r="V843" s="265"/>
      <c r="W843" s="265"/>
      <c r="X843" s="193"/>
      <c r="Y843" s="193"/>
      <c r="Z843" s="193"/>
      <c r="AA843" s="193"/>
      <c r="AB843" s="193"/>
      <c r="AC843" s="193"/>
      <c r="AD843" s="193"/>
      <c r="AE843" s="193"/>
      <c r="AF843" s="3"/>
      <c r="AG843" s="3"/>
      <c r="AH843" s="3"/>
      <c r="AI843" s="3"/>
      <c r="AJ843" s="3"/>
      <c r="AK843" s="3"/>
      <c r="AL843" s="3"/>
    </row>
    <row r="844" spans="1:38" ht="14.25" customHeight="1">
      <c r="A844" s="3"/>
      <c r="B844" s="3"/>
      <c r="C844" s="3"/>
      <c r="D844" s="3"/>
      <c r="E844" s="265"/>
      <c r="F844" s="265"/>
      <c r="G844" s="265"/>
      <c r="H844" s="265"/>
      <c r="I844" s="265"/>
      <c r="J844" s="260"/>
      <c r="K844" s="3"/>
      <c r="L844" s="265"/>
      <c r="M844" s="265"/>
      <c r="N844" s="265"/>
      <c r="O844" s="265"/>
      <c r="P844" s="265"/>
      <c r="Q844" s="260"/>
      <c r="R844" s="3"/>
      <c r="S844" s="265"/>
      <c r="T844" s="265"/>
      <c r="U844" s="265"/>
      <c r="V844" s="265"/>
      <c r="W844" s="265"/>
      <c r="X844" s="193"/>
      <c r="Y844" s="193"/>
      <c r="Z844" s="193"/>
      <c r="AA844" s="193"/>
      <c r="AB844" s="193"/>
      <c r="AC844" s="193"/>
      <c r="AD844" s="193"/>
      <c r="AE844" s="193"/>
      <c r="AF844" s="3"/>
      <c r="AG844" s="3"/>
      <c r="AH844" s="3"/>
      <c r="AI844" s="3"/>
      <c r="AJ844" s="3"/>
      <c r="AK844" s="3"/>
      <c r="AL844" s="3"/>
    </row>
    <row r="845" spans="1:38" ht="14.25" customHeight="1">
      <c r="A845" s="3"/>
      <c r="B845" s="3"/>
      <c r="C845" s="3"/>
      <c r="D845" s="3"/>
      <c r="E845" s="265"/>
      <c r="F845" s="265"/>
      <c r="G845" s="265"/>
      <c r="H845" s="265"/>
      <c r="I845" s="265"/>
      <c r="J845" s="260"/>
      <c r="K845" s="3"/>
      <c r="L845" s="265"/>
      <c r="M845" s="265"/>
      <c r="N845" s="265"/>
      <c r="O845" s="265"/>
      <c r="P845" s="265"/>
      <c r="Q845" s="260"/>
      <c r="R845" s="3"/>
      <c r="S845" s="265"/>
      <c r="T845" s="265"/>
      <c r="U845" s="265"/>
      <c r="V845" s="265"/>
      <c r="W845" s="265"/>
      <c r="X845" s="193"/>
      <c r="Y845" s="193"/>
      <c r="Z845" s="193"/>
      <c r="AA845" s="193"/>
      <c r="AB845" s="193"/>
      <c r="AC845" s="193"/>
      <c r="AD845" s="193"/>
      <c r="AE845" s="193"/>
      <c r="AF845" s="3"/>
      <c r="AG845" s="3"/>
      <c r="AH845" s="3"/>
      <c r="AI845" s="3"/>
      <c r="AJ845" s="3"/>
      <c r="AK845" s="3"/>
      <c r="AL845" s="3"/>
    </row>
    <row r="846" spans="1:38" ht="14.25" customHeight="1">
      <c r="A846" s="3"/>
      <c r="B846" s="3"/>
      <c r="C846" s="3"/>
      <c r="D846" s="3"/>
      <c r="E846" s="265"/>
      <c r="F846" s="265"/>
      <c r="G846" s="265"/>
      <c r="H846" s="265"/>
      <c r="I846" s="265"/>
      <c r="J846" s="260"/>
      <c r="K846" s="3"/>
      <c r="L846" s="265"/>
      <c r="M846" s="265"/>
      <c r="N846" s="265"/>
      <c r="O846" s="265"/>
      <c r="P846" s="265"/>
      <c r="Q846" s="260"/>
      <c r="R846" s="3"/>
      <c r="S846" s="265"/>
      <c r="T846" s="265"/>
      <c r="U846" s="265"/>
      <c r="V846" s="265"/>
      <c r="W846" s="265"/>
      <c r="X846" s="193"/>
      <c r="Y846" s="193"/>
      <c r="Z846" s="193"/>
      <c r="AA846" s="193"/>
      <c r="AB846" s="193"/>
      <c r="AC846" s="193"/>
      <c r="AD846" s="193"/>
      <c r="AE846" s="193"/>
      <c r="AF846" s="3"/>
      <c r="AG846" s="3"/>
      <c r="AH846" s="3"/>
      <c r="AI846" s="3"/>
      <c r="AJ846" s="3"/>
      <c r="AK846" s="3"/>
      <c r="AL846" s="3"/>
    </row>
    <row r="847" spans="1:38" ht="14.25" customHeight="1">
      <c r="A847" s="3"/>
      <c r="B847" s="3"/>
      <c r="C847" s="3"/>
      <c r="D847" s="3"/>
      <c r="E847" s="265"/>
      <c r="F847" s="265"/>
      <c r="G847" s="265"/>
      <c r="H847" s="265"/>
      <c r="I847" s="265"/>
      <c r="J847" s="260"/>
      <c r="K847" s="3"/>
      <c r="L847" s="265"/>
      <c r="M847" s="265"/>
      <c r="N847" s="265"/>
      <c r="O847" s="265"/>
      <c r="P847" s="265"/>
      <c r="Q847" s="260"/>
      <c r="R847" s="3"/>
      <c r="S847" s="265"/>
      <c r="T847" s="265"/>
      <c r="U847" s="265"/>
      <c r="V847" s="265"/>
      <c r="W847" s="265"/>
      <c r="X847" s="193"/>
      <c r="Y847" s="193"/>
      <c r="Z847" s="193"/>
      <c r="AA847" s="193"/>
      <c r="AB847" s="193"/>
      <c r="AC847" s="193"/>
      <c r="AD847" s="193"/>
      <c r="AE847" s="193"/>
      <c r="AF847" s="3"/>
      <c r="AG847" s="3"/>
      <c r="AH847" s="3"/>
      <c r="AI847" s="3"/>
      <c r="AJ847" s="3"/>
      <c r="AK847" s="3"/>
      <c r="AL847" s="3"/>
    </row>
    <row r="848" spans="1:38" ht="14.25" customHeight="1">
      <c r="A848" s="3"/>
      <c r="B848" s="3"/>
      <c r="C848" s="3"/>
      <c r="D848" s="3"/>
      <c r="E848" s="265"/>
      <c r="F848" s="265"/>
      <c r="G848" s="265"/>
      <c r="H848" s="265"/>
      <c r="I848" s="265"/>
      <c r="J848" s="260"/>
      <c r="K848" s="3"/>
      <c r="L848" s="265"/>
      <c r="M848" s="265"/>
      <c r="N848" s="265"/>
      <c r="O848" s="265"/>
      <c r="P848" s="265"/>
      <c r="Q848" s="260"/>
      <c r="R848" s="3"/>
      <c r="S848" s="265"/>
      <c r="T848" s="265"/>
      <c r="U848" s="265"/>
      <c r="V848" s="265"/>
      <c r="W848" s="265"/>
      <c r="X848" s="193"/>
      <c r="Y848" s="193"/>
      <c r="Z848" s="193"/>
      <c r="AA848" s="193"/>
      <c r="AB848" s="193"/>
      <c r="AC848" s="193"/>
      <c r="AD848" s="193"/>
      <c r="AE848" s="193"/>
      <c r="AF848" s="3"/>
      <c r="AG848" s="3"/>
      <c r="AH848" s="3"/>
      <c r="AI848" s="3"/>
      <c r="AJ848" s="3"/>
      <c r="AK848" s="3"/>
      <c r="AL848" s="3"/>
    </row>
    <row r="849" spans="1:38" ht="14.25" customHeight="1">
      <c r="A849" s="3"/>
      <c r="B849" s="3"/>
      <c r="C849" s="3"/>
      <c r="D849" s="3"/>
      <c r="E849" s="265"/>
      <c r="F849" s="265"/>
      <c r="G849" s="265"/>
      <c r="H849" s="265"/>
      <c r="I849" s="265"/>
      <c r="J849" s="260"/>
      <c r="K849" s="3"/>
      <c r="L849" s="265"/>
      <c r="M849" s="265"/>
      <c r="N849" s="265"/>
      <c r="O849" s="265"/>
      <c r="P849" s="265"/>
      <c r="Q849" s="260"/>
      <c r="R849" s="3"/>
      <c r="S849" s="265"/>
      <c r="T849" s="265"/>
      <c r="U849" s="265"/>
      <c r="V849" s="265"/>
      <c r="W849" s="265"/>
      <c r="X849" s="193"/>
      <c r="Y849" s="193"/>
      <c r="Z849" s="193"/>
      <c r="AA849" s="193"/>
      <c r="AB849" s="193"/>
      <c r="AC849" s="193"/>
      <c r="AD849" s="193"/>
      <c r="AE849" s="193"/>
      <c r="AF849" s="3"/>
      <c r="AG849" s="3"/>
      <c r="AH849" s="3"/>
      <c r="AI849" s="3"/>
      <c r="AJ849" s="3"/>
      <c r="AK849" s="3"/>
      <c r="AL849" s="3"/>
    </row>
    <row r="850" spans="1:38" ht="14.25" customHeight="1">
      <c r="A850" s="3"/>
      <c r="B850" s="3"/>
      <c r="C850" s="3"/>
      <c r="D850" s="3"/>
      <c r="E850" s="265"/>
      <c r="F850" s="265"/>
      <c r="G850" s="265"/>
      <c r="H850" s="265"/>
      <c r="I850" s="265"/>
      <c r="J850" s="260"/>
      <c r="K850" s="3"/>
      <c r="L850" s="265"/>
      <c r="M850" s="265"/>
      <c r="N850" s="265"/>
      <c r="O850" s="265"/>
      <c r="P850" s="265"/>
      <c r="Q850" s="260"/>
      <c r="R850" s="3"/>
      <c r="S850" s="265"/>
      <c r="T850" s="265"/>
      <c r="U850" s="265"/>
      <c r="V850" s="265"/>
      <c r="W850" s="265"/>
      <c r="X850" s="193"/>
      <c r="Y850" s="193"/>
      <c r="Z850" s="193"/>
      <c r="AA850" s="193"/>
      <c r="AB850" s="193"/>
      <c r="AC850" s="193"/>
      <c r="AD850" s="193"/>
      <c r="AE850" s="193"/>
      <c r="AF850" s="3"/>
      <c r="AG850" s="3"/>
      <c r="AH850" s="3"/>
      <c r="AI850" s="3"/>
      <c r="AJ850" s="3"/>
      <c r="AK850" s="3"/>
      <c r="AL850" s="3"/>
    </row>
    <row r="851" spans="1:38" ht="14.25" customHeight="1">
      <c r="A851" s="3"/>
      <c r="B851" s="3"/>
      <c r="C851" s="3"/>
      <c r="D851" s="3"/>
      <c r="E851" s="265"/>
      <c r="F851" s="265"/>
      <c r="G851" s="265"/>
      <c r="H851" s="265"/>
      <c r="I851" s="265"/>
      <c r="J851" s="260"/>
      <c r="K851" s="3"/>
      <c r="L851" s="265"/>
      <c r="M851" s="265"/>
      <c r="N851" s="265"/>
      <c r="O851" s="265"/>
      <c r="P851" s="265"/>
      <c r="Q851" s="260"/>
      <c r="R851" s="3"/>
      <c r="S851" s="265"/>
      <c r="T851" s="265"/>
      <c r="U851" s="265"/>
      <c r="V851" s="265"/>
      <c r="W851" s="265"/>
      <c r="X851" s="193"/>
      <c r="Y851" s="193"/>
      <c r="Z851" s="193"/>
      <c r="AA851" s="193"/>
      <c r="AB851" s="193"/>
      <c r="AC851" s="193"/>
      <c r="AD851" s="193"/>
      <c r="AE851" s="193"/>
      <c r="AF851" s="3"/>
      <c r="AG851" s="3"/>
      <c r="AH851" s="3"/>
      <c r="AI851" s="3"/>
      <c r="AJ851" s="3"/>
      <c r="AK851" s="3"/>
      <c r="AL851" s="3"/>
    </row>
    <row r="852" spans="1:38" ht="14.25" customHeight="1">
      <c r="A852" s="3"/>
      <c r="B852" s="3"/>
      <c r="C852" s="3"/>
      <c r="D852" s="3"/>
      <c r="E852" s="265"/>
      <c r="F852" s="265"/>
      <c r="G852" s="265"/>
      <c r="H852" s="265"/>
      <c r="I852" s="265"/>
      <c r="J852" s="260"/>
      <c r="K852" s="3"/>
      <c r="L852" s="265"/>
      <c r="M852" s="265"/>
      <c r="N852" s="265"/>
      <c r="O852" s="265"/>
      <c r="P852" s="265"/>
      <c r="Q852" s="260"/>
      <c r="R852" s="3"/>
      <c r="S852" s="265"/>
      <c r="T852" s="265"/>
      <c r="U852" s="265"/>
      <c r="V852" s="265"/>
      <c r="W852" s="265"/>
      <c r="X852" s="193"/>
      <c r="Y852" s="193"/>
      <c r="Z852" s="193"/>
      <c r="AA852" s="193"/>
      <c r="AB852" s="193"/>
      <c r="AC852" s="193"/>
      <c r="AD852" s="193"/>
      <c r="AE852" s="193"/>
      <c r="AF852" s="3"/>
      <c r="AG852" s="3"/>
      <c r="AH852" s="3"/>
      <c r="AI852" s="3"/>
      <c r="AJ852" s="3"/>
      <c r="AK852" s="3"/>
      <c r="AL852" s="3"/>
    </row>
    <row r="853" spans="1:38" ht="14.25" customHeight="1">
      <c r="A853" s="3"/>
      <c r="B853" s="3"/>
      <c r="C853" s="3"/>
      <c r="D853" s="3"/>
      <c r="E853" s="265"/>
      <c r="F853" s="265"/>
      <c r="G853" s="265"/>
      <c r="H853" s="265"/>
      <c r="I853" s="265"/>
      <c r="J853" s="260"/>
      <c r="K853" s="3"/>
      <c r="L853" s="265"/>
      <c r="M853" s="265"/>
      <c r="N853" s="265"/>
      <c r="O853" s="265"/>
      <c r="P853" s="265"/>
      <c r="Q853" s="260"/>
      <c r="R853" s="3"/>
      <c r="S853" s="265"/>
      <c r="T853" s="265"/>
      <c r="U853" s="265"/>
      <c r="V853" s="265"/>
      <c r="W853" s="265"/>
      <c r="X853" s="193"/>
      <c r="Y853" s="193"/>
      <c r="Z853" s="193"/>
      <c r="AA853" s="193"/>
      <c r="AB853" s="193"/>
      <c r="AC853" s="193"/>
      <c r="AD853" s="193"/>
      <c r="AE853" s="193"/>
      <c r="AF853" s="3"/>
      <c r="AG853" s="3"/>
      <c r="AH853" s="3"/>
      <c r="AI853" s="3"/>
      <c r="AJ853" s="3"/>
      <c r="AK853" s="3"/>
      <c r="AL853" s="3"/>
    </row>
    <row r="854" spans="1:38" ht="14.25" customHeight="1">
      <c r="A854" s="3"/>
      <c r="B854" s="3"/>
      <c r="C854" s="3"/>
      <c r="D854" s="3"/>
      <c r="E854" s="265"/>
      <c r="F854" s="265"/>
      <c r="G854" s="265"/>
      <c r="H854" s="265"/>
      <c r="I854" s="265"/>
      <c r="J854" s="260"/>
      <c r="K854" s="3"/>
      <c r="L854" s="265"/>
      <c r="M854" s="265"/>
      <c r="N854" s="265"/>
      <c r="O854" s="265"/>
      <c r="P854" s="265"/>
      <c r="Q854" s="260"/>
      <c r="R854" s="3"/>
      <c r="S854" s="265"/>
      <c r="T854" s="265"/>
      <c r="U854" s="265"/>
      <c r="V854" s="265"/>
      <c r="W854" s="265"/>
      <c r="X854" s="193"/>
      <c r="Y854" s="193"/>
      <c r="Z854" s="193"/>
      <c r="AA854" s="193"/>
      <c r="AB854" s="193"/>
      <c r="AC854" s="193"/>
      <c r="AD854" s="193"/>
      <c r="AE854" s="193"/>
      <c r="AF854" s="3"/>
      <c r="AG854" s="3"/>
      <c r="AH854" s="3"/>
      <c r="AI854" s="3"/>
      <c r="AJ854" s="3"/>
      <c r="AK854" s="3"/>
      <c r="AL854" s="3"/>
    </row>
    <row r="855" spans="1:38" ht="14.25" customHeight="1">
      <c r="A855" s="3"/>
      <c r="B855" s="3"/>
      <c r="C855" s="3"/>
      <c r="D855" s="3"/>
      <c r="E855" s="265"/>
      <c r="F855" s="265"/>
      <c r="G855" s="265"/>
      <c r="H855" s="265"/>
      <c r="I855" s="265"/>
      <c r="J855" s="260"/>
      <c r="K855" s="3"/>
      <c r="L855" s="265"/>
      <c r="M855" s="265"/>
      <c r="N855" s="265"/>
      <c r="O855" s="265"/>
      <c r="P855" s="265"/>
      <c r="Q855" s="260"/>
      <c r="R855" s="3"/>
      <c r="S855" s="265"/>
      <c r="T855" s="265"/>
      <c r="U855" s="265"/>
      <c r="V855" s="265"/>
      <c r="W855" s="265"/>
      <c r="X855" s="193"/>
      <c r="Y855" s="193"/>
      <c r="Z855" s="193"/>
      <c r="AA855" s="193"/>
      <c r="AB855" s="193"/>
      <c r="AC855" s="193"/>
      <c r="AD855" s="193"/>
      <c r="AE855" s="193"/>
      <c r="AF855" s="3"/>
      <c r="AG855" s="3"/>
      <c r="AH855" s="3"/>
      <c r="AI855" s="3"/>
      <c r="AJ855" s="3"/>
      <c r="AK855" s="3"/>
      <c r="AL855" s="3"/>
    </row>
    <row r="856" spans="1:38" ht="14.25" customHeight="1">
      <c r="A856" s="3"/>
      <c r="B856" s="3"/>
      <c r="C856" s="3"/>
      <c r="D856" s="3"/>
      <c r="E856" s="265"/>
      <c r="F856" s="265"/>
      <c r="G856" s="265"/>
      <c r="H856" s="265"/>
      <c r="I856" s="265"/>
      <c r="J856" s="260"/>
      <c r="K856" s="3"/>
      <c r="L856" s="265"/>
      <c r="M856" s="265"/>
      <c r="N856" s="265"/>
      <c r="O856" s="265"/>
      <c r="P856" s="265"/>
      <c r="Q856" s="260"/>
      <c r="R856" s="3"/>
      <c r="S856" s="265"/>
      <c r="T856" s="265"/>
      <c r="U856" s="265"/>
      <c r="V856" s="265"/>
      <c r="W856" s="265"/>
      <c r="X856" s="193"/>
      <c r="Y856" s="193"/>
      <c r="Z856" s="193"/>
      <c r="AA856" s="193"/>
      <c r="AB856" s="193"/>
      <c r="AC856" s="193"/>
      <c r="AD856" s="193"/>
      <c r="AE856" s="193"/>
      <c r="AF856" s="3"/>
      <c r="AG856" s="3"/>
      <c r="AH856" s="3"/>
      <c r="AI856" s="3"/>
      <c r="AJ856" s="3"/>
      <c r="AK856" s="3"/>
      <c r="AL856" s="3"/>
    </row>
    <row r="857" spans="1:38" ht="14.25" customHeight="1">
      <c r="A857" s="3"/>
      <c r="B857" s="3"/>
      <c r="C857" s="3"/>
      <c r="D857" s="3"/>
      <c r="E857" s="265"/>
      <c r="F857" s="265"/>
      <c r="G857" s="265"/>
      <c r="H857" s="265"/>
      <c r="I857" s="265"/>
      <c r="J857" s="260"/>
      <c r="K857" s="3"/>
      <c r="L857" s="265"/>
      <c r="M857" s="265"/>
      <c r="N857" s="265"/>
      <c r="O857" s="265"/>
      <c r="P857" s="265"/>
      <c r="Q857" s="260"/>
      <c r="R857" s="3"/>
      <c r="S857" s="265"/>
      <c r="T857" s="265"/>
      <c r="U857" s="265"/>
      <c r="V857" s="265"/>
      <c r="W857" s="265"/>
      <c r="X857" s="193"/>
      <c r="Y857" s="193"/>
      <c r="Z857" s="193"/>
      <c r="AA857" s="193"/>
      <c r="AB857" s="193"/>
      <c r="AC857" s="193"/>
      <c r="AD857" s="193"/>
      <c r="AE857" s="193"/>
      <c r="AF857" s="3"/>
      <c r="AG857" s="3"/>
      <c r="AH857" s="3"/>
      <c r="AI857" s="3"/>
      <c r="AJ857" s="3"/>
      <c r="AK857" s="3"/>
      <c r="AL857" s="3"/>
    </row>
    <row r="858" spans="1:38" ht="14.25" customHeight="1">
      <c r="A858" s="3"/>
      <c r="B858" s="3"/>
      <c r="C858" s="3"/>
      <c r="D858" s="3"/>
      <c r="E858" s="265"/>
      <c r="F858" s="265"/>
      <c r="G858" s="265"/>
      <c r="H858" s="265"/>
      <c r="I858" s="265"/>
      <c r="J858" s="260"/>
      <c r="K858" s="3"/>
      <c r="L858" s="265"/>
      <c r="M858" s="265"/>
      <c r="N858" s="265"/>
      <c r="O858" s="265"/>
      <c r="P858" s="265"/>
      <c r="Q858" s="260"/>
      <c r="R858" s="3"/>
      <c r="S858" s="265"/>
      <c r="T858" s="265"/>
      <c r="U858" s="265"/>
      <c r="V858" s="265"/>
      <c r="W858" s="265"/>
      <c r="X858" s="193"/>
      <c r="Y858" s="193"/>
      <c r="Z858" s="193"/>
      <c r="AA858" s="193"/>
      <c r="AB858" s="193"/>
      <c r="AC858" s="193"/>
      <c r="AD858" s="193"/>
      <c r="AE858" s="193"/>
      <c r="AF858" s="3"/>
      <c r="AG858" s="3"/>
      <c r="AH858" s="3"/>
      <c r="AI858" s="3"/>
      <c r="AJ858" s="3"/>
      <c r="AK858" s="3"/>
      <c r="AL858" s="3"/>
    </row>
    <row r="859" spans="1:38" ht="14.25" customHeight="1">
      <c r="A859" s="3"/>
      <c r="B859" s="3"/>
      <c r="C859" s="3"/>
      <c r="D859" s="3"/>
      <c r="E859" s="265"/>
      <c r="F859" s="265"/>
      <c r="G859" s="265"/>
      <c r="H859" s="265"/>
      <c r="I859" s="265"/>
      <c r="J859" s="260"/>
      <c r="K859" s="3"/>
      <c r="L859" s="265"/>
      <c r="M859" s="265"/>
      <c r="N859" s="265"/>
      <c r="O859" s="265"/>
      <c r="P859" s="265"/>
      <c r="Q859" s="260"/>
      <c r="R859" s="3"/>
      <c r="S859" s="265"/>
      <c r="T859" s="265"/>
      <c r="U859" s="265"/>
      <c r="V859" s="265"/>
      <c r="W859" s="265"/>
      <c r="X859" s="193"/>
      <c r="Y859" s="193"/>
      <c r="Z859" s="193"/>
      <c r="AA859" s="193"/>
      <c r="AB859" s="193"/>
      <c r="AC859" s="193"/>
      <c r="AD859" s="193"/>
      <c r="AE859" s="193"/>
      <c r="AF859" s="3"/>
      <c r="AG859" s="3"/>
      <c r="AH859" s="3"/>
      <c r="AI859" s="3"/>
      <c r="AJ859" s="3"/>
      <c r="AK859" s="3"/>
      <c r="AL859" s="3"/>
    </row>
    <row r="860" spans="1:38" ht="14.25" customHeight="1">
      <c r="A860" s="3"/>
      <c r="B860" s="3"/>
      <c r="C860" s="3"/>
      <c r="D860" s="3"/>
      <c r="E860" s="265"/>
      <c r="F860" s="265"/>
      <c r="G860" s="265"/>
      <c r="H860" s="265"/>
      <c r="I860" s="265"/>
      <c r="J860" s="260"/>
      <c r="K860" s="3"/>
      <c r="L860" s="265"/>
      <c r="M860" s="265"/>
      <c r="N860" s="265"/>
      <c r="O860" s="265"/>
      <c r="P860" s="265"/>
      <c r="Q860" s="260"/>
      <c r="R860" s="3"/>
      <c r="S860" s="265"/>
      <c r="T860" s="265"/>
      <c r="U860" s="265"/>
      <c r="V860" s="265"/>
      <c r="W860" s="265"/>
      <c r="X860" s="193"/>
      <c r="Y860" s="193"/>
      <c r="Z860" s="193"/>
      <c r="AA860" s="193"/>
      <c r="AB860" s="193"/>
      <c r="AC860" s="193"/>
      <c r="AD860" s="193"/>
      <c r="AE860" s="193"/>
      <c r="AF860" s="3"/>
      <c r="AG860" s="3"/>
      <c r="AH860" s="3"/>
      <c r="AI860" s="3"/>
      <c r="AJ860" s="3"/>
      <c r="AK860" s="3"/>
      <c r="AL860" s="3"/>
    </row>
    <row r="861" spans="1:38" ht="14.25" customHeight="1">
      <c r="A861" s="3"/>
      <c r="B861" s="3"/>
      <c r="C861" s="3"/>
      <c r="D861" s="3"/>
      <c r="E861" s="265"/>
      <c r="F861" s="265"/>
      <c r="G861" s="265"/>
      <c r="H861" s="265"/>
      <c r="I861" s="265"/>
      <c r="J861" s="260"/>
      <c r="K861" s="3"/>
      <c r="L861" s="265"/>
      <c r="M861" s="265"/>
      <c r="N861" s="265"/>
      <c r="O861" s="265"/>
      <c r="P861" s="265"/>
      <c r="Q861" s="260"/>
      <c r="R861" s="3"/>
      <c r="S861" s="265"/>
      <c r="T861" s="265"/>
      <c r="U861" s="265"/>
      <c r="V861" s="265"/>
      <c r="W861" s="265"/>
      <c r="X861" s="193"/>
      <c r="Y861" s="193"/>
      <c r="Z861" s="193"/>
      <c r="AA861" s="193"/>
      <c r="AB861" s="193"/>
      <c r="AC861" s="193"/>
      <c r="AD861" s="193"/>
      <c r="AE861" s="193"/>
      <c r="AF861" s="3"/>
      <c r="AG861" s="3"/>
      <c r="AH861" s="3"/>
      <c r="AI861" s="3"/>
      <c r="AJ861" s="3"/>
      <c r="AK861" s="3"/>
      <c r="AL861" s="3"/>
    </row>
    <row r="862" spans="1:38" ht="14.25" customHeight="1">
      <c r="A862" s="3"/>
      <c r="B862" s="3"/>
      <c r="C862" s="3"/>
      <c r="D862" s="3"/>
      <c r="E862" s="265"/>
      <c r="F862" s="265"/>
      <c r="G862" s="265"/>
      <c r="H862" s="265"/>
      <c r="I862" s="265"/>
      <c r="J862" s="260"/>
      <c r="K862" s="3"/>
      <c r="L862" s="265"/>
      <c r="M862" s="265"/>
      <c r="N862" s="265"/>
      <c r="O862" s="265"/>
      <c r="P862" s="265"/>
      <c r="Q862" s="260"/>
      <c r="R862" s="3"/>
      <c r="S862" s="265"/>
      <c r="T862" s="265"/>
      <c r="U862" s="265"/>
      <c r="V862" s="265"/>
      <c r="W862" s="265"/>
      <c r="X862" s="193"/>
      <c r="Y862" s="193"/>
      <c r="Z862" s="193"/>
      <c r="AA862" s="193"/>
      <c r="AB862" s="193"/>
      <c r="AC862" s="193"/>
      <c r="AD862" s="193"/>
      <c r="AE862" s="193"/>
      <c r="AF862" s="3"/>
      <c r="AG862" s="3"/>
      <c r="AH862" s="3"/>
      <c r="AI862" s="3"/>
      <c r="AJ862" s="3"/>
      <c r="AK862" s="3"/>
      <c r="AL862" s="3"/>
    </row>
    <row r="863" spans="1:38" ht="14.25" customHeight="1">
      <c r="A863" s="3"/>
      <c r="B863" s="3"/>
      <c r="C863" s="3"/>
      <c r="D863" s="3"/>
      <c r="E863" s="265"/>
      <c r="F863" s="265"/>
      <c r="G863" s="265"/>
      <c r="H863" s="265"/>
      <c r="I863" s="265"/>
      <c r="J863" s="260"/>
      <c r="K863" s="3"/>
      <c r="L863" s="265"/>
      <c r="M863" s="265"/>
      <c r="N863" s="265"/>
      <c r="O863" s="265"/>
      <c r="P863" s="265"/>
      <c r="Q863" s="260"/>
      <c r="R863" s="3"/>
      <c r="S863" s="265"/>
      <c r="T863" s="265"/>
      <c r="U863" s="265"/>
      <c r="V863" s="265"/>
      <c r="W863" s="265"/>
      <c r="X863" s="193"/>
      <c r="Y863" s="193"/>
      <c r="Z863" s="193"/>
      <c r="AA863" s="193"/>
      <c r="AB863" s="193"/>
      <c r="AC863" s="193"/>
      <c r="AD863" s="193"/>
      <c r="AE863" s="193"/>
      <c r="AF863" s="3"/>
      <c r="AG863" s="3"/>
      <c r="AH863" s="3"/>
      <c r="AI863" s="3"/>
      <c r="AJ863" s="3"/>
      <c r="AK863" s="3"/>
      <c r="AL863" s="3"/>
    </row>
    <row r="864" spans="1:38" ht="14.25" customHeight="1">
      <c r="A864" s="3"/>
      <c r="B864" s="3"/>
      <c r="C864" s="3"/>
      <c r="D864" s="3"/>
      <c r="E864" s="265"/>
      <c r="F864" s="265"/>
      <c r="G864" s="265"/>
      <c r="H864" s="265"/>
      <c r="I864" s="265"/>
      <c r="J864" s="260"/>
      <c r="K864" s="3"/>
      <c r="L864" s="265"/>
      <c r="M864" s="265"/>
      <c r="N864" s="265"/>
      <c r="O864" s="265"/>
      <c r="P864" s="265"/>
      <c r="Q864" s="260"/>
      <c r="R864" s="3"/>
      <c r="S864" s="265"/>
      <c r="T864" s="265"/>
      <c r="U864" s="265"/>
      <c r="V864" s="265"/>
      <c r="W864" s="265"/>
      <c r="X864" s="193"/>
      <c r="Y864" s="193"/>
      <c r="Z864" s="193"/>
      <c r="AA864" s="193"/>
      <c r="AB864" s="193"/>
      <c r="AC864" s="193"/>
      <c r="AD864" s="193"/>
      <c r="AE864" s="193"/>
      <c r="AF864" s="3"/>
      <c r="AG864" s="3"/>
      <c r="AH864" s="3"/>
      <c r="AI864" s="3"/>
      <c r="AJ864" s="3"/>
      <c r="AK864" s="3"/>
      <c r="AL864" s="3"/>
    </row>
    <row r="865" spans="1:38" ht="14.25" customHeight="1">
      <c r="A865" s="3"/>
      <c r="B865" s="3"/>
      <c r="C865" s="3"/>
      <c r="D865" s="3"/>
      <c r="E865" s="265"/>
      <c r="F865" s="265"/>
      <c r="G865" s="265"/>
      <c r="H865" s="265"/>
      <c r="I865" s="265"/>
      <c r="J865" s="260"/>
      <c r="K865" s="3"/>
      <c r="L865" s="265"/>
      <c r="M865" s="265"/>
      <c r="N865" s="265"/>
      <c r="O865" s="265"/>
      <c r="P865" s="265"/>
      <c r="Q865" s="260"/>
      <c r="R865" s="3"/>
      <c r="S865" s="265"/>
      <c r="T865" s="265"/>
      <c r="U865" s="265"/>
      <c r="V865" s="265"/>
      <c r="W865" s="265"/>
      <c r="X865" s="193"/>
      <c r="Y865" s="193"/>
      <c r="Z865" s="193"/>
      <c r="AA865" s="193"/>
      <c r="AB865" s="193"/>
      <c r="AC865" s="193"/>
      <c r="AD865" s="193"/>
      <c r="AE865" s="193"/>
      <c r="AF865" s="3"/>
      <c r="AG865" s="3"/>
      <c r="AH865" s="3"/>
      <c r="AI865" s="3"/>
      <c r="AJ865" s="3"/>
      <c r="AK865" s="3"/>
      <c r="AL865" s="3"/>
    </row>
    <row r="866" spans="1:38" ht="14.25" customHeight="1">
      <c r="A866" s="3"/>
      <c r="B866" s="3"/>
      <c r="C866" s="3"/>
      <c r="D866" s="3"/>
      <c r="E866" s="265"/>
      <c r="F866" s="265"/>
      <c r="G866" s="265"/>
      <c r="H866" s="265"/>
      <c r="I866" s="265"/>
      <c r="J866" s="260"/>
      <c r="K866" s="3"/>
      <c r="L866" s="265"/>
      <c r="M866" s="265"/>
      <c r="N866" s="265"/>
      <c r="O866" s="265"/>
      <c r="P866" s="265"/>
      <c r="Q866" s="260"/>
      <c r="R866" s="3"/>
      <c r="S866" s="265"/>
      <c r="T866" s="265"/>
      <c r="U866" s="265"/>
      <c r="V866" s="265"/>
      <c r="W866" s="265"/>
      <c r="X866" s="193"/>
      <c r="Y866" s="193"/>
      <c r="Z866" s="193"/>
      <c r="AA866" s="193"/>
      <c r="AB866" s="193"/>
      <c r="AC866" s="193"/>
      <c r="AD866" s="193"/>
      <c r="AE866" s="193"/>
      <c r="AF866" s="3"/>
      <c r="AG866" s="3"/>
      <c r="AH866" s="3"/>
      <c r="AI866" s="3"/>
      <c r="AJ866" s="3"/>
      <c r="AK866" s="3"/>
      <c r="AL866" s="3"/>
    </row>
    <row r="867" spans="1:38" ht="14.25" customHeight="1">
      <c r="A867" s="3"/>
      <c r="B867" s="3"/>
      <c r="C867" s="3"/>
      <c r="D867" s="3"/>
      <c r="E867" s="265"/>
      <c r="F867" s="265"/>
      <c r="G867" s="265"/>
      <c r="H867" s="265"/>
      <c r="I867" s="265"/>
      <c r="J867" s="260"/>
      <c r="K867" s="3"/>
      <c r="L867" s="265"/>
      <c r="M867" s="265"/>
      <c r="N867" s="265"/>
      <c r="O867" s="265"/>
      <c r="P867" s="265"/>
      <c r="Q867" s="260"/>
      <c r="R867" s="3"/>
      <c r="S867" s="265"/>
      <c r="T867" s="265"/>
      <c r="U867" s="265"/>
      <c r="V867" s="265"/>
      <c r="W867" s="265"/>
      <c r="X867" s="193"/>
      <c r="Y867" s="193"/>
      <c r="Z867" s="193"/>
      <c r="AA867" s="193"/>
      <c r="AB867" s="193"/>
      <c r="AC867" s="193"/>
      <c r="AD867" s="193"/>
      <c r="AE867" s="193"/>
      <c r="AF867" s="3"/>
      <c r="AG867" s="3"/>
      <c r="AH867" s="3"/>
      <c r="AI867" s="3"/>
      <c r="AJ867" s="3"/>
      <c r="AK867" s="3"/>
      <c r="AL867" s="3"/>
    </row>
    <row r="868" spans="1:38" ht="14.25" customHeight="1">
      <c r="A868" s="3"/>
      <c r="B868" s="3"/>
      <c r="C868" s="3"/>
      <c r="D868" s="3"/>
      <c r="E868" s="265"/>
      <c r="F868" s="265"/>
      <c r="G868" s="265"/>
      <c r="H868" s="265"/>
      <c r="I868" s="265"/>
      <c r="J868" s="260"/>
      <c r="K868" s="3"/>
      <c r="L868" s="265"/>
      <c r="M868" s="265"/>
      <c r="N868" s="265"/>
      <c r="O868" s="265"/>
      <c r="P868" s="265"/>
      <c r="Q868" s="260"/>
      <c r="R868" s="3"/>
      <c r="S868" s="265"/>
      <c r="T868" s="265"/>
      <c r="U868" s="265"/>
      <c r="V868" s="265"/>
      <c r="W868" s="265"/>
      <c r="X868" s="193"/>
      <c r="Y868" s="193"/>
      <c r="Z868" s="193"/>
      <c r="AA868" s="193"/>
      <c r="AB868" s="193"/>
      <c r="AC868" s="193"/>
      <c r="AD868" s="193"/>
      <c r="AE868" s="193"/>
      <c r="AF868" s="3"/>
      <c r="AG868" s="3"/>
      <c r="AH868" s="3"/>
      <c r="AI868" s="3"/>
      <c r="AJ868" s="3"/>
      <c r="AK868" s="3"/>
      <c r="AL868" s="3"/>
    </row>
    <row r="869" spans="1:38" ht="14.25" customHeight="1">
      <c r="A869" s="3"/>
      <c r="B869" s="3"/>
      <c r="C869" s="3"/>
      <c r="D869" s="3"/>
      <c r="E869" s="265"/>
      <c r="F869" s="265"/>
      <c r="G869" s="265"/>
      <c r="H869" s="265"/>
      <c r="I869" s="265"/>
      <c r="J869" s="260"/>
      <c r="K869" s="3"/>
      <c r="L869" s="265"/>
      <c r="M869" s="265"/>
      <c r="N869" s="265"/>
      <c r="O869" s="265"/>
      <c r="P869" s="265"/>
      <c r="Q869" s="260"/>
      <c r="R869" s="3"/>
      <c r="S869" s="265"/>
      <c r="T869" s="265"/>
      <c r="U869" s="265"/>
      <c r="V869" s="265"/>
      <c r="W869" s="265"/>
      <c r="X869" s="193"/>
      <c r="Y869" s="193"/>
      <c r="Z869" s="193"/>
      <c r="AA869" s="193"/>
      <c r="AB869" s="193"/>
      <c r="AC869" s="193"/>
      <c r="AD869" s="193"/>
      <c r="AE869" s="193"/>
      <c r="AF869" s="3"/>
      <c r="AG869" s="3"/>
      <c r="AH869" s="3"/>
      <c r="AI869" s="3"/>
      <c r="AJ869" s="3"/>
      <c r="AK869" s="3"/>
      <c r="AL869" s="3"/>
    </row>
    <row r="870" spans="1:38" ht="14.25" customHeight="1">
      <c r="A870" s="3"/>
      <c r="B870" s="3"/>
      <c r="C870" s="3"/>
      <c r="D870" s="3"/>
      <c r="E870" s="265"/>
      <c r="F870" s="265"/>
      <c r="G870" s="265"/>
      <c r="H870" s="265"/>
      <c r="I870" s="265"/>
      <c r="J870" s="260"/>
      <c r="K870" s="3"/>
      <c r="L870" s="265"/>
      <c r="M870" s="265"/>
      <c r="N870" s="265"/>
      <c r="O870" s="265"/>
      <c r="P870" s="265"/>
      <c r="Q870" s="260"/>
      <c r="R870" s="3"/>
      <c r="S870" s="265"/>
      <c r="T870" s="265"/>
      <c r="U870" s="265"/>
      <c r="V870" s="265"/>
      <c r="W870" s="265"/>
      <c r="X870" s="193"/>
      <c r="Y870" s="193"/>
      <c r="Z870" s="193"/>
      <c r="AA870" s="193"/>
      <c r="AB870" s="193"/>
      <c r="AC870" s="193"/>
      <c r="AD870" s="193"/>
      <c r="AE870" s="193"/>
      <c r="AF870" s="3"/>
      <c r="AG870" s="3"/>
      <c r="AH870" s="3"/>
      <c r="AI870" s="3"/>
      <c r="AJ870" s="3"/>
      <c r="AK870" s="3"/>
      <c r="AL870" s="3"/>
    </row>
    <row r="871" spans="1:38" ht="14.25" customHeight="1">
      <c r="A871" s="3"/>
      <c r="B871" s="3"/>
      <c r="C871" s="3"/>
      <c r="D871" s="3"/>
      <c r="E871" s="265"/>
      <c r="F871" s="265"/>
      <c r="G871" s="265"/>
      <c r="H871" s="265"/>
      <c r="I871" s="265"/>
      <c r="J871" s="260"/>
      <c r="K871" s="3"/>
      <c r="L871" s="265"/>
      <c r="M871" s="265"/>
      <c r="N871" s="265"/>
      <c r="O871" s="265"/>
      <c r="P871" s="265"/>
      <c r="Q871" s="260"/>
      <c r="R871" s="3"/>
      <c r="S871" s="265"/>
      <c r="T871" s="265"/>
      <c r="U871" s="265"/>
      <c r="V871" s="265"/>
      <c r="W871" s="265"/>
      <c r="X871" s="193"/>
      <c r="Y871" s="193"/>
      <c r="Z871" s="193"/>
      <c r="AA871" s="193"/>
      <c r="AB871" s="193"/>
      <c r="AC871" s="193"/>
      <c r="AD871" s="193"/>
      <c r="AE871" s="193"/>
      <c r="AF871" s="3"/>
      <c r="AG871" s="3"/>
      <c r="AH871" s="3"/>
      <c r="AI871" s="3"/>
      <c r="AJ871" s="3"/>
      <c r="AK871" s="3"/>
      <c r="AL871" s="3"/>
    </row>
    <row r="872" spans="1:38" ht="14.25" customHeight="1">
      <c r="A872" s="3"/>
      <c r="B872" s="3"/>
      <c r="C872" s="3"/>
      <c r="D872" s="3"/>
      <c r="E872" s="265"/>
      <c r="F872" s="265"/>
      <c r="G872" s="265"/>
      <c r="H872" s="265"/>
      <c r="I872" s="265"/>
      <c r="J872" s="260"/>
      <c r="K872" s="3"/>
      <c r="L872" s="265"/>
      <c r="M872" s="265"/>
      <c r="N872" s="265"/>
      <c r="O872" s="265"/>
      <c r="P872" s="265"/>
      <c r="Q872" s="260"/>
      <c r="R872" s="3"/>
      <c r="S872" s="265"/>
      <c r="T872" s="265"/>
      <c r="U872" s="265"/>
      <c r="V872" s="265"/>
      <c r="W872" s="265"/>
      <c r="X872" s="193"/>
      <c r="Y872" s="193"/>
      <c r="Z872" s="193"/>
      <c r="AA872" s="193"/>
      <c r="AB872" s="193"/>
      <c r="AC872" s="193"/>
      <c r="AD872" s="193"/>
      <c r="AE872" s="193"/>
      <c r="AF872" s="3"/>
      <c r="AG872" s="3"/>
      <c r="AH872" s="3"/>
      <c r="AI872" s="3"/>
      <c r="AJ872" s="3"/>
      <c r="AK872" s="3"/>
      <c r="AL872" s="3"/>
    </row>
    <row r="873" spans="1:38" ht="14.25" customHeight="1">
      <c r="A873" s="3"/>
      <c r="B873" s="3"/>
      <c r="C873" s="3"/>
      <c r="D873" s="3"/>
      <c r="E873" s="265"/>
      <c r="F873" s="265"/>
      <c r="G873" s="265"/>
      <c r="H873" s="265"/>
      <c r="I873" s="265"/>
      <c r="J873" s="260"/>
      <c r="K873" s="3"/>
      <c r="L873" s="265"/>
      <c r="M873" s="265"/>
      <c r="N873" s="265"/>
      <c r="O873" s="265"/>
      <c r="P873" s="265"/>
      <c r="Q873" s="260"/>
      <c r="R873" s="3"/>
      <c r="S873" s="265"/>
      <c r="T873" s="265"/>
      <c r="U873" s="265"/>
      <c r="V873" s="265"/>
      <c r="W873" s="265"/>
      <c r="X873" s="193"/>
      <c r="Y873" s="193"/>
      <c r="Z873" s="193"/>
      <c r="AA873" s="193"/>
      <c r="AB873" s="193"/>
      <c r="AC873" s="193"/>
      <c r="AD873" s="193"/>
      <c r="AE873" s="193"/>
      <c r="AF873" s="3"/>
      <c r="AG873" s="3"/>
      <c r="AH873" s="3"/>
      <c r="AI873" s="3"/>
      <c r="AJ873" s="3"/>
      <c r="AK873" s="3"/>
      <c r="AL873" s="3"/>
    </row>
    <row r="874" spans="1:38" ht="14.25" customHeight="1">
      <c r="A874" s="3"/>
      <c r="B874" s="3"/>
      <c r="C874" s="3"/>
      <c r="D874" s="3"/>
      <c r="E874" s="265"/>
      <c r="F874" s="265"/>
      <c r="G874" s="265"/>
      <c r="H874" s="265"/>
      <c r="I874" s="265"/>
      <c r="J874" s="260"/>
      <c r="K874" s="3"/>
      <c r="L874" s="265"/>
      <c r="M874" s="265"/>
      <c r="N874" s="265"/>
      <c r="O874" s="265"/>
      <c r="P874" s="265"/>
      <c r="Q874" s="260"/>
      <c r="R874" s="3"/>
      <c r="S874" s="265"/>
      <c r="T874" s="265"/>
      <c r="U874" s="265"/>
      <c r="V874" s="265"/>
      <c r="W874" s="265"/>
      <c r="X874" s="193"/>
      <c r="Y874" s="193"/>
      <c r="Z874" s="193"/>
      <c r="AA874" s="193"/>
      <c r="AB874" s="193"/>
      <c r="AC874" s="193"/>
      <c r="AD874" s="193"/>
      <c r="AE874" s="193"/>
      <c r="AF874" s="3"/>
      <c r="AG874" s="3"/>
      <c r="AH874" s="3"/>
      <c r="AI874" s="3"/>
      <c r="AJ874" s="3"/>
      <c r="AK874" s="3"/>
      <c r="AL874" s="3"/>
    </row>
    <row r="875" spans="1:38" ht="14.25" customHeight="1">
      <c r="A875" s="3"/>
      <c r="B875" s="3"/>
      <c r="C875" s="3"/>
      <c r="D875" s="3"/>
      <c r="E875" s="265"/>
      <c r="F875" s="265"/>
      <c r="G875" s="265"/>
      <c r="H875" s="265"/>
      <c r="I875" s="265"/>
      <c r="J875" s="260"/>
      <c r="K875" s="3"/>
      <c r="L875" s="265"/>
      <c r="M875" s="265"/>
      <c r="N875" s="265"/>
      <c r="O875" s="265"/>
      <c r="P875" s="265"/>
      <c r="Q875" s="260"/>
      <c r="R875" s="3"/>
      <c r="S875" s="265"/>
      <c r="T875" s="265"/>
      <c r="U875" s="265"/>
      <c r="V875" s="265"/>
      <c r="W875" s="265"/>
      <c r="X875" s="193"/>
      <c r="Y875" s="193"/>
      <c r="Z875" s="193"/>
      <c r="AA875" s="193"/>
      <c r="AB875" s="193"/>
      <c r="AC875" s="193"/>
      <c r="AD875" s="193"/>
      <c r="AE875" s="193"/>
      <c r="AF875" s="3"/>
      <c r="AG875" s="3"/>
      <c r="AH875" s="3"/>
      <c r="AI875" s="3"/>
      <c r="AJ875" s="3"/>
      <c r="AK875" s="3"/>
      <c r="AL875" s="3"/>
    </row>
    <row r="876" spans="1:38" ht="14.25" customHeight="1">
      <c r="A876" s="3"/>
      <c r="B876" s="3"/>
      <c r="C876" s="3"/>
      <c r="D876" s="3"/>
      <c r="E876" s="265"/>
      <c r="F876" s="265"/>
      <c r="G876" s="265"/>
      <c r="H876" s="265"/>
      <c r="I876" s="265"/>
      <c r="J876" s="260"/>
      <c r="K876" s="3"/>
      <c r="L876" s="265"/>
      <c r="M876" s="265"/>
      <c r="N876" s="265"/>
      <c r="O876" s="265"/>
      <c r="P876" s="265"/>
      <c r="Q876" s="260"/>
      <c r="R876" s="3"/>
      <c r="S876" s="265"/>
      <c r="T876" s="265"/>
      <c r="U876" s="265"/>
      <c r="V876" s="265"/>
      <c r="W876" s="265"/>
      <c r="X876" s="193"/>
      <c r="Y876" s="193"/>
      <c r="Z876" s="193"/>
      <c r="AA876" s="193"/>
      <c r="AB876" s="193"/>
      <c r="AC876" s="193"/>
      <c r="AD876" s="193"/>
      <c r="AE876" s="193"/>
      <c r="AF876" s="3"/>
      <c r="AG876" s="3"/>
      <c r="AH876" s="3"/>
      <c r="AI876" s="3"/>
      <c r="AJ876" s="3"/>
      <c r="AK876" s="3"/>
      <c r="AL876" s="3"/>
    </row>
    <row r="877" spans="1:38" ht="14.25" customHeight="1">
      <c r="A877" s="3"/>
      <c r="B877" s="3"/>
      <c r="C877" s="3"/>
      <c r="D877" s="3"/>
      <c r="E877" s="265"/>
      <c r="F877" s="265"/>
      <c r="G877" s="265"/>
      <c r="H877" s="265"/>
      <c r="I877" s="265"/>
      <c r="J877" s="260"/>
      <c r="K877" s="3"/>
      <c r="L877" s="265"/>
      <c r="M877" s="265"/>
      <c r="N877" s="265"/>
      <c r="O877" s="265"/>
      <c r="P877" s="265"/>
      <c r="Q877" s="260"/>
      <c r="R877" s="3"/>
      <c r="S877" s="265"/>
      <c r="T877" s="265"/>
      <c r="U877" s="265"/>
      <c r="V877" s="265"/>
      <c r="W877" s="265"/>
      <c r="X877" s="193"/>
      <c r="Y877" s="193"/>
      <c r="Z877" s="193"/>
      <c r="AA877" s="193"/>
      <c r="AB877" s="193"/>
      <c r="AC877" s="193"/>
      <c r="AD877" s="193"/>
      <c r="AE877" s="193"/>
      <c r="AF877" s="3"/>
      <c r="AG877" s="3"/>
      <c r="AH877" s="3"/>
      <c r="AI877" s="3"/>
      <c r="AJ877" s="3"/>
      <c r="AK877" s="3"/>
      <c r="AL877" s="3"/>
    </row>
    <row r="878" spans="1:38" ht="14.25" customHeight="1">
      <c r="A878" s="3"/>
      <c r="B878" s="3"/>
      <c r="C878" s="3"/>
      <c r="D878" s="3"/>
      <c r="E878" s="265"/>
      <c r="F878" s="265"/>
      <c r="G878" s="265"/>
      <c r="H878" s="265"/>
      <c r="I878" s="265"/>
      <c r="J878" s="260"/>
      <c r="K878" s="3"/>
      <c r="L878" s="265"/>
      <c r="M878" s="265"/>
      <c r="N878" s="265"/>
      <c r="O878" s="265"/>
      <c r="P878" s="265"/>
      <c r="Q878" s="260"/>
      <c r="R878" s="3"/>
      <c r="S878" s="265"/>
      <c r="T878" s="265"/>
      <c r="U878" s="265"/>
      <c r="V878" s="265"/>
      <c r="W878" s="265"/>
      <c r="X878" s="193"/>
      <c r="Y878" s="193"/>
      <c r="Z878" s="193"/>
      <c r="AA878" s="193"/>
      <c r="AB878" s="193"/>
      <c r="AC878" s="193"/>
      <c r="AD878" s="193"/>
      <c r="AE878" s="193"/>
      <c r="AF878" s="3"/>
      <c r="AG878" s="3"/>
      <c r="AH878" s="3"/>
      <c r="AI878" s="3"/>
      <c r="AJ878" s="3"/>
      <c r="AK878" s="3"/>
      <c r="AL878" s="3"/>
    </row>
    <row r="879" spans="1:38" ht="14.25" customHeight="1">
      <c r="A879" s="3"/>
      <c r="B879" s="3"/>
      <c r="C879" s="3"/>
      <c r="D879" s="3"/>
      <c r="E879" s="265"/>
      <c r="F879" s="265"/>
      <c r="G879" s="265"/>
      <c r="H879" s="265"/>
      <c r="I879" s="265"/>
      <c r="J879" s="260"/>
      <c r="K879" s="3"/>
      <c r="L879" s="265"/>
      <c r="M879" s="265"/>
      <c r="N879" s="265"/>
      <c r="O879" s="265"/>
      <c r="P879" s="265"/>
      <c r="Q879" s="260"/>
      <c r="R879" s="3"/>
      <c r="S879" s="265"/>
      <c r="T879" s="265"/>
      <c r="U879" s="265"/>
      <c r="V879" s="265"/>
      <c r="W879" s="265"/>
      <c r="X879" s="193"/>
      <c r="Y879" s="193"/>
      <c r="Z879" s="193"/>
      <c r="AA879" s="193"/>
      <c r="AB879" s="193"/>
      <c r="AC879" s="193"/>
      <c r="AD879" s="193"/>
      <c r="AE879" s="193"/>
      <c r="AF879" s="3"/>
      <c r="AG879" s="3"/>
      <c r="AH879" s="3"/>
      <c r="AI879" s="3"/>
      <c r="AJ879" s="3"/>
      <c r="AK879" s="3"/>
      <c r="AL879" s="3"/>
    </row>
    <row r="880" spans="1:38" ht="14.25" customHeight="1">
      <c r="A880" s="3"/>
      <c r="B880" s="3"/>
      <c r="C880" s="3"/>
      <c r="D880" s="3"/>
      <c r="E880" s="265"/>
      <c r="F880" s="265"/>
      <c r="G880" s="265"/>
      <c r="H880" s="265"/>
      <c r="I880" s="265"/>
      <c r="J880" s="260"/>
      <c r="K880" s="3"/>
      <c r="L880" s="265"/>
      <c r="M880" s="265"/>
      <c r="N880" s="265"/>
      <c r="O880" s="265"/>
      <c r="P880" s="265"/>
      <c r="Q880" s="260"/>
      <c r="R880" s="3"/>
      <c r="S880" s="265"/>
      <c r="T880" s="265"/>
      <c r="U880" s="265"/>
      <c r="V880" s="265"/>
      <c r="W880" s="265"/>
      <c r="X880" s="193"/>
      <c r="Y880" s="193"/>
      <c r="Z880" s="193"/>
      <c r="AA880" s="193"/>
      <c r="AB880" s="193"/>
      <c r="AC880" s="193"/>
      <c r="AD880" s="193"/>
      <c r="AE880" s="193"/>
      <c r="AF880" s="3"/>
      <c r="AG880" s="3"/>
      <c r="AH880" s="3"/>
      <c r="AI880" s="3"/>
      <c r="AJ880" s="3"/>
      <c r="AK880" s="3"/>
      <c r="AL880" s="3"/>
    </row>
    <row r="881" spans="1:38" ht="14.25" customHeight="1">
      <c r="A881" s="3"/>
      <c r="B881" s="3"/>
      <c r="C881" s="3"/>
      <c r="D881" s="3"/>
      <c r="E881" s="265"/>
      <c r="F881" s="265"/>
      <c r="G881" s="265"/>
      <c r="H881" s="265"/>
      <c r="I881" s="265"/>
      <c r="J881" s="260"/>
      <c r="K881" s="3"/>
      <c r="L881" s="265"/>
      <c r="M881" s="265"/>
      <c r="N881" s="265"/>
      <c r="O881" s="265"/>
      <c r="P881" s="265"/>
      <c r="Q881" s="260"/>
      <c r="R881" s="3"/>
      <c r="S881" s="265"/>
      <c r="T881" s="265"/>
      <c r="U881" s="265"/>
      <c r="V881" s="265"/>
      <c r="W881" s="265"/>
      <c r="X881" s="193"/>
      <c r="Y881" s="193"/>
      <c r="Z881" s="193"/>
      <c r="AA881" s="193"/>
      <c r="AB881" s="193"/>
      <c r="AC881" s="193"/>
      <c r="AD881" s="193"/>
      <c r="AE881" s="193"/>
      <c r="AF881" s="3"/>
      <c r="AG881" s="3"/>
      <c r="AH881" s="3"/>
      <c r="AI881" s="3"/>
      <c r="AJ881" s="3"/>
      <c r="AK881" s="3"/>
      <c r="AL881" s="3"/>
    </row>
    <row r="882" spans="1:38" ht="14.25" customHeight="1">
      <c r="A882" s="3"/>
      <c r="B882" s="3"/>
      <c r="C882" s="3"/>
      <c r="D882" s="3"/>
      <c r="E882" s="265"/>
      <c r="F882" s="265"/>
      <c r="G882" s="265"/>
      <c r="H882" s="265"/>
      <c r="I882" s="265"/>
      <c r="J882" s="260"/>
      <c r="K882" s="3"/>
      <c r="L882" s="265"/>
      <c r="M882" s="265"/>
      <c r="N882" s="265"/>
      <c r="O882" s="265"/>
      <c r="P882" s="265"/>
      <c r="Q882" s="260"/>
      <c r="R882" s="3"/>
      <c r="S882" s="265"/>
      <c r="T882" s="265"/>
      <c r="U882" s="265"/>
      <c r="V882" s="265"/>
      <c r="W882" s="265"/>
      <c r="X882" s="193"/>
      <c r="Y882" s="193"/>
      <c r="Z882" s="193"/>
      <c r="AA882" s="193"/>
      <c r="AB882" s="193"/>
      <c r="AC882" s="193"/>
      <c r="AD882" s="193"/>
      <c r="AE882" s="193"/>
      <c r="AF882" s="3"/>
      <c r="AG882" s="3"/>
      <c r="AH882" s="3"/>
      <c r="AI882" s="3"/>
      <c r="AJ882" s="3"/>
      <c r="AK882" s="3"/>
      <c r="AL882" s="3"/>
    </row>
    <row r="883" spans="1:38" ht="14.25" customHeight="1">
      <c r="A883" s="3"/>
      <c r="B883" s="3"/>
      <c r="C883" s="3"/>
      <c r="D883" s="3"/>
      <c r="E883" s="265"/>
      <c r="F883" s="265"/>
      <c r="G883" s="265"/>
      <c r="H883" s="265"/>
      <c r="I883" s="265"/>
      <c r="J883" s="260"/>
      <c r="K883" s="3"/>
      <c r="L883" s="265"/>
      <c r="M883" s="265"/>
      <c r="N883" s="265"/>
      <c r="O883" s="265"/>
      <c r="P883" s="265"/>
      <c r="Q883" s="260"/>
      <c r="R883" s="3"/>
      <c r="S883" s="265"/>
      <c r="T883" s="265"/>
      <c r="U883" s="265"/>
      <c r="V883" s="265"/>
      <c r="W883" s="265"/>
      <c r="X883" s="193"/>
      <c r="Y883" s="193"/>
      <c r="Z883" s="193"/>
      <c r="AA883" s="193"/>
      <c r="AB883" s="193"/>
      <c r="AC883" s="193"/>
      <c r="AD883" s="193"/>
      <c r="AE883" s="193"/>
      <c r="AF883" s="3"/>
      <c r="AG883" s="3"/>
      <c r="AH883" s="3"/>
      <c r="AI883" s="3"/>
      <c r="AJ883" s="3"/>
      <c r="AK883" s="3"/>
      <c r="AL883" s="3"/>
    </row>
    <row r="884" spans="1:38" ht="14.25" customHeight="1">
      <c r="A884" s="3"/>
      <c r="B884" s="3"/>
      <c r="C884" s="3"/>
      <c r="D884" s="3"/>
      <c r="E884" s="265"/>
      <c r="F884" s="265"/>
      <c r="G884" s="265"/>
      <c r="H884" s="265"/>
      <c r="I884" s="265"/>
      <c r="J884" s="260"/>
      <c r="K884" s="3"/>
      <c r="L884" s="265"/>
      <c r="M884" s="265"/>
      <c r="N884" s="265"/>
      <c r="O884" s="265"/>
      <c r="P884" s="265"/>
      <c r="Q884" s="260"/>
      <c r="R884" s="3"/>
      <c r="S884" s="265"/>
      <c r="T884" s="265"/>
      <c r="U884" s="265"/>
      <c r="V884" s="265"/>
      <c r="W884" s="265"/>
      <c r="X884" s="193"/>
      <c r="Y884" s="193"/>
      <c r="Z884" s="193"/>
      <c r="AA884" s="193"/>
      <c r="AB884" s="193"/>
      <c r="AC884" s="193"/>
      <c r="AD884" s="193"/>
      <c r="AE884" s="193"/>
      <c r="AF884" s="3"/>
      <c r="AG884" s="3"/>
      <c r="AH884" s="3"/>
      <c r="AI884" s="3"/>
      <c r="AJ884" s="3"/>
      <c r="AK884" s="3"/>
      <c r="AL884" s="3"/>
    </row>
    <row r="885" spans="1:38" ht="14.25" customHeight="1">
      <c r="A885" s="3"/>
      <c r="B885" s="3"/>
      <c r="C885" s="3"/>
      <c r="D885" s="3"/>
      <c r="E885" s="265"/>
      <c r="F885" s="265"/>
      <c r="G885" s="265"/>
      <c r="H885" s="265"/>
      <c r="I885" s="265"/>
      <c r="J885" s="260"/>
      <c r="K885" s="3"/>
      <c r="L885" s="265"/>
      <c r="M885" s="265"/>
      <c r="N885" s="265"/>
      <c r="O885" s="265"/>
      <c r="P885" s="265"/>
      <c r="Q885" s="260"/>
      <c r="R885" s="3"/>
      <c r="S885" s="265"/>
      <c r="T885" s="265"/>
      <c r="U885" s="265"/>
      <c r="V885" s="265"/>
      <c r="W885" s="265"/>
      <c r="X885" s="193"/>
      <c r="Y885" s="193"/>
      <c r="Z885" s="193"/>
      <c r="AA885" s="193"/>
      <c r="AB885" s="193"/>
      <c r="AC885" s="193"/>
      <c r="AD885" s="193"/>
      <c r="AE885" s="193"/>
      <c r="AF885" s="3"/>
      <c r="AG885" s="3"/>
      <c r="AH885" s="3"/>
      <c r="AI885" s="3"/>
      <c r="AJ885" s="3"/>
      <c r="AK885" s="3"/>
      <c r="AL885" s="3"/>
    </row>
    <row r="886" spans="1:38" ht="14.25" customHeight="1">
      <c r="A886" s="3"/>
      <c r="B886" s="3"/>
      <c r="C886" s="3"/>
      <c r="D886" s="3"/>
      <c r="E886" s="265"/>
      <c r="F886" s="265"/>
      <c r="G886" s="265"/>
      <c r="H886" s="265"/>
      <c r="I886" s="265"/>
      <c r="J886" s="260"/>
      <c r="K886" s="3"/>
      <c r="L886" s="265"/>
      <c r="M886" s="265"/>
      <c r="N886" s="265"/>
      <c r="O886" s="265"/>
      <c r="P886" s="265"/>
      <c r="Q886" s="260"/>
      <c r="R886" s="3"/>
      <c r="S886" s="265"/>
      <c r="T886" s="265"/>
      <c r="U886" s="265"/>
      <c r="V886" s="265"/>
      <c r="W886" s="265"/>
      <c r="X886" s="193"/>
      <c r="Y886" s="193"/>
      <c r="Z886" s="193"/>
      <c r="AA886" s="193"/>
      <c r="AB886" s="193"/>
      <c r="AC886" s="193"/>
      <c r="AD886" s="193"/>
      <c r="AE886" s="193"/>
      <c r="AF886" s="3"/>
      <c r="AG886" s="3"/>
      <c r="AH886" s="3"/>
      <c r="AI886" s="3"/>
      <c r="AJ886" s="3"/>
      <c r="AK886" s="3"/>
      <c r="AL886" s="3"/>
    </row>
    <row r="887" spans="1:38" ht="14.25" customHeight="1">
      <c r="A887" s="3"/>
      <c r="B887" s="3"/>
      <c r="C887" s="3"/>
      <c r="D887" s="3"/>
      <c r="E887" s="265"/>
      <c r="F887" s="265"/>
      <c r="G887" s="265"/>
      <c r="H887" s="265"/>
      <c r="I887" s="265"/>
      <c r="J887" s="260"/>
      <c r="K887" s="3"/>
      <c r="L887" s="265"/>
      <c r="M887" s="265"/>
      <c r="N887" s="265"/>
      <c r="O887" s="265"/>
      <c r="P887" s="265"/>
      <c r="Q887" s="260"/>
      <c r="R887" s="3"/>
      <c r="S887" s="265"/>
      <c r="T887" s="265"/>
      <c r="U887" s="265"/>
      <c r="V887" s="265"/>
      <c r="W887" s="265"/>
      <c r="X887" s="193"/>
      <c r="Y887" s="193"/>
      <c r="Z887" s="193"/>
      <c r="AA887" s="193"/>
      <c r="AB887" s="193"/>
      <c r="AC887" s="193"/>
      <c r="AD887" s="193"/>
      <c r="AE887" s="193"/>
      <c r="AF887" s="3"/>
      <c r="AG887" s="3"/>
      <c r="AH887" s="3"/>
      <c r="AI887" s="3"/>
      <c r="AJ887" s="3"/>
      <c r="AK887" s="3"/>
      <c r="AL887" s="3"/>
    </row>
    <row r="888" spans="1:38" ht="14.25" customHeight="1">
      <c r="A888" s="3"/>
      <c r="B888" s="3"/>
      <c r="C888" s="3"/>
      <c r="D888" s="3"/>
      <c r="E888" s="265"/>
      <c r="F888" s="265"/>
      <c r="G888" s="265"/>
      <c r="H888" s="265"/>
      <c r="I888" s="265"/>
      <c r="J888" s="260"/>
      <c r="K888" s="3"/>
      <c r="L888" s="265"/>
      <c r="M888" s="265"/>
      <c r="N888" s="265"/>
      <c r="O888" s="265"/>
      <c r="P888" s="265"/>
      <c r="Q888" s="260"/>
      <c r="R888" s="3"/>
      <c r="S888" s="265"/>
      <c r="T888" s="265"/>
      <c r="U888" s="265"/>
      <c r="V888" s="265"/>
      <c r="W888" s="265"/>
      <c r="X888" s="193"/>
      <c r="Y888" s="193"/>
      <c r="Z888" s="193"/>
      <c r="AA888" s="193"/>
      <c r="AB888" s="193"/>
      <c r="AC888" s="193"/>
      <c r="AD888" s="193"/>
      <c r="AE888" s="193"/>
      <c r="AF888" s="3"/>
      <c r="AG888" s="3"/>
      <c r="AH888" s="3"/>
      <c r="AI888" s="3"/>
      <c r="AJ888" s="3"/>
      <c r="AK888" s="3"/>
      <c r="AL888" s="3"/>
    </row>
    <row r="889" spans="1:38" ht="14.25" customHeight="1">
      <c r="A889" s="3"/>
      <c r="B889" s="3"/>
      <c r="C889" s="3"/>
      <c r="D889" s="3"/>
      <c r="E889" s="265"/>
      <c r="F889" s="265"/>
      <c r="G889" s="265"/>
      <c r="H889" s="265"/>
      <c r="I889" s="265"/>
      <c r="J889" s="260"/>
      <c r="K889" s="3"/>
      <c r="L889" s="265"/>
      <c r="M889" s="265"/>
      <c r="N889" s="265"/>
      <c r="O889" s="265"/>
      <c r="P889" s="265"/>
      <c r="Q889" s="260"/>
      <c r="R889" s="3"/>
      <c r="S889" s="265"/>
      <c r="T889" s="265"/>
      <c r="U889" s="265"/>
      <c r="V889" s="265"/>
      <c r="W889" s="265"/>
      <c r="X889" s="193"/>
      <c r="Y889" s="193"/>
      <c r="Z889" s="193"/>
      <c r="AA889" s="193"/>
      <c r="AB889" s="193"/>
      <c r="AC889" s="193"/>
      <c r="AD889" s="193"/>
      <c r="AE889" s="193"/>
      <c r="AF889" s="3"/>
      <c r="AG889" s="3"/>
      <c r="AH889" s="3"/>
      <c r="AI889" s="3"/>
      <c r="AJ889" s="3"/>
      <c r="AK889" s="3"/>
      <c r="AL889" s="3"/>
    </row>
    <row r="890" spans="1:38" ht="14.25" customHeight="1">
      <c r="A890" s="3"/>
      <c r="B890" s="3"/>
      <c r="C890" s="3"/>
      <c r="D890" s="3"/>
      <c r="E890" s="265"/>
      <c r="F890" s="265"/>
      <c r="G890" s="265"/>
      <c r="H890" s="265"/>
      <c r="I890" s="265"/>
      <c r="J890" s="260"/>
      <c r="K890" s="3"/>
      <c r="L890" s="265"/>
      <c r="M890" s="265"/>
      <c r="N890" s="265"/>
      <c r="O890" s="265"/>
      <c r="P890" s="265"/>
      <c r="Q890" s="260"/>
      <c r="R890" s="3"/>
      <c r="S890" s="265"/>
      <c r="T890" s="265"/>
      <c r="U890" s="265"/>
      <c r="V890" s="265"/>
      <c r="W890" s="265"/>
      <c r="X890" s="193"/>
      <c r="Y890" s="193"/>
      <c r="Z890" s="193"/>
      <c r="AA890" s="193"/>
      <c r="AB890" s="193"/>
      <c r="AC890" s="193"/>
      <c r="AD890" s="193"/>
      <c r="AE890" s="193"/>
      <c r="AF890" s="3"/>
      <c r="AG890" s="3"/>
      <c r="AH890" s="3"/>
      <c r="AI890" s="3"/>
      <c r="AJ890" s="3"/>
      <c r="AK890" s="3"/>
      <c r="AL890" s="3"/>
    </row>
    <row r="891" spans="1:38" ht="14.25" customHeight="1">
      <c r="A891" s="3"/>
      <c r="B891" s="3"/>
      <c r="C891" s="3"/>
      <c r="D891" s="3"/>
      <c r="E891" s="265"/>
      <c r="F891" s="265"/>
      <c r="G891" s="265"/>
      <c r="H891" s="265"/>
      <c r="I891" s="265"/>
      <c r="J891" s="260"/>
      <c r="K891" s="3"/>
      <c r="L891" s="265"/>
      <c r="M891" s="265"/>
      <c r="N891" s="265"/>
      <c r="O891" s="265"/>
      <c r="P891" s="265"/>
      <c r="Q891" s="260"/>
      <c r="R891" s="3"/>
      <c r="S891" s="265"/>
      <c r="T891" s="265"/>
      <c r="U891" s="265"/>
      <c r="V891" s="265"/>
      <c r="W891" s="265"/>
      <c r="X891" s="193"/>
      <c r="Y891" s="193"/>
      <c r="Z891" s="193"/>
      <c r="AA891" s="193"/>
      <c r="AB891" s="193"/>
      <c r="AC891" s="193"/>
      <c r="AD891" s="193"/>
      <c r="AE891" s="193"/>
      <c r="AF891" s="3"/>
      <c r="AG891" s="3"/>
      <c r="AH891" s="3"/>
      <c r="AI891" s="3"/>
      <c r="AJ891" s="3"/>
      <c r="AK891" s="3"/>
      <c r="AL891" s="3"/>
    </row>
    <row r="892" spans="1:38" ht="14.25" customHeight="1">
      <c r="A892" s="3"/>
      <c r="B892" s="3"/>
      <c r="C892" s="3"/>
      <c r="D892" s="3"/>
      <c r="E892" s="265"/>
      <c r="F892" s="265"/>
      <c r="G892" s="265"/>
      <c r="H892" s="265"/>
      <c r="I892" s="265"/>
      <c r="J892" s="260"/>
      <c r="K892" s="3"/>
      <c r="L892" s="265"/>
      <c r="M892" s="265"/>
      <c r="N892" s="265"/>
      <c r="O892" s="265"/>
      <c r="P892" s="265"/>
      <c r="Q892" s="260"/>
      <c r="R892" s="3"/>
      <c r="S892" s="265"/>
      <c r="T892" s="265"/>
      <c r="U892" s="265"/>
      <c r="V892" s="265"/>
      <c r="W892" s="265"/>
      <c r="X892" s="193"/>
      <c r="Y892" s="193"/>
      <c r="Z892" s="193"/>
      <c r="AA892" s="193"/>
      <c r="AB892" s="193"/>
      <c r="AC892" s="193"/>
      <c r="AD892" s="193"/>
      <c r="AE892" s="193"/>
      <c r="AF892" s="3"/>
      <c r="AG892" s="3"/>
      <c r="AH892" s="3"/>
      <c r="AI892" s="3"/>
      <c r="AJ892" s="3"/>
      <c r="AK892" s="3"/>
      <c r="AL892" s="3"/>
    </row>
    <row r="893" spans="1:38" ht="14.25" customHeight="1">
      <c r="A893" s="3"/>
      <c r="B893" s="3"/>
      <c r="C893" s="3"/>
      <c r="D893" s="3"/>
      <c r="E893" s="265"/>
      <c r="F893" s="265"/>
      <c r="G893" s="265"/>
      <c r="H893" s="265"/>
      <c r="I893" s="265"/>
      <c r="J893" s="260"/>
      <c r="K893" s="3"/>
      <c r="L893" s="265"/>
      <c r="M893" s="265"/>
      <c r="N893" s="265"/>
      <c r="O893" s="265"/>
      <c r="P893" s="265"/>
      <c r="Q893" s="260"/>
      <c r="R893" s="3"/>
      <c r="S893" s="265"/>
      <c r="T893" s="265"/>
      <c r="U893" s="265"/>
      <c r="V893" s="265"/>
      <c r="W893" s="265"/>
      <c r="X893" s="193"/>
      <c r="Y893" s="193"/>
      <c r="Z893" s="193"/>
      <c r="AA893" s="193"/>
      <c r="AB893" s="193"/>
      <c r="AC893" s="193"/>
      <c r="AD893" s="193"/>
      <c r="AE893" s="193"/>
      <c r="AF893" s="3"/>
      <c r="AG893" s="3"/>
      <c r="AH893" s="3"/>
      <c r="AI893" s="3"/>
      <c r="AJ893" s="3"/>
      <c r="AK893" s="3"/>
      <c r="AL893" s="3"/>
    </row>
    <row r="894" spans="1:38" ht="14.25" customHeight="1">
      <c r="A894" s="3"/>
      <c r="B894" s="3"/>
      <c r="C894" s="3"/>
      <c r="D894" s="3"/>
      <c r="E894" s="265"/>
      <c r="F894" s="265"/>
      <c r="G894" s="265"/>
      <c r="H894" s="265"/>
      <c r="I894" s="265"/>
      <c r="J894" s="260"/>
      <c r="K894" s="3"/>
      <c r="L894" s="265"/>
      <c r="M894" s="265"/>
      <c r="N894" s="265"/>
      <c r="O894" s="265"/>
      <c r="P894" s="265"/>
      <c r="Q894" s="260"/>
      <c r="R894" s="3"/>
      <c r="S894" s="265"/>
      <c r="T894" s="265"/>
      <c r="U894" s="265"/>
      <c r="V894" s="265"/>
      <c r="W894" s="265"/>
      <c r="X894" s="193"/>
      <c r="Y894" s="193"/>
      <c r="Z894" s="193"/>
      <c r="AA894" s="193"/>
      <c r="AB894" s="193"/>
      <c r="AC894" s="193"/>
      <c r="AD894" s="193"/>
      <c r="AE894" s="193"/>
      <c r="AF894" s="3"/>
      <c r="AG894" s="3"/>
      <c r="AH894" s="3"/>
      <c r="AI894" s="3"/>
      <c r="AJ894" s="3"/>
      <c r="AK894" s="3"/>
      <c r="AL894" s="3"/>
    </row>
    <row r="895" spans="1:38" ht="14.25" customHeight="1">
      <c r="A895" s="3"/>
      <c r="B895" s="3"/>
      <c r="C895" s="3"/>
      <c r="D895" s="3"/>
      <c r="E895" s="265"/>
      <c r="F895" s="265"/>
      <c r="G895" s="265"/>
      <c r="H895" s="265"/>
      <c r="I895" s="265"/>
      <c r="J895" s="260"/>
      <c r="K895" s="3"/>
      <c r="L895" s="265"/>
      <c r="M895" s="265"/>
      <c r="N895" s="265"/>
      <c r="O895" s="265"/>
      <c r="P895" s="265"/>
      <c r="Q895" s="260"/>
      <c r="R895" s="3"/>
      <c r="S895" s="265"/>
      <c r="T895" s="265"/>
      <c r="U895" s="265"/>
      <c r="V895" s="265"/>
      <c r="W895" s="265"/>
      <c r="X895" s="193"/>
      <c r="Y895" s="193"/>
      <c r="Z895" s="193"/>
      <c r="AA895" s="193"/>
      <c r="AB895" s="193"/>
      <c r="AC895" s="193"/>
      <c r="AD895" s="193"/>
      <c r="AE895" s="193"/>
      <c r="AF895" s="3"/>
      <c r="AG895" s="3"/>
      <c r="AH895" s="3"/>
      <c r="AI895" s="3"/>
      <c r="AJ895" s="3"/>
      <c r="AK895" s="3"/>
      <c r="AL895" s="3"/>
    </row>
    <row r="896" spans="1:38" ht="14.25" customHeight="1">
      <c r="A896" s="3"/>
      <c r="B896" s="3"/>
      <c r="C896" s="3"/>
      <c r="D896" s="3"/>
      <c r="E896" s="265"/>
      <c r="F896" s="265"/>
      <c r="G896" s="265"/>
      <c r="H896" s="265"/>
      <c r="I896" s="265"/>
      <c r="J896" s="260"/>
      <c r="K896" s="3"/>
      <c r="L896" s="265"/>
      <c r="M896" s="265"/>
      <c r="N896" s="265"/>
      <c r="O896" s="265"/>
      <c r="P896" s="265"/>
      <c r="Q896" s="260"/>
      <c r="R896" s="3"/>
      <c r="S896" s="265"/>
      <c r="T896" s="265"/>
      <c r="U896" s="265"/>
      <c r="V896" s="265"/>
      <c r="W896" s="265"/>
      <c r="X896" s="193"/>
      <c r="Y896" s="193"/>
      <c r="Z896" s="193"/>
      <c r="AA896" s="193"/>
      <c r="AB896" s="193"/>
      <c r="AC896" s="193"/>
      <c r="AD896" s="193"/>
      <c r="AE896" s="193"/>
      <c r="AF896" s="3"/>
      <c r="AG896" s="3"/>
      <c r="AH896" s="3"/>
      <c r="AI896" s="3"/>
      <c r="AJ896" s="3"/>
      <c r="AK896" s="3"/>
      <c r="AL896" s="3"/>
    </row>
    <row r="897" spans="1:38" ht="14.25" customHeight="1">
      <c r="A897" s="3"/>
      <c r="B897" s="3"/>
      <c r="C897" s="3"/>
      <c r="D897" s="3"/>
      <c r="E897" s="265"/>
      <c r="F897" s="265"/>
      <c r="G897" s="265"/>
      <c r="H897" s="265"/>
      <c r="I897" s="265"/>
      <c r="J897" s="260"/>
      <c r="K897" s="3"/>
      <c r="L897" s="265"/>
      <c r="M897" s="265"/>
      <c r="N897" s="265"/>
      <c r="O897" s="265"/>
      <c r="P897" s="265"/>
      <c r="Q897" s="260"/>
      <c r="R897" s="3"/>
      <c r="S897" s="265"/>
      <c r="T897" s="265"/>
      <c r="U897" s="265"/>
      <c r="V897" s="265"/>
      <c r="W897" s="265"/>
      <c r="X897" s="193"/>
      <c r="Y897" s="193"/>
      <c r="Z897" s="193"/>
      <c r="AA897" s="193"/>
      <c r="AB897" s="193"/>
      <c r="AC897" s="193"/>
      <c r="AD897" s="193"/>
      <c r="AE897" s="193"/>
      <c r="AF897" s="3"/>
      <c r="AG897" s="3"/>
      <c r="AH897" s="3"/>
      <c r="AI897" s="3"/>
      <c r="AJ897" s="3"/>
      <c r="AK897" s="3"/>
      <c r="AL897" s="3"/>
    </row>
    <row r="898" spans="1:38" ht="14.25" customHeight="1">
      <c r="A898" s="3"/>
      <c r="B898" s="3"/>
      <c r="C898" s="3"/>
      <c r="D898" s="3"/>
      <c r="E898" s="265"/>
      <c r="F898" s="265"/>
      <c r="G898" s="265"/>
      <c r="H898" s="265"/>
      <c r="I898" s="265"/>
      <c r="J898" s="260"/>
      <c r="K898" s="3"/>
      <c r="L898" s="265"/>
      <c r="M898" s="265"/>
      <c r="N898" s="265"/>
      <c r="O898" s="265"/>
      <c r="P898" s="265"/>
      <c r="Q898" s="260"/>
      <c r="R898" s="3"/>
      <c r="S898" s="265"/>
      <c r="T898" s="265"/>
      <c r="U898" s="265"/>
      <c r="V898" s="265"/>
      <c r="W898" s="265"/>
      <c r="X898" s="193"/>
      <c r="Y898" s="193"/>
      <c r="Z898" s="193"/>
      <c r="AA898" s="193"/>
      <c r="AB898" s="193"/>
      <c r="AC898" s="193"/>
      <c r="AD898" s="193"/>
      <c r="AE898" s="193"/>
      <c r="AF898" s="3"/>
      <c r="AG898" s="3"/>
      <c r="AH898" s="3"/>
      <c r="AI898" s="3"/>
      <c r="AJ898" s="3"/>
      <c r="AK898" s="3"/>
      <c r="AL898" s="3"/>
    </row>
    <row r="899" spans="1:38" ht="14.25" customHeight="1">
      <c r="A899" s="3"/>
      <c r="B899" s="3"/>
      <c r="C899" s="3"/>
      <c r="D899" s="3"/>
      <c r="E899" s="265"/>
      <c r="F899" s="265"/>
      <c r="G899" s="265"/>
      <c r="H899" s="265"/>
      <c r="I899" s="265"/>
      <c r="J899" s="260"/>
      <c r="K899" s="3"/>
      <c r="L899" s="265"/>
      <c r="M899" s="265"/>
      <c r="N899" s="265"/>
      <c r="O899" s="265"/>
      <c r="P899" s="265"/>
      <c r="Q899" s="260"/>
      <c r="R899" s="3"/>
      <c r="S899" s="265"/>
      <c r="T899" s="265"/>
      <c r="U899" s="265"/>
      <c r="V899" s="265"/>
      <c r="W899" s="265"/>
      <c r="X899" s="193"/>
      <c r="Y899" s="193"/>
      <c r="Z899" s="193"/>
      <c r="AA899" s="193"/>
      <c r="AB899" s="193"/>
      <c r="AC899" s="193"/>
      <c r="AD899" s="193"/>
      <c r="AE899" s="193"/>
      <c r="AF899" s="3"/>
      <c r="AG899" s="3"/>
      <c r="AH899" s="3"/>
      <c r="AI899" s="3"/>
      <c r="AJ899" s="3"/>
      <c r="AK899" s="3"/>
      <c r="AL899" s="3"/>
    </row>
    <row r="900" spans="1:38" ht="14.25" customHeight="1">
      <c r="A900" s="3"/>
      <c r="B900" s="3"/>
      <c r="C900" s="3"/>
      <c r="D900" s="3"/>
      <c r="E900" s="265"/>
      <c r="F900" s="265"/>
      <c r="G900" s="265"/>
      <c r="H900" s="265"/>
      <c r="I900" s="265"/>
      <c r="J900" s="260"/>
      <c r="K900" s="3"/>
      <c r="L900" s="265"/>
      <c r="M900" s="265"/>
      <c r="N900" s="265"/>
      <c r="O900" s="265"/>
      <c r="P900" s="265"/>
      <c r="Q900" s="260"/>
      <c r="R900" s="3"/>
      <c r="S900" s="265"/>
      <c r="T900" s="265"/>
      <c r="U900" s="265"/>
      <c r="V900" s="265"/>
      <c r="W900" s="265"/>
      <c r="X900" s="193"/>
      <c r="Y900" s="193"/>
      <c r="Z900" s="193"/>
      <c r="AA900" s="193"/>
      <c r="AB900" s="193"/>
      <c r="AC900" s="193"/>
      <c r="AD900" s="193"/>
      <c r="AE900" s="193"/>
      <c r="AF900" s="3"/>
      <c r="AG900" s="3"/>
      <c r="AH900" s="3"/>
      <c r="AI900" s="3"/>
      <c r="AJ900" s="3"/>
      <c r="AK900" s="3"/>
      <c r="AL900" s="3"/>
    </row>
    <row r="901" spans="1:38" ht="14.25" customHeight="1">
      <c r="A901" s="3"/>
      <c r="B901" s="3"/>
      <c r="C901" s="3"/>
      <c r="D901" s="3"/>
      <c r="E901" s="265"/>
      <c r="F901" s="265"/>
      <c r="G901" s="265"/>
      <c r="H901" s="265"/>
      <c r="I901" s="265"/>
      <c r="J901" s="260"/>
      <c r="K901" s="3"/>
      <c r="L901" s="265"/>
      <c r="M901" s="265"/>
      <c r="N901" s="265"/>
      <c r="O901" s="265"/>
      <c r="P901" s="265"/>
      <c r="Q901" s="260"/>
      <c r="R901" s="3"/>
      <c r="S901" s="265"/>
      <c r="T901" s="265"/>
      <c r="U901" s="265"/>
      <c r="V901" s="265"/>
      <c r="W901" s="265"/>
      <c r="X901" s="193"/>
      <c r="Y901" s="193"/>
      <c r="Z901" s="193"/>
      <c r="AA901" s="193"/>
      <c r="AB901" s="193"/>
      <c r="AC901" s="193"/>
      <c r="AD901" s="193"/>
      <c r="AE901" s="193"/>
      <c r="AF901" s="3"/>
      <c r="AG901" s="3"/>
      <c r="AH901" s="3"/>
      <c r="AI901" s="3"/>
      <c r="AJ901" s="3"/>
      <c r="AK901" s="3"/>
      <c r="AL901" s="3"/>
    </row>
    <row r="902" spans="1:38" ht="14.25" customHeight="1">
      <c r="A902" s="3"/>
      <c r="B902" s="3"/>
      <c r="C902" s="3"/>
      <c r="D902" s="3"/>
      <c r="E902" s="265"/>
      <c r="F902" s="265"/>
      <c r="G902" s="265"/>
      <c r="H902" s="265"/>
      <c r="I902" s="265"/>
      <c r="J902" s="260"/>
      <c r="K902" s="3"/>
      <c r="L902" s="265"/>
      <c r="M902" s="265"/>
      <c r="N902" s="265"/>
      <c r="O902" s="265"/>
      <c r="P902" s="265"/>
      <c r="Q902" s="260"/>
      <c r="R902" s="3"/>
      <c r="S902" s="265"/>
      <c r="T902" s="265"/>
      <c r="U902" s="265"/>
      <c r="V902" s="265"/>
      <c r="W902" s="265"/>
      <c r="X902" s="193"/>
      <c r="Y902" s="193"/>
      <c r="Z902" s="193"/>
      <c r="AA902" s="193"/>
      <c r="AB902" s="193"/>
      <c r="AC902" s="193"/>
      <c r="AD902" s="193"/>
      <c r="AE902" s="193"/>
      <c r="AF902" s="3"/>
      <c r="AG902" s="3"/>
      <c r="AH902" s="3"/>
      <c r="AI902" s="3"/>
      <c r="AJ902" s="3"/>
      <c r="AK902" s="3"/>
      <c r="AL902" s="3"/>
    </row>
    <row r="903" spans="1:38" ht="14.25" customHeight="1">
      <c r="A903" s="3"/>
      <c r="B903" s="3"/>
      <c r="C903" s="3"/>
      <c r="D903" s="3"/>
      <c r="E903" s="265"/>
      <c r="F903" s="265"/>
      <c r="G903" s="265"/>
      <c r="H903" s="265"/>
      <c r="I903" s="265"/>
      <c r="J903" s="260"/>
      <c r="K903" s="3"/>
      <c r="L903" s="265"/>
      <c r="M903" s="265"/>
      <c r="N903" s="265"/>
      <c r="O903" s="265"/>
      <c r="P903" s="265"/>
      <c r="Q903" s="260"/>
      <c r="R903" s="3"/>
      <c r="S903" s="265"/>
      <c r="T903" s="265"/>
      <c r="U903" s="265"/>
      <c r="V903" s="265"/>
      <c r="W903" s="265"/>
      <c r="X903" s="193"/>
      <c r="Y903" s="193"/>
      <c r="Z903" s="193"/>
      <c r="AA903" s="193"/>
      <c r="AB903" s="193"/>
      <c r="AC903" s="193"/>
      <c r="AD903" s="193"/>
      <c r="AE903" s="193"/>
      <c r="AF903" s="3"/>
      <c r="AG903" s="3"/>
      <c r="AH903" s="3"/>
      <c r="AI903" s="3"/>
      <c r="AJ903" s="3"/>
      <c r="AK903" s="3"/>
      <c r="AL903" s="3"/>
    </row>
    <row r="904" spans="1:38" ht="14.25" customHeight="1">
      <c r="A904" s="3"/>
      <c r="B904" s="3"/>
      <c r="C904" s="3"/>
      <c r="D904" s="3"/>
      <c r="E904" s="265"/>
      <c r="F904" s="265"/>
      <c r="G904" s="265"/>
      <c r="H904" s="265"/>
      <c r="I904" s="265"/>
      <c r="J904" s="260"/>
      <c r="K904" s="3"/>
      <c r="L904" s="265"/>
      <c r="M904" s="265"/>
      <c r="N904" s="265"/>
      <c r="O904" s="265"/>
      <c r="P904" s="265"/>
      <c r="Q904" s="260"/>
      <c r="R904" s="3"/>
      <c r="S904" s="265"/>
      <c r="T904" s="265"/>
      <c r="U904" s="265"/>
      <c r="V904" s="265"/>
      <c r="W904" s="265"/>
      <c r="X904" s="193"/>
      <c r="Y904" s="193"/>
      <c r="Z904" s="193"/>
      <c r="AA904" s="193"/>
      <c r="AB904" s="193"/>
      <c r="AC904" s="193"/>
      <c r="AD904" s="193"/>
      <c r="AE904" s="193"/>
      <c r="AF904" s="3"/>
      <c r="AG904" s="3"/>
      <c r="AH904" s="3"/>
      <c r="AI904" s="3"/>
      <c r="AJ904" s="3"/>
      <c r="AK904" s="3"/>
      <c r="AL904" s="3"/>
    </row>
    <row r="905" spans="1:38" ht="14.25" customHeight="1">
      <c r="A905" s="3"/>
      <c r="B905" s="3"/>
      <c r="C905" s="3"/>
      <c r="D905" s="3"/>
      <c r="E905" s="265"/>
      <c r="F905" s="265"/>
      <c r="G905" s="265"/>
      <c r="H905" s="265"/>
      <c r="I905" s="265"/>
      <c r="J905" s="260"/>
      <c r="K905" s="3"/>
      <c r="L905" s="265"/>
      <c r="M905" s="265"/>
      <c r="N905" s="265"/>
      <c r="O905" s="265"/>
      <c r="P905" s="265"/>
      <c r="Q905" s="260"/>
      <c r="R905" s="3"/>
      <c r="S905" s="265"/>
      <c r="T905" s="265"/>
      <c r="U905" s="265"/>
      <c r="V905" s="265"/>
      <c r="W905" s="265"/>
      <c r="X905" s="193"/>
      <c r="Y905" s="193"/>
      <c r="Z905" s="193"/>
      <c r="AA905" s="193"/>
      <c r="AB905" s="193"/>
      <c r="AC905" s="193"/>
      <c r="AD905" s="193"/>
      <c r="AE905" s="193"/>
      <c r="AF905" s="3"/>
      <c r="AG905" s="3"/>
      <c r="AH905" s="3"/>
      <c r="AI905" s="3"/>
      <c r="AJ905" s="3"/>
      <c r="AK905" s="3"/>
      <c r="AL905" s="3"/>
    </row>
    <row r="906" spans="1:38" ht="14.25" customHeight="1">
      <c r="A906" s="3"/>
      <c r="B906" s="3"/>
      <c r="C906" s="3"/>
      <c r="D906" s="3"/>
      <c r="E906" s="265"/>
      <c r="F906" s="265"/>
      <c r="G906" s="265"/>
      <c r="H906" s="265"/>
      <c r="I906" s="265"/>
      <c r="J906" s="260"/>
      <c r="K906" s="3"/>
      <c r="L906" s="265"/>
      <c r="M906" s="265"/>
      <c r="N906" s="265"/>
      <c r="O906" s="265"/>
      <c r="P906" s="265"/>
      <c r="Q906" s="260"/>
      <c r="R906" s="3"/>
      <c r="S906" s="265"/>
      <c r="T906" s="265"/>
      <c r="U906" s="265"/>
      <c r="V906" s="265"/>
      <c r="W906" s="265"/>
      <c r="X906" s="193"/>
      <c r="Y906" s="193"/>
      <c r="Z906" s="193"/>
      <c r="AA906" s="193"/>
      <c r="AB906" s="193"/>
      <c r="AC906" s="193"/>
      <c r="AD906" s="193"/>
      <c r="AE906" s="193"/>
      <c r="AF906" s="3"/>
      <c r="AG906" s="3"/>
      <c r="AH906" s="3"/>
      <c r="AI906" s="3"/>
      <c r="AJ906" s="3"/>
      <c r="AK906" s="3"/>
      <c r="AL906" s="3"/>
    </row>
    <row r="907" spans="1:38" ht="14.25" customHeight="1">
      <c r="A907" s="3"/>
      <c r="B907" s="3"/>
      <c r="C907" s="3"/>
      <c r="D907" s="3"/>
      <c r="E907" s="265"/>
      <c r="F907" s="265"/>
      <c r="G907" s="265"/>
      <c r="H907" s="265"/>
      <c r="I907" s="265"/>
      <c r="J907" s="260"/>
      <c r="K907" s="3"/>
      <c r="L907" s="265"/>
      <c r="M907" s="265"/>
      <c r="N907" s="265"/>
      <c r="O907" s="265"/>
      <c r="P907" s="265"/>
      <c r="Q907" s="260"/>
      <c r="R907" s="3"/>
      <c r="S907" s="265"/>
      <c r="T907" s="265"/>
      <c r="U907" s="265"/>
      <c r="V907" s="265"/>
      <c r="W907" s="265"/>
      <c r="X907" s="193"/>
      <c r="Y907" s="193"/>
      <c r="Z907" s="193"/>
      <c r="AA907" s="193"/>
      <c r="AB907" s="193"/>
      <c r="AC907" s="193"/>
      <c r="AD907" s="193"/>
      <c r="AE907" s="193"/>
      <c r="AF907" s="3"/>
      <c r="AG907" s="3"/>
      <c r="AH907" s="3"/>
      <c r="AI907" s="3"/>
      <c r="AJ907" s="3"/>
      <c r="AK907" s="3"/>
      <c r="AL907" s="3"/>
    </row>
    <row r="908" spans="1:38" ht="14.25" customHeight="1">
      <c r="A908" s="3"/>
      <c r="B908" s="3"/>
      <c r="C908" s="3"/>
      <c r="D908" s="3"/>
      <c r="E908" s="265"/>
      <c r="F908" s="265"/>
      <c r="G908" s="265"/>
      <c r="H908" s="265"/>
      <c r="I908" s="265"/>
      <c r="J908" s="260"/>
      <c r="K908" s="3"/>
      <c r="L908" s="265"/>
      <c r="M908" s="265"/>
      <c r="N908" s="265"/>
      <c r="O908" s="265"/>
      <c r="P908" s="265"/>
      <c r="Q908" s="260"/>
      <c r="R908" s="3"/>
      <c r="S908" s="265"/>
      <c r="T908" s="265"/>
      <c r="U908" s="265"/>
      <c r="V908" s="265"/>
      <c r="W908" s="265"/>
      <c r="X908" s="193"/>
      <c r="Y908" s="193"/>
      <c r="Z908" s="193"/>
      <c r="AA908" s="193"/>
      <c r="AB908" s="193"/>
      <c r="AC908" s="193"/>
      <c r="AD908" s="193"/>
      <c r="AE908" s="193"/>
      <c r="AF908" s="3"/>
      <c r="AG908" s="3"/>
      <c r="AH908" s="3"/>
      <c r="AI908" s="3"/>
      <c r="AJ908" s="3"/>
      <c r="AK908" s="3"/>
      <c r="AL908" s="3"/>
    </row>
    <row r="909" spans="1:38" ht="14.25" customHeight="1">
      <c r="A909" s="3"/>
      <c r="B909" s="3"/>
      <c r="C909" s="3"/>
      <c r="D909" s="3"/>
      <c r="E909" s="265"/>
      <c r="F909" s="265"/>
      <c r="G909" s="265"/>
      <c r="H909" s="265"/>
      <c r="I909" s="265"/>
      <c r="J909" s="260"/>
      <c r="K909" s="3"/>
      <c r="L909" s="265"/>
      <c r="M909" s="265"/>
      <c r="N909" s="265"/>
      <c r="O909" s="265"/>
      <c r="P909" s="265"/>
      <c r="Q909" s="260"/>
      <c r="R909" s="3"/>
      <c r="S909" s="265"/>
      <c r="T909" s="265"/>
      <c r="U909" s="265"/>
      <c r="V909" s="265"/>
      <c r="W909" s="265"/>
      <c r="X909" s="193"/>
      <c r="Y909" s="193"/>
      <c r="Z909" s="193"/>
      <c r="AA909" s="193"/>
      <c r="AB909" s="193"/>
      <c r="AC909" s="193"/>
      <c r="AD909" s="193"/>
      <c r="AE909" s="193"/>
      <c r="AF909" s="3"/>
      <c r="AG909" s="3"/>
      <c r="AH909" s="3"/>
      <c r="AI909" s="3"/>
      <c r="AJ909" s="3"/>
      <c r="AK909" s="3"/>
      <c r="AL909" s="3"/>
    </row>
    <row r="910" spans="1:38" ht="14.25" customHeight="1">
      <c r="A910" s="3"/>
      <c r="B910" s="3"/>
      <c r="C910" s="3"/>
      <c r="D910" s="3"/>
      <c r="E910" s="265"/>
      <c r="F910" s="265"/>
      <c r="G910" s="265"/>
      <c r="H910" s="265"/>
      <c r="I910" s="265"/>
      <c r="J910" s="260"/>
      <c r="K910" s="3"/>
      <c r="L910" s="265"/>
      <c r="M910" s="265"/>
      <c r="N910" s="265"/>
      <c r="O910" s="265"/>
      <c r="P910" s="265"/>
      <c r="Q910" s="260"/>
      <c r="R910" s="3"/>
      <c r="S910" s="265"/>
      <c r="T910" s="265"/>
      <c r="U910" s="265"/>
      <c r="V910" s="265"/>
      <c r="W910" s="265"/>
      <c r="X910" s="193"/>
      <c r="Y910" s="193"/>
      <c r="Z910" s="193"/>
      <c r="AA910" s="193"/>
      <c r="AB910" s="193"/>
      <c r="AC910" s="193"/>
      <c r="AD910" s="193"/>
      <c r="AE910" s="193"/>
      <c r="AF910" s="3"/>
      <c r="AG910" s="3"/>
      <c r="AH910" s="3"/>
      <c r="AI910" s="3"/>
      <c r="AJ910" s="3"/>
      <c r="AK910" s="3"/>
      <c r="AL910" s="3"/>
    </row>
    <row r="911" spans="1:38" ht="14.25" customHeight="1">
      <c r="A911" s="3"/>
      <c r="B911" s="3"/>
      <c r="C911" s="3"/>
      <c r="D911" s="3"/>
      <c r="E911" s="265"/>
      <c r="F911" s="265"/>
      <c r="G911" s="265"/>
      <c r="H911" s="265"/>
      <c r="I911" s="265"/>
      <c r="J911" s="260"/>
      <c r="K911" s="3"/>
      <c r="L911" s="265"/>
      <c r="M911" s="265"/>
      <c r="N911" s="265"/>
      <c r="O911" s="265"/>
      <c r="P911" s="265"/>
      <c r="Q911" s="260"/>
      <c r="R911" s="3"/>
      <c r="S911" s="265"/>
      <c r="T911" s="265"/>
      <c r="U911" s="265"/>
      <c r="V911" s="265"/>
      <c r="W911" s="265"/>
      <c r="X911" s="193"/>
      <c r="Y911" s="193"/>
      <c r="Z911" s="193"/>
      <c r="AA911" s="193"/>
      <c r="AB911" s="193"/>
      <c r="AC911" s="193"/>
      <c r="AD911" s="193"/>
      <c r="AE911" s="193"/>
      <c r="AF911" s="3"/>
      <c r="AG911" s="3"/>
      <c r="AH911" s="3"/>
      <c r="AI911" s="3"/>
      <c r="AJ911" s="3"/>
      <c r="AK911" s="3"/>
      <c r="AL911" s="3"/>
    </row>
    <row r="912" spans="1:38" ht="14.25" customHeight="1">
      <c r="A912" s="3"/>
      <c r="B912" s="3"/>
      <c r="C912" s="3"/>
      <c r="D912" s="3"/>
      <c r="E912" s="265"/>
      <c r="F912" s="265"/>
      <c r="G912" s="265"/>
      <c r="H912" s="265"/>
      <c r="I912" s="265"/>
      <c r="J912" s="260"/>
      <c r="K912" s="3"/>
      <c r="L912" s="265"/>
      <c r="M912" s="265"/>
      <c r="N912" s="265"/>
      <c r="O912" s="265"/>
      <c r="P912" s="265"/>
      <c r="Q912" s="260"/>
      <c r="R912" s="3"/>
      <c r="S912" s="265"/>
      <c r="T912" s="265"/>
      <c r="U912" s="265"/>
      <c r="V912" s="265"/>
      <c r="W912" s="265"/>
      <c r="X912" s="193"/>
      <c r="Y912" s="193"/>
      <c r="Z912" s="193"/>
      <c r="AA912" s="193"/>
      <c r="AB912" s="193"/>
      <c r="AC912" s="193"/>
      <c r="AD912" s="193"/>
      <c r="AE912" s="193"/>
      <c r="AF912" s="3"/>
      <c r="AG912" s="3"/>
      <c r="AH912" s="3"/>
      <c r="AI912" s="3"/>
      <c r="AJ912" s="3"/>
      <c r="AK912" s="3"/>
      <c r="AL912" s="3"/>
    </row>
    <row r="913" spans="1:38" ht="14.25" customHeight="1">
      <c r="A913" s="3"/>
      <c r="B913" s="3"/>
      <c r="C913" s="3"/>
      <c r="D913" s="3"/>
      <c r="E913" s="265"/>
      <c r="F913" s="265"/>
      <c r="G913" s="265"/>
      <c r="H913" s="265"/>
      <c r="I913" s="265"/>
      <c r="J913" s="260"/>
      <c r="K913" s="3"/>
      <c r="L913" s="265"/>
      <c r="M913" s="265"/>
      <c r="N913" s="265"/>
      <c r="O913" s="265"/>
      <c r="P913" s="265"/>
      <c r="Q913" s="260"/>
      <c r="R913" s="3"/>
      <c r="S913" s="265"/>
      <c r="T913" s="265"/>
      <c r="U913" s="265"/>
      <c r="V913" s="265"/>
      <c r="W913" s="265"/>
      <c r="X913" s="193"/>
      <c r="Y913" s="193"/>
      <c r="Z913" s="193"/>
      <c r="AA913" s="193"/>
      <c r="AB913" s="193"/>
      <c r="AC913" s="193"/>
      <c r="AD913" s="193"/>
      <c r="AE913" s="193"/>
      <c r="AF913" s="3"/>
      <c r="AG913" s="3"/>
      <c r="AH913" s="3"/>
      <c r="AI913" s="3"/>
      <c r="AJ913" s="3"/>
      <c r="AK913" s="3"/>
      <c r="AL913" s="3"/>
    </row>
    <row r="914" spans="1:38" ht="14.25" customHeight="1">
      <c r="A914" s="3"/>
      <c r="B914" s="3"/>
      <c r="C914" s="3"/>
      <c r="D914" s="3"/>
      <c r="E914" s="265"/>
      <c r="F914" s="265"/>
      <c r="G914" s="265"/>
      <c r="H914" s="265"/>
      <c r="I914" s="265"/>
      <c r="J914" s="260"/>
      <c r="K914" s="3"/>
      <c r="L914" s="265"/>
      <c r="M914" s="265"/>
      <c r="N914" s="265"/>
      <c r="O914" s="265"/>
      <c r="P914" s="265"/>
      <c r="Q914" s="260"/>
      <c r="R914" s="3"/>
      <c r="S914" s="265"/>
      <c r="T914" s="265"/>
      <c r="U914" s="265"/>
      <c r="V914" s="265"/>
      <c r="W914" s="265"/>
      <c r="X914" s="193"/>
      <c r="Y914" s="193"/>
      <c r="Z914" s="193"/>
      <c r="AA914" s="193"/>
      <c r="AB914" s="193"/>
      <c r="AC914" s="193"/>
      <c r="AD914" s="193"/>
      <c r="AE914" s="193"/>
      <c r="AF914" s="3"/>
      <c r="AG914" s="3"/>
      <c r="AH914" s="3"/>
      <c r="AI914" s="3"/>
      <c r="AJ914" s="3"/>
      <c r="AK914" s="3"/>
      <c r="AL914" s="3"/>
    </row>
    <row r="915" spans="1:38" ht="14.25" customHeight="1">
      <c r="A915" s="3"/>
      <c r="B915" s="3"/>
      <c r="C915" s="3"/>
      <c r="D915" s="3"/>
      <c r="E915" s="265"/>
      <c r="F915" s="265"/>
      <c r="G915" s="265"/>
      <c r="H915" s="265"/>
      <c r="I915" s="265"/>
      <c r="J915" s="260"/>
      <c r="K915" s="3"/>
      <c r="L915" s="265"/>
      <c r="M915" s="265"/>
      <c r="N915" s="265"/>
      <c r="O915" s="265"/>
      <c r="P915" s="265"/>
      <c r="Q915" s="260"/>
      <c r="R915" s="3"/>
      <c r="S915" s="265"/>
      <c r="T915" s="265"/>
      <c r="U915" s="265"/>
      <c r="V915" s="265"/>
      <c r="W915" s="265"/>
      <c r="X915" s="193"/>
      <c r="Y915" s="193"/>
      <c r="Z915" s="193"/>
      <c r="AA915" s="193"/>
      <c r="AB915" s="193"/>
      <c r="AC915" s="193"/>
      <c r="AD915" s="193"/>
      <c r="AE915" s="193"/>
      <c r="AF915" s="3"/>
      <c r="AG915" s="3"/>
      <c r="AH915" s="3"/>
      <c r="AI915" s="3"/>
      <c r="AJ915" s="3"/>
      <c r="AK915" s="3"/>
      <c r="AL915" s="3"/>
    </row>
    <row r="916" spans="1:38" ht="14.25" customHeight="1">
      <c r="A916" s="3"/>
      <c r="B916" s="3"/>
      <c r="C916" s="3"/>
      <c r="D916" s="3"/>
      <c r="E916" s="265"/>
      <c r="F916" s="265"/>
      <c r="G916" s="265"/>
      <c r="H916" s="265"/>
      <c r="I916" s="265"/>
      <c r="J916" s="260"/>
      <c r="K916" s="3"/>
      <c r="L916" s="265"/>
      <c r="M916" s="265"/>
      <c r="N916" s="265"/>
      <c r="O916" s="265"/>
      <c r="P916" s="265"/>
      <c r="Q916" s="260"/>
      <c r="R916" s="3"/>
      <c r="S916" s="265"/>
      <c r="T916" s="265"/>
      <c r="U916" s="265"/>
      <c r="V916" s="265"/>
      <c r="W916" s="265"/>
      <c r="X916" s="193"/>
      <c r="Y916" s="193"/>
      <c r="Z916" s="193"/>
      <c r="AA916" s="193"/>
      <c r="AB916" s="193"/>
      <c r="AC916" s="193"/>
      <c r="AD916" s="193"/>
      <c r="AE916" s="193"/>
      <c r="AF916" s="3"/>
      <c r="AG916" s="3"/>
      <c r="AH916" s="3"/>
      <c r="AI916" s="3"/>
      <c r="AJ916" s="3"/>
      <c r="AK916" s="3"/>
      <c r="AL916" s="3"/>
    </row>
    <row r="917" spans="1:38" ht="14.25" customHeight="1">
      <c r="A917" s="3"/>
      <c r="B917" s="3"/>
      <c r="C917" s="3"/>
      <c r="D917" s="3"/>
      <c r="E917" s="265"/>
      <c r="F917" s="265"/>
      <c r="G917" s="265"/>
      <c r="H917" s="265"/>
      <c r="I917" s="265"/>
      <c r="J917" s="260"/>
      <c r="K917" s="3"/>
      <c r="L917" s="265"/>
      <c r="M917" s="265"/>
      <c r="N917" s="265"/>
      <c r="O917" s="265"/>
      <c r="P917" s="265"/>
      <c r="Q917" s="260"/>
      <c r="R917" s="3"/>
      <c r="S917" s="265"/>
      <c r="T917" s="265"/>
      <c r="U917" s="265"/>
      <c r="V917" s="265"/>
      <c r="W917" s="265"/>
      <c r="X917" s="193"/>
      <c r="Y917" s="193"/>
      <c r="Z917" s="193"/>
      <c r="AA917" s="193"/>
      <c r="AB917" s="193"/>
      <c r="AC917" s="193"/>
      <c r="AD917" s="193"/>
      <c r="AE917" s="193"/>
      <c r="AF917" s="3"/>
      <c r="AG917" s="3"/>
      <c r="AH917" s="3"/>
      <c r="AI917" s="3"/>
      <c r="AJ917" s="3"/>
      <c r="AK917" s="3"/>
      <c r="AL917" s="3"/>
    </row>
    <row r="918" spans="1:38" ht="14.25" customHeight="1">
      <c r="A918" s="3"/>
      <c r="B918" s="3"/>
      <c r="C918" s="3"/>
      <c r="D918" s="3"/>
      <c r="E918" s="265"/>
      <c r="F918" s="265"/>
      <c r="G918" s="265"/>
      <c r="H918" s="265"/>
      <c r="I918" s="265"/>
      <c r="J918" s="260"/>
      <c r="K918" s="3"/>
      <c r="L918" s="265"/>
      <c r="M918" s="265"/>
      <c r="N918" s="265"/>
      <c r="O918" s="265"/>
      <c r="P918" s="265"/>
      <c r="Q918" s="260"/>
      <c r="R918" s="3"/>
      <c r="S918" s="265"/>
      <c r="T918" s="265"/>
      <c r="U918" s="265"/>
      <c r="V918" s="265"/>
      <c r="W918" s="265"/>
      <c r="X918" s="193"/>
      <c r="Y918" s="193"/>
      <c r="Z918" s="193"/>
      <c r="AA918" s="193"/>
      <c r="AB918" s="193"/>
      <c r="AC918" s="193"/>
      <c r="AD918" s="193"/>
      <c r="AE918" s="193"/>
      <c r="AF918" s="3"/>
      <c r="AG918" s="3"/>
      <c r="AH918" s="3"/>
      <c r="AI918" s="3"/>
      <c r="AJ918" s="3"/>
      <c r="AK918" s="3"/>
      <c r="AL918" s="3"/>
    </row>
    <row r="919" spans="1:38" ht="14.25" customHeight="1">
      <c r="A919" s="3"/>
      <c r="B919" s="3"/>
      <c r="C919" s="3"/>
      <c r="D919" s="3"/>
      <c r="E919" s="265"/>
      <c r="F919" s="265"/>
      <c r="G919" s="265"/>
      <c r="H919" s="265"/>
      <c r="I919" s="265"/>
      <c r="J919" s="260"/>
      <c r="K919" s="3"/>
      <c r="L919" s="265"/>
      <c r="M919" s="265"/>
      <c r="N919" s="265"/>
      <c r="O919" s="265"/>
      <c r="P919" s="265"/>
      <c r="Q919" s="260"/>
      <c r="R919" s="3"/>
      <c r="S919" s="265"/>
      <c r="T919" s="265"/>
      <c r="U919" s="265"/>
      <c r="V919" s="265"/>
      <c r="W919" s="265"/>
      <c r="X919" s="193"/>
      <c r="Y919" s="193"/>
      <c r="Z919" s="193"/>
      <c r="AA919" s="193"/>
      <c r="AB919" s="193"/>
      <c r="AC919" s="193"/>
      <c r="AD919" s="193"/>
      <c r="AE919" s="193"/>
      <c r="AF919" s="3"/>
      <c r="AG919" s="3"/>
      <c r="AH919" s="3"/>
      <c r="AI919" s="3"/>
      <c r="AJ919" s="3"/>
      <c r="AK919" s="3"/>
      <c r="AL919" s="3"/>
    </row>
    <row r="920" spans="1:38" ht="14.25" customHeight="1">
      <c r="A920" s="3"/>
      <c r="B920" s="3"/>
      <c r="C920" s="3"/>
      <c r="D920" s="3"/>
      <c r="E920" s="265"/>
      <c r="F920" s="265"/>
      <c r="G920" s="265"/>
      <c r="H920" s="265"/>
      <c r="I920" s="265"/>
      <c r="J920" s="260"/>
      <c r="K920" s="3"/>
      <c r="L920" s="265"/>
      <c r="M920" s="265"/>
      <c r="N920" s="265"/>
      <c r="O920" s="265"/>
      <c r="P920" s="265"/>
      <c r="Q920" s="260"/>
      <c r="R920" s="3"/>
      <c r="S920" s="265"/>
      <c r="T920" s="265"/>
      <c r="U920" s="265"/>
      <c r="V920" s="265"/>
      <c r="W920" s="265"/>
      <c r="X920" s="193"/>
      <c r="Y920" s="193"/>
      <c r="Z920" s="193"/>
      <c r="AA920" s="193"/>
      <c r="AB920" s="193"/>
      <c r="AC920" s="193"/>
      <c r="AD920" s="193"/>
      <c r="AE920" s="193"/>
      <c r="AF920" s="3"/>
      <c r="AG920" s="3"/>
      <c r="AH920" s="3"/>
      <c r="AI920" s="3"/>
      <c r="AJ920" s="3"/>
      <c r="AK920" s="3"/>
      <c r="AL920" s="3"/>
    </row>
    <row r="921" spans="1:38" ht="14.25" customHeight="1">
      <c r="A921" s="3"/>
      <c r="B921" s="3"/>
      <c r="C921" s="3"/>
      <c r="D921" s="3"/>
      <c r="E921" s="265"/>
      <c r="F921" s="265"/>
      <c r="G921" s="265"/>
      <c r="H921" s="265"/>
      <c r="I921" s="265"/>
      <c r="J921" s="260"/>
      <c r="K921" s="3"/>
      <c r="L921" s="265"/>
      <c r="M921" s="265"/>
      <c r="N921" s="265"/>
      <c r="O921" s="265"/>
      <c r="P921" s="265"/>
      <c r="Q921" s="260"/>
      <c r="R921" s="3"/>
      <c r="S921" s="265"/>
      <c r="T921" s="265"/>
      <c r="U921" s="265"/>
      <c r="V921" s="265"/>
      <c r="W921" s="265"/>
      <c r="X921" s="193"/>
      <c r="Y921" s="193"/>
      <c r="Z921" s="193"/>
      <c r="AA921" s="193"/>
      <c r="AB921" s="193"/>
      <c r="AC921" s="193"/>
      <c r="AD921" s="193"/>
      <c r="AE921" s="193"/>
      <c r="AF921" s="3"/>
      <c r="AG921" s="3"/>
      <c r="AH921" s="3"/>
      <c r="AI921" s="3"/>
      <c r="AJ921" s="3"/>
      <c r="AK921" s="3"/>
      <c r="AL921" s="3"/>
    </row>
    <row r="922" spans="1:38" ht="14.25" customHeight="1">
      <c r="A922" s="3"/>
      <c r="B922" s="3"/>
      <c r="C922" s="3"/>
      <c r="D922" s="3"/>
      <c r="E922" s="265"/>
      <c r="F922" s="265"/>
      <c r="G922" s="265"/>
      <c r="H922" s="265"/>
      <c r="I922" s="265"/>
      <c r="J922" s="260"/>
      <c r="K922" s="3"/>
      <c r="L922" s="265"/>
      <c r="M922" s="265"/>
      <c r="N922" s="265"/>
      <c r="O922" s="265"/>
      <c r="P922" s="265"/>
      <c r="Q922" s="260"/>
      <c r="R922" s="3"/>
      <c r="S922" s="265"/>
      <c r="T922" s="265"/>
      <c r="U922" s="265"/>
      <c r="V922" s="265"/>
      <c r="W922" s="265"/>
      <c r="X922" s="193"/>
      <c r="Y922" s="193"/>
      <c r="Z922" s="193"/>
      <c r="AA922" s="193"/>
      <c r="AB922" s="193"/>
      <c r="AC922" s="193"/>
      <c r="AD922" s="193"/>
      <c r="AE922" s="193"/>
      <c r="AF922" s="3"/>
      <c r="AG922" s="3"/>
      <c r="AH922" s="3"/>
      <c r="AI922" s="3"/>
      <c r="AJ922" s="3"/>
      <c r="AK922" s="3"/>
      <c r="AL922" s="3"/>
    </row>
    <row r="923" spans="1:38" ht="14.25" customHeight="1">
      <c r="A923" s="3"/>
      <c r="B923" s="3"/>
      <c r="C923" s="3"/>
      <c r="D923" s="3"/>
      <c r="E923" s="265"/>
      <c r="F923" s="265"/>
      <c r="G923" s="265"/>
      <c r="H923" s="265"/>
      <c r="I923" s="265"/>
      <c r="J923" s="260"/>
      <c r="K923" s="3"/>
      <c r="L923" s="265"/>
      <c r="M923" s="265"/>
      <c r="N923" s="265"/>
      <c r="O923" s="265"/>
      <c r="P923" s="265"/>
      <c r="Q923" s="260"/>
      <c r="R923" s="3"/>
      <c r="S923" s="265"/>
      <c r="T923" s="265"/>
      <c r="U923" s="265"/>
      <c r="V923" s="265"/>
      <c r="W923" s="265"/>
      <c r="X923" s="193"/>
      <c r="Y923" s="193"/>
      <c r="Z923" s="193"/>
      <c r="AA923" s="193"/>
      <c r="AB923" s="193"/>
      <c r="AC923" s="193"/>
      <c r="AD923" s="193"/>
      <c r="AE923" s="193"/>
      <c r="AF923" s="3"/>
      <c r="AG923" s="3"/>
      <c r="AH923" s="3"/>
      <c r="AI923" s="3"/>
      <c r="AJ923" s="3"/>
      <c r="AK923" s="3"/>
      <c r="AL923" s="3"/>
    </row>
    <row r="924" spans="1:38" ht="14.25" customHeight="1">
      <c r="A924" s="3"/>
      <c r="B924" s="3"/>
      <c r="C924" s="3"/>
      <c r="D924" s="3"/>
      <c r="E924" s="265"/>
      <c r="F924" s="265"/>
      <c r="G924" s="265"/>
      <c r="H924" s="265"/>
      <c r="I924" s="265"/>
      <c r="J924" s="260"/>
      <c r="K924" s="3"/>
      <c r="L924" s="265"/>
      <c r="M924" s="265"/>
      <c r="N924" s="265"/>
      <c r="O924" s="265"/>
      <c r="P924" s="265"/>
      <c r="Q924" s="260"/>
      <c r="R924" s="3"/>
      <c r="S924" s="265"/>
      <c r="T924" s="265"/>
      <c r="U924" s="265"/>
      <c r="V924" s="265"/>
      <c r="W924" s="265"/>
      <c r="X924" s="193"/>
      <c r="Y924" s="193"/>
      <c r="Z924" s="193"/>
      <c r="AA924" s="193"/>
      <c r="AB924" s="193"/>
      <c r="AC924" s="193"/>
      <c r="AD924" s="193"/>
      <c r="AE924" s="193"/>
      <c r="AF924" s="3"/>
      <c r="AG924" s="3"/>
      <c r="AH924" s="3"/>
      <c r="AI924" s="3"/>
      <c r="AJ924" s="3"/>
      <c r="AK924" s="3"/>
      <c r="AL924" s="3"/>
    </row>
    <row r="925" spans="1:38" ht="14.25" customHeight="1">
      <c r="A925" s="3"/>
      <c r="B925" s="3"/>
      <c r="C925" s="3"/>
      <c r="D925" s="3"/>
      <c r="E925" s="265"/>
      <c r="F925" s="265"/>
      <c r="G925" s="265"/>
      <c r="H925" s="265"/>
      <c r="I925" s="265"/>
      <c r="J925" s="260"/>
      <c r="K925" s="3"/>
      <c r="L925" s="265"/>
      <c r="M925" s="265"/>
      <c r="N925" s="265"/>
      <c r="O925" s="265"/>
      <c r="P925" s="265"/>
      <c r="Q925" s="260"/>
      <c r="R925" s="3"/>
      <c r="S925" s="265"/>
      <c r="T925" s="265"/>
      <c r="U925" s="265"/>
      <c r="V925" s="265"/>
      <c r="W925" s="265"/>
      <c r="X925" s="193"/>
      <c r="Y925" s="193"/>
      <c r="Z925" s="193"/>
      <c r="AA925" s="193"/>
      <c r="AB925" s="193"/>
      <c r="AC925" s="193"/>
      <c r="AD925" s="193"/>
      <c r="AE925" s="193"/>
      <c r="AF925" s="3"/>
      <c r="AG925" s="3"/>
      <c r="AH925" s="3"/>
      <c r="AI925" s="3"/>
      <c r="AJ925" s="3"/>
      <c r="AK925" s="3"/>
      <c r="AL925" s="3"/>
    </row>
    <row r="926" spans="1:38" ht="14.25" customHeight="1">
      <c r="A926" s="3"/>
      <c r="B926" s="3"/>
      <c r="C926" s="3"/>
      <c r="D926" s="3"/>
      <c r="E926" s="265"/>
      <c r="F926" s="265"/>
      <c r="G926" s="265"/>
      <c r="H926" s="265"/>
      <c r="I926" s="265"/>
      <c r="J926" s="260"/>
      <c r="K926" s="3"/>
      <c r="L926" s="265"/>
      <c r="M926" s="265"/>
      <c r="N926" s="265"/>
      <c r="O926" s="265"/>
      <c r="P926" s="265"/>
      <c r="Q926" s="260"/>
      <c r="R926" s="3"/>
      <c r="S926" s="265"/>
      <c r="T926" s="265"/>
      <c r="U926" s="265"/>
      <c r="V926" s="265"/>
      <c r="W926" s="265"/>
      <c r="X926" s="193"/>
      <c r="Y926" s="193"/>
      <c r="Z926" s="193"/>
      <c r="AA926" s="193"/>
      <c r="AB926" s="193"/>
      <c r="AC926" s="193"/>
      <c r="AD926" s="193"/>
      <c r="AE926" s="193"/>
      <c r="AF926" s="3"/>
      <c r="AG926" s="3"/>
      <c r="AH926" s="3"/>
      <c r="AI926" s="3"/>
      <c r="AJ926" s="3"/>
      <c r="AK926" s="3"/>
      <c r="AL926" s="3"/>
    </row>
    <row r="927" spans="1:38" ht="14.25" customHeight="1">
      <c r="A927" s="3"/>
      <c r="B927" s="3"/>
      <c r="C927" s="3"/>
      <c r="D927" s="3"/>
      <c r="E927" s="265"/>
      <c r="F927" s="265"/>
      <c r="G927" s="265"/>
      <c r="H927" s="265"/>
      <c r="I927" s="265"/>
      <c r="J927" s="260"/>
      <c r="K927" s="3"/>
      <c r="L927" s="265"/>
      <c r="M927" s="265"/>
      <c r="N927" s="265"/>
      <c r="O927" s="265"/>
      <c r="P927" s="265"/>
      <c r="Q927" s="260"/>
      <c r="R927" s="3"/>
      <c r="S927" s="265"/>
      <c r="T927" s="265"/>
      <c r="U927" s="265"/>
      <c r="V927" s="265"/>
      <c r="W927" s="265"/>
      <c r="X927" s="193"/>
      <c r="Y927" s="193"/>
      <c r="Z927" s="193"/>
      <c r="AA927" s="193"/>
      <c r="AB927" s="193"/>
      <c r="AC927" s="193"/>
      <c r="AD927" s="193"/>
      <c r="AE927" s="193"/>
      <c r="AF927" s="3"/>
      <c r="AG927" s="3"/>
      <c r="AH927" s="3"/>
      <c r="AI927" s="3"/>
      <c r="AJ927" s="3"/>
      <c r="AK927" s="3"/>
      <c r="AL927" s="3"/>
    </row>
    <row r="928" spans="1:38" ht="14.25" customHeight="1">
      <c r="A928" s="3"/>
      <c r="B928" s="3"/>
      <c r="C928" s="3"/>
      <c r="D928" s="3"/>
      <c r="E928" s="265"/>
      <c r="F928" s="265"/>
      <c r="G928" s="265"/>
      <c r="H928" s="265"/>
      <c r="I928" s="265"/>
      <c r="J928" s="260"/>
      <c r="K928" s="3"/>
      <c r="L928" s="265"/>
      <c r="M928" s="265"/>
      <c r="N928" s="265"/>
      <c r="O928" s="265"/>
      <c r="P928" s="265"/>
      <c r="Q928" s="260"/>
      <c r="R928" s="3"/>
      <c r="S928" s="265"/>
      <c r="T928" s="265"/>
      <c r="U928" s="265"/>
      <c r="V928" s="265"/>
      <c r="W928" s="265"/>
      <c r="X928" s="193"/>
      <c r="Y928" s="193"/>
      <c r="Z928" s="193"/>
      <c r="AA928" s="193"/>
      <c r="AB928" s="193"/>
      <c r="AC928" s="193"/>
      <c r="AD928" s="193"/>
      <c r="AE928" s="193"/>
      <c r="AF928" s="3"/>
      <c r="AG928" s="3"/>
      <c r="AH928" s="3"/>
      <c r="AI928" s="3"/>
      <c r="AJ928" s="3"/>
      <c r="AK928" s="3"/>
      <c r="AL928" s="3"/>
    </row>
    <row r="929" spans="1:38" ht="14.25" customHeight="1">
      <c r="A929" s="3"/>
      <c r="B929" s="3"/>
      <c r="C929" s="3"/>
      <c r="D929" s="3"/>
      <c r="E929" s="265"/>
      <c r="F929" s="265"/>
      <c r="G929" s="265"/>
      <c r="H929" s="265"/>
      <c r="I929" s="265"/>
      <c r="J929" s="260"/>
      <c r="K929" s="3"/>
      <c r="L929" s="265"/>
      <c r="M929" s="265"/>
      <c r="N929" s="265"/>
      <c r="O929" s="265"/>
      <c r="P929" s="265"/>
      <c r="Q929" s="260"/>
      <c r="R929" s="3"/>
      <c r="S929" s="265"/>
      <c r="T929" s="265"/>
      <c r="U929" s="265"/>
      <c r="V929" s="265"/>
      <c r="W929" s="265"/>
      <c r="X929" s="193"/>
      <c r="Y929" s="193"/>
      <c r="Z929" s="193"/>
      <c r="AA929" s="193"/>
      <c r="AB929" s="193"/>
      <c r="AC929" s="193"/>
      <c r="AD929" s="193"/>
      <c r="AE929" s="193"/>
      <c r="AF929" s="3"/>
      <c r="AG929" s="3"/>
      <c r="AH929" s="3"/>
      <c r="AI929" s="3"/>
      <c r="AJ929" s="3"/>
      <c r="AK929" s="3"/>
      <c r="AL929" s="3"/>
    </row>
    <row r="930" spans="1:38" ht="14.25" customHeight="1">
      <c r="A930" s="3"/>
      <c r="B930" s="3"/>
      <c r="C930" s="3"/>
      <c r="D930" s="3"/>
      <c r="E930" s="265"/>
      <c r="F930" s="265"/>
      <c r="G930" s="265"/>
      <c r="H930" s="265"/>
      <c r="I930" s="265"/>
      <c r="J930" s="260"/>
      <c r="K930" s="3"/>
      <c r="L930" s="265"/>
      <c r="M930" s="265"/>
      <c r="N930" s="265"/>
      <c r="O930" s="265"/>
      <c r="P930" s="265"/>
      <c r="Q930" s="260"/>
      <c r="R930" s="3"/>
      <c r="S930" s="265"/>
      <c r="T930" s="265"/>
      <c r="U930" s="265"/>
      <c r="V930" s="265"/>
      <c r="W930" s="265"/>
      <c r="X930" s="193"/>
      <c r="Y930" s="193"/>
      <c r="Z930" s="193"/>
      <c r="AA930" s="193"/>
      <c r="AB930" s="193"/>
      <c r="AC930" s="193"/>
      <c r="AD930" s="193"/>
      <c r="AE930" s="193"/>
      <c r="AF930" s="3"/>
      <c r="AG930" s="3"/>
      <c r="AH930" s="3"/>
      <c r="AI930" s="3"/>
      <c r="AJ930" s="3"/>
      <c r="AK930" s="3"/>
      <c r="AL930" s="3"/>
    </row>
    <row r="931" spans="1:38" ht="14.25" customHeight="1">
      <c r="A931" s="3"/>
      <c r="B931" s="3"/>
      <c r="C931" s="3"/>
      <c r="D931" s="3"/>
      <c r="E931" s="265"/>
      <c r="F931" s="265"/>
      <c r="G931" s="265"/>
      <c r="H931" s="265"/>
      <c r="I931" s="265"/>
      <c r="J931" s="260"/>
      <c r="K931" s="3"/>
      <c r="L931" s="265"/>
      <c r="M931" s="265"/>
      <c r="N931" s="265"/>
      <c r="O931" s="265"/>
      <c r="P931" s="265"/>
      <c r="Q931" s="260"/>
      <c r="R931" s="3"/>
      <c r="S931" s="265"/>
      <c r="T931" s="265"/>
      <c r="U931" s="265"/>
      <c r="V931" s="265"/>
      <c r="W931" s="265"/>
      <c r="X931" s="193"/>
      <c r="Y931" s="193"/>
      <c r="Z931" s="193"/>
      <c r="AA931" s="193"/>
      <c r="AB931" s="193"/>
      <c r="AC931" s="193"/>
      <c r="AD931" s="193"/>
      <c r="AE931" s="193"/>
      <c r="AF931" s="3"/>
      <c r="AG931" s="3"/>
      <c r="AH931" s="3"/>
      <c r="AI931" s="3"/>
      <c r="AJ931" s="3"/>
      <c r="AK931" s="3"/>
      <c r="AL931" s="3"/>
    </row>
    <row r="932" spans="1:38" ht="14.25" customHeight="1">
      <c r="A932" s="3"/>
      <c r="B932" s="3"/>
      <c r="C932" s="3"/>
      <c r="D932" s="3"/>
      <c r="E932" s="265"/>
      <c r="F932" s="265"/>
      <c r="G932" s="265"/>
      <c r="H932" s="265"/>
      <c r="I932" s="265"/>
      <c r="J932" s="260"/>
      <c r="K932" s="3"/>
      <c r="L932" s="265"/>
      <c r="M932" s="265"/>
      <c r="N932" s="265"/>
      <c r="O932" s="265"/>
      <c r="P932" s="265"/>
      <c r="Q932" s="260"/>
      <c r="R932" s="3"/>
      <c r="S932" s="265"/>
      <c r="T932" s="265"/>
      <c r="U932" s="265"/>
      <c r="V932" s="265"/>
      <c r="W932" s="265"/>
      <c r="X932" s="193"/>
      <c r="Y932" s="193"/>
      <c r="Z932" s="193"/>
      <c r="AA932" s="193"/>
      <c r="AB932" s="193"/>
      <c r="AC932" s="193"/>
      <c r="AD932" s="193"/>
      <c r="AE932" s="193"/>
      <c r="AF932" s="3"/>
      <c r="AG932" s="3"/>
      <c r="AH932" s="3"/>
      <c r="AI932" s="3"/>
      <c r="AJ932" s="3"/>
      <c r="AK932" s="3"/>
      <c r="AL932" s="3"/>
    </row>
    <row r="933" spans="1:38" ht="14.25" customHeight="1">
      <c r="A933" s="3"/>
      <c r="B933" s="3"/>
      <c r="C933" s="3"/>
      <c r="D933" s="3"/>
      <c r="E933" s="265"/>
      <c r="F933" s="265"/>
      <c r="G933" s="265"/>
      <c r="H933" s="265"/>
      <c r="I933" s="265"/>
      <c r="J933" s="260"/>
      <c r="K933" s="3"/>
      <c r="L933" s="265"/>
      <c r="M933" s="265"/>
      <c r="N933" s="265"/>
      <c r="O933" s="265"/>
      <c r="P933" s="265"/>
      <c r="Q933" s="260"/>
      <c r="R933" s="3"/>
      <c r="S933" s="265"/>
      <c r="T933" s="265"/>
      <c r="U933" s="265"/>
      <c r="V933" s="265"/>
      <c r="W933" s="265"/>
      <c r="X933" s="193"/>
      <c r="Y933" s="193"/>
      <c r="Z933" s="193"/>
      <c r="AA933" s="193"/>
      <c r="AB933" s="193"/>
      <c r="AC933" s="193"/>
      <c r="AD933" s="193"/>
      <c r="AE933" s="193"/>
      <c r="AF933" s="3"/>
      <c r="AG933" s="3"/>
      <c r="AH933" s="3"/>
      <c r="AI933" s="3"/>
      <c r="AJ933" s="3"/>
      <c r="AK933" s="3"/>
      <c r="AL933" s="3"/>
    </row>
    <row r="934" spans="1:38" ht="14.25" customHeight="1">
      <c r="A934" s="3"/>
      <c r="B934" s="3"/>
      <c r="C934" s="3"/>
      <c r="D934" s="3"/>
      <c r="E934" s="265"/>
      <c r="F934" s="265"/>
      <c r="G934" s="265"/>
      <c r="H934" s="265"/>
      <c r="I934" s="265"/>
      <c r="J934" s="260"/>
      <c r="K934" s="3"/>
      <c r="L934" s="265"/>
      <c r="M934" s="265"/>
      <c r="N934" s="265"/>
      <c r="O934" s="265"/>
      <c r="P934" s="265"/>
      <c r="Q934" s="260"/>
      <c r="R934" s="3"/>
      <c r="S934" s="265"/>
      <c r="T934" s="265"/>
      <c r="U934" s="265"/>
      <c r="V934" s="265"/>
      <c r="W934" s="265"/>
      <c r="X934" s="193"/>
      <c r="Y934" s="193"/>
      <c r="Z934" s="193"/>
      <c r="AA934" s="193"/>
      <c r="AB934" s="193"/>
      <c r="AC934" s="193"/>
      <c r="AD934" s="193"/>
      <c r="AE934" s="193"/>
      <c r="AF934" s="3"/>
      <c r="AG934" s="3"/>
      <c r="AH934" s="3"/>
      <c r="AI934" s="3"/>
      <c r="AJ934" s="3"/>
      <c r="AK934" s="3"/>
      <c r="AL934" s="3"/>
    </row>
    <row r="935" spans="1:38" ht="14.25" customHeight="1">
      <c r="A935" s="3"/>
      <c r="B935" s="3"/>
      <c r="C935" s="3"/>
      <c r="D935" s="3"/>
      <c r="E935" s="265"/>
      <c r="F935" s="265"/>
      <c r="G935" s="265"/>
      <c r="H935" s="265"/>
      <c r="I935" s="265"/>
      <c r="J935" s="260"/>
      <c r="K935" s="3"/>
      <c r="L935" s="265"/>
      <c r="M935" s="265"/>
      <c r="N935" s="265"/>
      <c r="O935" s="265"/>
      <c r="P935" s="265"/>
      <c r="Q935" s="260"/>
      <c r="R935" s="3"/>
      <c r="S935" s="265"/>
      <c r="T935" s="265"/>
      <c r="U935" s="265"/>
      <c r="V935" s="265"/>
      <c r="W935" s="265"/>
      <c r="X935" s="193"/>
      <c r="Y935" s="193"/>
      <c r="Z935" s="193"/>
      <c r="AA935" s="193"/>
      <c r="AB935" s="193"/>
      <c r="AC935" s="193"/>
      <c r="AD935" s="193"/>
      <c r="AE935" s="193"/>
      <c r="AF935" s="3"/>
      <c r="AG935" s="3"/>
      <c r="AH935" s="3"/>
      <c r="AI935" s="3"/>
      <c r="AJ935" s="3"/>
      <c r="AK935" s="3"/>
      <c r="AL935" s="3"/>
    </row>
    <row r="936" spans="1:38" ht="14.25" customHeight="1">
      <c r="A936" s="3"/>
      <c r="B936" s="3"/>
      <c r="C936" s="3"/>
      <c r="D936" s="3"/>
      <c r="E936" s="265"/>
      <c r="F936" s="265"/>
      <c r="G936" s="265"/>
      <c r="H936" s="265"/>
      <c r="I936" s="265"/>
      <c r="J936" s="260"/>
      <c r="K936" s="3"/>
      <c r="L936" s="265"/>
      <c r="M936" s="265"/>
      <c r="N936" s="265"/>
      <c r="O936" s="265"/>
      <c r="P936" s="265"/>
      <c r="Q936" s="260"/>
      <c r="R936" s="3"/>
      <c r="S936" s="265"/>
      <c r="T936" s="265"/>
      <c r="U936" s="265"/>
      <c r="V936" s="265"/>
      <c r="W936" s="265"/>
      <c r="X936" s="193"/>
      <c r="Y936" s="193"/>
      <c r="Z936" s="193"/>
      <c r="AA936" s="193"/>
      <c r="AB936" s="193"/>
      <c r="AC936" s="193"/>
      <c r="AD936" s="193"/>
      <c r="AE936" s="193"/>
      <c r="AF936" s="3"/>
      <c r="AG936" s="3"/>
      <c r="AH936" s="3"/>
      <c r="AI936" s="3"/>
      <c r="AJ936" s="3"/>
      <c r="AK936" s="3"/>
      <c r="AL936" s="3"/>
    </row>
    <row r="937" spans="1:38" ht="14.25" customHeight="1">
      <c r="A937" s="3"/>
      <c r="B937" s="3"/>
      <c r="C937" s="3"/>
      <c r="D937" s="3"/>
      <c r="E937" s="265"/>
      <c r="F937" s="265"/>
      <c r="G937" s="265"/>
      <c r="H937" s="265"/>
      <c r="I937" s="265"/>
      <c r="J937" s="260"/>
      <c r="K937" s="3"/>
      <c r="L937" s="265"/>
      <c r="M937" s="265"/>
      <c r="N937" s="265"/>
      <c r="O937" s="265"/>
      <c r="P937" s="265"/>
      <c r="Q937" s="260"/>
      <c r="R937" s="3"/>
      <c r="S937" s="265"/>
      <c r="T937" s="265"/>
      <c r="U937" s="265"/>
      <c r="V937" s="265"/>
      <c r="W937" s="265"/>
      <c r="X937" s="193"/>
      <c r="Y937" s="193"/>
      <c r="Z937" s="193"/>
      <c r="AA937" s="193"/>
      <c r="AB937" s="193"/>
      <c r="AC937" s="193"/>
      <c r="AD937" s="193"/>
      <c r="AE937" s="193"/>
      <c r="AF937" s="3"/>
      <c r="AG937" s="3"/>
      <c r="AH937" s="3"/>
      <c r="AI937" s="3"/>
      <c r="AJ937" s="3"/>
      <c r="AK937" s="3"/>
      <c r="AL937" s="3"/>
    </row>
    <row r="938" spans="1:38" ht="14.25" customHeight="1">
      <c r="A938" s="3"/>
      <c r="B938" s="3"/>
      <c r="C938" s="3"/>
      <c r="D938" s="3"/>
      <c r="E938" s="265"/>
      <c r="F938" s="265"/>
      <c r="G938" s="265"/>
      <c r="H938" s="265"/>
      <c r="I938" s="265"/>
      <c r="J938" s="260"/>
      <c r="K938" s="3"/>
      <c r="L938" s="265"/>
      <c r="M938" s="265"/>
      <c r="N938" s="265"/>
      <c r="O938" s="265"/>
      <c r="P938" s="265"/>
      <c r="Q938" s="260"/>
      <c r="R938" s="3"/>
      <c r="S938" s="265"/>
      <c r="T938" s="265"/>
      <c r="U938" s="265"/>
      <c r="V938" s="265"/>
      <c r="W938" s="265"/>
      <c r="X938" s="193"/>
      <c r="Y938" s="193"/>
      <c r="Z938" s="193"/>
      <c r="AA938" s="193"/>
      <c r="AB938" s="193"/>
      <c r="AC938" s="193"/>
      <c r="AD938" s="193"/>
      <c r="AE938" s="193"/>
      <c r="AF938" s="3"/>
      <c r="AG938" s="3"/>
      <c r="AH938" s="3"/>
      <c r="AI938" s="3"/>
      <c r="AJ938" s="3"/>
      <c r="AK938" s="3"/>
      <c r="AL938" s="3"/>
    </row>
    <row r="939" spans="1:38" ht="14.25" customHeight="1">
      <c r="A939" s="3"/>
      <c r="B939" s="3"/>
      <c r="C939" s="3"/>
      <c r="D939" s="3"/>
      <c r="E939" s="265"/>
      <c r="F939" s="265"/>
      <c r="G939" s="265"/>
      <c r="H939" s="265"/>
      <c r="I939" s="265"/>
      <c r="J939" s="260"/>
      <c r="K939" s="3"/>
      <c r="L939" s="265"/>
      <c r="M939" s="265"/>
      <c r="N939" s="265"/>
      <c r="O939" s="265"/>
      <c r="P939" s="265"/>
      <c r="Q939" s="260"/>
      <c r="R939" s="3"/>
      <c r="S939" s="265"/>
      <c r="T939" s="265"/>
      <c r="U939" s="265"/>
      <c r="V939" s="265"/>
      <c r="W939" s="265"/>
      <c r="X939" s="193"/>
      <c r="Y939" s="193"/>
      <c r="Z939" s="193"/>
      <c r="AA939" s="193"/>
      <c r="AB939" s="193"/>
      <c r="AC939" s="193"/>
      <c r="AD939" s="193"/>
      <c r="AE939" s="193"/>
      <c r="AF939" s="3"/>
      <c r="AG939" s="3"/>
      <c r="AH939" s="3"/>
      <c r="AI939" s="3"/>
      <c r="AJ939" s="3"/>
      <c r="AK939" s="3"/>
      <c r="AL939" s="3"/>
    </row>
    <row r="940" spans="1:38" ht="14.25" customHeight="1">
      <c r="A940" s="3"/>
      <c r="B940" s="3"/>
      <c r="C940" s="3"/>
      <c r="D940" s="3"/>
      <c r="E940" s="265"/>
      <c r="F940" s="265"/>
      <c r="G940" s="265"/>
      <c r="H940" s="265"/>
      <c r="I940" s="265"/>
      <c r="J940" s="260"/>
      <c r="K940" s="3"/>
      <c r="L940" s="265"/>
      <c r="M940" s="265"/>
      <c r="N940" s="265"/>
      <c r="O940" s="265"/>
      <c r="P940" s="265"/>
      <c r="Q940" s="260"/>
      <c r="R940" s="3"/>
      <c r="S940" s="265"/>
      <c r="T940" s="265"/>
      <c r="U940" s="265"/>
      <c r="V940" s="265"/>
      <c r="W940" s="265"/>
      <c r="X940" s="193"/>
      <c r="Y940" s="193"/>
      <c r="Z940" s="193"/>
      <c r="AA940" s="193"/>
      <c r="AB940" s="193"/>
      <c r="AC940" s="193"/>
      <c r="AD940" s="193"/>
      <c r="AE940" s="193"/>
      <c r="AF940" s="3"/>
      <c r="AG940" s="3"/>
      <c r="AH940" s="3"/>
      <c r="AI940" s="3"/>
      <c r="AJ940" s="3"/>
      <c r="AK940" s="3"/>
      <c r="AL940" s="3"/>
    </row>
    <row r="941" spans="1:38" ht="14.25" customHeight="1">
      <c r="A941" s="3"/>
      <c r="B941" s="3"/>
      <c r="C941" s="3"/>
      <c r="D941" s="3"/>
      <c r="E941" s="265"/>
      <c r="F941" s="265"/>
      <c r="G941" s="265"/>
      <c r="H941" s="265"/>
      <c r="I941" s="265"/>
      <c r="J941" s="260"/>
      <c r="K941" s="3"/>
      <c r="L941" s="265"/>
      <c r="M941" s="265"/>
      <c r="N941" s="265"/>
      <c r="O941" s="265"/>
      <c r="P941" s="265"/>
      <c r="Q941" s="260"/>
      <c r="R941" s="3"/>
      <c r="S941" s="265"/>
      <c r="T941" s="265"/>
      <c r="U941" s="265"/>
      <c r="V941" s="265"/>
      <c r="W941" s="265"/>
      <c r="X941" s="193"/>
      <c r="Y941" s="193"/>
      <c r="Z941" s="193"/>
      <c r="AA941" s="193"/>
      <c r="AB941" s="193"/>
      <c r="AC941" s="193"/>
      <c r="AD941" s="193"/>
      <c r="AE941" s="193"/>
      <c r="AF941" s="3"/>
      <c r="AG941" s="3"/>
      <c r="AH941" s="3"/>
      <c r="AI941" s="3"/>
      <c r="AJ941" s="3"/>
      <c r="AK941" s="3"/>
      <c r="AL941" s="3"/>
    </row>
    <row r="942" spans="1:38" ht="14.25" customHeight="1">
      <c r="A942" s="3"/>
      <c r="B942" s="3"/>
      <c r="C942" s="3"/>
      <c r="D942" s="3"/>
      <c r="E942" s="265"/>
      <c r="F942" s="265"/>
      <c r="G942" s="265"/>
      <c r="H942" s="265"/>
      <c r="I942" s="265"/>
      <c r="J942" s="260"/>
      <c r="K942" s="3"/>
      <c r="L942" s="265"/>
      <c r="M942" s="265"/>
      <c r="N942" s="265"/>
      <c r="O942" s="265"/>
      <c r="P942" s="265"/>
      <c r="Q942" s="260"/>
      <c r="R942" s="3"/>
      <c r="S942" s="265"/>
      <c r="T942" s="265"/>
      <c r="U942" s="265"/>
      <c r="V942" s="265"/>
      <c r="W942" s="265"/>
      <c r="X942" s="193"/>
      <c r="Y942" s="193"/>
      <c r="Z942" s="193"/>
      <c r="AA942" s="193"/>
      <c r="AB942" s="193"/>
      <c r="AC942" s="193"/>
      <c r="AD942" s="193"/>
      <c r="AE942" s="193"/>
      <c r="AF942" s="3"/>
      <c r="AG942" s="3"/>
      <c r="AH942" s="3"/>
      <c r="AI942" s="3"/>
      <c r="AJ942" s="3"/>
      <c r="AK942" s="3"/>
      <c r="AL942" s="3"/>
    </row>
    <row r="943" spans="1:38" ht="14.25" customHeight="1">
      <c r="A943" s="3"/>
      <c r="B943" s="3"/>
      <c r="C943" s="3"/>
      <c r="D943" s="3"/>
      <c r="E943" s="265"/>
      <c r="F943" s="265"/>
      <c r="G943" s="265"/>
      <c r="H943" s="265"/>
      <c r="I943" s="265"/>
      <c r="J943" s="260"/>
      <c r="K943" s="3"/>
      <c r="L943" s="265"/>
      <c r="M943" s="265"/>
      <c r="N943" s="265"/>
      <c r="O943" s="265"/>
      <c r="P943" s="265"/>
      <c r="Q943" s="260"/>
      <c r="R943" s="3"/>
      <c r="S943" s="265"/>
      <c r="T943" s="265"/>
      <c r="U943" s="265"/>
      <c r="V943" s="265"/>
      <c r="W943" s="265"/>
      <c r="X943" s="193"/>
      <c r="Y943" s="193"/>
      <c r="Z943" s="193"/>
      <c r="AA943" s="193"/>
      <c r="AB943" s="193"/>
      <c r="AC943" s="193"/>
      <c r="AD943" s="193"/>
      <c r="AE943" s="193"/>
      <c r="AF943" s="3"/>
      <c r="AG943" s="3"/>
      <c r="AH943" s="3"/>
      <c r="AI943" s="3"/>
      <c r="AJ943" s="3"/>
      <c r="AK943" s="3"/>
      <c r="AL943" s="3"/>
    </row>
    <row r="944" spans="1:38" ht="14.25" customHeight="1">
      <c r="A944" s="3"/>
      <c r="B944" s="3"/>
      <c r="C944" s="3"/>
      <c r="D944" s="3"/>
      <c r="E944" s="265"/>
      <c r="F944" s="265"/>
      <c r="G944" s="265"/>
      <c r="H944" s="265"/>
      <c r="I944" s="265"/>
      <c r="J944" s="260"/>
      <c r="K944" s="3"/>
      <c r="L944" s="265"/>
      <c r="M944" s="265"/>
      <c r="N944" s="265"/>
      <c r="O944" s="265"/>
      <c r="P944" s="265"/>
      <c r="Q944" s="260"/>
      <c r="R944" s="3"/>
      <c r="S944" s="265"/>
      <c r="T944" s="265"/>
      <c r="U944" s="265"/>
      <c r="V944" s="265"/>
      <c r="W944" s="265"/>
      <c r="X944" s="193"/>
      <c r="Y944" s="193"/>
      <c r="Z944" s="193"/>
      <c r="AA944" s="193"/>
      <c r="AB944" s="193"/>
      <c r="AC944" s="193"/>
      <c r="AD944" s="193"/>
      <c r="AE944" s="193"/>
      <c r="AF944" s="3"/>
      <c r="AG944" s="3"/>
      <c r="AH944" s="3"/>
      <c r="AI944" s="3"/>
      <c r="AJ944" s="3"/>
      <c r="AK944" s="3"/>
      <c r="AL944" s="3"/>
    </row>
    <row r="945" spans="1:38" ht="14.25" customHeight="1">
      <c r="A945" s="3"/>
      <c r="B945" s="3"/>
      <c r="C945" s="3"/>
      <c r="D945" s="3"/>
      <c r="E945" s="265"/>
      <c r="F945" s="265"/>
      <c r="G945" s="265"/>
      <c r="H945" s="265"/>
      <c r="I945" s="265"/>
      <c r="J945" s="260"/>
      <c r="K945" s="3"/>
      <c r="L945" s="265"/>
      <c r="M945" s="265"/>
      <c r="N945" s="265"/>
      <c r="O945" s="265"/>
      <c r="P945" s="265"/>
      <c r="Q945" s="260"/>
      <c r="R945" s="3"/>
      <c r="S945" s="265"/>
      <c r="T945" s="265"/>
      <c r="U945" s="265"/>
      <c r="V945" s="265"/>
      <c r="W945" s="265"/>
      <c r="X945" s="193"/>
      <c r="Y945" s="193"/>
      <c r="Z945" s="193"/>
      <c r="AA945" s="193"/>
      <c r="AB945" s="193"/>
      <c r="AC945" s="193"/>
      <c r="AD945" s="193"/>
      <c r="AE945" s="193"/>
      <c r="AF945" s="3"/>
      <c r="AG945" s="3"/>
      <c r="AH945" s="3"/>
      <c r="AI945" s="3"/>
      <c r="AJ945" s="3"/>
      <c r="AK945" s="3"/>
      <c r="AL945" s="3"/>
    </row>
    <row r="946" spans="1:38" ht="14.25" customHeight="1">
      <c r="A946" s="3"/>
      <c r="B946" s="3"/>
      <c r="C946" s="3"/>
      <c r="D946" s="3"/>
      <c r="E946" s="265"/>
      <c r="F946" s="265"/>
      <c r="G946" s="265"/>
      <c r="H946" s="265"/>
      <c r="I946" s="265"/>
      <c r="J946" s="260"/>
      <c r="K946" s="3"/>
      <c r="L946" s="265"/>
      <c r="M946" s="265"/>
      <c r="N946" s="265"/>
      <c r="O946" s="265"/>
      <c r="P946" s="265"/>
      <c r="Q946" s="260"/>
      <c r="R946" s="3"/>
      <c r="S946" s="265"/>
      <c r="T946" s="265"/>
      <c r="U946" s="265"/>
      <c r="V946" s="265"/>
      <c r="W946" s="265"/>
      <c r="X946" s="193"/>
      <c r="Y946" s="193"/>
      <c r="Z946" s="193"/>
      <c r="AA946" s="193"/>
      <c r="AB946" s="193"/>
      <c r="AC946" s="193"/>
      <c r="AD946" s="193"/>
      <c r="AE946" s="193"/>
      <c r="AF946" s="3"/>
      <c r="AG946" s="3"/>
      <c r="AH946" s="3"/>
      <c r="AI946" s="3"/>
      <c r="AJ946" s="3"/>
      <c r="AK946" s="3"/>
      <c r="AL946" s="3"/>
    </row>
    <row r="947" spans="1:38" ht="14.25" customHeight="1">
      <c r="A947" s="3"/>
      <c r="B947" s="3"/>
      <c r="C947" s="3"/>
      <c r="D947" s="3"/>
      <c r="E947" s="265"/>
      <c r="F947" s="265"/>
      <c r="G947" s="265"/>
      <c r="H947" s="265"/>
      <c r="I947" s="265"/>
      <c r="J947" s="260"/>
      <c r="K947" s="3"/>
      <c r="L947" s="265"/>
      <c r="M947" s="265"/>
      <c r="N947" s="265"/>
      <c r="O947" s="265"/>
      <c r="P947" s="265"/>
      <c r="Q947" s="260"/>
      <c r="R947" s="3"/>
      <c r="S947" s="265"/>
      <c r="T947" s="265"/>
      <c r="U947" s="265"/>
      <c r="V947" s="265"/>
      <c r="W947" s="265"/>
      <c r="X947" s="193"/>
      <c r="Y947" s="193"/>
      <c r="Z947" s="193"/>
      <c r="AA947" s="193"/>
      <c r="AB947" s="193"/>
      <c r="AC947" s="193"/>
      <c r="AD947" s="193"/>
      <c r="AE947" s="193"/>
      <c r="AF947" s="3"/>
      <c r="AG947" s="3"/>
      <c r="AH947" s="3"/>
      <c r="AI947" s="3"/>
      <c r="AJ947" s="3"/>
      <c r="AK947" s="3"/>
      <c r="AL947" s="3"/>
    </row>
    <row r="948" spans="1:38" ht="14.25" customHeight="1">
      <c r="A948" s="3"/>
      <c r="B948" s="3"/>
      <c r="C948" s="3"/>
      <c r="D948" s="3"/>
      <c r="E948" s="265"/>
      <c r="F948" s="265"/>
      <c r="G948" s="265"/>
      <c r="H948" s="265"/>
      <c r="I948" s="265"/>
      <c r="J948" s="260"/>
      <c r="K948" s="3"/>
      <c r="L948" s="265"/>
      <c r="M948" s="265"/>
      <c r="N948" s="265"/>
      <c r="O948" s="265"/>
      <c r="P948" s="265"/>
      <c r="Q948" s="260"/>
      <c r="R948" s="3"/>
      <c r="S948" s="265"/>
      <c r="T948" s="265"/>
      <c r="U948" s="265"/>
      <c r="V948" s="265"/>
      <c r="W948" s="265"/>
      <c r="X948" s="193"/>
      <c r="Y948" s="193"/>
      <c r="Z948" s="193"/>
      <c r="AA948" s="193"/>
      <c r="AB948" s="193"/>
      <c r="AC948" s="193"/>
      <c r="AD948" s="193"/>
      <c r="AE948" s="193"/>
      <c r="AF948" s="3"/>
      <c r="AG948" s="3"/>
      <c r="AH948" s="3"/>
      <c r="AI948" s="3"/>
      <c r="AJ948" s="3"/>
      <c r="AK948" s="3"/>
      <c r="AL948" s="3"/>
    </row>
    <row r="949" spans="1:38" ht="14.25" customHeight="1">
      <c r="A949" s="3"/>
      <c r="B949" s="3"/>
      <c r="C949" s="3"/>
      <c r="D949" s="3"/>
      <c r="E949" s="265"/>
      <c r="F949" s="265"/>
      <c r="G949" s="265"/>
      <c r="H949" s="265"/>
      <c r="I949" s="265"/>
      <c r="J949" s="260"/>
      <c r="K949" s="3"/>
      <c r="L949" s="265"/>
      <c r="M949" s="265"/>
      <c r="N949" s="265"/>
      <c r="O949" s="265"/>
      <c r="P949" s="265"/>
      <c r="Q949" s="260"/>
      <c r="R949" s="3"/>
      <c r="S949" s="265"/>
      <c r="T949" s="265"/>
      <c r="U949" s="265"/>
      <c r="V949" s="265"/>
      <c r="W949" s="265"/>
      <c r="X949" s="193"/>
      <c r="Y949" s="193"/>
      <c r="Z949" s="193"/>
      <c r="AA949" s="193"/>
      <c r="AB949" s="193"/>
      <c r="AC949" s="193"/>
      <c r="AD949" s="193"/>
      <c r="AE949" s="193"/>
      <c r="AF949" s="3"/>
      <c r="AG949" s="3"/>
      <c r="AH949" s="3"/>
      <c r="AI949" s="3"/>
      <c r="AJ949" s="3"/>
      <c r="AK949" s="3"/>
      <c r="AL949" s="3"/>
    </row>
    <row r="950" spans="1:38" ht="14.25" customHeight="1">
      <c r="A950" s="3"/>
      <c r="B950" s="3"/>
      <c r="C950" s="3"/>
      <c r="D950" s="3"/>
      <c r="E950" s="265"/>
      <c r="F950" s="265"/>
      <c r="G950" s="265"/>
      <c r="H950" s="265"/>
      <c r="I950" s="265"/>
      <c r="J950" s="260"/>
      <c r="K950" s="3"/>
      <c r="L950" s="265"/>
      <c r="M950" s="265"/>
      <c r="N950" s="265"/>
      <c r="O950" s="265"/>
      <c r="P950" s="265"/>
      <c r="Q950" s="260"/>
      <c r="R950" s="3"/>
      <c r="S950" s="265"/>
      <c r="T950" s="265"/>
      <c r="U950" s="265"/>
      <c r="V950" s="265"/>
      <c r="W950" s="265"/>
      <c r="X950" s="193"/>
      <c r="Y950" s="193"/>
      <c r="Z950" s="193"/>
      <c r="AA950" s="193"/>
      <c r="AB950" s="193"/>
      <c r="AC950" s="193"/>
      <c r="AD950" s="193"/>
      <c r="AE950" s="193"/>
      <c r="AF950" s="3"/>
      <c r="AG950" s="3"/>
      <c r="AH950" s="3"/>
      <c r="AI950" s="3"/>
      <c r="AJ950" s="3"/>
      <c r="AK950" s="3"/>
      <c r="AL950" s="3"/>
    </row>
    <row r="951" spans="1:38" ht="14.25" customHeight="1">
      <c r="A951" s="3"/>
      <c r="B951" s="3"/>
      <c r="C951" s="3"/>
      <c r="D951" s="3"/>
      <c r="E951" s="265"/>
      <c r="F951" s="265"/>
      <c r="G951" s="265"/>
      <c r="H951" s="265"/>
      <c r="I951" s="265"/>
      <c r="J951" s="260"/>
      <c r="K951" s="3"/>
      <c r="L951" s="265"/>
      <c r="M951" s="265"/>
      <c r="N951" s="265"/>
      <c r="O951" s="265"/>
      <c r="P951" s="265"/>
      <c r="Q951" s="260"/>
      <c r="R951" s="3"/>
      <c r="S951" s="265"/>
      <c r="T951" s="265"/>
      <c r="U951" s="265"/>
      <c r="V951" s="265"/>
      <c r="W951" s="265"/>
      <c r="X951" s="193"/>
      <c r="Y951" s="193"/>
      <c r="Z951" s="193"/>
      <c r="AA951" s="193"/>
      <c r="AB951" s="193"/>
      <c r="AC951" s="193"/>
      <c r="AD951" s="193"/>
      <c r="AE951" s="193"/>
      <c r="AF951" s="3"/>
      <c r="AG951" s="3"/>
      <c r="AH951" s="3"/>
      <c r="AI951" s="3"/>
      <c r="AJ951" s="3"/>
      <c r="AK951" s="3"/>
      <c r="AL951" s="3"/>
    </row>
    <row r="952" spans="1:38" ht="14.25" customHeight="1">
      <c r="A952" s="3"/>
      <c r="B952" s="3"/>
      <c r="C952" s="3"/>
      <c r="D952" s="3"/>
      <c r="E952" s="265"/>
      <c r="F952" s="265"/>
      <c r="G952" s="265"/>
      <c r="H952" s="265"/>
      <c r="I952" s="265"/>
      <c r="J952" s="260"/>
      <c r="K952" s="3"/>
      <c r="L952" s="265"/>
      <c r="M952" s="265"/>
      <c r="N952" s="265"/>
      <c r="O952" s="265"/>
      <c r="P952" s="265"/>
      <c r="Q952" s="260"/>
      <c r="R952" s="3"/>
      <c r="S952" s="265"/>
      <c r="T952" s="265"/>
      <c r="U952" s="265"/>
      <c r="V952" s="265"/>
      <c r="W952" s="265"/>
      <c r="X952" s="193"/>
      <c r="Y952" s="193"/>
      <c r="Z952" s="193"/>
      <c r="AA952" s="193"/>
      <c r="AB952" s="193"/>
      <c r="AC952" s="193"/>
      <c r="AD952" s="193"/>
      <c r="AE952" s="193"/>
      <c r="AF952" s="3"/>
      <c r="AG952" s="3"/>
      <c r="AH952" s="3"/>
      <c r="AI952" s="3"/>
      <c r="AJ952" s="3"/>
      <c r="AK952" s="3"/>
      <c r="AL952" s="3"/>
    </row>
    <row r="953" spans="1:38" ht="14.25" customHeight="1">
      <c r="A953" s="3"/>
      <c r="B953" s="3"/>
      <c r="C953" s="3"/>
      <c r="D953" s="3"/>
      <c r="E953" s="265"/>
      <c r="F953" s="265"/>
      <c r="G953" s="265"/>
      <c r="H953" s="265"/>
      <c r="I953" s="265"/>
      <c r="J953" s="260"/>
      <c r="K953" s="3"/>
      <c r="L953" s="265"/>
      <c r="M953" s="265"/>
      <c r="N953" s="265"/>
      <c r="O953" s="265"/>
      <c r="P953" s="265"/>
      <c r="Q953" s="260"/>
      <c r="R953" s="3"/>
      <c r="S953" s="265"/>
      <c r="T953" s="265"/>
      <c r="U953" s="265"/>
      <c r="V953" s="265"/>
      <c r="W953" s="265"/>
      <c r="X953" s="193"/>
      <c r="Y953" s="193"/>
      <c r="Z953" s="193"/>
      <c r="AA953" s="193"/>
      <c r="AB953" s="193"/>
      <c r="AC953" s="193"/>
      <c r="AD953" s="193"/>
      <c r="AE953" s="193"/>
      <c r="AF953" s="3"/>
      <c r="AG953" s="3"/>
      <c r="AH953" s="3"/>
      <c r="AI953" s="3"/>
      <c r="AJ953" s="3"/>
      <c r="AK953" s="3"/>
      <c r="AL953" s="3"/>
    </row>
    <row r="954" spans="1:38" ht="14.25" customHeight="1">
      <c r="A954" s="3"/>
      <c r="B954" s="3"/>
      <c r="C954" s="3"/>
      <c r="D954" s="3"/>
      <c r="E954" s="265"/>
      <c r="F954" s="265"/>
      <c r="G954" s="265"/>
      <c r="H954" s="265"/>
      <c r="I954" s="265"/>
      <c r="J954" s="260"/>
      <c r="K954" s="3"/>
      <c r="L954" s="265"/>
      <c r="M954" s="265"/>
      <c r="N954" s="265"/>
      <c r="O954" s="265"/>
      <c r="P954" s="265"/>
      <c r="Q954" s="260"/>
      <c r="R954" s="3"/>
      <c r="S954" s="265"/>
      <c r="T954" s="265"/>
      <c r="U954" s="265"/>
      <c r="V954" s="265"/>
      <c r="W954" s="265"/>
      <c r="X954" s="193"/>
      <c r="Y954" s="193"/>
      <c r="Z954" s="193"/>
      <c r="AA954" s="193"/>
      <c r="AB954" s="193"/>
      <c r="AC954" s="193"/>
      <c r="AD954" s="193"/>
      <c r="AE954" s="193"/>
      <c r="AF954" s="3"/>
      <c r="AG954" s="3"/>
      <c r="AH954" s="3"/>
      <c r="AI954" s="3"/>
      <c r="AJ954" s="3"/>
      <c r="AK954" s="3"/>
      <c r="AL954" s="3"/>
    </row>
    <row r="955" spans="1:38" ht="14.25" customHeight="1">
      <c r="A955" s="3"/>
      <c r="B955" s="3"/>
      <c r="C955" s="3"/>
      <c r="D955" s="3"/>
      <c r="E955" s="265"/>
      <c r="F955" s="265"/>
      <c r="G955" s="265"/>
      <c r="H955" s="265"/>
      <c r="I955" s="265"/>
      <c r="J955" s="260"/>
      <c r="K955" s="3"/>
      <c r="L955" s="265"/>
      <c r="M955" s="265"/>
      <c r="N955" s="265"/>
      <c r="O955" s="265"/>
      <c r="P955" s="265"/>
      <c r="Q955" s="260"/>
      <c r="R955" s="3"/>
      <c r="S955" s="265"/>
      <c r="T955" s="265"/>
      <c r="U955" s="265"/>
      <c r="V955" s="265"/>
      <c r="W955" s="265"/>
      <c r="X955" s="193"/>
      <c r="Y955" s="193"/>
      <c r="Z955" s="193"/>
      <c r="AA955" s="193"/>
      <c r="AB955" s="193"/>
      <c r="AC955" s="193"/>
      <c r="AD955" s="193"/>
      <c r="AE955" s="193"/>
      <c r="AF955" s="3"/>
      <c r="AG955" s="3"/>
      <c r="AH955" s="3"/>
      <c r="AI955" s="3"/>
      <c r="AJ955" s="3"/>
      <c r="AK955" s="3"/>
      <c r="AL955" s="3"/>
    </row>
    <row r="956" spans="1:38" ht="14.25" customHeight="1">
      <c r="A956" s="3"/>
      <c r="B956" s="3"/>
      <c r="C956" s="3"/>
      <c r="D956" s="3"/>
      <c r="E956" s="265"/>
      <c r="F956" s="265"/>
      <c r="G956" s="265"/>
      <c r="H956" s="265"/>
      <c r="I956" s="265"/>
      <c r="J956" s="260"/>
      <c r="K956" s="3"/>
      <c r="L956" s="265"/>
      <c r="M956" s="265"/>
      <c r="N956" s="265"/>
      <c r="O956" s="265"/>
      <c r="P956" s="265"/>
      <c r="Q956" s="260"/>
      <c r="R956" s="3"/>
      <c r="S956" s="265"/>
      <c r="T956" s="265"/>
      <c r="U956" s="265"/>
      <c r="V956" s="265"/>
      <c r="W956" s="265"/>
      <c r="X956" s="193"/>
      <c r="Y956" s="193"/>
      <c r="Z956" s="193"/>
      <c r="AA956" s="193"/>
      <c r="AB956" s="193"/>
      <c r="AC956" s="193"/>
      <c r="AD956" s="193"/>
      <c r="AE956" s="193"/>
      <c r="AF956" s="3"/>
      <c r="AG956" s="3"/>
      <c r="AH956" s="3"/>
      <c r="AI956" s="3"/>
      <c r="AJ956" s="3"/>
      <c r="AK956" s="3"/>
      <c r="AL956" s="3"/>
    </row>
    <row r="957" spans="1:38" ht="14.25" customHeight="1">
      <c r="A957" s="3"/>
      <c r="B957" s="3"/>
      <c r="C957" s="3"/>
      <c r="D957" s="3"/>
      <c r="E957" s="265"/>
      <c r="F957" s="265"/>
      <c r="G957" s="265"/>
      <c r="H957" s="265"/>
      <c r="I957" s="265"/>
      <c r="J957" s="260"/>
      <c r="K957" s="3"/>
      <c r="L957" s="265"/>
      <c r="M957" s="265"/>
      <c r="N957" s="265"/>
      <c r="O957" s="265"/>
      <c r="P957" s="265"/>
      <c r="Q957" s="260"/>
      <c r="R957" s="3"/>
      <c r="S957" s="265"/>
      <c r="T957" s="265"/>
      <c r="U957" s="265"/>
      <c r="V957" s="265"/>
      <c r="W957" s="265"/>
      <c r="X957" s="193"/>
      <c r="Y957" s="193"/>
      <c r="Z957" s="193"/>
      <c r="AA957" s="193"/>
      <c r="AB957" s="193"/>
      <c r="AC957" s="193"/>
      <c r="AD957" s="193"/>
      <c r="AE957" s="193"/>
      <c r="AF957" s="3"/>
      <c r="AG957" s="3"/>
      <c r="AH957" s="3"/>
      <c r="AI957" s="3"/>
      <c r="AJ957" s="3"/>
      <c r="AK957" s="3"/>
      <c r="AL957" s="3"/>
    </row>
    <row r="958" spans="1:38" ht="14.25" customHeight="1">
      <c r="A958" s="3"/>
      <c r="B958" s="3"/>
      <c r="C958" s="3"/>
      <c r="D958" s="3"/>
      <c r="E958" s="265"/>
      <c r="F958" s="265"/>
      <c r="G958" s="265"/>
      <c r="H958" s="265"/>
      <c r="I958" s="265"/>
      <c r="J958" s="260"/>
      <c r="K958" s="3"/>
      <c r="L958" s="265"/>
      <c r="M958" s="265"/>
      <c r="N958" s="265"/>
      <c r="O958" s="265"/>
      <c r="P958" s="265"/>
      <c r="Q958" s="260"/>
      <c r="R958" s="3"/>
      <c r="S958" s="265"/>
      <c r="T958" s="265"/>
      <c r="U958" s="265"/>
      <c r="V958" s="265"/>
      <c r="W958" s="265"/>
      <c r="X958" s="193"/>
      <c r="Y958" s="193"/>
      <c r="Z958" s="193"/>
      <c r="AA958" s="193"/>
      <c r="AB958" s="193"/>
      <c r="AC958" s="193"/>
      <c r="AD958" s="193"/>
      <c r="AE958" s="193"/>
      <c r="AF958" s="3"/>
      <c r="AG958" s="3"/>
      <c r="AH958" s="3"/>
      <c r="AI958" s="3"/>
      <c r="AJ958" s="3"/>
      <c r="AK958" s="3"/>
      <c r="AL958" s="3"/>
    </row>
    <row r="959" spans="1:38" ht="14.25" customHeight="1">
      <c r="A959" s="3"/>
      <c r="B959" s="3"/>
      <c r="C959" s="3"/>
      <c r="D959" s="3"/>
      <c r="E959" s="265"/>
      <c r="F959" s="265"/>
      <c r="G959" s="265"/>
      <c r="H959" s="265"/>
      <c r="I959" s="265"/>
      <c r="J959" s="260"/>
      <c r="K959" s="3"/>
      <c r="L959" s="265"/>
      <c r="M959" s="265"/>
      <c r="N959" s="265"/>
      <c r="O959" s="265"/>
      <c r="P959" s="265"/>
      <c r="Q959" s="260"/>
      <c r="R959" s="3"/>
      <c r="S959" s="265"/>
      <c r="T959" s="265"/>
      <c r="U959" s="265"/>
      <c r="V959" s="265"/>
      <c r="W959" s="265"/>
      <c r="X959" s="193"/>
      <c r="Y959" s="193"/>
      <c r="Z959" s="193"/>
      <c r="AA959" s="193"/>
      <c r="AB959" s="193"/>
      <c r="AC959" s="193"/>
      <c r="AD959" s="193"/>
      <c r="AE959" s="193"/>
      <c r="AF959" s="3"/>
      <c r="AG959" s="3"/>
      <c r="AH959" s="3"/>
      <c r="AI959" s="3"/>
      <c r="AJ959" s="3"/>
      <c r="AK959" s="3"/>
      <c r="AL959" s="3"/>
    </row>
    <row r="960" spans="1:38" ht="14.25" customHeight="1">
      <c r="A960" s="3"/>
      <c r="B960" s="3"/>
      <c r="C960" s="3"/>
      <c r="D960" s="3"/>
      <c r="E960" s="265"/>
      <c r="F960" s="265"/>
      <c r="G960" s="265"/>
      <c r="H960" s="265"/>
      <c r="I960" s="265"/>
      <c r="J960" s="260"/>
      <c r="K960" s="3"/>
      <c r="L960" s="265"/>
      <c r="M960" s="265"/>
      <c r="N960" s="265"/>
      <c r="O960" s="265"/>
      <c r="P960" s="265"/>
      <c r="Q960" s="260"/>
      <c r="R960" s="3"/>
      <c r="S960" s="265"/>
      <c r="T960" s="265"/>
      <c r="U960" s="265"/>
      <c r="V960" s="265"/>
      <c r="W960" s="265"/>
      <c r="X960" s="193"/>
      <c r="Y960" s="193"/>
      <c r="Z960" s="193"/>
      <c r="AA960" s="193"/>
      <c r="AB960" s="193"/>
      <c r="AC960" s="193"/>
      <c r="AD960" s="193"/>
      <c r="AE960" s="193"/>
      <c r="AF960" s="3"/>
      <c r="AG960" s="3"/>
      <c r="AH960" s="3"/>
      <c r="AI960" s="3"/>
      <c r="AJ960" s="3"/>
      <c r="AK960" s="3"/>
      <c r="AL960" s="3"/>
    </row>
    <row r="961" spans="1:38" ht="14.25" customHeight="1">
      <c r="A961" s="3"/>
      <c r="B961" s="3"/>
      <c r="C961" s="3"/>
      <c r="D961" s="3"/>
      <c r="E961" s="265"/>
      <c r="F961" s="265"/>
      <c r="G961" s="265"/>
      <c r="H961" s="265"/>
      <c r="I961" s="265"/>
      <c r="J961" s="260"/>
      <c r="K961" s="3"/>
      <c r="L961" s="265"/>
      <c r="M961" s="265"/>
      <c r="N961" s="265"/>
      <c r="O961" s="265"/>
      <c r="P961" s="265"/>
      <c r="Q961" s="260"/>
      <c r="R961" s="3"/>
      <c r="S961" s="265"/>
      <c r="T961" s="265"/>
      <c r="U961" s="265"/>
      <c r="V961" s="265"/>
      <c r="W961" s="265"/>
      <c r="X961" s="193"/>
      <c r="Y961" s="193"/>
      <c r="Z961" s="193"/>
      <c r="AA961" s="193"/>
      <c r="AB961" s="193"/>
      <c r="AC961" s="193"/>
      <c r="AD961" s="193"/>
      <c r="AE961" s="193"/>
      <c r="AF961" s="3"/>
      <c r="AG961" s="3"/>
      <c r="AH961" s="3"/>
      <c r="AI961" s="3"/>
      <c r="AJ961" s="3"/>
      <c r="AK961" s="3"/>
      <c r="AL961" s="3"/>
    </row>
    <row r="962" spans="1:38" ht="14.25" customHeight="1">
      <c r="A962" s="3"/>
      <c r="B962" s="3"/>
      <c r="C962" s="3"/>
      <c r="D962" s="3"/>
      <c r="E962" s="265"/>
      <c r="F962" s="265"/>
      <c r="G962" s="265"/>
      <c r="H962" s="265"/>
      <c r="I962" s="265"/>
      <c r="J962" s="260"/>
      <c r="K962" s="3"/>
      <c r="L962" s="265"/>
      <c r="M962" s="265"/>
      <c r="N962" s="265"/>
      <c r="O962" s="265"/>
      <c r="P962" s="265"/>
      <c r="Q962" s="260"/>
      <c r="R962" s="3"/>
      <c r="S962" s="265"/>
      <c r="T962" s="265"/>
      <c r="U962" s="265"/>
      <c r="V962" s="265"/>
      <c r="W962" s="265"/>
      <c r="X962" s="193"/>
      <c r="Y962" s="193"/>
      <c r="Z962" s="193"/>
      <c r="AA962" s="193"/>
      <c r="AB962" s="193"/>
      <c r="AC962" s="193"/>
      <c r="AD962" s="193"/>
      <c r="AE962" s="193"/>
      <c r="AF962" s="3"/>
      <c r="AG962" s="3"/>
      <c r="AH962" s="3"/>
      <c r="AI962" s="3"/>
      <c r="AJ962" s="3"/>
      <c r="AK962" s="3"/>
      <c r="AL962" s="3"/>
    </row>
    <row r="963" spans="1:38" ht="14.25" customHeight="1">
      <c r="A963" s="3"/>
      <c r="B963" s="3"/>
      <c r="C963" s="3"/>
      <c r="D963" s="3"/>
      <c r="E963" s="265"/>
      <c r="F963" s="265"/>
      <c r="G963" s="265"/>
      <c r="H963" s="265"/>
      <c r="I963" s="265"/>
      <c r="J963" s="260"/>
      <c r="K963" s="3"/>
      <c r="L963" s="265"/>
      <c r="M963" s="265"/>
      <c r="N963" s="265"/>
      <c r="O963" s="265"/>
      <c r="P963" s="265"/>
      <c r="Q963" s="260"/>
      <c r="R963" s="3"/>
      <c r="S963" s="265"/>
      <c r="T963" s="265"/>
      <c r="U963" s="265"/>
      <c r="V963" s="265"/>
      <c r="W963" s="265"/>
      <c r="X963" s="193"/>
      <c r="Y963" s="193"/>
      <c r="Z963" s="193"/>
      <c r="AA963" s="193"/>
      <c r="AB963" s="193"/>
      <c r="AC963" s="193"/>
      <c r="AD963" s="193"/>
      <c r="AE963" s="193"/>
      <c r="AF963" s="3"/>
      <c r="AG963" s="3"/>
      <c r="AH963" s="3"/>
      <c r="AI963" s="3"/>
      <c r="AJ963" s="3"/>
      <c r="AK963" s="3"/>
      <c r="AL963" s="3"/>
    </row>
    <row r="964" spans="1:38" ht="14.25" customHeight="1">
      <c r="A964" s="3"/>
      <c r="B964" s="3"/>
      <c r="C964" s="3"/>
      <c r="D964" s="3"/>
      <c r="E964" s="265"/>
      <c r="F964" s="265"/>
      <c r="G964" s="265"/>
      <c r="H964" s="265"/>
      <c r="I964" s="265"/>
      <c r="J964" s="260"/>
      <c r="K964" s="3"/>
      <c r="L964" s="265"/>
      <c r="M964" s="265"/>
      <c r="N964" s="265"/>
      <c r="O964" s="265"/>
      <c r="P964" s="265"/>
      <c r="Q964" s="260"/>
      <c r="R964" s="3"/>
      <c r="S964" s="265"/>
      <c r="T964" s="265"/>
      <c r="U964" s="265"/>
      <c r="V964" s="265"/>
      <c r="W964" s="265"/>
      <c r="X964" s="193"/>
      <c r="Y964" s="193"/>
      <c r="Z964" s="193"/>
      <c r="AA964" s="193"/>
      <c r="AB964" s="193"/>
      <c r="AC964" s="193"/>
      <c r="AD964" s="193"/>
      <c r="AE964" s="193"/>
      <c r="AF964" s="3"/>
      <c r="AG964" s="3"/>
      <c r="AH964" s="3"/>
      <c r="AI964" s="3"/>
      <c r="AJ964" s="3"/>
      <c r="AK964" s="3"/>
      <c r="AL964" s="3"/>
    </row>
    <row r="965" spans="1:38" ht="14.25" customHeight="1">
      <c r="A965" s="3"/>
      <c r="B965" s="3"/>
      <c r="C965" s="3"/>
      <c r="D965" s="3"/>
      <c r="E965" s="265"/>
      <c r="F965" s="265"/>
      <c r="G965" s="265"/>
      <c r="H965" s="265"/>
      <c r="I965" s="265"/>
      <c r="J965" s="260"/>
      <c r="K965" s="3"/>
      <c r="L965" s="265"/>
      <c r="M965" s="265"/>
      <c r="N965" s="265"/>
      <c r="O965" s="265"/>
      <c r="P965" s="265"/>
      <c r="Q965" s="260"/>
      <c r="R965" s="3"/>
      <c r="S965" s="265"/>
      <c r="T965" s="265"/>
      <c r="U965" s="265"/>
      <c r="V965" s="265"/>
      <c r="W965" s="265"/>
      <c r="X965" s="193"/>
      <c r="Y965" s="193"/>
      <c r="Z965" s="193"/>
      <c r="AA965" s="193"/>
      <c r="AB965" s="193"/>
      <c r="AC965" s="193"/>
      <c r="AD965" s="193"/>
      <c r="AE965" s="193"/>
      <c r="AF965" s="3"/>
      <c r="AG965" s="3"/>
      <c r="AH965" s="3"/>
      <c r="AI965" s="3"/>
      <c r="AJ965" s="3"/>
      <c r="AK965" s="3"/>
      <c r="AL965" s="3"/>
    </row>
    <row r="966" spans="1:38" ht="14.25" customHeight="1">
      <c r="A966" s="3"/>
      <c r="B966" s="3"/>
      <c r="C966" s="3"/>
      <c r="D966" s="3"/>
      <c r="E966" s="265"/>
      <c r="F966" s="265"/>
      <c r="G966" s="265"/>
      <c r="H966" s="265"/>
      <c r="I966" s="265"/>
      <c r="J966" s="260"/>
      <c r="K966" s="3"/>
      <c r="L966" s="265"/>
      <c r="M966" s="265"/>
      <c r="N966" s="265"/>
      <c r="O966" s="265"/>
      <c r="P966" s="265"/>
      <c r="Q966" s="260"/>
      <c r="R966" s="3"/>
      <c r="S966" s="265"/>
      <c r="T966" s="265"/>
      <c r="U966" s="265"/>
      <c r="V966" s="265"/>
      <c r="W966" s="265"/>
      <c r="X966" s="193"/>
      <c r="Y966" s="193"/>
      <c r="Z966" s="193"/>
      <c r="AA966" s="193"/>
      <c r="AB966" s="193"/>
      <c r="AC966" s="193"/>
      <c r="AD966" s="193"/>
      <c r="AE966" s="193"/>
      <c r="AF966" s="3"/>
      <c r="AG966" s="3"/>
      <c r="AH966" s="3"/>
      <c r="AI966" s="3"/>
      <c r="AJ966" s="3"/>
      <c r="AK966" s="3"/>
      <c r="AL966" s="3"/>
    </row>
    <row r="967" spans="1:38" ht="14.25" customHeight="1">
      <c r="A967" s="3"/>
      <c r="B967" s="3"/>
      <c r="C967" s="3"/>
      <c r="D967" s="3"/>
      <c r="E967" s="265"/>
      <c r="F967" s="265"/>
      <c r="G967" s="265"/>
      <c r="H967" s="265"/>
      <c r="I967" s="265"/>
      <c r="J967" s="260"/>
      <c r="K967" s="3"/>
      <c r="L967" s="265"/>
      <c r="M967" s="265"/>
      <c r="N967" s="265"/>
      <c r="O967" s="265"/>
      <c r="P967" s="265"/>
      <c r="Q967" s="260"/>
      <c r="R967" s="3"/>
      <c r="S967" s="265"/>
      <c r="T967" s="265"/>
      <c r="U967" s="265"/>
      <c r="V967" s="265"/>
      <c r="W967" s="265"/>
      <c r="X967" s="193"/>
      <c r="Y967" s="193"/>
      <c r="Z967" s="193"/>
      <c r="AA967" s="193"/>
      <c r="AB967" s="193"/>
      <c r="AC967" s="193"/>
      <c r="AD967" s="193"/>
      <c r="AE967" s="193"/>
      <c r="AF967" s="3"/>
      <c r="AG967" s="3"/>
      <c r="AH967" s="3"/>
      <c r="AI967" s="3"/>
      <c r="AJ967" s="3"/>
      <c r="AK967" s="3"/>
      <c r="AL967" s="3"/>
    </row>
    <row r="968" spans="1:38" ht="14.25" customHeight="1">
      <c r="A968" s="3"/>
      <c r="B968" s="3"/>
      <c r="C968" s="3"/>
      <c r="D968" s="3"/>
      <c r="E968" s="265"/>
      <c r="F968" s="265"/>
      <c r="G968" s="265"/>
      <c r="H968" s="265"/>
      <c r="I968" s="265"/>
      <c r="J968" s="260"/>
      <c r="K968" s="3"/>
      <c r="L968" s="265"/>
      <c r="M968" s="265"/>
      <c r="N968" s="265"/>
      <c r="O968" s="265"/>
      <c r="P968" s="265"/>
      <c r="Q968" s="260"/>
      <c r="R968" s="3"/>
      <c r="S968" s="265"/>
      <c r="T968" s="265"/>
      <c r="U968" s="265"/>
      <c r="V968" s="265"/>
      <c r="W968" s="265"/>
      <c r="X968" s="193"/>
      <c r="Y968" s="193"/>
      <c r="Z968" s="193"/>
      <c r="AA968" s="193"/>
      <c r="AB968" s="193"/>
      <c r="AC968" s="193"/>
      <c r="AD968" s="193"/>
      <c r="AE968" s="193"/>
      <c r="AF968" s="3"/>
      <c r="AG968" s="3"/>
      <c r="AH968" s="3"/>
      <c r="AI968" s="3"/>
      <c r="AJ968" s="3"/>
      <c r="AK968" s="3"/>
      <c r="AL968" s="3"/>
    </row>
    <row r="969" spans="1:38" ht="14.25" customHeight="1">
      <c r="A969" s="3"/>
      <c r="B969" s="3"/>
      <c r="C969" s="3"/>
      <c r="D969" s="3"/>
      <c r="E969" s="265"/>
      <c r="F969" s="265"/>
      <c r="G969" s="265"/>
      <c r="H969" s="265"/>
      <c r="I969" s="265"/>
      <c r="J969" s="260"/>
      <c r="K969" s="3"/>
      <c r="L969" s="265"/>
      <c r="M969" s="265"/>
      <c r="N969" s="265"/>
      <c r="O969" s="265"/>
      <c r="P969" s="265"/>
      <c r="Q969" s="260"/>
      <c r="R969" s="3"/>
      <c r="S969" s="265"/>
      <c r="T969" s="265"/>
      <c r="U969" s="265"/>
      <c r="V969" s="265"/>
      <c r="W969" s="265"/>
      <c r="X969" s="193"/>
      <c r="Y969" s="193"/>
      <c r="Z969" s="193"/>
      <c r="AA969" s="193"/>
      <c r="AB969" s="193"/>
      <c r="AC969" s="193"/>
      <c r="AD969" s="193"/>
      <c r="AE969" s="193"/>
      <c r="AF969" s="3"/>
      <c r="AG969" s="3"/>
      <c r="AH969" s="3"/>
      <c r="AI969" s="3"/>
      <c r="AJ969" s="3"/>
      <c r="AK969" s="3"/>
      <c r="AL969" s="3"/>
    </row>
    <row r="970" spans="1:38" ht="14.25" customHeight="1">
      <c r="A970" s="3"/>
      <c r="B970" s="3"/>
      <c r="C970" s="3"/>
      <c r="D970" s="3"/>
      <c r="E970" s="265"/>
      <c r="F970" s="265"/>
      <c r="G970" s="265"/>
      <c r="H970" s="265"/>
      <c r="I970" s="265"/>
      <c r="J970" s="260"/>
      <c r="K970" s="3"/>
      <c r="L970" s="265"/>
      <c r="M970" s="265"/>
      <c r="N970" s="265"/>
      <c r="O970" s="265"/>
      <c r="P970" s="265"/>
      <c r="Q970" s="260"/>
      <c r="R970" s="3"/>
      <c r="S970" s="265"/>
      <c r="T970" s="265"/>
      <c r="U970" s="265"/>
      <c r="V970" s="265"/>
      <c r="W970" s="265"/>
      <c r="X970" s="193"/>
      <c r="Y970" s="193"/>
      <c r="Z970" s="193"/>
      <c r="AA970" s="193"/>
      <c r="AB970" s="193"/>
      <c r="AC970" s="193"/>
      <c r="AD970" s="193"/>
      <c r="AE970" s="193"/>
      <c r="AF970" s="3"/>
      <c r="AG970" s="3"/>
      <c r="AH970" s="3"/>
      <c r="AI970" s="3"/>
      <c r="AJ970" s="3"/>
      <c r="AK970" s="3"/>
      <c r="AL970" s="3"/>
    </row>
    <row r="971" spans="1:38" ht="14.25" customHeight="1">
      <c r="A971" s="3"/>
      <c r="B971" s="3"/>
      <c r="C971" s="3"/>
      <c r="D971" s="3"/>
      <c r="E971" s="265"/>
      <c r="F971" s="265"/>
      <c r="G971" s="265"/>
      <c r="H971" s="265"/>
      <c r="I971" s="265"/>
      <c r="J971" s="260"/>
      <c r="K971" s="3"/>
      <c r="L971" s="265"/>
      <c r="M971" s="265"/>
      <c r="N971" s="265"/>
      <c r="O971" s="265"/>
      <c r="P971" s="265"/>
      <c r="Q971" s="260"/>
      <c r="R971" s="3"/>
      <c r="S971" s="265"/>
      <c r="T971" s="265"/>
      <c r="U971" s="265"/>
      <c r="V971" s="265"/>
      <c r="W971" s="265"/>
      <c r="X971" s="193"/>
      <c r="Y971" s="193"/>
      <c r="Z971" s="193"/>
      <c r="AA971" s="193"/>
      <c r="AB971" s="193"/>
      <c r="AC971" s="193"/>
      <c r="AD971" s="193"/>
      <c r="AE971" s="193"/>
      <c r="AF971" s="3"/>
      <c r="AG971" s="3"/>
      <c r="AH971" s="3"/>
      <c r="AI971" s="3"/>
      <c r="AJ971" s="3"/>
      <c r="AK971" s="3"/>
      <c r="AL971" s="3"/>
    </row>
    <row r="972" spans="1:38" ht="14.25" customHeight="1">
      <c r="A972" s="3"/>
      <c r="B972" s="3"/>
      <c r="C972" s="3"/>
      <c r="D972" s="3"/>
      <c r="E972" s="265"/>
      <c r="F972" s="265"/>
      <c r="G972" s="265"/>
      <c r="H972" s="265"/>
      <c r="I972" s="265"/>
      <c r="J972" s="260"/>
      <c r="K972" s="3"/>
      <c r="L972" s="265"/>
      <c r="M972" s="265"/>
      <c r="N972" s="265"/>
      <c r="O972" s="265"/>
      <c r="P972" s="265"/>
      <c r="Q972" s="260"/>
      <c r="R972" s="3"/>
      <c r="S972" s="265"/>
      <c r="T972" s="265"/>
      <c r="U972" s="265"/>
      <c r="V972" s="265"/>
      <c r="W972" s="265"/>
      <c r="X972" s="193"/>
      <c r="Y972" s="193"/>
      <c r="Z972" s="193"/>
      <c r="AA972" s="193"/>
      <c r="AB972" s="193"/>
      <c r="AC972" s="193"/>
      <c r="AD972" s="193"/>
      <c r="AE972" s="193"/>
      <c r="AF972" s="3"/>
      <c r="AG972" s="3"/>
      <c r="AH972" s="3"/>
      <c r="AI972" s="3"/>
      <c r="AJ972" s="3"/>
      <c r="AK972" s="3"/>
      <c r="AL972" s="3"/>
    </row>
    <row r="973" spans="1:38" ht="14.25" customHeight="1">
      <c r="A973" s="3"/>
      <c r="B973" s="3"/>
      <c r="C973" s="3"/>
      <c r="D973" s="3"/>
      <c r="E973" s="265"/>
      <c r="F973" s="265"/>
      <c r="G973" s="265"/>
      <c r="H973" s="265"/>
      <c r="I973" s="265"/>
      <c r="J973" s="260"/>
      <c r="K973" s="3"/>
      <c r="L973" s="265"/>
      <c r="M973" s="265"/>
      <c r="N973" s="265"/>
      <c r="O973" s="265"/>
      <c r="P973" s="265"/>
      <c r="Q973" s="260"/>
      <c r="R973" s="3"/>
      <c r="S973" s="265"/>
      <c r="T973" s="265"/>
      <c r="U973" s="265"/>
      <c r="V973" s="265"/>
      <c r="W973" s="265"/>
      <c r="X973" s="193"/>
      <c r="Y973" s="193"/>
      <c r="Z973" s="193"/>
      <c r="AA973" s="193"/>
      <c r="AB973" s="193"/>
      <c r="AC973" s="193"/>
      <c r="AD973" s="193"/>
      <c r="AE973" s="193"/>
      <c r="AF973" s="3"/>
      <c r="AG973" s="3"/>
      <c r="AH973" s="3"/>
      <c r="AI973" s="3"/>
      <c r="AJ973" s="3"/>
      <c r="AK973" s="3"/>
      <c r="AL973" s="3"/>
    </row>
    <row r="974" spans="1:38" ht="14.25" customHeight="1">
      <c r="A974" s="3"/>
      <c r="B974" s="3"/>
      <c r="C974" s="3"/>
      <c r="D974" s="3"/>
      <c r="E974" s="265"/>
      <c r="F974" s="265"/>
      <c r="G974" s="265"/>
      <c r="H974" s="265"/>
      <c r="I974" s="265"/>
      <c r="J974" s="260"/>
      <c r="K974" s="3"/>
      <c r="L974" s="265"/>
      <c r="M974" s="265"/>
      <c r="N974" s="265"/>
      <c r="O974" s="265"/>
      <c r="P974" s="265"/>
      <c r="Q974" s="260"/>
      <c r="R974" s="3"/>
      <c r="S974" s="265"/>
      <c r="T974" s="265"/>
      <c r="U974" s="265"/>
      <c r="V974" s="265"/>
      <c r="W974" s="265"/>
      <c r="X974" s="193"/>
      <c r="Y974" s="193"/>
      <c r="Z974" s="193"/>
      <c r="AA974" s="193"/>
      <c r="AB974" s="193"/>
      <c r="AC974" s="193"/>
      <c r="AD974" s="193"/>
      <c r="AE974" s="193"/>
      <c r="AF974" s="3"/>
      <c r="AG974" s="3"/>
      <c r="AH974" s="3"/>
      <c r="AI974" s="3"/>
      <c r="AJ974" s="3"/>
      <c r="AK974" s="3"/>
      <c r="AL974" s="3"/>
    </row>
    <row r="975" spans="1:38" ht="14.25" customHeight="1">
      <c r="A975" s="3"/>
      <c r="B975" s="3"/>
      <c r="C975" s="3"/>
      <c r="D975" s="3"/>
      <c r="E975" s="265"/>
      <c r="F975" s="265"/>
      <c r="G975" s="265"/>
      <c r="H975" s="265"/>
      <c r="I975" s="265"/>
      <c r="J975" s="260"/>
      <c r="K975" s="3"/>
      <c r="L975" s="265"/>
      <c r="M975" s="265"/>
      <c r="N975" s="265"/>
      <c r="O975" s="265"/>
      <c r="P975" s="265"/>
      <c r="Q975" s="260"/>
      <c r="R975" s="3"/>
      <c r="S975" s="265"/>
      <c r="T975" s="265"/>
      <c r="U975" s="265"/>
      <c r="V975" s="265"/>
      <c r="W975" s="265"/>
      <c r="X975" s="193"/>
      <c r="Y975" s="193"/>
      <c r="Z975" s="193"/>
      <c r="AA975" s="193"/>
      <c r="AB975" s="193"/>
      <c r="AC975" s="193"/>
      <c r="AD975" s="193"/>
      <c r="AE975" s="193"/>
      <c r="AF975" s="3"/>
      <c r="AG975" s="3"/>
      <c r="AH975" s="3"/>
      <c r="AI975" s="3"/>
      <c r="AJ975" s="3"/>
      <c r="AK975" s="3"/>
      <c r="AL975" s="3"/>
    </row>
    <row r="976" spans="1:38" ht="14.25" customHeight="1">
      <c r="A976" s="3"/>
      <c r="B976" s="3"/>
      <c r="C976" s="3"/>
      <c r="D976" s="3"/>
      <c r="E976" s="265"/>
      <c r="F976" s="265"/>
      <c r="G976" s="265"/>
      <c r="H976" s="265"/>
      <c r="I976" s="265"/>
      <c r="J976" s="260"/>
      <c r="K976" s="3"/>
      <c r="L976" s="265"/>
      <c r="M976" s="265"/>
      <c r="N976" s="265"/>
      <c r="O976" s="265"/>
      <c r="P976" s="265"/>
      <c r="Q976" s="260"/>
      <c r="R976" s="3"/>
      <c r="S976" s="265"/>
      <c r="T976" s="265"/>
      <c r="U976" s="265"/>
      <c r="V976" s="265"/>
      <c r="W976" s="265"/>
      <c r="X976" s="193"/>
      <c r="Y976" s="193"/>
      <c r="Z976" s="193"/>
      <c r="AA976" s="193"/>
      <c r="AB976" s="193"/>
      <c r="AC976" s="193"/>
      <c r="AD976" s="193"/>
      <c r="AE976" s="193"/>
      <c r="AF976" s="3"/>
      <c r="AG976" s="3"/>
      <c r="AH976" s="3"/>
      <c r="AI976" s="3"/>
      <c r="AJ976" s="3"/>
      <c r="AK976" s="3"/>
      <c r="AL976" s="3"/>
    </row>
    <row r="977" spans="1:38" ht="14.25" customHeight="1">
      <c r="A977" s="3"/>
      <c r="B977" s="3"/>
      <c r="C977" s="3"/>
      <c r="D977" s="3"/>
      <c r="E977" s="265"/>
      <c r="F977" s="265"/>
      <c r="G977" s="265"/>
      <c r="H977" s="265"/>
      <c r="I977" s="265"/>
      <c r="J977" s="260"/>
      <c r="K977" s="3"/>
      <c r="L977" s="265"/>
      <c r="M977" s="265"/>
      <c r="N977" s="265"/>
      <c r="O977" s="265"/>
      <c r="P977" s="265"/>
      <c r="Q977" s="260"/>
      <c r="R977" s="3"/>
      <c r="S977" s="265"/>
      <c r="T977" s="265"/>
      <c r="U977" s="265"/>
      <c r="V977" s="265"/>
      <c r="W977" s="265"/>
      <c r="X977" s="193"/>
      <c r="Y977" s="193"/>
      <c r="Z977" s="193"/>
      <c r="AA977" s="193"/>
      <c r="AB977" s="193"/>
      <c r="AC977" s="193"/>
      <c r="AD977" s="193"/>
      <c r="AE977" s="193"/>
      <c r="AF977" s="3"/>
      <c r="AG977" s="3"/>
      <c r="AH977" s="3"/>
      <c r="AI977" s="3"/>
      <c r="AJ977" s="3"/>
      <c r="AK977" s="3"/>
      <c r="AL977" s="3"/>
    </row>
    <row r="978" spans="1:38" ht="14.25" customHeight="1">
      <c r="A978" s="3"/>
      <c r="B978" s="3"/>
      <c r="C978" s="3"/>
      <c r="D978" s="3"/>
      <c r="E978" s="265"/>
      <c r="F978" s="265"/>
      <c r="G978" s="265"/>
      <c r="H978" s="265"/>
      <c r="I978" s="265"/>
      <c r="J978" s="260"/>
      <c r="K978" s="3"/>
      <c r="L978" s="265"/>
      <c r="M978" s="265"/>
      <c r="N978" s="265"/>
      <c r="O978" s="265"/>
      <c r="P978" s="265"/>
      <c r="Q978" s="260"/>
      <c r="R978" s="3"/>
      <c r="S978" s="265"/>
      <c r="T978" s="265"/>
      <c r="U978" s="265"/>
      <c r="V978" s="265"/>
      <c r="W978" s="265"/>
      <c r="X978" s="193"/>
      <c r="Y978" s="193"/>
      <c r="Z978" s="193"/>
      <c r="AA978" s="193"/>
      <c r="AB978" s="193"/>
      <c r="AC978" s="193"/>
      <c r="AD978" s="193"/>
      <c r="AE978" s="193"/>
      <c r="AF978" s="3"/>
      <c r="AG978" s="3"/>
      <c r="AH978" s="3"/>
      <c r="AI978" s="3"/>
      <c r="AJ978" s="3"/>
      <c r="AK978" s="3"/>
      <c r="AL978" s="3"/>
    </row>
    <row r="979" spans="1:38" ht="14.25" customHeight="1">
      <c r="A979" s="3"/>
      <c r="B979" s="3"/>
      <c r="C979" s="3"/>
      <c r="D979" s="3"/>
      <c r="E979" s="265"/>
      <c r="F979" s="265"/>
      <c r="G979" s="265"/>
      <c r="H979" s="265"/>
      <c r="I979" s="265"/>
      <c r="J979" s="260"/>
      <c r="K979" s="3"/>
      <c r="L979" s="265"/>
      <c r="M979" s="265"/>
      <c r="N979" s="265"/>
      <c r="O979" s="265"/>
      <c r="P979" s="265"/>
      <c r="Q979" s="260"/>
      <c r="R979" s="3"/>
      <c r="S979" s="265"/>
      <c r="T979" s="265"/>
      <c r="U979" s="265"/>
      <c r="V979" s="265"/>
      <c r="W979" s="265"/>
      <c r="X979" s="193"/>
      <c r="Y979" s="193"/>
      <c r="Z979" s="193"/>
      <c r="AA979" s="193"/>
      <c r="AB979" s="193"/>
      <c r="AC979" s="193"/>
      <c r="AD979" s="193"/>
      <c r="AE979" s="193"/>
      <c r="AF979" s="3"/>
      <c r="AG979" s="3"/>
      <c r="AH979" s="3"/>
      <c r="AI979" s="3"/>
      <c r="AJ979" s="3"/>
      <c r="AK979" s="3"/>
      <c r="AL979" s="3"/>
    </row>
    <row r="980" spans="1:38" ht="14.25" customHeight="1">
      <c r="A980" s="3"/>
      <c r="B980" s="3"/>
      <c r="C980" s="3"/>
      <c r="D980" s="3"/>
      <c r="E980" s="265"/>
      <c r="F980" s="265"/>
      <c r="G980" s="265"/>
      <c r="H980" s="265"/>
      <c r="I980" s="265"/>
      <c r="J980" s="260"/>
      <c r="K980" s="3"/>
      <c r="L980" s="265"/>
      <c r="M980" s="265"/>
      <c r="N980" s="265"/>
      <c r="O980" s="265"/>
      <c r="P980" s="265"/>
      <c r="Q980" s="260"/>
      <c r="R980" s="3"/>
      <c r="S980" s="265"/>
      <c r="T980" s="265"/>
      <c r="U980" s="265"/>
      <c r="V980" s="265"/>
      <c r="W980" s="265"/>
      <c r="X980" s="193"/>
      <c r="Y980" s="193"/>
      <c r="Z980" s="193"/>
      <c r="AA980" s="193"/>
      <c r="AB980" s="193"/>
      <c r="AC980" s="193"/>
      <c r="AD980" s="193"/>
      <c r="AE980" s="193"/>
      <c r="AF980" s="3"/>
      <c r="AG980" s="3"/>
      <c r="AH980" s="3"/>
      <c r="AI980" s="3"/>
      <c r="AJ980" s="3"/>
      <c r="AK980" s="3"/>
      <c r="AL980" s="3"/>
    </row>
    <row r="981" spans="1:38" ht="14.25" customHeight="1">
      <c r="A981" s="3"/>
      <c r="B981" s="3"/>
      <c r="C981" s="3"/>
      <c r="D981" s="3"/>
      <c r="E981" s="265"/>
      <c r="F981" s="265"/>
      <c r="G981" s="265"/>
      <c r="H981" s="265"/>
      <c r="I981" s="265"/>
      <c r="J981" s="260"/>
      <c r="K981" s="3"/>
      <c r="L981" s="265"/>
      <c r="M981" s="265"/>
      <c r="N981" s="265"/>
      <c r="O981" s="265"/>
      <c r="P981" s="265"/>
      <c r="Q981" s="260"/>
      <c r="R981" s="3"/>
      <c r="S981" s="265"/>
      <c r="T981" s="265"/>
      <c r="U981" s="265"/>
      <c r="V981" s="265"/>
      <c r="W981" s="265"/>
      <c r="X981" s="193"/>
      <c r="Y981" s="193"/>
      <c r="Z981" s="193"/>
      <c r="AA981" s="193"/>
      <c r="AB981" s="193"/>
      <c r="AC981" s="193"/>
      <c r="AD981" s="193"/>
      <c r="AE981" s="193"/>
      <c r="AF981" s="3"/>
      <c r="AG981" s="3"/>
      <c r="AH981" s="3"/>
      <c r="AI981" s="3"/>
      <c r="AJ981" s="3"/>
      <c r="AK981" s="3"/>
      <c r="AL981" s="3"/>
    </row>
    <row r="982" spans="1:38" ht="14.25" customHeight="1">
      <c r="A982" s="3"/>
      <c r="B982" s="3"/>
      <c r="C982" s="3"/>
      <c r="D982" s="3"/>
      <c r="E982" s="265"/>
      <c r="F982" s="265"/>
      <c r="G982" s="265"/>
      <c r="H982" s="265"/>
      <c r="I982" s="265"/>
      <c r="J982" s="260"/>
      <c r="K982" s="3"/>
      <c r="L982" s="265"/>
      <c r="M982" s="265"/>
      <c r="N982" s="265"/>
      <c r="O982" s="265"/>
      <c r="P982" s="265"/>
      <c r="Q982" s="260"/>
      <c r="R982" s="3"/>
      <c r="S982" s="265"/>
      <c r="T982" s="265"/>
      <c r="U982" s="265"/>
      <c r="V982" s="265"/>
      <c r="W982" s="265"/>
      <c r="X982" s="193"/>
      <c r="Y982" s="193"/>
      <c r="Z982" s="193"/>
      <c r="AA982" s="193"/>
      <c r="AB982" s="193"/>
      <c r="AC982" s="193"/>
      <c r="AD982" s="193"/>
      <c r="AE982" s="193"/>
      <c r="AF982" s="3"/>
      <c r="AG982" s="3"/>
      <c r="AH982" s="3"/>
      <c r="AI982" s="3"/>
      <c r="AJ982" s="3"/>
      <c r="AK982" s="3"/>
      <c r="AL982" s="3"/>
    </row>
    <row r="983" spans="1:38" ht="14.25" customHeight="1">
      <c r="A983" s="3"/>
      <c r="B983" s="3"/>
      <c r="C983" s="3"/>
      <c r="D983" s="3"/>
      <c r="E983" s="265"/>
      <c r="F983" s="265"/>
      <c r="G983" s="265"/>
      <c r="H983" s="265"/>
      <c r="I983" s="265"/>
      <c r="J983" s="260"/>
      <c r="K983" s="3"/>
      <c r="L983" s="265"/>
      <c r="M983" s="265"/>
      <c r="N983" s="265"/>
      <c r="O983" s="265"/>
      <c r="P983" s="265"/>
      <c r="Q983" s="260"/>
      <c r="R983" s="3"/>
      <c r="S983" s="265"/>
      <c r="T983" s="265"/>
      <c r="U983" s="265"/>
      <c r="V983" s="265"/>
      <c r="W983" s="265"/>
      <c r="X983" s="193"/>
      <c r="Y983" s="193"/>
      <c r="Z983" s="193"/>
      <c r="AA983" s="193"/>
      <c r="AB983" s="193"/>
      <c r="AC983" s="193"/>
      <c r="AD983" s="193"/>
      <c r="AE983" s="193"/>
      <c r="AF983" s="3"/>
      <c r="AG983" s="3"/>
      <c r="AH983" s="3"/>
      <c r="AI983" s="3"/>
      <c r="AJ983" s="3"/>
      <c r="AK983" s="3"/>
      <c r="AL983" s="3"/>
    </row>
    <row r="984" spans="1:38" ht="14.25" customHeight="1">
      <c r="A984" s="3"/>
      <c r="B984" s="3"/>
      <c r="C984" s="3"/>
      <c r="D984" s="3"/>
      <c r="E984" s="265"/>
      <c r="F984" s="265"/>
      <c r="G984" s="265"/>
      <c r="H984" s="265"/>
      <c r="I984" s="265"/>
      <c r="J984" s="260"/>
      <c r="K984" s="3"/>
      <c r="L984" s="265"/>
      <c r="M984" s="265"/>
      <c r="N984" s="265"/>
      <c r="O984" s="265"/>
      <c r="P984" s="265"/>
      <c r="Q984" s="260"/>
      <c r="R984" s="3"/>
      <c r="S984" s="265"/>
      <c r="T984" s="265"/>
      <c r="U984" s="265"/>
      <c r="V984" s="265"/>
      <c r="W984" s="265"/>
      <c r="X984" s="193"/>
      <c r="Y984" s="193"/>
      <c r="Z984" s="193"/>
      <c r="AA984" s="193"/>
      <c r="AB984" s="193"/>
      <c r="AC984" s="193"/>
      <c r="AD984" s="193"/>
      <c r="AE984" s="193"/>
      <c r="AF984" s="3"/>
      <c r="AG984" s="3"/>
      <c r="AH984" s="3"/>
      <c r="AI984" s="3"/>
      <c r="AJ984" s="3"/>
      <c r="AK984" s="3"/>
      <c r="AL984" s="3"/>
    </row>
    <row r="985" spans="1:38" ht="14.25" customHeight="1">
      <c r="A985" s="3"/>
      <c r="B985" s="3"/>
      <c r="C985" s="3"/>
      <c r="D985" s="3"/>
      <c r="E985" s="265"/>
      <c r="F985" s="265"/>
      <c r="G985" s="265"/>
      <c r="H985" s="265"/>
      <c r="I985" s="265"/>
      <c r="J985" s="260"/>
      <c r="K985" s="3"/>
      <c r="L985" s="265"/>
      <c r="M985" s="265"/>
      <c r="N985" s="265"/>
      <c r="O985" s="265"/>
      <c r="P985" s="265"/>
      <c r="Q985" s="260"/>
      <c r="R985" s="3"/>
      <c r="S985" s="265"/>
      <c r="T985" s="265"/>
      <c r="U985" s="265"/>
      <c r="V985" s="265"/>
      <c r="W985" s="265"/>
      <c r="X985" s="193"/>
      <c r="Y985" s="193"/>
      <c r="Z985" s="193"/>
      <c r="AA985" s="193"/>
      <c r="AB985" s="193"/>
      <c r="AC985" s="193"/>
      <c r="AD985" s="193"/>
      <c r="AE985" s="193"/>
      <c r="AF985" s="3"/>
      <c r="AG985" s="3"/>
      <c r="AH985" s="3"/>
      <c r="AI985" s="3"/>
      <c r="AJ985" s="3"/>
      <c r="AK985" s="3"/>
      <c r="AL985" s="3"/>
    </row>
    <row r="986" spans="1:38" ht="14.25" customHeight="1">
      <c r="A986" s="3"/>
      <c r="B986" s="3"/>
      <c r="C986" s="3"/>
      <c r="D986" s="3"/>
      <c r="E986" s="265"/>
      <c r="F986" s="265"/>
      <c r="G986" s="265"/>
      <c r="H986" s="265"/>
      <c r="I986" s="265"/>
      <c r="J986" s="260"/>
      <c r="K986" s="3"/>
      <c r="L986" s="265"/>
      <c r="M986" s="265"/>
      <c r="N986" s="265"/>
      <c r="O986" s="265"/>
      <c r="P986" s="265"/>
      <c r="Q986" s="260"/>
      <c r="R986" s="3"/>
      <c r="S986" s="265"/>
      <c r="T986" s="265"/>
      <c r="U986" s="265"/>
      <c r="V986" s="265"/>
      <c r="W986" s="265"/>
      <c r="X986" s="193"/>
      <c r="Y986" s="193"/>
      <c r="Z986" s="193"/>
      <c r="AA986" s="193"/>
      <c r="AB986" s="193"/>
      <c r="AC986" s="193"/>
      <c r="AD986" s="193"/>
      <c r="AE986" s="193"/>
      <c r="AF986" s="3"/>
      <c r="AG986" s="3"/>
      <c r="AH986" s="3"/>
      <c r="AI986" s="3"/>
      <c r="AJ986" s="3"/>
      <c r="AK986" s="3"/>
      <c r="AL986" s="3"/>
    </row>
    <row r="987" spans="1:38" ht="14.25" customHeight="1">
      <c r="A987" s="3"/>
      <c r="B987" s="3"/>
      <c r="C987" s="3"/>
      <c r="D987" s="3"/>
      <c r="E987" s="265"/>
      <c r="F987" s="265"/>
      <c r="G987" s="265"/>
      <c r="H987" s="265"/>
      <c r="I987" s="265"/>
      <c r="J987" s="260"/>
      <c r="K987" s="3"/>
      <c r="L987" s="265"/>
      <c r="M987" s="265"/>
      <c r="N987" s="265"/>
      <c r="O987" s="265"/>
      <c r="P987" s="265"/>
      <c r="Q987" s="260"/>
      <c r="R987" s="3"/>
      <c r="S987" s="265"/>
      <c r="T987" s="265"/>
      <c r="U987" s="265"/>
      <c r="V987" s="265"/>
      <c r="W987" s="265"/>
      <c r="X987" s="193"/>
      <c r="Y987" s="193"/>
      <c r="Z987" s="193"/>
      <c r="AA987" s="193"/>
      <c r="AB987" s="193"/>
      <c r="AC987" s="193"/>
      <c r="AD987" s="193"/>
      <c r="AE987" s="193"/>
      <c r="AF987" s="3"/>
      <c r="AG987" s="3"/>
      <c r="AH987" s="3"/>
      <c r="AI987" s="3"/>
      <c r="AJ987" s="3"/>
      <c r="AK987" s="3"/>
      <c r="AL987" s="3"/>
    </row>
    <row r="988" spans="1:38" ht="14.25" customHeight="1">
      <c r="A988" s="3"/>
      <c r="B988" s="3"/>
      <c r="C988" s="3"/>
      <c r="D988" s="3"/>
      <c r="E988" s="265"/>
      <c r="F988" s="265"/>
      <c r="G988" s="265"/>
      <c r="H988" s="265"/>
      <c r="I988" s="265"/>
      <c r="J988" s="260"/>
      <c r="K988" s="3"/>
      <c r="L988" s="265"/>
      <c r="M988" s="265"/>
      <c r="N988" s="265"/>
      <c r="O988" s="265"/>
      <c r="P988" s="265"/>
      <c r="Q988" s="260"/>
      <c r="R988" s="3"/>
      <c r="S988" s="265"/>
      <c r="T988" s="265"/>
      <c r="U988" s="265"/>
      <c r="V988" s="265"/>
      <c r="W988" s="265"/>
      <c r="X988" s="193"/>
      <c r="Y988" s="193"/>
      <c r="Z988" s="193"/>
      <c r="AA988" s="193"/>
      <c r="AB988" s="193"/>
      <c r="AC988" s="193"/>
      <c r="AD988" s="193"/>
      <c r="AE988" s="193"/>
      <c r="AF988" s="3"/>
      <c r="AG988" s="3"/>
      <c r="AH988" s="3"/>
      <c r="AI988" s="3"/>
      <c r="AJ988" s="3"/>
      <c r="AK988" s="3"/>
      <c r="AL988" s="3"/>
    </row>
    <row r="989" spans="1:38" ht="14.25" customHeight="1">
      <c r="A989" s="3"/>
      <c r="B989" s="3"/>
      <c r="C989" s="3"/>
      <c r="D989" s="3"/>
      <c r="E989" s="265"/>
      <c r="F989" s="265"/>
      <c r="G989" s="265"/>
      <c r="H989" s="265"/>
      <c r="I989" s="265"/>
      <c r="J989" s="260"/>
      <c r="K989" s="3"/>
      <c r="L989" s="265"/>
      <c r="M989" s="265"/>
      <c r="N989" s="265"/>
      <c r="O989" s="265"/>
      <c r="P989" s="265"/>
      <c r="Q989" s="260"/>
      <c r="R989" s="3"/>
      <c r="S989" s="265"/>
      <c r="T989" s="265"/>
      <c r="U989" s="265"/>
      <c r="V989" s="265"/>
      <c r="W989" s="265"/>
      <c r="X989" s="193"/>
      <c r="Y989" s="193"/>
      <c r="Z989" s="193"/>
      <c r="AA989" s="193"/>
      <c r="AB989" s="193"/>
      <c r="AC989" s="193"/>
      <c r="AD989" s="193"/>
      <c r="AE989" s="193"/>
      <c r="AF989" s="3"/>
      <c r="AG989" s="3"/>
      <c r="AH989" s="3"/>
      <c r="AI989" s="3"/>
      <c r="AJ989" s="3"/>
      <c r="AK989" s="3"/>
      <c r="AL989" s="3"/>
    </row>
    <row r="990" spans="1:38" ht="14.25" customHeight="1">
      <c r="A990" s="3"/>
      <c r="B990" s="3"/>
      <c r="C990" s="3"/>
      <c r="D990" s="3"/>
      <c r="E990" s="265"/>
      <c r="F990" s="265"/>
      <c r="G990" s="265"/>
      <c r="H990" s="265"/>
      <c r="I990" s="265"/>
      <c r="J990" s="260"/>
      <c r="K990" s="3"/>
      <c r="L990" s="265"/>
      <c r="M990" s="265"/>
      <c r="N990" s="265"/>
      <c r="O990" s="265"/>
      <c r="P990" s="265"/>
      <c r="Q990" s="260"/>
      <c r="R990" s="3"/>
      <c r="S990" s="265"/>
      <c r="T990" s="265"/>
      <c r="U990" s="265"/>
      <c r="V990" s="265"/>
      <c r="W990" s="265"/>
      <c r="X990" s="193"/>
      <c r="Y990" s="193"/>
      <c r="Z990" s="193"/>
      <c r="AA990" s="193"/>
      <c r="AB990" s="193"/>
      <c r="AC990" s="193"/>
      <c r="AD990" s="193"/>
      <c r="AE990" s="193"/>
      <c r="AF990" s="3"/>
      <c r="AG990" s="3"/>
      <c r="AH990" s="3"/>
      <c r="AI990" s="3"/>
      <c r="AJ990" s="3"/>
      <c r="AK990" s="3"/>
      <c r="AL990" s="3"/>
    </row>
    <row r="991" spans="1:38" ht="14.25" customHeight="1">
      <c r="A991" s="3"/>
      <c r="B991" s="3"/>
      <c r="C991" s="3"/>
      <c r="D991" s="3"/>
      <c r="E991" s="265"/>
      <c r="F991" s="265"/>
      <c r="G991" s="265"/>
      <c r="H991" s="265"/>
      <c r="I991" s="265"/>
      <c r="J991" s="260"/>
      <c r="K991" s="3"/>
      <c r="L991" s="265"/>
      <c r="M991" s="265"/>
      <c r="N991" s="265"/>
      <c r="O991" s="265"/>
      <c r="P991" s="265"/>
      <c r="Q991" s="260"/>
      <c r="R991" s="3"/>
      <c r="S991" s="265"/>
      <c r="T991" s="265"/>
      <c r="U991" s="265"/>
      <c r="V991" s="265"/>
      <c r="W991" s="265"/>
      <c r="X991" s="193"/>
      <c r="Y991" s="193"/>
      <c r="Z991" s="193"/>
      <c r="AA991" s="193"/>
      <c r="AB991" s="193"/>
      <c r="AC991" s="193"/>
      <c r="AD991" s="193"/>
      <c r="AE991" s="193"/>
      <c r="AF991" s="3"/>
      <c r="AG991" s="3"/>
      <c r="AH991" s="3"/>
      <c r="AI991" s="3"/>
      <c r="AJ991" s="3"/>
      <c r="AK991" s="3"/>
      <c r="AL991" s="3"/>
    </row>
    <row r="992" spans="1:38" ht="14.25" customHeight="1">
      <c r="A992" s="3"/>
      <c r="B992" s="3"/>
      <c r="C992" s="3"/>
      <c r="D992" s="3"/>
      <c r="E992" s="265"/>
      <c r="F992" s="265"/>
      <c r="G992" s="265"/>
      <c r="H992" s="265"/>
      <c r="I992" s="265"/>
      <c r="J992" s="260"/>
      <c r="K992" s="3"/>
      <c r="L992" s="265"/>
      <c r="M992" s="265"/>
      <c r="N992" s="265"/>
      <c r="O992" s="265"/>
      <c r="P992" s="265"/>
      <c r="Q992" s="260"/>
      <c r="R992" s="3"/>
      <c r="S992" s="265"/>
      <c r="T992" s="265"/>
      <c r="U992" s="265"/>
      <c r="V992" s="265"/>
      <c r="W992" s="265"/>
      <c r="X992" s="193"/>
      <c r="Y992" s="193"/>
      <c r="Z992" s="193"/>
      <c r="AA992" s="193"/>
      <c r="AB992" s="193"/>
      <c r="AC992" s="193"/>
      <c r="AD992" s="193"/>
      <c r="AE992" s="193"/>
      <c r="AF992" s="3"/>
      <c r="AG992" s="3"/>
      <c r="AH992" s="3"/>
      <c r="AI992" s="3"/>
      <c r="AJ992" s="3"/>
      <c r="AK992" s="3"/>
      <c r="AL992" s="3"/>
    </row>
    <row r="993" spans="1:38" ht="14.25" customHeight="1">
      <c r="A993" s="3"/>
      <c r="B993" s="3"/>
      <c r="C993" s="3"/>
      <c r="D993" s="3"/>
      <c r="E993" s="265"/>
      <c r="F993" s="265"/>
      <c r="G993" s="265"/>
      <c r="H993" s="265"/>
      <c r="I993" s="265"/>
      <c r="J993" s="260"/>
      <c r="K993" s="3"/>
      <c r="L993" s="265"/>
      <c r="M993" s="265"/>
      <c r="N993" s="265"/>
      <c r="O993" s="265"/>
      <c r="P993" s="265"/>
      <c r="Q993" s="260"/>
      <c r="R993" s="3"/>
      <c r="S993" s="265"/>
      <c r="T993" s="265"/>
      <c r="U993" s="265"/>
      <c r="V993" s="265"/>
      <c r="W993" s="265"/>
      <c r="X993" s="193"/>
      <c r="Y993" s="193"/>
      <c r="Z993" s="193"/>
      <c r="AA993" s="193"/>
      <c r="AB993" s="193"/>
      <c r="AC993" s="193"/>
      <c r="AD993" s="193"/>
      <c r="AE993" s="193"/>
      <c r="AF993" s="3"/>
      <c r="AG993" s="3"/>
      <c r="AH993" s="3"/>
      <c r="AI993" s="3"/>
      <c r="AJ993" s="3"/>
      <c r="AK993" s="3"/>
      <c r="AL993" s="3"/>
    </row>
    <row r="994" spans="1:38" ht="14.25" customHeight="1">
      <c r="A994" s="3"/>
      <c r="B994" s="3"/>
      <c r="C994" s="3"/>
      <c r="D994" s="3"/>
      <c r="E994" s="265"/>
      <c r="F994" s="265"/>
      <c r="G994" s="265"/>
      <c r="H994" s="265"/>
      <c r="I994" s="265"/>
      <c r="J994" s="260"/>
      <c r="K994" s="3"/>
      <c r="L994" s="265"/>
      <c r="M994" s="265"/>
      <c r="N994" s="265"/>
      <c r="O994" s="265"/>
      <c r="P994" s="265"/>
      <c r="Q994" s="260"/>
      <c r="R994" s="3"/>
      <c r="S994" s="265"/>
      <c r="T994" s="265"/>
      <c r="U994" s="265"/>
      <c r="V994" s="265"/>
      <c r="W994" s="265"/>
      <c r="X994" s="193"/>
      <c r="Y994" s="193"/>
      <c r="Z994" s="193"/>
      <c r="AA994" s="193"/>
      <c r="AB994" s="193"/>
      <c r="AC994" s="193"/>
      <c r="AD994" s="193"/>
      <c r="AE994" s="193"/>
      <c r="AF994" s="3"/>
      <c r="AG994" s="3"/>
      <c r="AH994" s="3"/>
      <c r="AI994" s="3"/>
      <c r="AJ994" s="3"/>
      <c r="AK994" s="3"/>
      <c r="AL994" s="3"/>
    </row>
    <row r="995" spans="1:38" ht="14.25" customHeight="1">
      <c r="A995" s="3"/>
      <c r="B995" s="3"/>
      <c r="C995" s="3"/>
      <c r="D995" s="3"/>
      <c r="E995" s="265"/>
      <c r="F995" s="265"/>
      <c r="G995" s="265"/>
      <c r="H995" s="265"/>
      <c r="I995" s="265"/>
      <c r="J995" s="260"/>
      <c r="K995" s="3"/>
      <c r="L995" s="265"/>
      <c r="M995" s="265"/>
      <c r="N995" s="265"/>
      <c r="O995" s="265"/>
      <c r="P995" s="265"/>
      <c r="Q995" s="260"/>
      <c r="R995" s="3"/>
      <c r="S995" s="265"/>
      <c r="T995" s="265"/>
      <c r="U995" s="265"/>
      <c r="V995" s="265"/>
      <c r="W995" s="265"/>
      <c r="X995" s="193"/>
      <c r="Y995" s="193"/>
      <c r="Z995" s="193"/>
      <c r="AA995" s="193"/>
      <c r="AB995" s="193"/>
      <c r="AC995" s="193"/>
      <c r="AD995" s="193"/>
      <c r="AE995" s="193"/>
      <c r="AF995" s="3"/>
      <c r="AG995" s="3"/>
      <c r="AH995" s="3"/>
      <c r="AI995" s="3"/>
      <c r="AJ995" s="3"/>
      <c r="AK995" s="3"/>
      <c r="AL995" s="3"/>
    </row>
    <row r="996" spans="1:38" ht="14.25" customHeight="1">
      <c r="A996" s="3"/>
      <c r="B996" s="3"/>
      <c r="C996" s="3"/>
      <c r="D996" s="3"/>
      <c r="E996" s="265"/>
      <c r="F996" s="265"/>
      <c r="G996" s="265"/>
      <c r="H996" s="265"/>
      <c r="I996" s="265"/>
      <c r="J996" s="260"/>
      <c r="K996" s="3"/>
      <c r="L996" s="265"/>
      <c r="M996" s="265"/>
      <c r="N996" s="265"/>
      <c r="O996" s="265"/>
      <c r="P996" s="265"/>
      <c r="Q996" s="260"/>
      <c r="R996" s="3"/>
      <c r="S996" s="265"/>
      <c r="T996" s="265"/>
      <c r="U996" s="265"/>
      <c r="V996" s="265"/>
      <c r="W996" s="265"/>
      <c r="X996" s="193"/>
      <c r="Y996" s="193"/>
      <c r="Z996" s="193"/>
      <c r="AA996" s="193"/>
      <c r="AB996" s="193"/>
      <c r="AC996" s="193"/>
      <c r="AD996" s="193"/>
      <c r="AE996" s="193"/>
      <c r="AF996" s="3"/>
      <c r="AG996" s="3"/>
      <c r="AH996" s="3"/>
      <c r="AI996" s="3"/>
      <c r="AJ996" s="3"/>
      <c r="AK996" s="3"/>
      <c r="AL996" s="3"/>
    </row>
    <row r="997" spans="1:38" ht="14.25" customHeight="1">
      <c r="A997" s="3"/>
      <c r="B997" s="3"/>
      <c r="C997" s="3"/>
      <c r="D997" s="3"/>
      <c r="E997" s="265"/>
      <c r="F997" s="265"/>
      <c r="G997" s="265"/>
      <c r="H997" s="265"/>
      <c r="I997" s="265"/>
      <c r="J997" s="260"/>
      <c r="K997" s="3"/>
      <c r="L997" s="265"/>
      <c r="M997" s="265"/>
      <c r="N997" s="265"/>
      <c r="O997" s="265"/>
      <c r="P997" s="265"/>
      <c r="Q997" s="260"/>
      <c r="R997" s="3"/>
      <c r="S997" s="265"/>
      <c r="T997" s="265"/>
      <c r="U997" s="265"/>
      <c r="V997" s="265"/>
      <c r="W997" s="265"/>
      <c r="X997" s="193"/>
      <c r="Y997" s="193"/>
      <c r="Z997" s="193"/>
      <c r="AA997" s="193"/>
      <c r="AB997" s="193"/>
      <c r="AC997" s="193"/>
      <c r="AD997" s="193"/>
      <c r="AE997" s="193"/>
      <c r="AF997" s="3"/>
      <c r="AG997" s="3"/>
      <c r="AH997" s="3"/>
      <c r="AI997" s="3"/>
      <c r="AJ997" s="3"/>
      <c r="AK997" s="3"/>
      <c r="AL997" s="3"/>
    </row>
    <row r="998" spans="1:38" ht="14.25" customHeight="1">
      <c r="A998" s="3"/>
      <c r="B998" s="3"/>
      <c r="C998" s="3"/>
      <c r="D998" s="3"/>
      <c r="E998" s="265"/>
      <c r="F998" s="265"/>
      <c r="G998" s="265"/>
      <c r="H998" s="265"/>
      <c r="I998" s="265"/>
      <c r="J998" s="260"/>
      <c r="K998" s="3"/>
      <c r="L998" s="265"/>
      <c r="M998" s="265"/>
      <c r="N998" s="265"/>
      <c r="O998" s="265"/>
      <c r="P998" s="265"/>
      <c r="Q998" s="260"/>
      <c r="R998" s="3"/>
      <c r="S998" s="265"/>
      <c r="T998" s="265"/>
      <c r="U998" s="265"/>
      <c r="V998" s="265"/>
      <c r="W998" s="265"/>
      <c r="X998" s="193"/>
      <c r="Y998" s="193"/>
      <c r="Z998" s="193"/>
      <c r="AA998" s="193"/>
      <c r="AB998" s="193"/>
      <c r="AC998" s="193"/>
      <c r="AD998" s="193"/>
      <c r="AE998" s="193"/>
      <c r="AF998" s="3"/>
      <c r="AG998" s="3"/>
      <c r="AH998" s="3"/>
      <c r="AI998" s="3"/>
      <c r="AJ998" s="3"/>
      <c r="AK998" s="3"/>
      <c r="AL998" s="3"/>
    </row>
    <row r="999" spans="1:38" ht="14.25" customHeight="1">
      <c r="A999" s="3"/>
      <c r="B999" s="3"/>
      <c r="C999" s="3"/>
      <c r="D999" s="3"/>
      <c r="E999" s="265"/>
      <c r="F999" s="265"/>
      <c r="G999" s="265"/>
      <c r="H999" s="265"/>
      <c r="I999" s="265"/>
      <c r="J999" s="260"/>
      <c r="K999" s="3"/>
      <c r="L999" s="265"/>
      <c r="M999" s="265"/>
      <c r="N999" s="265"/>
      <c r="O999" s="265"/>
      <c r="P999" s="265"/>
      <c r="Q999" s="260"/>
      <c r="R999" s="3"/>
      <c r="S999" s="265"/>
      <c r="T999" s="265"/>
      <c r="U999" s="265"/>
      <c r="V999" s="265"/>
      <c r="W999" s="265"/>
      <c r="X999" s="193"/>
      <c r="Y999" s="193"/>
      <c r="Z999" s="193"/>
      <c r="AA999" s="193"/>
      <c r="AB999" s="193"/>
      <c r="AC999" s="193"/>
      <c r="AD999" s="193"/>
      <c r="AE999" s="193"/>
      <c r="AF999" s="3"/>
      <c r="AG999" s="3"/>
      <c r="AH999" s="3"/>
      <c r="AI999" s="3"/>
      <c r="AJ999" s="3"/>
      <c r="AK999" s="3"/>
      <c r="AL999" s="3"/>
    </row>
    <row r="1000" spans="1:38" ht="14.25" customHeight="1">
      <c r="A1000" s="3"/>
      <c r="B1000" s="3"/>
      <c r="C1000" s="3"/>
      <c r="D1000" s="3"/>
      <c r="E1000" s="265"/>
      <c r="F1000" s="265"/>
      <c r="G1000" s="265"/>
      <c r="H1000" s="265"/>
      <c r="I1000" s="265"/>
      <c r="J1000" s="260"/>
      <c r="K1000" s="3"/>
      <c r="L1000" s="265"/>
      <c r="M1000" s="265"/>
      <c r="N1000" s="265"/>
      <c r="O1000" s="265"/>
      <c r="P1000" s="265"/>
      <c r="Q1000" s="260"/>
      <c r="R1000" s="3"/>
      <c r="S1000" s="265"/>
      <c r="T1000" s="265"/>
      <c r="U1000" s="265"/>
      <c r="V1000" s="265"/>
      <c r="W1000" s="265"/>
      <c r="X1000" s="193"/>
      <c r="Y1000" s="193"/>
      <c r="Z1000" s="193"/>
      <c r="AA1000" s="193"/>
      <c r="AB1000" s="193"/>
      <c r="AC1000" s="193"/>
      <c r="AD1000" s="193"/>
      <c r="AE1000" s="193"/>
      <c r="AF1000" s="3"/>
      <c r="AG1000" s="3"/>
      <c r="AH1000" s="3"/>
      <c r="AI1000" s="3"/>
      <c r="AJ1000" s="3"/>
      <c r="AK1000" s="3"/>
      <c r="AL1000" s="3"/>
    </row>
  </sheetData>
  <mergeCells count="3">
    <mergeCell ref="D1:I1"/>
    <mergeCell ref="K1:P1"/>
    <mergeCell ref="R1:W1"/>
  </mergeCells>
  <pageMargins left="0.7" right="0.7" top="0.75" bottom="0.75" header="0" footer="0"/>
  <pageSetup paperSize="9" orientation="portrait"/>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CU1000"/>
  <sheetViews>
    <sheetView topLeftCell="T33" zoomScale="66" workbookViewId="0">
      <selection activeCell="AM72" sqref="AM72:AP75"/>
    </sheetView>
  </sheetViews>
  <sheetFormatPr defaultColWidth="12.59765625" defaultRowHeight="15" customHeight="1"/>
  <cols>
    <col min="1" max="1" width="9.19921875" customWidth="1"/>
    <col min="2" max="2" width="11" customWidth="1"/>
    <col min="3" max="3" width="15.5" customWidth="1"/>
    <col min="4" max="4" width="12" customWidth="1"/>
    <col min="5" max="12" width="11.09765625" customWidth="1"/>
    <col min="13" max="13" width="23.8984375" customWidth="1"/>
    <col min="14" max="14" width="17.19921875" customWidth="1"/>
    <col min="15" max="19" width="11.09765625" customWidth="1"/>
    <col min="20" max="20" width="13.3984375" customWidth="1"/>
    <col min="21" max="21" width="11.19921875" customWidth="1"/>
    <col min="22" max="24" width="11.09765625" customWidth="1"/>
    <col min="25" max="25" width="10.19921875" customWidth="1"/>
    <col min="26" max="27" width="11.09765625" customWidth="1"/>
    <col min="28" max="28" width="10.19921875" customWidth="1"/>
    <col min="29" max="29" width="12" customWidth="1"/>
    <col min="30" max="30" width="21.19921875" customWidth="1"/>
    <col min="31" max="32" width="10.19921875" customWidth="1"/>
    <col min="33" max="33" width="11.09765625" customWidth="1"/>
    <col min="34" max="35" width="12.796875" bestFit="1" customWidth="1"/>
    <col min="36" max="37" width="10.19921875" customWidth="1"/>
    <col min="38" max="38" width="9" customWidth="1"/>
    <col min="39" max="39" width="11.09765625" customWidth="1"/>
    <col min="40" max="40" width="10.19921875" customWidth="1"/>
    <col min="41" max="41" width="17.5" bestFit="1" customWidth="1"/>
    <col min="42" max="45" width="10.19921875" customWidth="1"/>
    <col min="46" max="46" width="12.09765625" customWidth="1"/>
    <col min="47" max="47" width="11.69921875" customWidth="1"/>
    <col min="48" max="48" width="14.19921875" customWidth="1"/>
    <col min="49" max="53" width="11.09765625" customWidth="1"/>
    <col min="54" max="56" width="10.19921875" customWidth="1"/>
    <col min="58" max="58" width="13.69921875" customWidth="1"/>
    <col min="61" max="61" width="80.09765625" customWidth="1"/>
    <col min="67" max="67" width="10.5" bestFit="1" customWidth="1"/>
    <col min="68" max="68" width="13.69921875" bestFit="1" customWidth="1"/>
    <col min="70" max="70" width="16.09765625" bestFit="1" customWidth="1"/>
    <col min="72" max="72" width="13.69921875" bestFit="1" customWidth="1"/>
    <col min="73" max="73" width="17.8984375" bestFit="1" customWidth="1"/>
    <col min="79" max="79" width="14.19921875" bestFit="1" customWidth="1"/>
    <col min="89" max="89" width="16.19921875" bestFit="1" customWidth="1"/>
    <col min="91" max="91" width="14.19921875" bestFit="1" customWidth="1"/>
    <col min="97" max="97" width="16.09765625" bestFit="1" customWidth="1"/>
  </cols>
  <sheetData>
    <row r="1" spans="1:99" ht="14.25" customHeight="1">
      <c r="A1" s="541" t="s">
        <v>5</v>
      </c>
      <c r="B1" s="507"/>
      <c r="C1" s="507"/>
      <c r="D1" s="507"/>
      <c r="E1" s="507"/>
      <c r="F1" s="507"/>
      <c r="G1" s="507"/>
      <c r="H1" s="507"/>
      <c r="I1" s="507"/>
      <c r="J1" s="507"/>
      <c r="K1" s="507"/>
      <c r="L1" s="507"/>
      <c r="M1" s="507"/>
      <c r="N1" s="507"/>
      <c r="O1" s="507"/>
      <c r="P1" s="507"/>
      <c r="Q1" s="507"/>
      <c r="R1" s="507"/>
      <c r="S1" s="507"/>
      <c r="T1" s="507"/>
      <c r="U1" s="507"/>
      <c r="V1" s="507"/>
      <c r="W1" s="507"/>
      <c r="X1" s="507"/>
      <c r="Y1" s="507"/>
      <c r="Z1" s="507"/>
      <c r="AA1" s="507"/>
      <c r="AB1" s="507"/>
      <c r="AC1" s="507"/>
      <c r="AD1" s="507"/>
      <c r="AE1" s="508"/>
      <c r="BH1" s="533" t="s">
        <v>1179</v>
      </c>
      <c r="BI1" s="534"/>
      <c r="BJ1" s="534"/>
      <c r="BL1" s="535" t="s">
        <v>1193</v>
      </c>
      <c r="BM1" s="536"/>
      <c r="BN1" s="536"/>
      <c r="BO1" s="536"/>
      <c r="BP1" s="536"/>
      <c r="BQ1" s="536"/>
      <c r="BR1" s="536"/>
      <c r="BS1" s="536"/>
      <c r="BT1" s="536"/>
      <c r="BU1" s="536"/>
      <c r="BW1" s="530" t="s">
        <v>1230</v>
      </c>
      <c r="BX1" s="530"/>
      <c r="BY1" s="530"/>
      <c r="BZ1" s="530"/>
      <c r="CA1" s="530"/>
      <c r="CB1" s="530"/>
      <c r="CC1" s="530"/>
      <c r="CD1" s="530"/>
      <c r="CE1" s="530"/>
      <c r="CF1" s="530"/>
      <c r="CG1" s="530"/>
      <c r="CI1" s="530" t="s">
        <v>1252</v>
      </c>
      <c r="CJ1" s="530"/>
      <c r="CK1" s="530"/>
      <c r="CL1" s="530"/>
      <c r="CM1" s="530"/>
      <c r="CN1" s="530"/>
      <c r="CO1" s="530"/>
      <c r="CP1" s="530"/>
      <c r="CQ1" s="530"/>
      <c r="CR1" s="530"/>
      <c r="CS1" s="530"/>
    </row>
    <row r="2" spans="1:99" ht="14.25" customHeight="1">
      <c r="A2" s="3" t="s">
        <v>28</v>
      </c>
      <c r="B2" s="542" t="s">
        <v>1053</v>
      </c>
      <c r="C2" s="507"/>
      <c r="D2" s="507"/>
      <c r="E2" s="507"/>
      <c r="F2" s="507"/>
      <c r="G2" s="507"/>
      <c r="H2" s="507"/>
      <c r="I2" s="507"/>
      <c r="J2" s="507"/>
      <c r="K2" s="507"/>
      <c r="L2" s="508"/>
      <c r="M2" s="543" t="s">
        <v>1054</v>
      </c>
      <c r="N2" s="507"/>
      <c r="O2" s="507"/>
      <c r="P2" s="507"/>
      <c r="Q2" s="507"/>
      <c r="R2" s="507"/>
      <c r="S2" s="508"/>
      <c r="T2" s="544" t="s">
        <v>1055</v>
      </c>
      <c r="U2" s="546" t="s">
        <v>1056</v>
      </c>
      <c r="V2" s="547"/>
      <c r="W2" s="547"/>
      <c r="X2" s="547"/>
      <c r="Y2" s="547"/>
      <c r="Z2" s="547"/>
      <c r="AA2" s="547"/>
      <c r="AB2" s="548"/>
      <c r="AC2" s="554" t="s">
        <v>1057</v>
      </c>
      <c r="AD2" s="555" t="s">
        <v>1058</v>
      </c>
      <c r="AE2" s="3"/>
      <c r="AF2" s="3"/>
      <c r="AG2" s="3"/>
      <c r="AH2" s="3"/>
      <c r="AI2" s="3"/>
      <c r="AJ2" s="3"/>
      <c r="AK2" s="3"/>
      <c r="AL2" s="3"/>
      <c r="AM2" s="3"/>
      <c r="AN2" s="3"/>
      <c r="AO2" s="3"/>
      <c r="AP2" s="3"/>
      <c r="AQ2" s="3"/>
      <c r="AR2" s="3"/>
      <c r="AS2" s="3"/>
      <c r="AT2" s="3"/>
      <c r="AU2" s="3"/>
      <c r="AV2" s="3"/>
      <c r="AW2" s="3"/>
      <c r="AX2" s="3"/>
      <c r="AY2" s="3"/>
      <c r="AZ2" s="3"/>
      <c r="BA2" s="3"/>
      <c r="BB2" s="3"/>
      <c r="BC2" s="3"/>
      <c r="BD2" s="3"/>
      <c r="BH2" s="382">
        <v>43906</v>
      </c>
      <c r="BI2" s="383" t="s">
        <v>1165</v>
      </c>
      <c r="BJ2" s="369"/>
      <c r="BL2" s="369"/>
      <c r="BM2" s="388" t="s">
        <v>1180</v>
      </c>
      <c r="BN2" s="388" t="s">
        <v>1181</v>
      </c>
      <c r="BO2" s="388" t="s">
        <v>1182</v>
      </c>
      <c r="BP2" s="388" t="s">
        <v>1183</v>
      </c>
      <c r="BQ2" s="388" t="s">
        <v>1184</v>
      </c>
      <c r="BR2" s="369" t="s">
        <v>1185</v>
      </c>
      <c r="BS2" s="369" t="s">
        <v>1186</v>
      </c>
      <c r="BT2" s="369" t="s">
        <v>1187</v>
      </c>
      <c r="BU2" s="369" t="s">
        <v>1188</v>
      </c>
      <c r="BV2" s="369"/>
      <c r="BW2" s="369"/>
      <c r="BX2" s="529" t="s">
        <v>1194</v>
      </c>
      <c r="BY2" s="529"/>
      <c r="BZ2" s="529"/>
      <c r="CA2" s="529"/>
      <c r="CB2" s="529"/>
      <c r="CC2" s="369"/>
      <c r="CD2" s="369"/>
      <c r="CE2" s="369"/>
      <c r="CF2" s="369"/>
      <c r="CG2" s="369"/>
      <c r="CI2" s="369"/>
      <c r="CJ2" s="529" t="s">
        <v>1194</v>
      </c>
      <c r="CK2" s="529"/>
      <c r="CL2" s="529"/>
      <c r="CM2" s="529"/>
      <c r="CN2" s="529"/>
      <c r="CO2" s="369"/>
      <c r="CP2" s="369"/>
      <c r="CQ2" s="369"/>
      <c r="CR2" s="369"/>
      <c r="CS2" s="369"/>
      <c r="CT2" s="369"/>
      <c r="CU2" s="369"/>
    </row>
    <row r="3" spans="1:99" ht="41.25" customHeight="1">
      <c r="A3" s="3" t="s">
        <v>29</v>
      </c>
      <c r="B3" s="556" t="s">
        <v>1059</v>
      </c>
      <c r="C3" s="507"/>
      <c r="D3" s="508"/>
      <c r="E3" s="557" t="s">
        <v>1060</v>
      </c>
      <c r="F3" s="507"/>
      <c r="G3" s="507"/>
      <c r="H3" s="508"/>
      <c r="I3" s="558" t="s">
        <v>1061</v>
      </c>
      <c r="J3" s="507"/>
      <c r="K3" s="508"/>
      <c r="L3" s="273" t="s">
        <v>1062</v>
      </c>
      <c r="M3" s="274" t="s">
        <v>1063</v>
      </c>
      <c r="N3" s="274" t="s">
        <v>1064</v>
      </c>
      <c r="O3" s="275" t="s">
        <v>1065</v>
      </c>
      <c r="P3" s="275" t="s">
        <v>1065</v>
      </c>
      <c r="Q3" s="185" t="s">
        <v>1066</v>
      </c>
      <c r="R3" s="185" t="s">
        <v>1067</v>
      </c>
      <c r="S3" s="185" t="s">
        <v>1068</v>
      </c>
      <c r="T3" s="545"/>
      <c r="U3" s="549"/>
      <c r="V3" s="515"/>
      <c r="W3" s="515"/>
      <c r="X3" s="515"/>
      <c r="Y3" s="515"/>
      <c r="Z3" s="515"/>
      <c r="AA3" s="515"/>
      <c r="AB3" s="550"/>
      <c r="AC3" s="545"/>
      <c r="AD3" s="545"/>
      <c r="AE3" s="185"/>
      <c r="AF3" s="185"/>
      <c r="AG3" s="185"/>
      <c r="AH3" s="185"/>
      <c r="AI3" s="185"/>
      <c r="AJ3" s="185"/>
      <c r="AK3" s="185"/>
      <c r="AL3" s="185"/>
      <c r="AM3" s="185"/>
      <c r="AN3" s="185"/>
      <c r="AO3" s="185"/>
      <c r="AP3" s="185"/>
      <c r="AQ3" s="185"/>
      <c r="AR3" s="185"/>
      <c r="AS3" s="185"/>
      <c r="AT3" s="185"/>
      <c r="AU3" s="185"/>
      <c r="AV3" s="185"/>
      <c r="AW3" s="185"/>
      <c r="AX3" s="185"/>
      <c r="AY3" s="185"/>
      <c r="AZ3" s="185"/>
      <c r="BA3" s="185"/>
      <c r="BB3" s="185"/>
      <c r="BC3" s="185"/>
      <c r="BD3" s="185"/>
      <c r="BH3" s="382">
        <v>43908</v>
      </c>
      <c r="BI3" s="383" t="s">
        <v>1166</v>
      </c>
      <c r="BJ3" s="369"/>
      <c r="BL3" s="369"/>
      <c r="BM3" s="388" t="s">
        <v>434</v>
      </c>
      <c r="BN3" s="389">
        <v>484922</v>
      </c>
      <c r="BO3" s="389">
        <v>3250</v>
      </c>
      <c r="BP3" s="389">
        <v>1551263407</v>
      </c>
      <c r="BQ3" s="389">
        <f>BP3/BN3</f>
        <v>3198.9957292100585</v>
      </c>
      <c r="BR3" s="389">
        <f>BN3*BO3</f>
        <v>1575996500</v>
      </c>
      <c r="BS3" s="389">
        <f>(BO3/0.8)*1.165</f>
        <v>4732.8125</v>
      </c>
      <c r="BT3" s="389">
        <f>BN3*BS3-BR3</f>
        <v>719048403.125</v>
      </c>
      <c r="BU3" s="389">
        <f>BR3+BT3</f>
        <v>2295044903.125</v>
      </c>
      <c r="BV3" s="369"/>
      <c r="BW3" s="528" t="s">
        <v>1195</v>
      </c>
      <c r="BX3" s="528" t="s">
        <v>1196</v>
      </c>
      <c r="BY3" s="528"/>
      <c r="BZ3" s="528" t="s">
        <v>1197</v>
      </c>
      <c r="CA3" s="537" t="s">
        <v>1198</v>
      </c>
      <c r="CB3" s="537"/>
      <c r="CC3" s="531" t="s">
        <v>1199</v>
      </c>
      <c r="CD3" s="528" t="s">
        <v>1200</v>
      </c>
      <c r="CE3" s="369"/>
      <c r="CF3" s="369"/>
      <c r="CG3" s="369"/>
      <c r="CI3" s="528" t="s">
        <v>1195</v>
      </c>
      <c r="CJ3" s="528" t="s">
        <v>1196</v>
      </c>
      <c r="CK3" s="528"/>
      <c r="CL3" s="528" t="s">
        <v>1197</v>
      </c>
      <c r="CM3" s="537" t="s">
        <v>1198</v>
      </c>
      <c r="CN3" s="537"/>
      <c r="CO3" s="531" t="s">
        <v>1199</v>
      </c>
      <c r="CP3" s="528" t="s">
        <v>1200</v>
      </c>
      <c r="CQ3" s="369"/>
      <c r="CR3" s="369"/>
      <c r="CS3" s="369"/>
      <c r="CT3" s="369"/>
      <c r="CU3" s="369"/>
    </row>
    <row r="4" spans="1:99" ht="57" customHeight="1">
      <c r="A4" s="18" t="s">
        <v>30</v>
      </c>
      <c r="B4" s="185" t="s">
        <v>1069</v>
      </c>
      <c r="C4" s="185" t="s">
        <v>1070</v>
      </c>
      <c r="D4" s="276" t="s">
        <v>1059</v>
      </c>
      <c r="E4" s="559" t="s">
        <v>1071</v>
      </c>
      <c r="F4" s="507"/>
      <c r="G4" s="508"/>
      <c r="H4" s="185" t="s">
        <v>1072</v>
      </c>
      <c r="I4" s="185" t="s">
        <v>1073</v>
      </c>
      <c r="J4" s="185" t="s">
        <v>1074</v>
      </c>
      <c r="K4" s="277" t="s">
        <v>1061</v>
      </c>
      <c r="L4" s="185" t="s">
        <v>1075</v>
      </c>
      <c r="M4" s="185" t="s">
        <v>1076</v>
      </c>
      <c r="N4" s="185" t="s">
        <v>1064</v>
      </c>
      <c r="O4" s="185" t="s">
        <v>1077</v>
      </c>
      <c r="P4" s="185" t="s">
        <v>1078</v>
      </c>
      <c r="Q4" s="185" t="s">
        <v>1066</v>
      </c>
      <c r="R4" s="185" t="s">
        <v>1079</v>
      </c>
      <c r="S4" s="185" t="s">
        <v>1068</v>
      </c>
      <c r="T4" s="545"/>
      <c r="U4" s="551"/>
      <c r="V4" s="552"/>
      <c r="W4" s="552"/>
      <c r="X4" s="552"/>
      <c r="Y4" s="552"/>
      <c r="Z4" s="552"/>
      <c r="AA4" s="552"/>
      <c r="AB4" s="553"/>
      <c r="AC4" s="545"/>
      <c r="AD4" s="545"/>
      <c r="AE4" s="278"/>
      <c r="AF4" s="278"/>
      <c r="AG4" s="278"/>
      <c r="AH4" s="278"/>
      <c r="AI4" s="278"/>
      <c r="AJ4" s="278"/>
      <c r="AK4" s="278"/>
      <c r="AL4" s="278"/>
      <c r="AM4" s="185"/>
      <c r="AN4" s="185"/>
      <c r="AO4" s="185"/>
      <c r="AP4" s="185"/>
      <c r="AQ4" s="185"/>
      <c r="AR4" s="185"/>
      <c r="AS4" s="185" t="s">
        <v>1080</v>
      </c>
      <c r="AT4" s="185"/>
      <c r="AU4" s="185"/>
      <c r="AV4" s="540" t="s">
        <v>1081</v>
      </c>
      <c r="AW4" s="515"/>
      <c r="AX4" s="515"/>
      <c r="AY4" s="540" t="s">
        <v>1082</v>
      </c>
      <c r="AZ4" s="515"/>
      <c r="BA4" s="515"/>
      <c r="BB4" s="185"/>
      <c r="BC4" s="185"/>
      <c r="BD4" s="185"/>
      <c r="BH4" s="382">
        <v>43909</v>
      </c>
      <c r="BI4" s="383" t="s">
        <v>1167</v>
      </c>
      <c r="BJ4" s="369"/>
      <c r="BL4" s="369"/>
      <c r="BM4" s="388" t="s">
        <v>440</v>
      </c>
      <c r="BN4" s="389">
        <v>595000</v>
      </c>
      <c r="BO4" s="389">
        <v>4000</v>
      </c>
      <c r="BP4" s="389"/>
      <c r="BQ4" s="389"/>
      <c r="BR4" s="389">
        <f>BN4*BO4</f>
        <v>2380000000</v>
      </c>
      <c r="BS4" s="389">
        <f>(BO4/0.8)*1.165</f>
        <v>5825</v>
      </c>
      <c r="BT4" s="389">
        <f>BN4*BS4-BR4</f>
        <v>1085875000</v>
      </c>
      <c r="BU4" s="389">
        <f>BR4+BT4</f>
        <v>3465875000</v>
      </c>
      <c r="BV4" s="369"/>
      <c r="BW4" s="528"/>
      <c r="BX4" s="396" t="s">
        <v>1201</v>
      </c>
      <c r="BY4" s="396" t="s">
        <v>1202</v>
      </c>
      <c r="BZ4" s="528"/>
      <c r="CA4" s="397" t="s">
        <v>1203</v>
      </c>
      <c r="CB4" s="398" t="s">
        <v>1204</v>
      </c>
      <c r="CC4" s="531"/>
      <c r="CD4" s="528"/>
      <c r="CE4" s="369"/>
      <c r="CF4" s="369"/>
      <c r="CG4" s="369"/>
      <c r="CI4" s="528"/>
      <c r="CJ4" s="396" t="s">
        <v>1201</v>
      </c>
      <c r="CK4" s="396" t="s">
        <v>1202</v>
      </c>
      <c r="CL4" s="528"/>
      <c r="CM4" s="397" t="s">
        <v>1203</v>
      </c>
      <c r="CN4" s="398" t="s">
        <v>1204</v>
      </c>
      <c r="CO4" s="531"/>
      <c r="CP4" s="528"/>
      <c r="CQ4" s="369"/>
      <c r="CR4" s="369"/>
      <c r="CS4" s="369"/>
      <c r="CT4" s="369"/>
      <c r="CU4" s="369"/>
    </row>
    <row r="5" spans="1:99" ht="57" customHeight="1">
      <c r="A5" s="18"/>
      <c r="B5" s="185"/>
      <c r="C5" s="185"/>
      <c r="D5" s="276" t="s">
        <v>1059</v>
      </c>
      <c r="E5" s="185" t="s">
        <v>1083</v>
      </c>
      <c r="F5" s="185" t="s">
        <v>1084</v>
      </c>
      <c r="G5" s="185" t="s">
        <v>1085</v>
      </c>
      <c r="H5" s="185" t="s">
        <v>1072</v>
      </c>
      <c r="I5" s="185" t="s">
        <v>1073</v>
      </c>
      <c r="J5" s="185" t="s">
        <v>1074</v>
      </c>
      <c r="K5" s="277" t="s">
        <v>1061</v>
      </c>
      <c r="L5" s="185" t="s">
        <v>1075</v>
      </c>
      <c r="M5" s="185" t="s">
        <v>1076</v>
      </c>
      <c r="N5" s="185" t="s">
        <v>1064</v>
      </c>
      <c r="O5" s="185" t="s">
        <v>1077</v>
      </c>
      <c r="P5" s="185" t="s">
        <v>1078</v>
      </c>
      <c r="Q5" s="185" t="s">
        <v>1066</v>
      </c>
      <c r="R5" s="185" t="s">
        <v>1079</v>
      </c>
      <c r="S5" s="185" t="s">
        <v>1068</v>
      </c>
      <c r="T5" s="518"/>
      <c r="U5" s="185" t="s">
        <v>1063</v>
      </c>
      <c r="V5" s="185" t="s">
        <v>629</v>
      </c>
      <c r="W5" s="185" t="s">
        <v>1086</v>
      </c>
      <c r="X5" s="185" t="s">
        <v>1087</v>
      </c>
      <c r="Y5" s="279" t="s">
        <v>1064</v>
      </c>
      <c r="Z5" s="185" t="s">
        <v>1065</v>
      </c>
      <c r="AA5" s="185" t="s">
        <v>1088</v>
      </c>
      <c r="AB5" s="185" t="s">
        <v>1089</v>
      </c>
      <c r="AC5" s="518"/>
      <c r="AD5" s="518"/>
      <c r="AE5" s="280" t="s">
        <v>648</v>
      </c>
      <c r="AF5" s="278"/>
      <c r="AG5" s="3" t="s">
        <v>9</v>
      </c>
      <c r="AH5" s="281" t="s">
        <v>22</v>
      </c>
      <c r="AI5" s="282" t="s">
        <v>23</v>
      </c>
      <c r="AJ5" s="283" t="s">
        <v>24</v>
      </c>
      <c r="AK5" s="278"/>
      <c r="AL5" s="278"/>
      <c r="AM5" s="185"/>
      <c r="AN5" s="185"/>
      <c r="AO5" s="185"/>
      <c r="AP5" s="185"/>
      <c r="AQ5" s="185"/>
      <c r="AR5" s="185"/>
      <c r="AS5" s="19" t="s">
        <v>9</v>
      </c>
      <c r="AT5" s="19" t="s">
        <v>1090</v>
      </c>
      <c r="AU5" s="19" t="s">
        <v>1091</v>
      </c>
      <c r="AV5" s="281" t="s">
        <v>22</v>
      </c>
      <c r="AW5" s="282" t="s">
        <v>23</v>
      </c>
      <c r="AX5" s="283" t="s">
        <v>24</v>
      </c>
      <c r="AY5" s="281" t="s">
        <v>22</v>
      </c>
      <c r="AZ5" s="282" t="s">
        <v>23</v>
      </c>
      <c r="BA5" s="283" t="s">
        <v>24</v>
      </c>
      <c r="BB5" s="185"/>
      <c r="BC5" s="185"/>
      <c r="BD5" s="185"/>
      <c r="BF5" s="259" t="s">
        <v>176</v>
      </c>
      <c r="BH5" s="382">
        <v>43914</v>
      </c>
      <c r="BI5" s="383" t="s">
        <v>1168</v>
      </c>
      <c r="BJ5" s="369"/>
      <c r="BL5" s="388" t="s">
        <v>1189</v>
      </c>
      <c r="BM5" s="388" t="s">
        <v>443</v>
      </c>
      <c r="BN5" s="389">
        <f>+BN4</f>
        <v>595000</v>
      </c>
      <c r="BO5" s="389">
        <v>4000</v>
      </c>
      <c r="BP5" s="389"/>
      <c r="BQ5" s="389"/>
      <c r="BR5" s="389">
        <f>BN5*BO5</f>
        <v>2380000000</v>
      </c>
      <c r="BS5" s="389">
        <f>(BO5/0.8)*1.165</f>
        <v>5825</v>
      </c>
      <c r="BT5" s="389">
        <f>BN5*BS5-BR5</f>
        <v>1085875000</v>
      </c>
      <c r="BU5" s="389">
        <f>BR5+BT5</f>
        <v>3465875000</v>
      </c>
      <c r="BV5" s="369"/>
      <c r="BW5" s="399">
        <v>43851</v>
      </c>
      <c r="BX5" s="400">
        <v>1379000</v>
      </c>
      <c r="BY5" s="388"/>
      <c r="BZ5" s="401">
        <v>1</v>
      </c>
      <c r="CA5" s="402">
        <v>99.94</v>
      </c>
      <c r="CB5" s="403">
        <v>5.9999999999999995E-4</v>
      </c>
      <c r="CC5" s="388">
        <v>364</v>
      </c>
      <c r="CD5" s="404">
        <f t="shared" ref="CD5:CD14" si="0">BW5+CC5</f>
        <v>44215</v>
      </c>
      <c r="CE5" s="369"/>
      <c r="CF5" s="369"/>
      <c r="CG5" s="369"/>
      <c r="CI5" s="399">
        <v>43467</v>
      </c>
      <c r="CJ5" s="400">
        <v>2048000</v>
      </c>
      <c r="CK5" s="388"/>
      <c r="CL5" s="401">
        <v>1</v>
      </c>
      <c r="CM5" s="402">
        <v>99.91</v>
      </c>
      <c r="CN5" s="403">
        <v>8.9999999999999998E-4</v>
      </c>
      <c r="CO5" s="388">
        <v>364</v>
      </c>
      <c r="CP5" s="404">
        <f>CI5+CO5</f>
        <v>43831</v>
      </c>
      <c r="CQ5" s="369"/>
      <c r="CR5" s="369"/>
      <c r="CS5" s="369"/>
      <c r="CT5" s="369"/>
      <c r="CU5" s="369"/>
    </row>
    <row r="6" spans="1:99" ht="14.25" customHeight="1">
      <c r="A6" s="18">
        <v>37621</v>
      </c>
      <c r="B6" s="19">
        <v>39417.599999999999</v>
      </c>
      <c r="C6" s="19">
        <v>1917.1</v>
      </c>
      <c r="D6" s="284">
        <f t="shared" ref="D6:D23" si="1">B6+C6</f>
        <v>41334.699999999997</v>
      </c>
      <c r="E6" s="19">
        <v>8030.2</v>
      </c>
      <c r="F6" s="19">
        <v>3843.4</v>
      </c>
      <c r="G6" s="19">
        <v>0</v>
      </c>
      <c r="H6" s="19">
        <v>1193.9000000000001</v>
      </c>
      <c r="I6" s="19">
        <v>13164.6</v>
      </c>
      <c r="J6" s="19">
        <v>12035.5</v>
      </c>
      <c r="K6" s="284">
        <f t="shared" ref="K6:K22" si="2">I6+J6</f>
        <v>25200.1</v>
      </c>
      <c r="L6" s="19">
        <v>1.9</v>
      </c>
      <c r="M6" s="19">
        <v>1479.9</v>
      </c>
      <c r="N6" s="19">
        <v>7317.3</v>
      </c>
      <c r="O6" s="19">
        <v>579.79999999999995</v>
      </c>
      <c r="P6" s="19">
        <v>2100.9</v>
      </c>
      <c r="Q6" s="19">
        <v>0</v>
      </c>
      <c r="R6" s="19">
        <v>9044.6</v>
      </c>
      <c r="S6" s="19">
        <v>0</v>
      </c>
      <c r="T6" s="285">
        <f t="shared" ref="T6:T24" si="3">SUM(K6:S6,D6:H6)</f>
        <v>100126.7</v>
      </c>
      <c r="U6" s="19">
        <v>5268.2</v>
      </c>
      <c r="V6" s="19">
        <v>25388.3</v>
      </c>
      <c r="W6" s="19">
        <v>11745.8</v>
      </c>
      <c r="X6" s="19">
        <v>16633</v>
      </c>
      <c r="Y6" s="19">
        <v>2142.5</v>
      </c>
      <c r="Z6" s="19">
        <v>3498.1</v>
      </c>
      <c r="AA6" s="19">
        <v>37779.4</v>
      </c>
      <c r="AB6" s="19">
        <v>4615.5</v>
      </c>
      <c r="AC6" s="286">
        <f t="shared" ref="AC6:AC24" si="4">SUM(U6:AB6)</f>
        <v>107070.8</v>
      </c>
      <c r="AD6" s="287">
        <f t="shared" ref="AD6:AD24" si="5">T6-AC6</f>
        <v>-6944.1000000000058</v>
      </c>
      <c r="AE6" s="288">
        <f t="shared" ref="AE6:AE24" si="6">AD6/(C98+D98)</f>
        <v>-3.2897096359012952E-2</v>
      </c>
      <c r="AF6" s="19"/>
      <c r="AG6" s="18">
        <v>37621</v>
      </c>
      <c r="AH6" s="97">
        <f t="shared" ref="AH6:AH24" si="7">AE6</f>
        <v>-3.2897096359012952E-2</v>
      </c>
      <c r="AI6" s="97">
        <f t="shared" ref="AI6:AI24" si="8">AE32</f>
        <v>-3.2897096359012952E-2</v>
      </c>
      <c r="AJ6" s="97">
        <f t="shared" ref="AJ6:AJ24" si="9">AE58</f>
        <v>-3.2897096359012952E-2</v>
      </c>
      <c r="AK6" s="19"/>
      <c r="AL6" s="19"/>
      <c r="AM6" s="19"/>
      <c r="AN6" s="19"/>
      <c r="AO6" s="19"/>
      <c r="AP6" s="19"/>
      <c r="AQ6" s="19"/>
      <c r="AR6" s="19"/>
      <c r="AS6" s="18">
        <v>35064</v>
      </c>
      <c r="AT6" s="19">
        <v>16428.368755</v>
      </c>
      <c r="AU6" s="19">
        <v>10014.469179999998</v>
      </c>
      <c r="AV6" s="19">
        <v>26442.837935</v>
      </c>
      <c r="AW6" s="19">
        <v>26442.837935</v>
      </c>
      <c r="AX6" s="19">
        <v>26442.837935</v>
      </c>
      <c r="AY6" s="93">
        <f t="shared" ref="AY6:BA6" si="10">AV6/$BF6</f>
        <v>0.22550365846732862</v>
      </c>
      <c r="AZ6" s="93">
        <f t="shared" si="10"/>
        <v>0.22550365846732862</v>
      </c>
      <c r="BA6" s="93">
        <f t="shared" si="10"/>
        <v>0.22550365846732862</v>
      </c>
      <c r="BB6" s="19"/>
      <c r="BC6" s="19"/>
      <c r="BD6" s="19"/>
      <c r="BE6" s="289" t="s">
        <v>35</v>
      </c>
      <c r="BF6" s="290">
        <v>117261.23697825101</v>
      </c>
      <c r="BH6" s="382">
        <v>43917</v>
      </c>
      <c r="BI6" s="383" t="s">
        <v>1169</v>
      </c>
      <c r="BJ6" s="369"/>
      <c r="BL6" s="388"/>
      <c r="BM6" s="369"/>
      <c r="BN6" s="369"/>
      <c r="BO6" s="369"/>
      <c r="BP6" s="369"/>
      <c r="BQ6" s="369"/>
      <c r="BR6" s="369"/>
      <c r="BS6" s="369"/>
      <c r="BT6" s="369"/>
      <c r="BU6" s="390">
        <f>SUM(BU3:BU5)</f>
        <v>9226794903.125</v>
      </c>
      <c r="BV6" s="369"/>
      <c r="BW6" s="399">
        <v>43858</v>
      </c>
      <c r="BX6" s="400">
        <v>200000</v>
      </c>
      <c r="BY6" s="388"/>
      <c r="BZ6" s="401">
        <v>1</v>
      </c>
      <c r="CA6" s="402">
        <v>99.94</v>
      </c>
      <c r="CB6" s="403">
        <v>5.9999999999999995E-4</v>
      </c>
      <c r="CC6" s="388">
        <v>364</v>
      </c>
      <c r="CD6" s="404">
        <f t="shared" si="0"/>
        <v>44222</v>
      </c>
      <c r="CE6" s="369"/>
      <c r="CF6" s="369"/>
      <c r="CG6" s="369"/>
      <c r="CI6" s="399">
        <v>43487</v>
      </c>
      <c r="CJ6" s="400">
        <v>1405000</v>
      </c>
      <c r="CK6" s="388"/>
      <c r="CL6" s="401">
        <v>1</v>
      </c>
      <c r="CM6" s="402">
        <v>99.91</v>
      </c>
      <c r="CN6" s="403">
        <v>8.9999999999999998E-4</v>
      </c>
      <c r="CO6" s="388">
        <v>364</v>
      </c>
      <c r="CP6" s="404">
        <f>CI6+CO6</f>
        <v>43851</v>
      </c>
      <c r="CQ6" s="369"/>
      <c r="CR6" s="369"/>
      <c r="CS6" s="369"/>
      <c r="CT6" s="369"/>
      <c r="CU6" s="369"/>
    </row>
    <row r="7" spans="1:99" ht="14.25" customHeight="1">
      <c r="A7" s="18">
        <v>37986</v>
      </c>
      <c r="B7" s="19">
        <v>42404.4</v>
      </c>
      <c r="C7" s="19">
        <v>2074.4</v>
      </c>
      <c r="D7" s="284">
        <f t="shared" si="1"/>
        <v>44478.8</v>
      </c>
      <c r="E7" s="19">
        <v>8440</v>
      </c>
      <c r="F7" s="19">
        <v>4491.8999999999996</v>
      </c>
      <c r="G7" s="19">
        <v>0</v>
      </c>
      <c r="H7" s="19">
        <v>1436.4</v>
      </c>
      <c r="I7" s="19">
        <v>14326.7</v>
      </c>
      <c r="J7" s="19">
        <v>13097.9</v>
      </c>
      <c r="K7" s="284">
        <f t="shared" si="2"/>
        <v>27424.6</v>
      </c>
      <c r="L7" s="19">
        <v>1.9</v>
      </c>
      <c r="M7" s="19">
        <v>1192.9000000000001</v>
      </c>
      <c r="N7" s="19">
        <v>6028.5</v>
      </c>
      <c r="O7" s="19">
        <v>752.1</v>
      </c>
      <c r="P7" s="19">
        <v>2293.4</v>
      </c>
      <c r="Q7" s="19">
        <v>0</v>
      </c>
      <c r="R7" s="19">
        <v>9338.4</v>
      </c>
      <c r="S7" s="19">
        <v>0</v>
      </c>
      <c r="T7" s="285">
        <f t="shared" si="3"/>
        <v>105878.9</v>
      </c>
      <c r="U7" s="19">
        <v>4953.8</v>
      </c>
      <c r="V7" s="19">
        <v>27265.8</v>
      </c>
      <c r="W7" s="19">
        <v>17123.3</v>
      </c>
      <c r="X7" s="19">
        <v>16853.2</v>
      </c>
      <c r="Y7" s="19">
        <v>6018.2</v>
      </c>
      <c r="Z7" s="19">
        <v>3901</v>
      </c>
      <c r="AA7" s="19">
        <v>35345.199999999997</v>
      </c>
      <c r="AB7" s="19">
        <v>4932.3999999999996</v>
      </c>
      <c r="AC7" s="286">
        <f t="shared" si="4"/>
        <v>116392.89999999998</v>
      </c>
      <c r="AD7" s="287">
        <f t="shared" si="5"/>
        <v>-10513.999999999985</v>
      </c>
      <c r="AE7" s="288">
        <f t="shared" si="6"/>
        <v>-4.5207287035546509E-2</v>
      </c>
      <c r="AF7" s="19"/>
      <c r="AG7" s="18">
        <v>37986</v>
      </c>
      <c r="AH7" s="97">
        <f t="shared" si="7"/>
        <v>-4.5207287035546509E-2</v>
      </c>
      <c r="AI7" s="97">
        <f t="shared" si="8"/>
        <v>-4.5207287035546509E-2</v>
      </c>
      <c r="AJ7" s="97">
        <f t="shared" si="9"/>
        <v>-4.5207287035546509E-2</v>
      </c>
      <c r="AK7" s="19"/>
      <c r="AL7" s="19"/>
      <c r="AM7" s="19"/>
      <c r="AN7" s="19"/>
      <c r="AO7" s="19"/>
      <c r="AP7" s="19"/>
      <c r="AQ7" s="19"/>
      <c r="AR7" s="19"/>
      <c r="AS7" s="18">
        <v>35430</v>
      </c>
      <c r="AT7" s="19">
        <v>16890.336136000002</v>
      </c>
      <c r="AU7" s="19">
        <v>15882.709031200002</v>
      </c>
      <c r="AV7" s="19">
        <v>32773.045167199998</v>
      </c>
      <c r="AW7" s="19">
        <v>32773.045167199998</v>
      </c>
      <c r="AX7" s="19">
        <v>32773.045167199998</v>
      </c>
      <c r="AY7" s="93">
        <f t="shared" ref="AY7:BA7" si="11">AV7/$BF7</f>
        <v>0.25435742310636567</v>
      </c>
      <c r="AZ7" s="93">
        <f t="shared" si="11"/>
        <v>0.25435742310636567</v>
      </c>
      <c r="BA7" s="93">
        <f t="shared" si="11"/>
        <v>0.25435742310636567</v>
      </c>
      <c r="BB7" s="19"/>
      <c r="BC7" s="19"/>
      <c r="BD7" s="19"/>
      <c r="BE7" s="289" t="s">
        <v>36</v>
      </c>
      <c r="BF7" s="290">
        <v>128846.42707476699</v>
      </c>
      <c r="BH7" s="382"/>
      <c r="BI7" s="383" t="s">
        <v>1170</v>
      </c>
      <c r="BJ7" s="369"/>
      <c r="BL7" s="388" t="s">
        <v>1190</v>
      </c>
      <c r="BM7" s="388" t="s">
        <v>443</v>
      </c>
      <c r="BN7" s="389">
        <f>BN4+92000</f>
        <v>687000</v>
      </c>
      <c r="BO7" s="389">
        <v>4000</v>
      </c>
      <c r="BP7" s="369"/>
      <c r="BQ7" s="369"/>
      <c r="BR7" s="389">
        <f>BN7*BO7</f>
        <v>2748000000</v>
      </c>
      <c r="BS7" s="389">
        <f>(BO7/0.8)*1.165</f>
        <v>5825</v>
      </c>
      <c r="BT7" s="389">
        <f>BN7*BS7-BR7</f>
        <v>1253775000</v>
      </c>
      <c r="BU7" s="389">
        <f>BR7+BT7</f>
        <v>4001775000</v>
      </c>
      <c r="BV7" s="369"/>
      <c r="BW7" s="399">
        <v>43872</v>
      </c>
      <c r="BX7" s="400">
        <v>1576000</v>
      </c>
      <c r="BY7" s="388"/>
      <c r="BZ7" s="401">
        <v>1</v>
      </c>
      <c r="CA7" s="402">
        <v>99.94</v>
      </c>
      <c r="CB7" s="403">
        <v>5.9999999999999995E-4</v>
      </c>
      <c r="CC7" s="388">
        <v>364</v>
      </c>
      <c r="CD7" s="404">
        <f t="shared" si="0"/>
        <v>44236</v>
      </c>
      <c r="CE7" s="369"/>
      <c r="CF7" s="369"/>
      <c r="CG7" s="369"/>
      <c r="CI7" s="399">
        <v>43494</v>
      </c>
      <c r="CJ7" s="400">
        <v>354000</v>
      </c>
      <c r="CK7" s="388"/>
      <c r="CL7" s="401">
        <v>1</v>
      </c>
      <c r="CM7" s="402">
        <v>99.91</v>
      </c>
      <c r="CN7" s="403">
        <v>8.9999999999999998E-4</v>
      </c>
      <c r="CO7" s="388">
        <v>364</v>
      </c>
      <c r="CP7" s="404">
        <f>CI7+CO7</f>
        <v>43858</v>
      </c>
      <c r="CQ7" s="369"/>
      <c r="CR7" s="369"/>
      <c r="CS7" s="369"/>
      <c r="CT7" s="369"/>
      <c r="CU7" s="369"/>
    </row>
    <row r="8" spans="1:99" ht="14.25" customHeight="1">
      <c r="A8" s="18">
        <v>38352</v>
      </c>
      <c r="B8" s="19">
        <v>44086.8</v>
      </c>
      <c r="C8" s="19">
        <v>2352.9</v>
      </c>
      <c r="D8" s="284">
        <f t="shared" si="1"/>
        <v>46439.700000000004</v>
      </c>
      <c r="E8" s="19">
        <v>9258.6</v>
      </c>
      <c r="F8" s="19">
        <v>4587.7</v>
      </c>
      <c r="G8" s="19">
        <v>0</v>
      </c>
      <c r="H8" s="19">
        <v>1554.4</v>
      </c>
      <c r="I8" s="19">
        <v>15737.7</v>
      </c>
      <c r="J8" s="19">
        <v>13739.9</v>
      </c>
      <c r="K8" s="284">
        <f t="shared" si="2"/>
        <v>29477.599999999999</v>
      </c>
      <c r="L8" s="19">
        <v>2.2999999999999998</v>
      </c>
      <c r="M8" s="19">
        <v>54.5</v>
      </c>
      <c r="N8" s="19">
        <v>5713</v>
      </c>
      <c r="O8" s="19">
        <v>903.2</v>
      </c>
      <c r="P8" s="19">
        <v>2382.5</v>
      </c>
      <c r="Q8" s="19">
        <v>0</v>
      </c>
      <c r="R8" s="19">
        <v>9731.1</v>
      </c>
      <c r="S8" s="19">
        <v>0</v>
      </c>
      <c r="T8" s="285">
        <f t="shared" si="3"/>
        <v>110104.59999999999</v>
      </c>
      <c r="U8" s="19">
        <v>6349.2</v>
      </c>
      <c r="V8" s="19">
        <v>29456.7</v>
      </c>
      <c r="W8" s="19">
        <v>16498</v>
      </c>
      <c r="X8" s="19">
        <v>17203.599999999999</v>
      </c>
      <c r="Y8" s="19">
        <v>3345.7</v>
      </c>
      <c r="Z8" s="19">
        <v>4462.2</v>
      </c>
      <c r="AA8" s="19">
        <v>39424.1</v>
      </c>
      <c r="AB8" s="19">
        <v>5830.7</v>
      </c>
      <c r="AC8" s="286">
        <f t="shared" si="4"/>
        <v>122570.2</v>
      </c>
      <c r="AD8" s="287">
        <f t="shared" si="5"/>
        <v>-12465.600000000006</v>
      </c>
      <c r="AE8" s="288">
        <f t="shared" si="6"/>
        <v>-4.9665070740932155E-2</v>
      </c>
      <c r="AF8" s="19"/>
      <c r="AG8" s="18">
        <v>38352</v>
      </c>
      <c r="AH8" s="97">
        <f t="shared" si="7"/>
        <v>-4.9665070740932155E-2</v>
      </c>
      <c r="AI8" s="97">
        <f t="shared" si="8"/>
        <v>-4.9665070740932155E-2</v>
      </c>
      <c r="AJ8" s="97">
        <f t="shared" si="9"/>
        <v>-4.9665070740932155E-2</v>
      </c>
      <c r="AK8" s="19"/>
      <c r="AL8" s="19"/>
      <c r="AM8" s="19"/>
      <c r="AN8" s="19"/>
      <c r="AO8" s="19"/>
      <c r="AP8" s="19"/>
      <c r="AQ8" s="19"/>
      <c r="AR8" s="19"/>
      <c r="AS8" s="18">
        <v>35795</v>
      </c>
      <c r="AT8" s="19">
        <v>15717.492973332062</v>
      </c>
      <c r="AU8" s="19">
        <v>20786.699024810812</v>
      </c>
      <c r="AV8" s="19">
        <v>36504.191998142873</v>
      </c>
      <c r="AW8" s="19">
        <v>36504.191998142873</v>
      </c>
      <c r="AX8" s="19">
        <v>36504.191998142873</v>
      </c>
      <c r="AY8" s="93">
        <f t="shared" ref="AY8:BA8" si="12">AV8/$BF8</f>
        <v>0.24839561082511047</v>
      </c>
      <c r="AZ8" s="93">
        <f t="shared" si="12"/>
        <v>0.24839561082511047</v>
      </c>
      <c r="BA8" s="93">
        <f t="shared" si="12"/>
        <v>0.24839561082511047</v>
      </c>
      <c r="BB8" s="19"/>
      <c r="BC8" s="19"/>
      <c r="BD8" s="19"/>
      <c r="BE8" s="289" t="s">
        <v>37</v>
      </c>
      <c r="BF8" s="290">
        <v>146959.89142837399</v>
      </c>
      <c r="BH8" s="382"/>
      <c r="BI8" s="384" t="s">
        <v>1171</v>
      </c>
      <c r="BJ8" s="385" t="s">
        <v>1172</v>
      </c>
      <c r="BL8" s="369"/>
      <c r="BM8" s="388"/>
      <c r="BN8" s="389"/>
      <c r="BO8" s="389"/>
      <c r="BP8" s="369"/>
      <c r="BQ8" s="369"/>
      <c r="BR8" s="389"/>
      <c r="BS8" s="389"/>
      <c r="BT8" s="389"/>
      <c r="BU8" s="391">
        <f>BU3+BU4+BU7</f>
        <v>9762694903.125</v>
      </c>
      <c r="BV8" s="369"/>
      <c r="BW8" s="399">
        <v>43879</v>
      </c>
      <c r="BX8" s="400">
        <v>1014000</v>
      </c>
      <c r="BY8" s="388"/>
      <c r="BZ8" s="401">
        <v>1</v>
      </c>
      <c r="CA8" s="402">
        <v>99.94</v>
      </c>
      <c r="CB8" s="403">
        <v>5.9999999999999995E-4</v>
      </c>
      <c r="CC8" s="388">
        <v>364</v>
      </c>
      <c r="CD8" s="404">
        <f t="shared" si="0"/>
        <v>44243</v>
      </c>
      <c r="CE8" s="369"/>
      <c r="CF8" s="369"/>
      <c r="CG8" s="369"/>
      <c r="CI8" s="399">
        <v>43496</v>
      </c>
      <c r="CJ8" s="400"/>
      <c r="CK8" s="400">
        <v>1048150</v>
      </c>
      <c r="CL8" s="401">
        <v>7.42</v>
      </c>
      <c r="CM8" s="402">
        <v>100</v>
      </c>
      <c r="CN8" s="403">
        <v>0</v>
      </c>
      <c r="CO8" s="388" t="s">
        <v>1231</v>
      </c>
      <c r="CP8" s="404"/>
      <c r="CQ8" s="399">
        <f>CI8+455</f>
        <v>43951</v>
      </c>
      <c r="CR8" s="399">
        <f>CI8+546</f>
        <v>44042</v>
      </c>
      <c r="CS8" s="399">
        <f>CI8+547</f>
        <v>44043</v>
      </c>
      <c r="CT8" s="369"/>
      <c r="CU8" s="369"/>
    </row>
    <row r="9" spans="1:99" ht="14.25" customHeight="1">
      <c r="A9" s="18">
        <v>38717</v>
      </c>
      <c r="B9" s="19">
        <v>47049.1</v>
      </c>
      <c r="C9" s="19">
        <v>2362.3000000000002</v>
      </c>
      <c r="D9" s="284">
        <f t="shared" si="1"/>
        <v>49411.4</v>
      </c>
      <c r="E9" s="19">
        <v>9371.2999999999993</v>
      </c>
      <c r="F9" s="19">
        <v>6168.9</v>
      </c>
      <c r="G9" s="19">
        <v>0</v>
      </c>
      <c r="H9" s="19">
        <v>1668.8</v>
      </c>
      <c r="I9" s="19">
        <v>16695.5</v>
      </c>
      <c r="J9" s="19">
        <v>14605.8</v>
      </c>
      <c r="K9" s="284">
        <f t="shared" si="2"/>
        <v>31301.3</v>
      </c>
      <c r="L9" s="19">
        <v>2.4</v>
      </c>
      <c r="M9" s="19">
        <v>74.5</v>
      </c>
      <c r="N9" s="19">
        <v>5282.1</v>
      </c>
      <c r="O9" s="19">
        <v>1021.4</v>
      </c>
      <c r="P9" s="19">
        <v>2478.5</v>
      </c>
      <c r="Q9" s="19">
        <v>0</v>
      </c>
      <c r="R9" s="19">
        <v>10022.799999999999</v>
      </c>
      <c r="S9" s="19">
        <v>0</v>
      </c>
      <c r="T9" s="285">
        <f t="shared" si="3"/>
        <v>116803.4</v>
      </c>
      <c r="U9" s="19">
        <v>4883.1000000000004</v>
      </c>
      <c r="V9" s="19">
        <v>30427.8</v>
      </c>
      <c r="W9" s="19">
        <v>15504.7</v>
      </c>
      <c r="X9" s="19">
        <v>19086.5</v>
      </c>
      <c r="Y9" s="19">
        <v>6185.2</v>
      </c>
      <c r="Z9" s="19">
        <v>4831.2</v>
      </c>
      <c r="AA9" s="19">
        <v>39514.300000000003</v>
      </c>
      <c r="AB9" s="19">
        <v>6267.9</v>
      </c>
      <c r="AC9" s="286">
        <f t="shared" si="4"/>
        <v>126700.7</v>
      </c>
      <c r="AD9" s="287">
        <f t="shared" si="5"/>
        <v>-9897.3000000000029</v>
      </c>
      <c r="AE9" s="288">
        <f t="shared" si="6"/>
        <v>-3.6654660509326496E-2</v>
      </c>
      <c r="AF9" s="19"/>
      <c r="AG9" s="18">
        <v>38717</v>
      </c>
      <c r="AH9" s="97">
        <f t="shared" si="7"/>
        <v>-3.6654660509326496E-2</v>
      </c>
      <c r="AI9" s="97">
        <f t="shared" si="8"/>
        <v>-3.6654660509326496E-2</v>
      </c>
      <c r="AJ9" s="97">
        <f t="shared" si="9"/>
        <v>-3.6654660509326496E-2</v>
      </c>
      <c r="AK9" s="19"/>
      <c r="AL9" s="19"/>
      <c r="AM9" s="19"/>
      <c r="AN9" s="19"/>
      <c r="AO9" s="19"/>
      <c r="AP9" s="19"/>
      <c r="AQ9" s="19"/>
      <c r="AR9" s="19"/>
      <c r="AS9" s="18">
        <v>36160</v>
      </c>
      <c r="AT9" s="19">
        <v>15611.507523887809</v>
      </c>
      <c r="AU9" s="19">
        <v>21415.570356318429</v>
      </c>
      <c r="AV9" s="19">
        <v>37027.077880206241</v>
      </c>
      <c r="AW9" s="19">
        <v>37027.077880206241</v>
      </c>
      <c r="AX9" s="19">
        <v>37027.077880206241</v>
      </c>
      <c r="AY9" s="93">
        <f t="shared" ref="AY9:BA9" si="13">AV9/$BF9</f>
        <v>0.22848540837310355</v>
      </c>
      <c r="AZ9" s="93">
        <f t="shared" si="13"/>
        <v>0.22848540837310355</v>
      </c>
      <c r="BA9" s="93">
        <f t="shared" si="13"/>
        <v>0.22848540837310355</v>
      </c>
      <c r="BB9" s="19"/>
      <c r="BC9" s="19"/>
      <c r="BD9" s="19"/>
      <c r="BE9" s="289" t="s">
        <v>38</v>
      </c>
      <c r="BF9" s="290">
        <v>162054.45303423118</v>
      </c>
      <c r="BH9" s="382">
        <v>43918</v>
      </c>
      <c r="BI9" s="383" t="s">
        <v>1173</v>
      </c>
      <c r="BJ9" s="369"/>
      <c r="BL9" s="369"/>
      <c r="BM9" s="388"/>
      <c r="BN9" s="389"/>
      <c r="BO9" s="389"/>
      <c r="BP9" s="369"/>
      <c r="BQ9" s="369"/>
      <c r="BR9" s="389"/>
      <c r="BS9" s="389"/>
      <c r="BT9" s="389"/>
      <c r="BU9" s="389"/>
      <c r="BV9" s="369"/>
      <c r="BW9" s="399">
        <v>43886</v>
      </c>
      <c r="BX9" s="400">
        <v>915000</v>
      </c>
      <c r="BY9" s="388"/>
      <c r="BZ9" s="401">
        <v>1</v>
      </c>
      <c r="CA9" s="402">
        <v>99.94</v>
      </c>
      <c r="CB9" s="403">
        <v>5.9999999999999995E-4</v>
      </c>
      <c r="CC9" s="388">
        <v>364</v>
      </c>
      <c r="CD9" s="404">
        <f t="shared" si="0"/>
        <v>44250</v>
      </c>
      <c r="CE9" s="369"/>
      <c r="CF9" s="369"/>
      <c r="CG9" s="369"/>
      <c r="CI9" s="399">
        <v>43508</v>
      </c>
      <c r="CJ9" s="400">
        <v>1017000</v>
      </c>
      <c r="CK9" s="388"/>
      <c r="CL9" s="401">
        <v>1</v>
      </c>
      <c r="CM9" s="402">
        <v>99.91</v>
      </c>
      <c r="CN9" s="403">
        <v>8.9999999999999998E-4</v>
      </c>
      <c r="CO9" s="388">
        <v>364</v>
      </c>
      <c r="CP9" s="404">
        <f>CI9+CO9</f>
        <v>43872</v>
      </c>
      <c r="CQ9" s="369"/>
      <c r="CR9" s="369"/>
      <c r="CS9" s="369"/>
      <c r="CT9" s="369"/>
      <c r="CU9" s="369"/>
    </row>
    <row r="10" spans="1:99" ht="14.25" customHeight="1">
      <c r="A10" s="18">
        <v>39082</v>
      </c>
      <c r="B10" s="19">
        <v>51273.7</v>
      </c>
      <c r="C10" s="19">
        <v>2576.6</v>
      </c>
      <c r="D10" s="284">
        <f t="shared" si="1"/>
        <v>53850.299999999996</v>
      </c>
      <c r="E10" s="19">
        <v>10606.9</v>
      </c>
      <c r="F10" s="19">
        <v>8304.6</v>
      </c>
      <c r="G10" s="19">
        <v>0</v>
      </c>
      <c r="H10" s="19">
        <v>1757.7</v>
      </c>
      <c r="I10" s="19">
        <v>18051.400000000001</v>
      </c>
      <c r="J10" s="19">
        <v>15825.8</v>
      </c>
      <c r="K10" s="284">
        <f t="shared" si="2"/>
        <v>33877.199999999997</v>
      </c>
      <c r="L10" s="19">
        <v>2</v>
      </c>
      <c r="M10" s="19">
        <v>166.4</v>
      </c>
      <c r="N10" s="290">
        <v>5105.3</v>
      </c>
      <c r="O10" s="19">
        <v>1132.2</v>
      </c>
      <c r="P10" s="19">
        <v>2573.6999999999998</v>
      </c>
      <c r="Q10" s="19">
        <v>0</v>
      </c>
      <c r="R10" s="19">
        <v>10319.299999999999</v>
      </c>
      <c r="S10" s="19">
        <v>0</v>
      </c>
      <c r="T10" s="285">
        <f t="shared" si="3"/>
        <v>127695.59999999999</v>
      </c>
      <c r="U10" s="19">
        <v>4328.7</v>
      </c>
      <c r="V10" s="19">
        <v>32220.400000000001</v>
      </c>
      <c r="W10" s="19">
        <v>16903</v>
      </c>
      <c r="X10" s="19">
        <v>21166.1</v>
      </c>
      <c r="Y10" s="19">
        <v>5583.2</v>
      </c>
      <c r="Z10" s="19">
        <v>4866.5</v>
      </c>
      <c r="AA10" s="19">
        <v>45143.8</v>
      </c>
      <c r="AB10" s="19">
        <v>6706.9</v>
      </c>
      <c r="AC10" s="286">
        <f t="shared" si="4"/>
        <v>136918.6</v>
      </c>
      <c r="AD10" s="287">
        <f t="shared" si="5"/>
        <v>-9223.0000000000146</v>
      </c>
      <c r="AE10" s="288">
        <f t="shared" si="6"/>
        <v>-3.13233528765521E-2</v>
      </c>
      <c r="AF10" s="19"/>
      <c r="AG10" s="18">
        <v>39082</v>
      </c>
      <c r="AH10" s="97">
        <f t="shared" si="7"/>
        <v>-3.13233528765521E-2</v>
      </c>
      <c r="AI10" s="97">
        <f t="shared" si="8"/>
        <v>-3.13233528765521E-2</v>
      </c>
      <c r="AJ10" s="97">
        <f t="shared" si="9"/>
        <v>-3.13233528765521E-2</v>
      </c>
      <c r="AK10" s="19"/>
      <c r="AL10" s="19"/>
      <c r="AM10" s="19"/>
      <c r="AN10" s="19"/>
      <c r="AO10" s="19"/>
      <c r="AP10" s="19"/>
      <c r="AQ10" s="19"/>
      <c r="AR10" s="19"/>
      <c r="AS10" s="18">
        <v>36525</v>
      </c>
      <c r="AT10" s="19">
        <v>18007.9190925</v>
      </c>
      <c r="AU10" s="19">
        <v>30466.443581885149</v>
      </c>
      <c r="AV10" s="19">
        <v>48474.362674385149</v>
      </c>
      <c r="AW10" s="19">
        <v>48474.362674385149</v>
      </c>
      <c r="AX10" s="19">
        <v>48474.362674385149</v>
      </c>
      <c r="AY10" s="93">
        <f t="shared" ref="AY10:BA10" si="14">AV10/$BF10</f>
        <v>0.29128214825866355</v>
      </c>
      <c r="AZ10" s="93">
        <f t="shared" si="14"/>
        <v>0.29128214825866355</v>
      </c>
      <c r="BA10" s="93">
        <f t="shared" si="14"/>
        <v>0.29128214825866355</v>
      </c>
      <c r="BB10" s="19"/>
      <c r="BC10" s="19"/>
      <c r="BD10" s="19"/>
      <c r="BE10" s="289" t="s">
        <v>39</v>
      </c>
      <c r="BF10" s="290">
        <v>166417.2108183543</v>
      </c>
      <c r="BH10" s="382">
        <v>43932</v>
      </c>
      <c r="BI10" s="383" t="s">
        <v>1174</v>
      </c>
      <c r="BJ10" s="386" t="s">
        <v>1175</v>
      </c>
      <c r="BL10" s="369"/>
      <c r="BM10" s="369"/>
      <c r="BN10" s="369"/>
      <c r="BO10" s="369"/>
      <c r="BP10" s="369"/>
      <c r="BQ10" s="369"/>
      <c r="BR10" s="369"/>
      <c r="BS10" s="369"/>
      <c r="BT10" s="392" t="s">
        <v>1191</v>
      </c>
      <c r="BU10" s="393">
        <f>AVERAGE(BU6,BU8)</f>
        <v>9494744903.125</v>
      </c>
      <c r="BV10" s="369"/>
      <c r="BW10" s="399">
        <v>43893</v>
      </c>
      <c r="BX10" s="400">
        <v>1210000</v>
      </c>
      <c r="BY10" s="388"/>
      <c r="BZ10" s="401">
        <v>1</v>
      </c>
      <c r="CA10" s="402">
        <v>99.94</v>
      </c>
      <c r="CB10" s="403">
        <v>5.9999999999999995E-4</v>
      </c>
      <c r="CC10" s="388">
        <v>364</v>
      </c>
      <c r="CD10" s="404">
        <f t="shared" si="0"/>
        <v>44257</v>
      </c>
      <c r="CE10" s="369"/>
      <c r="CF10" s="369"/>
      <c r="CG10" s="369"/>
      <c r="CI10" s="399">
        <v>43515</v>
      </c>
      <c r="CJ10" s="410">
        <v>200000</v>
      </c>
      <c r="CK10" s="411"/>
      <c r="CL10" s="412">
        <v>1</v>
      </c>
      <c r="CM10" s="413">
        <v>99.97</v>
      </c>
      <c r="CN10" s="414">
        <v>5.9999999999999995E-4</v>
      </c>
      <c r="CO10" s="411">
        <v>182</v>
      </c>
      <c r="CP10" s="415">
        <f>CI10+CO10</f>
        <v>43697</v>
      </c>
      <c r="CQ10" s="369"/>
      <c r="CR10" s="369"/>
      <c r="CS10" s="369"/>
      <c r="CT10" s="369"/>
      <c r="CU10" s="369"/>
    </row>
    <row r="11" spans="1:99" ht="14.25" customHeight="1">
      <c r="A11" s="18">
        <v>39447</v>
      </c>
      <c r="B11" s="19">
        <v>55095.9</v>
      </c>
      <c r="C11" s="19">
        <v>2957.1</v>
      </c>
      <c r="D11" s="284">
        <f t="shared" si="1"/>
        <v>58053</v>
      </c>
      <c r="E11" s="19">
        <v>12547.5</v>
      </c>
      <c r="F11" s="19">
        <v>9862.1</v>
      </c>
      <c r="G11" s="19">
        <v>0</v>
      </c>
      <c r="H11" s="19">
        <v>1856.1</v>
      </c>
      <c r="I11" s="19">
        <v>19845.5</v>
      </c>
      <c r="J11" s="19">
        <v>17358</v>
      </c>
      <c r="K11" s="284">
        <f t="shared" si="2"/>
        <v>37203.5</v>
      </c>
      <c r="L11" s="19">
        <v>2.2000000000000002</v>
      </c>
      <c r="M11" s="19">
        <v>240.5</v>
      </c>
      <c r="N11" s="19">
        <v>5715.2</v>
      </c>
      <c r="O11" s="19">
        <v>1289.7</v>
      </c>
      <c r="P11" s="19">
        <v>2617.5</v>
      </c>
      <c r="Q11" s="19">
        <v>0</v>
      </c>
      <c r="R11" s="19">
        <v>10514.9</v>
      </c>
      <c r="S11" s="19">
        <v>0</v>
      </c>
      <c r="T11" s="285">
        <f t="shared" si="3"/>
        <v>139902.20000000001</v>
      </c>
      <c r="U11" s="19">
        <v>4216.7</v>
      </c>
      <c r="V11" s="19">
        <v>36599.599999999999</v>
      </c>
      <c r="W11" s="19">
        <v>20009.7</v>
      </c>
      <c r="X11" s="19">
        <v>23151.5</v>
      </c>
      <c r="Y11" s="19">
        <v>2827.9</v>
      </c>
      <c r="Z11" s="19">
        <v>5368.4</v>
      </c>
      <c r="AA11" s="19">
        <v>47138.7</v>
      </c>
      <c r="AB11" s="19">
        <v>7786.2</v>
      </c>
      <c r="AC11" s="286">
        <f t="shared" si="4"/>
        <v>147098.70000000001</v>
      </c>
      <c r="AD11" s="287">
        <f t="shared" si="5"/>
        <v>-7196.5</v>
      </c>
      <c r="AE11" s="288">
        <f t="shared" si="6"/>
        <v>-2.2294595711018328E-2</v>
      </c>
      <c r="AF11" s="19"/>
      <c r="AG11" s="18">
        <v>39447</v>
      </c>
      <c r="AH11" s="97">
        <f t="shared" si="7"/>
        <v>-2.2294595711018328E-2</v>
      </c>
      <c r="AI11" s="97">
        <f t="shared" si="8"/>
        <v>-2.2294595711018328E-2</v>
      </c>
      <c r="AJ11" s="97">
        <f t="shared" si="9"/>
        <v>-2.2294595711018328E-2</v>
      </c>
      <c r="AK11" s="19"/>
      <c r="AL11" s="19"/>
      <c r="AM11" s="19"/>
      <c r="AN11" s="19"/>
      <c r="AO11" s="19"/>
      <c r="AP11" s="19"/>
      <c r="AQ11" s="19"/>
      <c r="AR11" s="19"/>
      <c r="AS11" s="18">
        <v>36891</v>
      </c>
      <c r="AT11" s="19">
        <v>23030.898977875997</v>
      </c>
      <c r="AU11" s="19">
        <v>40952.163017596285</v>
      </c>
      <c r="AV11" s="19">
        <v>63983.061995472293</v>
      </c>
      <c r="AW11" s="19">
        <v>63983.061995472293</v>
      </c>
      <c r="AX11" s="19">
        <v>63983.061995472293</v>
      </c>
      <c r="AY11" s="93">
        <f t="shared" ref="AY11:BA11" si="15">AV11/$BF11</f>
        <v>0.356708347467316</v>
      </c>
      <c r="AZ11" s="93">
        <f t="shared" si="15"/>
        <v>0.356708347467316</v>
      </c>
      <c r="BA11" s="93">
        <f t="shared" si="15"/>
        <v>0.356708347467316</v>
      </c>
      <c r="BB11" s="19"/>
      <c r="BC11" s="19"/>
      <c r="BD11" s="19"/>
      <c r="BE11" s="289" t="s">
        <v>40</v>
      </c>
      <c r="BF11" s="290">
        <v>179370.80096320104</v>
      </c>
      <c r="BH11" s="369"/>
      <c r="BI11" s="383" t="s">
        <v>1176</v>
      </c>
      <c r="BJ11" s="369"/>
      <c r="BL11" s="369"/>
      <c r="BM11" s="369"/>
      <c r="BN11" s="369"/>
      <c r="BO11" s="369"/>
      <c r="BP11" s="369"/>
      <c r="BQ11" s="369"/>
      <c r="BR11" s="369"/>
      <c r="BS11" s="369"/>
      <c r="BT11" s="369"/>
      <c r="BU11" s="394">
        <f>BU10/1000000000</f>
        <v>9.4947449031249995</v>
      </c>
      <c r="BV11" s="369" t="s">
        <v>1192</v>
      </c>
      <c r="BW11" s="399">
        <v>43914</v>
      </c>
      <c r="BX11" s="400">
        <v>233000</v>
      </c>
      <c r="BY11" s="388"/>
      <c r="BZ11" s="401">
        <v>1</v>
      </c>
      <c r="CA11" s="402">
        <v>99.94</v>
      </c>
      <c r="CB11" s="403">
        <v>5.9999999999999995E-4</v>
      </c>
      <c r="CC11" s="388">
        <v>364</v>
      </c>
      <c r="CD11" s="404">
        <f t="shared" si="0"/>
        <v>44278</v>
      </c>
      <c r="CE11" s="369"/>
      <c r="CF11" s="369"/>
      <c r="CG11" s="369"/>
      <c r="CI11" s="399"/>
      <c r="CJ11" s="400">
        <v>1052000</v>
      </c>
      <c r="CK11" s="388"/>
      <c r="CL11" s="401">
        <v>1</v>
      </c>
      <c r="CM11" s="402">
        <v>99.915000000000006</v>
      </c>
      <c r="CN11" s="403">
        <v>8.9999999999999998E-4</v>
      </c>
      <c r="CO11" s="388">
        <v>364</v>
      </c>
      <c r="CP11" s="404">
        <f>CI10+CO11</f>
        <v>43879</v>
      </c>
      <c r="CQ11" s="369"/>
      <c r="CR11" s="369"/>
      <c r="CS11" s="369"/>
      <c r="CT11" s="369"/>
      <c r="CU11" s="369"/>
    </row>
    <row r="12" spans="1:99" ht="14.25" customHeight="1">
      <c r="A12" s="18">
        <v>39813</v>
      </c>
      <c r="B12" s="19">
        <v>58485.1</v>
      </c>
      <c r="C12" s="19">
        <v>3303.6</v>
      </c>
      <c r="D12" s="284">
        <f t="shared" si="1"/>
        <v>61788.7</v>
      </c>
      <c r="E12" s="19">
        <v>13360.3</v>
      </c>
      <c r="F12" s="19">
        <v>10062.200000000001</v>
      </c>
      <c r="G12" s="19">
        <v>0</v>
      </c>
      <c r="H12" s="19">
        <v>1973.5</v>
      </c>
      <c r="I12" s="19">
        <v>21758.1</v>
      </c>
      <c r="J12" s="19">
        <v>18945.400000000001</v>
      </c>
      <c r="K12" s="284">
        <f t="shared" si="2"/>
        <v>40703.5</v>
      </c>
      <c r="L12" s="19">
        <v>2.6</v>
      </c>
      <c r="M12" s="19">
        <v>255.4</v>
      </c>
      <c r="N12" s="19">
        <v>4744.2</v>
      </c>
      <c r="O12" s="19">
        <v>1195.8</v>
      </c>
      <c r="P12" s="19">
        <v>2759.9</v>
      </c>
      <c r="Q12" s="19">
        <v>0</v>
      </c>
      <c r="R12" s="19">
        <v>12328.6</v>
      </c>
      <c r="S12" s="19">
        <v>0</v>
      </c>
      <c r="T12" s="285">
        <f t="shared" si="3"/>
        <v>149174.70000000001</v>
      </c>
      <c r="U12" s="19">
        <v>5119.7</v>
      </c>
      <c r="V12" s="19">
        <v>38903</v>
      </c>
      <c r="W12" s="19">
        <v>21416.400000000001</v>
      </c>
      <c r="X12" s="19">
        <v>25277.8</v>
      </c>
      <c r="Y12" s="19">
        <v>4881.8</v>
      </c>
      <c r="Z12" s="19">
        <v>6206.6</v>
      </c>
      <c r="AA12" s="19">
        <v>48699.3</v>
      </c>
      <c r="AB12" s="19">
        <v>8461.1</v>
      </c>
      <c r="AC12" s="286">
        <f t="shared" si="4"/>
        <v>158965.70000000001</v>
      </c>
      <c r="AD12" s="287">
        <f t="shared" si="5"/>
        <v>-9791</v>
      </c>
      <c r="AE12" s="288">
        <f t="shared" si="6"/>
        <v>-2.8237694661230842E-2</v>
      </c>
      <c r="AF12" s="19"/>
      <c r="AG12" s="18">
        <v>39813</v>
      </c>
      <c r="AH12" s="97">
        <f t="shared" si="7"/>
        <v>-2.8237694661230842E-2</v>
      </c>
      <c r="AI12" s="97">
        <f t="shared" si="8"/>
        <v>-2.8237694661230842E-2</v>
      </c>
      <c r="AJ12" s="97">
        <f t="shared" si="9"/>
        <v>-2.8237694661230842E-2</v>
      </c>
      <c r="AK12" s="19"/>
      <c r="AL12" s="19"/>
      <c r="AM12" s="19"/>
      <c r="AN12" s="19"/>
      <c r="AO12" s="19"/>
      <c r="AP12" s="19"/>
      <c r="AQ12" s="19"/>
      <c r="AR12" s="19"/>
      <c r="AS12" s="18">
        <v>37256</v>
      </c>
      <c r="AT12" s="19">
        <v>26737.151271029998</v>
      </c>
      <c r="AU12" s="19">
        <v>44246.707036028536</v>
      </c>
      <c r="AV12" s="19">
        <v>70983.85830705853</v>
      </c>
      <c r="AW12" s="19">
        <v>70983.85830705853</v>
      </c>
      <c r="AX12" s="19">
        <v>70983.85830705853</v>
      </c>
      <c r="AY12" s="93">
        <f t="shared" ref="AY12:BA12" si="16">AV12/$BF12</f>
        <v>0.36711815132956066</v>
      </c>
      <c r="AZ12" s="93">
        <f t="shared" si="16"/>
        <v>0.36711815132956066</v>
      </c>
      <c r="BA12" s="93">
        <f t="shared" si="16"/>
        <v>0.36711815132956066</v>
      </c>
      <c r="BB12" s="19"/>
      <c r="BC12" s="19"/>
      <c r="BD12" s="19"/>
      <c r="BE12" s="289" t="s">
        <v>41</v>
      </c>
      <c r="BF12" s="290">
        <v>193354.25952103516</v>
      </c>
      <c r="BH12" s="387">
        <v>43940</v>
      </c>
      <c r="BI12" s="383" t="s">
        <v>1177</v>
      </c>
      <c r="BJ12" s="386" t="s">
        <v>1178</v>
      </c>
      <c r="BW12" s="399">
        <v>43942</v>
      </c>
      <c r="BX12" s="400">
        <v>2551000</v>
      </c>
      <c r="BY12" s="388"/>
      <c r="BZ12" s="401">
        <v>1</v>
      </c>
      <c r="CA12" s="402">
        <v>99.94</v>
      </c>
      <c r="CB12" s="403">
        <v>5.9999999999999995E-4</v>
      </c>
      <c r="CC12" s="388">
        <v>364</v>
      </c>
      <c r="CD12" s="404">
        <f t="shared" si="0"/>
        <v>44306</v>
      </c>
      <c r="CE12" s="369"/>
      <c r="CF12" s="369"/>
      <c r="CG12" s="369"/>
      <c r="CI12" s="399">
        <v>43522</v>
      </c>
      <c r="CJ12" s="416">
        <v>1593000</v>
      </c>
      <c r="CK12" s="417"/>
      <c r="CL12" s="418">
        <v>1</v>
      </c>
      <c r="CM12" s="419">
        <v>99.915000000000006</v>
      </c>
      <c r="CN12" s="420">
        <v>8.9999999999999998E-4</v>
      </c>
      <c r="CO12" s="417">
        <v>364</v>
      </c>
      <c r="CP12" s="421">
        <f t="shared" ref="CP12:CP17" si="17">CI12+CO12</f>
        <v>43886</v>
      </c>
      <c r="CQ12" s="369"/>
      <c r="CR12" s="369"/>
      <c r="CS12" s="369"/>
      <c r="CT12" s="369"/>
      <c r="CU12" s="369"/>
    </row>
    <row r="13" spans="1:99" ht="14.25" customHeight="1">
      <c r="A13" s="18">
        <v>40178</v>
      </c>
      <c r="B13" s="19">
        <v>52842.3</v>
      </c>
      <c r="C13" s="19">
        <v>3311.1</v>
      </c>
      <c r="D13" s="284">
        <f t="shared" si="1"/>
        <v>56153.4</v>
      </c>
      <c r="E13" s="19">
        <v>12804</v>
      </c>
      <c r="F13" s="19">
        <v>8459</v>
      </c>
      <c r="G13" s="19">
        <v>1057.4000000000001</v>
      </c>
      <c r="H13" s="19">
        <v>2021.7</v>
      </c>
      <c r="I13" s="19">
        <v>21374</v>
      </c>
      <c r="J13" s="19">
        <v>18620.8</v>
      </c>
      <c r="K13" s="284">
        <f t="shared" si="2"/>
        <v>39994.800000000003</v>
      </c>
      <c r="L13" s="19">
        <v>4.2</v>
      </c>
      <c r="M13" s="19">
        <v>434.1</v>
      </c>
      <c r="N13" s="19">
        <v>4799.7</v>
      </c>
      <c r="O13" s="19">
        <v>1292.5</v>
      </c>
      <c r="P13" s="19">
        <v>2629.4</v>
      </c>
      <c r="Q13" s="19">
        <v>0</v>
      </c>
      <c r="R13" s="19">
        <v>12013.7</v>
      </c>
      <c r="S13" s="19">
        <v>0</v>
      </c>
      <c r="T13" s="285">
        <f t="shared" si="3"/>
        <v>141663.9</v>
      </c>
      <c r="U13" s="19">
        <v>4696.8</v>
      </c>
      <c r="V13" s="19">
        <v>40880.800000000003</v>
      </c>
      <c r="W13" s="19">
        <v>20005.3</v>
      </c>
      <c r="X13" s="19">
        <v>24408.5</v>
      </c>
      <c r="Y13" s="19">
        <v>3659.6</v>
      </c>
      <c r="Z13" s="19">
        <v>7341.9</v>
      </c>
      <c r="AA13" s="19">
        <v>52616</v>
      </c>
      <c r="AB13" s="19">
        <v>8060.6</v>
      </c>
      <c r="AC13" s="286">
        <f t="shared" si="4"/>
        <v>161669.50000000003</v>
      </c>
      <c r="AD13" s="287">
        <f t="shared" si="5"/>
        <v>-20005.600000000035</v>
      </c>
      <c r="AE13" s="288">
        <f t="shared" si="6"/>
        <v>-6.0481819118848534E-2</v>
      </c>
      <c r="AF13" s="19"/>
      <c r="AG13" s="18">
        <v>40178</v>
      </c>
      <c r="AH13" s="97">
        <f t="shared" si="7"/>
        <v>-6.0481819118848534E-2</v>
      </c>
      <c r="AI13" s="97">
        <f t="shared" si="8"/>
        <v>-6.0481819118848534E-2</v>
      </c>
      <c r="AJ13" s="97">
        <f t="shared" si="9"/>
        <v>-6.0481819118848534E-2</v>
      </c>
      <c r="AK13" s="19"/>
      <c r="AL13" s="19"/>
      <c r="AM13" s="19"/>
      <c r="AN13" s="19"/>
      <c r="AO13" s="19"/>
      <c r="AP13" s="19"/>
      <c r="AQ13" s="19"/>
      <c r="AR13" s="19"/>
      <c r="AS13" s="18">
        <v>37621</v>
      </c>
      <c r="AT13" s="19">
        <v>33364.41652517578</v>
      </c>
      <c r="AU13" s="19">
        <v>44311.001079652284</v>
      </c>
      <c r="AV13" s="19">
        <v>77675.417604828064</v>
      </c>
      <c r="AW13" s="19">
        <v>77675.417604828064</v>
      </c>
      <c r="AX13" s="19">
        <v>77675.417604828064</v>
      </c>
      <c r="AY13" s="93">
        <f t="shared" ref="AY13:BA13" si="18">AV13/$BF13</f>
        <v>0.36798117134690034</v>
      </c>
      <c r="AZ13" s="93">
        <f t="shared" si="18"/>
        <v>0.36798117134690034</v>
      </c>
      <c r="BA13" s="93">
        <f t="shared" si="18"/>
        <v>0.36798117134690034</v>
      </c>
      <c r="BB13" s="19"/>
      <c r="BC13" s="19"/>
      <c r="BD13" s="19"/>
      <c r="BE13" s="289" t="s">
        <v>42</v>
      </c>
      <c r="BF13" s="290">
        <v>211085.30450217656</v>
      </c>
      <c r="BW13" s="399">
        <v>43949</v>
      </c>
      <c r="BX13" s="400">
        <v>200000</v>
      </c>
      <c r="BY13" s="388"/>
      <c r="BZ13" s="401">
        <v>1</v>
      </c>
      <c r="CA13" s="402">
        <v>99.94</v>
      </c>
      <c r="CB13" s="403">
        <v>5.9999999999999995E-4</v>
      </c>
      <c r="CC13" s="388">
        <v>364</v>
      </c>
      <c r="CD13" s="404">
        <f t="shared" si="0"/>
        <v>44313</v>
      </c>
      <c r="CE13" s="369"/>
      <c r="CF13" s="369"/>
      <c r="CG13" s="369"/>
      <c r="CI13" s="399">
        <v>43529</v>
      </c>
      <c r="CJ13" s="416">
        <v>962000</v>
      </c>
      <c r="CK13" s="417"/>
      <c r="CL13" s="418">
        <v>1</v>
      </c>
      <c r="CM13" s="419">
        <v>99.915000000000006</v>
      </c>
      <c r="CN13" s="420">
        <v>8.9999999999999998E-4</v>
      </c>
      <c r="CO13" s="417">
        <v>364</v>
      </c>
      <c r="CP13" s="421">
        <f t="shared" si="17"/>
        <v>43893</v>
      </c>
      <c r="CQ13" s="369"/>
      <c r="CR13" s="369"/>
      <c r="CS13" s="369"/>
      <c r="CT13" s="369"/>
      <c r="CU13" s="369"/>
    </row>
    <row r="14" spans="1:99" ht="14.25" customHeight="1">
      <c r="A14" s="18">
        <v>40543</v>
      </c>
      <c r="B14" s="19">
        <v>54344.800000000003</v>
      </c>
      <c r="C14" s="19">
        <v>3476.4</v>
      </c>
      <c r="D14" s="284">
        <f t="shared" si="1"/>
        <v>57821.200000000004</v>
      </c>
      <c r="E14" s="19">
        <v>11373.4</v>
      </c>
      <c r="F14" s="19">
        <v>6346.7</v>
      </c>
      <c r="G14" s="19">
        <v>1902.5</v>
      </c>
      <c r="H14" s="19">
        <v>2083</v>
      </c>
      <c r="I14" s="19">
        <v>20783.599999999999</v>
      </c>
      <c r="J14" s="19">
        <v>17928.8</v>
      </c>
      <c r="K14" s="284">
        <f t="shared" si="2"/>
        <v>38712.399999999994</v>
      </c>
      <c r="L14" s="19">
        <v>3.2</v>
      </c>
      <c r="M14" s="19">
        <v>925.3</v>
      </c>
      <c r="N14" s="19">
        <v>3434.7</v>
      </c>
      <c r="O14" s="19">
        <v>1210.4000000000001</v>
      </c>
      <c r="P14" s="19">
        <v>2357.5</v>
      </c>
      <c r="Q14" s="19">
        <v>0</v>
      </c>
      <c r="R14" s="19">
        <v>12196.3</v>
      </c>
      <c r="S14" s="19">
        <v>0</v>
      </c>
      <c r="T14" s="285">
        <f t="shared" si="3"/>
        <v>138366.6</v>
      </c>
      <c r="U14" s="19">
        <v>8518.7999999999993</v>
      </c>
      <c r="V14" s="19">
        <v>40110.1</v>
      </c>
      <c r="W14" s="19">
        <v>12790.6</v>
      </c>
      <c r="X14" s="19">
        <v>24987.5</v>
      </c>
      <c r="Y14" s="19">
        <v>5839.7</v>
      </c>
      <c r="Z14" s="19">
        <v>7860.2</v>
      </c>
      <c r="AA14" s="19">
        <v>52126.1</v>
      </c>
      <c r="AB14" s="19">
        <v>7393.6</v>
      </c>
      <c r="AC14" s="286">
        <f t="shared" si="4"/>
        <v>159626.6</v>
      </c>
      <c r="AD14" s="287">
        <f t="shared" si="5"/>
        <v>-21260</v>
      </c>
      <c r="AE14" s="288">
        <f t="shared" si="6"/>
        <v>-6.4654585855040192E-2</v>
      </c>
      <c r="AF14" s="19"/>
      <c r="AG14" s="18">
        <v>40543</v>
      </c>
      <c r="AH14" s="97">
        <f t="shared" si="7"/>
        <v>-6.4654585855040192E-2</v>
      </c>
      <c r="AI14" s="97">
        <f t="shared" si="8"/>
        <v>-6.4654585855040192E-2</v>
      </c>
      <c r="AJ14" s="97">
        <f t="shared" si="9"/>
        <v>-6.4654585855040192E-2</v>
      </c>
      <c r="AK14" s="19"/>
      <c r="AL14" s="19"/>
      <c r="AM14" s="19"/>
      <c r="AN14" s="19"/>
      <c r="AO14" s="19"/>
      <c r="AP14" s="19"/>
      <c r="AQ14" s="19"/>
      <c r="AR14" s="19"/>
      <c r="AS14" s="18">
        <v>37986</v>
      </c>
      <c r="AT14" s="19">
        <v>36761.64974116371</v>
      </c>
      <c r="AU14" s="19">
        <v>52032.910539743491</v>
      </c>
      <c r="AV14" s="19">
        <v>88794.560280907201</v>
      </c>
      <c r="AW14" s="19">
        <v>88794.560280907201</v>
      </c>
      <c r="AX14" s="19">
        <v>88794.560280907201</v>
      </c>
      <c r="AY14" s="93">
        <f t="shared" ref="AY14:BA14" si="19">AV14/$BF14</f>
        <v>0.38179168144341324</v>
      </c>
      <c r="AZ14" s="93">
        <f t="shared" si="19"/>
        <v>0.38179168144341324</v>
      </c>
      <c r="BA14" s="93">
        <f t="shared" si="19"/>
        <v>0.38179168144341324</v>
      </c>
      <c r="BB14" s="19"/>
      <c r="BC14" s="19"/>
      <c r="BD14" s="19"/>
      <c r="BE14" s="289" t="s">
        <v>43</v>
      </c>
      <c r="BF14" s="290">
        <v>232573.32361252027</v>
      </c>
      <c r="BW14" s="399">
        <v>43951</v>
      </c>
      <c r="BX14" s="400"/>
      <c r="BY14" s="400">
        <v>1035150</v>
      </c>
      <c r="BZ14" s="401">
        <v>7.55</v>
      </c>
      <c r="CA14" s="402">
        <v>99.94</v>
      </c>
      <c r="CB14" s="403">
        <v>5.9999999999999995E-4</v>
      </c>
      <c r="CC14" s="388">
        <v>364</v>
      </c>
      <c r="CD14" s="404">
        <f t="shared" si="0"/>
        <v>44315</v>
      </c>
      <c r="CE14" s="369"/>
      <c r="CF14" s="369"/>
      <c r="CG14" s="369"/>
      <c r="CI14" s="399">
        <v>43550</v>
      </c>
      <c r="CJ14" s="400">
        <v>800000</v>
      </c>
      <c r="CK14" s="388"/>
      <c r="CL14" s="401">
        <v>1</v>
      </c>
      <c r="CM14" s="402">
        <v>99.915000000000006</v>
      </c>
      <c r="CN14" s="403">
        <v>8.9999999999999998E-4</v>
      </c>
      <c r="CO14" s="388">
        <v>364</v>
      </c>
      <c r="CP14" s="404">
        <f t="shared" si="17"/>
        <v>43914</v>
      </c>
      <c r="CQ14" s="369"/>
      <c r="CR14" s="369"/>
      <c r="CS14" s="369"/>
      <c r="CT14" s="369"/>
      <c r="CU14" s="369"/>
    </row>
    <row r="15" spans="1:99" ht="14.25" customHeight="1">
      <c r="A15" s="18">
        <v>40908</v>
      </c>
      <c r="B15" s="19">
        <v>53773.9</v>
      </c>
      <c r="C15" s="19">
        <v>3532.5</v>
      </c>
      <c r="D15" s="284">
        <f t="shared" si="1"/>
        <v>57306.400000000001</v>
      </c>
      <c r="E15" s="19">
        <v>11484.7</v>
      </c>
      <c r="F15" s="19">
        <v>7740.8</v>
      </c>
      <c r="G15" s="19">
        <v>65.2</v>
      </c>
      <c r="H15" s="19">
        <v>2025.9</v>
      </c>
      <c r="I15" s="19">
        <v>20686.2</v>
      </c>
      <c r="J15" s="19">
        <v>17918.900000000001</v>
      </c>
      <c r="K15" s="284">
        <f t="shared" si="2"/>
        <v>38605.100000000006</v>
      </c>
      <c r="L15" s="19">
        <v>7.4</v>
      </c>
      <c r="M15" s="19">
        <v>1044</v>
      </c>
      <c r="N15" s="19">
        <v>2985.1</v>
      </c>
      <c r="O15" s="19">
        <v>1080.0999999999999</v>
      </c>
      <c r="P15" s="19">
        <v>2498.6999999999998</v>
      </c>
      <c r="Q15" s="19">
        <v>0</v>
      </c>
      <c r="R15" s="19">
        <v>11953.8</v>
      </c>
      <c r="S15" s="19">
        <v>0</v>
      </c>
      <c r="T15" s="285">
        <f t="shared" si="3"/>
        <v>136797.20000000001</v>
      </c>
      <c r="U15" s="19">
        <v>9622.7000000000007</v>
      </c>
      <c r="V15" s="19">
        <v>40460.199999999997</v>
      </c>
      <c r="W15" s="19">
        <v>12230.4</v>
      </c>
      <c r="X15" s="19">
        <v>26003.599999999999</v>
      </c>
      <c r="Y15" s="19">
        <v>3894.6</v>
      </c>
      <c r="Z15" s="19">
        <v>8948.1</v>
      </c>
      <c r="AA15" s="19">
        <v>54242.6</v>
      </c>
      <c r="AB15" s="19">
        <v>7763.9</v>
      </c>
      <c r="AC15" s="286">
        <f t="shared" si="4"/>
        <v>163166.1</v>
      </c>
      <c r="AD15" s="287">
        <f t="shared" si="5"/>
        <v>-26368.899999999994</v>
      </c>
      <c r="AE15" s="288">
        <f t="shared" si="6"/>
        <v>-7.9134872039829385E-2</v>
      </c>
      <c r="AF15" s="19"/>
      <c r="AG15" s="18">
        <v>40908</v>
      </c>
      <c r="AH15" s="97">
        <f t="shared" si="7"/>
        <v>-7.9134872039829385E-2</v>
      </c>
      <c r="AI15" s="97">
        <f t="shared" si="8"/>
        <v>-7.9134872039829385E-2</v>
      </c>
      <c r="AJ15" s="97">
        <f t="shared" si="9"/>
        <v>-7.9134872039829385E-2</v>
      </c>
      <c r="AK15" s="19"/>
      <c r="AL15" s="19"/>
      <c r="AM15" s="19"/>
      <c r="AN15" s="19"/>
      <c r="AO15" s="19"/>
      <c r="AP15" s="19"/>
      <c r="AQ15" s="19"/>
      <c r="AR15" s="19"/>
      <c r="AS15" s="18">
        <v>38352</v>
      </c>
      <c r="AT15" s="19">
        <v>43870.80915810493</v>
      </c>
      <c r="AU15" s="19">
        <v>57303.15565385278</v>
      </c>
      <c r="AV15" s="19">
        <v>101173.9648119577</v>
      </c>
      <c r="AW15" s="19">
        <v>101173.9648119577</v>
      </c>
      <c r="AX15" s="19">
        <v>101173.9648119577</v>
      </c>
      <c r="AY15" s="93">
        <f t="shared" ref="AY15:BA15" si="20">AV15/$BF15</f>
        <v>0.40309439382790474</v>
      </c>
      <c r="AZ15" s="93">
        <f t="shared" si="20"/>
        <v>0.40309439382790474</v>
      </c>
      <c r="BA15" s="93">
        <f t="shared" si="20"/>
        <v>0.40309439382790474</v>
      </c>
      <c r="BB15" s="19"/>
      <c r="BC15" s="19"/>
      <c r="BD15" s="19"/>
      <c r="BE15" s="289" t="s">
        <v>44</v>
      </c>
      <c r="BF15" s="290">
        <v>250993.23225803146</v>
      </c>
      <c r="BW15" s="369"/>
      <c r="BX15" s="369"/>
      <c r="BY15" s="369"/>
      <c r="BZ15" s="369"/>
      <c r="CA15" s="369"/>
      <c r="CB15" s="369"/>
      <c r="CC15" s="369"/>
      <c r="CD15" s="369"/>
      <c r="CE15" s="369"/>
      <c r="CF15" s="369"/>
      <c r="CG15" s="369"/>
      <c r="CI15" s="399">
        <v>43578</v>
      </c>
      <c r="CJ15" s="400">
        <v>1158000</v>
      </c>
      <c r="CK15" s="388"/>
      <c r="CL15" s="401">
        <v>1</v>
      </c>
      <c r="CM15" s="402">
        <v>99.924999999999997</v>
      </c>
      <c r="CN15" s="403">
        <v>8.0000000000000004E-4</v>
      </c>
      <c r="CO15" s="388">
        <v>364</v>
      </c>
      <c r="CP15" s="404">
        <f t="shared" si="17"/>
        <v>43942</v>
      </c>
      <c r="CQ15" s="369"/>
      <c r="CR15" s="369"/>
      <c r="CS15" s="369"/>
      <c r="CT15" s="369"/>
      <c r="CU15" s="369"/>
    </row>
    <row r="16" spans="1:99" ht="14.25" customHeight="1">
      <c r="A16" s="18">
        <v>41274</v>
      </c>
      <c r="B16" s="19">
        <v>56335.7</v>
      </c>
      <c r="C16" s="19">
        <v>3555.9</v>
      </c>
      <c r="D16" s="284">
        <f t="shared" si="1"/>
        <v>59891.6</v>
      </c>
      <c r="E16" s="19">
        <v>12191.2</v>
      </c>
      <c r="F16" s="19">
        <v>6597.3</v>
      </c>
      <c r="G16" s="19">
        <v>38.5</v>
      </c>
      <c r="H16" s="19">
        <v>2104.5</v>
      </c>
      <c r="I16" s="19">
        <v>19771.599999999999</v>
      </c>
      <c r="J16" s="19">
        <v>18074.3</v>
      </c>
      <c r="K16" s="284">
        <f t="shared" si="2"/>
        <v>37845.899999999994</v>
      </c>
      <c r="L16" s="19">
        <v>7.4</v>
      </c>
      <c r="M16" s="19">
        <v>2718.1</v>
      </c>
      <c r="N16" s="19">
        <v>4503.2</v>
      </c>
      <c r="O16" s="19">
        <v>1172.8</v>
      </c>
      <c r="P16" s="19">
        <v>2387</v>
      </c>
      <c r="Q16" s="19">
        <v>0</v>
      </c>
      <c r="R16" s="19">
        <v>12554.2</v>
      </c>
      <c r="S16" s="19">
        <v>0</v>
      </c>
      <c r="T16" s="285">
        <f t="shared" si="3"/>
        <v>142011.69999999998</v>
      </c>
      <c r="U16" s="19">
        <v>5716.1</v>
      </c>
      <c r="V16" s="19">
        <v>39910</v>
      </c>
      <c r="W16" s="19">
        <v>12472.3</v>
      </c>
      <c r="X16" s="19">
        <v>25763.599999999999</v>
      </c>
      <c r="Y16" s="19">
        <v>4649.3</v>
      </c>
      <c r="Z16" s="19">
        <v>10192.200000000001</v>
      </c>
      <c r="AA16" s="19">
        <v>53853.599999999999</v>
      </c>
      <c r="AB16" s="19">
        <v>7148.5</v>
      </c>
      <c r="AC16" s="286">
        <f t="shared" si="4"/>
        <v>159705.60000000001</v>
      </c>
      <c r="AD16" s="287">
        <f t="shared" si="5"/>
        <v>-17693.900000000023</v>
      </c>
      <c r="AE16" s="288">
        <f t="shared" si="6"/>
        <v>-5.3535246159657067E-2</v>
      </c>
      <c r="AF16" s="19"/>
      <c r="AG16" s="18">
        <v>41274</v>
      </c>
      <c r="AH16" s="97">
        <f t="shared" si="7"/>
        <v>-5.3535246159657067E-2</v>
      </c>
      <c r="AI16" s="97">
        <f t="shared" si="8"/>
        <v>-5.3535246159657067E-2</v>
      </c>
      <c r="AJ16" s="97">
        <f t="shared" si="9"/>
        <v>-5.3535246159657067E-2</v>
      </c>
      <c r="AK16" s="19"/>
      <c r="AL16" s="19"/>
      <c r="AM16" s="19"/>
      <c r="AN16" s="19"/>
      <c r="AO16" s="19"/>
      <c r="AP16" s="19"/>
      <c r="AQ16" s="19"/>
      <c r="AR16" s="19"/>
      <c r="AS16" s="18">
        <v>38717</v>
      </c>
      <c r="AT16" s="19">
        <v>55928.824033388875</v>
      </c>
      <c r="AU16" s="19">
        <v>55477.427743677668</v>
      </c>
      <c r="AV16" s="19">
        <v>111406.25177706653</v>
      </c>
      <c r="AW16" s="19">
        <v>111406.25177706653</v>
      </c>
      <c r="AX16" s="19">
        <v>111406.25177706653</v>
      </c>
      <c r="AY16" s="93">
        <f t="shared" ref="AY16:BA16" si="21">AV16/$BF16</f>
        <v>0.41259305085363696</v>
      </c>
      <c r="AZ16" s="93">
        <f t="shared" si="21"/>
        <v>0.41259305085363696</v>
      </c>
      <c r="BA16" s="93">
        <f t="shared" si="21"/>
        <v>0.41259305085363696</v>
      </c>
      <c r="BB16" s="19"/>
      <c r="BC16" s="19"/>
      <c r="BD16" s="19"/>
      <c r="BE16" s="289" t="s">
        <v>45</v>
      </c>
      <c r="BF16" s="290">
        <v>270014.85252010881</v>
      </c>
      <c r="BW16" s="369"/>
      <c r="BX16" s="538">
        <f>(SUM(BX5:BX13)+BY14*BZ14)*1000</f>
        <v>17093382500</v>
      </c>
      <c r="BY16" s="538"/>
      <c r="BZ16" s="369"/>
      <c r="CA16" s="369"/>
      <c r="CB16" s="369"/>
      <c r="CC16" s="369"/>
      <c r="CD16" s="369"/>
      <c r="CE16" s="369"/>
      <c r="CF16" s="369"/>
      <c r="CG16" s="369"/>
      <c r="CI16" s="399">
        <v>43585</v>
      </c>
      <c r="CJ16" s="400">
        <v>690000</v>
      </c>
      <c r="CK16" s="388"/>
      <c r="CL16" s="401">
        <v>1</v>
      </c>
      <c r="CM16" s="402">
        <v>99.924999999999997</v>
      </c>
      <c r="CN16" s="403">
        <v>8.0000000000000004E-4</v>
      </c>
      <c r="CO16" s="388">
        <v>364</v>
      </c>
      <c r="CP16" s="404">
        <f t="shared" si="17"/>
        <v>43949</v>
      </c>
      <c r="CQ16" s="369"/>
      <c r="CR16" s="369"/>
      <c r="CS16" s="369"/>
      <c r="CT16" s="369"/>
      <c r="CU16" s="369"/>
    </row>
    <row r="17" spans="1:99" ht="14.25" customHeight="1">
      <c r="A17" s="18">
        <v>41639</v>
      </c>
      <c r="B17" s="19">
        <v>58022.6</v>
      </c>
      <c r="C17" s="19">
        <v>3642.9</v>
      </c>
      <c r="D17" s="284">
        <f t="shared" si="1"/>
        <v>61665.5</v>
      </c>
      <c r="E17" s="19">
        <v>12761.9</v>
      </c>
      <c r="F17" s="19">
        <v>6741.8</v>
      </c>
      <c r="G17" s="19">
        <v>32</v>
      </c>
      <c r="H17" s="19">
        <v>2051.6999999999998</v>
      </c>
      <c r="I17" s="19">
        <v>18924.599999999999</v>
      </c>
      <c r="J17" s="19">
        <v>18224.7</v>
      </c>
      <c r="K17" s="284">
        <f t="shared" si="2"/>
        <v>37149.300000000003</v>
      </c>
      <c r="L17" s="19">
        <v>6.1</v>
      </c>
      <c r="M17" s="19">
        <v>895.3</v>
      </c>
      <c r="N17" s="19">
        <v>4340.1000000000004</v>
      </c>
      <c r="O17" s="19">
        <v>1284</v>
      </c>
      <c r="P17" s="19">
        <v>2283.4</v>
      </c>
      <c r="Q17" s="19">
        <v>0</v>
      </c>
      <c r="R17" s="19">
        <v>12928.1</v>
      </c>
      <c r="S17" s="19">
        <v>0</v>
      </c>
      <c r="T17" s="285">
        <f t="shared" si="3"/>
        <v>142139.20000000001</v>
      </c>
      <c r="U17" s="19">
        <v>4361.8</v>
      </c>
      <c r="V17" s="19">
        <v>38823.199999999997</v>
      </c>
      <c r="W17" s="19">
        <v>12995.2</v>
      </c>
      <c r="X17" s="19">
        <v>26343</v>
      </c>
      <c r="Y17" s="19">
        <v>6293.4</v>
      </c>
      <c r="Z17" s="19">
        <v>10383.9</v>
      </c>
      <c r="AA17" s="19">
        <v>54865.5</v>
      </c>
      <c r="AB17" s="19">
        <v>5750.5</v>
      </c>
      <c r="AC17" s="286">
        <f t="shared" si="4"/>
        <v>159816.5</v>
      </c>
      <c r="AD17" s="287">
        <f t="shared" si="5"/>
        <v>-17677.299999999988</v>
      </c>
      <c r="AE17" s="288">
        <f t="shared" si="6"/>
        <v>-5.3372048352301513E-2</v>
      </c>
      <c r="AF17" s="19"/>
      <c r="AG17" s="18">
        <v>41639</v>
      </c>
      <c r="AH17" s="97">
        <f t="shared" si="7"/>
        <v>-5.3372048352301513E-2</v>
      </c>
      <c r="AI17" s="97">
        <f t="shared" si="8"/>
        <v>-5.3372048352301513E-2</v>
      </c>
      <c r="AJ17" s="97">
        <f t="shared" si="9"/>
        <v>-5.3372048352301513E-2</v>
      </c>
      <c r="AK17" s="19"/>
      <c r="AL17" s="19"/>
      <c r="AM17" s="19"/>
      <c r="AN17" s="19"/>
      <c r="AO17" s="19"/>
      <c r="AP17" s="19"/>
      <c r="AQ17" s="19"/>
      <c r="AR17" s="19"/>
      <c r="AS17" s="18">
        <v>39082</v>
      </c>
      <c r="AT17" s="19">
        <v>59427.634227855844</v>
      </c>
      <c r="AU17" s="19">
        <v>54661.522429857221</v>
      </c>
      <c r="AV17" s="19">
        <v>114089.15665771304</v>
      </c>
      <c r="AW17" s="19">
        <v>114089.15665771304</v>
      </c>
      <c r="AX17" s="19">
        <v>114089.15665771304</v>
      </c>
      <c r="AY17" s="93">
        <f t="shared" ref="AY17:BA17" si="22">AV17/$BF17</f>
        <v>0.3874722065102536</v>
      </c>
      <c r="AZ17" s="93">
        <f t="shared" si="22"/>
        <v>0.3874722065102536</v>
      </c>
      <c r="BA17" s="93">
        <f t="shared" si="22"/>
        <v>0.3874722065102536</v>
      </c>
      <c r="BB17" s="19"/>
      <c r="BC17" s="19"/>
      <c r="BD17" s="19"/>
      <c r="BE17" s="289" t="s">
        <v>46</v>
      </c>
      <c r="BF17" s="290">
        <v>294444.74917375506</v>
      </c>
      <c r="BW17" s="369"/>
      <c r="BX17" s="538">
        <f>((SUM(BX5:BX14)+BY14*BZ14)*(CA14/100))*1000</f>
        <v>17083126470.5</v>
      </c>
      <c r="BY17" s="538"/>
      <c r="BZ17" s="369"/>
      <c r="CA17" s="369"/>
      <c r="CB17" s="369"/>
      <c r="CC17" s="369"/>
      <c r="CD17" s="369"/>
      <c r="CE17" s="369"/>
      <c r="CF17" s="369"/>
      <c r="CG17" s="369"/>
      <c r="CI17" s="399">
        <v>43606</v>
      </c>
      <c r="CJ17" s="410">
        <v>200000</v>
      </c>
      <c r="CK17" s="411"/>
      <c r="CL17" s="412">
        <v>1</v>
      </c>
      <c r="CM17" s="413">
        <v>99.992999999999995</v>
      </c>
      <c r="CN17" s="414">
        <v>2.9999999999999997E-4</v>
      </c>
      <c r="CO17" s="411">
        <v>91</v>
      </c>
      <c r="CP17" s="415">
        <f t="shared" si="17"/>
        <v>43697</v>
      </c>
      <c r="CQ17" s="369"/>
      <c r="CR17" s="369"/>
      <c r="CS17" s="369"/>
      <c r="CT17" s="369"/>
      <c r="CU17" s="369"/>
    </row>
    <row r="18" spans="1:99" ht="14.25" customHeight="1">
      <c r="A18" s="18">
        <v>42004</v>
      </c>
      <c r="B18" s="19">
        <v>57545.1</v>
      </c>
      <c r="C18" s="19">
        <v>3744.6</v>
      </c>
      <c r="D18" s="284">
        <f t="shared" si="1"/>
        <v>61289.7</v>
      </c>
      <c r="E18" s="19">
        <v>12821.3</v>
      </c>
      <c r="F18" s="19">
        <v>5824.7</v>
      </c>
      <c r="G18" s="19">
        <v>119.3</v>
      </c>
      <c r="H18" s="19">
        <v>2075.6999999999998</v>
      </c>
      <c r="I18" s="19">
        <v>20278.099999999999</v>
      </c>
      <c r="J18" s="19">
        <v>18908.599999999999</v>
      </c>
      <c r="K18" s="284">
        <f t="shared" si="2"/>
        <v>39186.699999999997</v>
      </c>
      <c r="L18" s="19">
        <v>9.6</v>
      </c>
      <c r="M18" s="19">
        <v>938.5</v>
      </c>
      <c r="N18" s="19">
        <v>4719.8999999999996</v>
      </c>
      <c r="O18" s="19">
        <v>1695.7</v>
      </c>
      <c r="P18" s="19">
        <v>2446.5</v>
      </c>
      <c r="Q18" s="19">
        <v>0</v>
      </c>
      <c r="R18" s="19">
        <v>12626.5</v>
      </c>
      <c r="S18" s="19">
        <v>0</v>
      </c>
      <c r="T18" s="285">
        <f t="shared" si="3"/>
        <v>143754.1</v>
      </c>
      <c r="U18" s="19">
        <v>5641.5</v>
      </c>
      <c r="V18" s="19">
        <v>38011.4</v>
      </c>
      <c r="W18" s="19">
        <v>12732.5</v>
      </c>
      <c r="X18" s="19">
        <v>27463.4</v>
      </c>
      <c r="Y18" s="19">
        <v>5158.3</v>
      </c>
      <c r="Z18" s="19">
        <v>11388.5</v>
      </c>
      <c r="AA18" s="19">
        <v>56045.7</v>
      </c>
      <c r="AB18" s="19">
        <v>5037.8</v>
      </c>
      <c r="AC18" s="286">
        <f t="shared" si="4"/>
        <v>161479.09999999998</v>
      </c>
      <c r="AD18" s="287">
        <f t="shared" si="5"/>
        <v>-17724.999999999971</v>
      </c>
      <c r="AE18" s="288">
        <f t="shared" si="6"/>
        <v>-5.3494453375993636E-2</v>
      </c>
      <c r="AF18" s="19"/>
      <c r="AG18" s="18">
        <v>42004</v>
      </c>
      <c r="AH18" s="97">
        <f t="shared" si="7"/>
        <v>-5.3494453375993636E-2</v>
      </c>
      <c r="AI18" s="97">
        <f t="shared" si="8"/>
        <v>-5.3494453375993636E-2</v>
      </c>
      <c r="AJ18" s="97">
        <f t="shared" si="9"/>
        <v>-5.3494453375993636E-2</v>
      </c>
      <c r="AK18" s="19"/>
      <c r="AL18" s="19"/>
      <c r="AM18" s="19"/>
      <c r="AN18" s="19"/>
      <c r="AO18" s="19"/>
      <c r="AP18" s="19"/>
      <c r="AQ18" s="19"/>
      <c r="AR18" s="19"/>
      <c r="AS18" s="18">
        <v>39447</v>
      </c>
      <c r="AT18" s="19">
        <v>59697.42640672886</v>
      </c>
      <c r="AU18" s="19">
        <v>60876.139163590065</v>
      </c>
      <c r="AV18" s="19">
        <v>120573.56557031894</v>
      </c>
      <c r="AW18" s="19">
        <v>120573.56557031894</v>
      </c>
      <c r="AX18" s="19">
        <v>120573.56557031894</v>
      </c>
      <c r="AY18" s="93">
        <f t="shared" ref="AY18:BA18" si="23">AV18/$BF18</f>
        <v>0.37353404144202751</v>
      </c>
      <c r="AZ18" s="93">
        <f t="shared" si="23"/>
        <v>0.37353404144202751</v>
      </c>
      <c r="BA18" s="93">
        <f t="shared" si="23"/>
        <v>0.37353404144202751</v>
      </c>
      <c r="BB18" s="19"/>
      <c r="BC18" s="19"/>
      <c r="BD18" s="19"/>
      <c r="BE18" s="289" t="s">
        <v>47</v>
      </c>
      <c r="BF18" s="290">
        <v>322791.37158381846</v>
      </c>
      <c r="BW18" s="369"/>
      <c r="BX18" s="369"/>
      <c r="BY18" s="369"/>
      <c r="BZ18" s="369"/>
      <c r="CA18" s="369"/>
      <c r="CB18" s="369"/>
      <c r="CC18" s="369"/>
      <c r="CD18" s="369"/>
      <c r="CE18" s="369"/>
      <c r="CF18" s="369"/>
      <c r="CG18" s="369"/>
      <c r="CI18" s="399"/>
      <c r="CJ18" s="400">
        <v>283000</v>
      </c>
      <c r="CK18" s="388"/>
      <c r="CL18" s="401">
        <v>1</v>
      </c>
      <c r="CM18" s="402">
        <v>99.92</v>
      </c>
      <c r="CN18" s="403">
        <v>8.0000000000000004E-4</v>
      </c>
      <c r="CO18" s="388">
        <v>364</v>
      </c>
      <c r="CP18" s="404">
        <f>CI17+CO18</f>
        <v>43970</v>
      </c>
      <c r="CQ18" s="369"/>
      <c r="CR18" s="369"/>
      <c r="CS18" s="369"/>
      <c r="CT18" s="369"/>
      <c r="CU18" s="369"/>
    </row>
    <row r="19" spans="1:99" ht="14.25" customHeight="1">
      <c r="A19" s="18">
        <v>42369</v>
      </c>
      <c r="B19" s="19">
        <v>60488.1</v>
      </c>
      <c r="C19" s="19">
        <v>4346.6000000000004</v>
      </c>
      <c r="D19" s="284">
        <f t="shared" si="1"/>
        <v>64834.7</v>
      </c>
      <c r="E19" s="19">
        <v>12038.6</v>
      </c>
      <c r="F19" s="19">
        <v>6362.6</v>
      </c>
      <c r="G19" s="19">
        <v>306.3</v>
      </c>
      <c r="H19" s="19">
        <v>2109.3000000000002</v>
      </c>
      <c r="I19" s="19">
        <v>21062.9</v>
      </c>
      <c r="J19" s="19">
        <v>19651.5</v>
      </c>
      <c r="K19" s="284">
        <f t="shared" si="2"/>
        <v>40714.400000000001</v>
      </c>
      <c r="L19" s="19">
        <v>10.4</v>
      </c>
      <c r="M19" s="19">
        <v>1671.9</v>
      </c>
      <c r="N19" s="19">
        <v>7911.1</v>
      </c>
      <c r="O19" s="19">
        <v>1078.9000000000001</v>
      </c>
      <c r="P19" s="19">
        <v>2255.1</v>
      </c>
      <c r="Q19" s="19">
        <v>0</v>
      </c>
      <c r="R19" s="19">
        <v>14652.8</v>
      </c>
      <c r="S19" s="19">
        <v>0</v>
      </c>
      <c r="T19" s="285">
        <f t="shared" si="3"/>
        <v>153946.09999999998</v>
      </c>
      <c r="U19" s="19">
        <v>5005.8999999999996</v>
      </c>
      <c r="V19" s="19">
        <v>38987.5</v>
      </c>
      <c r="W19" s="19">
        <v>11829.4</v>
      </c>
      <c r="X19" s="19">
        <v>27950.400000000001</v>
      </c>
      <c r="Y19" s="19">
        <v>7960.1</v>
      </c>
      <c r="Z19" s="19">
        <v>11686.3</v>
      </c>
      <c r="AA19" s="19">
        <v>57742</v>
      </c>
      <c r="AB19" s="19">
        <v>4045.4</v>
      </c>
      <c r="AC19" s="286">
        <f t="shared" si="4"/>
        <v>165207.00000000003</v>
      </c>
      <c r="AD19" s="287">
        <f t="shared" si="5"/>
        <v>-11260.900000000052</v>
      </c>
      <c r="AE19" s="288">
        <f t="shared" si="6"/>
        <v>-3.3149890789207923E-2</v>
      </c>
      <c r="AF19" s="19"/>
      <c r="AG19" s="18">
        <v>42369</v>
      </c>
      <c r="AH19" s="97">
        <f t="shared" si="7"/>
        <v>-3.3149890789207923E-2</v>
      </c>
      <c r="AI19" s="97">
        <f t="shared" si="8"/>
        <v>-3.3149890789207923E-2</v>
      </c>
      <c r="AJ19" s="97">
        <f t="shared" si="9"/>
        <v>-3.3149890789207923E-2</v>
      </c>
      <c r="AK19" s="19"/>
      <c r="AL19" s="19"/>
      <c r="AM19" s="19"/>
      <c r="AN19" s="19"/>
      <c r="AO19" s="19"/>
      <c r="AP19" s="19"/>
      <c r="AQ19" s="19"/>
      <c r="AR19" s="19"/>
      <c r="AS19" s="18">
        <v>39813</v>
      </c>
      <c r="AT19" s="19">
        <v>71571.942513256741</v>
      </c>
      <c r="AU19" s="19">
        <v>64628.969707781791</v>
      </c>
      <c r="AV19" s="19">
        <v>136200.91222103854</v>
      </c>
      <c r="AW19" s="19">
        <v>136200.91222103854</v>
      </c>
      <c r="AX19" s="19">
        <v>136200.91222103854</v>
      </c>
      <c r="AY19" s="93">
        <f t="shared" ref="AY19:BA19" si="24">AV19/$BF19</f>
        <v>0.39280963603624736</v>
      </c>
      <c r="AZ19" s="93">
        <f t="shared" si="24"/>
        <v>0.39280963603624736</v>
      </c>
      <c r="BA19" s="93">
        <f t="shared" si="24"/>
        <v>0.39280963603624736</v>
      </c>
      <c r="BB19" s="19"/>
      <c r="BC19" s="19"/>
      <c r="BD19" s="19"/>
      <c r="BE19" s="289" t="s">
        <v>48</v>
      </c>
      <c r="BF19" s="290">
        <v>346735.16056126053</v>
      </c>
      <c r="BW19" s="369"/>
      <c r="BX19" s="529" t="s">
        <v>1205</v>
      </c>
      <c r="BY19" s="529"/>
      <c r="BZ19" s="529"/>
      <c r="CA19" s="529"/>
      <c r="CB19" s="529"/>
      <c r="CC19" s="369"/>
      <c r="CD19" s="369"/>
      <c r="CE19" s="369"/>
      <c r="CF19" s="369"/>
      <c r="CG19" s="369"/>
      <c r="CI19" s="399"/>
      <c r="CJ19" s="400"/>
      <c r="CK19" s="400">
        <v>16000</v>
      </c>
      <c r="CL19" s="401">
        <v>7.42</v>
      </c>
      <c r="CM19" s="402">
        <v>100</v>
      </c>
      <c r="CN19" s="403">
        <v>0</v>
      </c>
      <c r="CO19" s="388">
        <v>364</v>
      </c>
      <c r="CP19" s="404">
        <f>CI17+CO19</f>
        <v>43970</v>
      </c>
      <c r="CQ19" s="369"/>
      <c r="CR19" s="369"/>
      <c r="CS19" s="369"/>
      <c r="CT19" s="369"/>
      <c r="CU19" s="369"/>
    </row>
    <row r="20" spans="1:99" ht="14.25" customHeight="1">
      <c r="A20" s="18">
        <v>42735</v>
      </c>
      <c r="B20" s="19">
        <v>63093.5</v>
      </c>
      <c r="C20" s="19">
        <v>4526.6000000000004</v>
      </c>
      <c r="D20" s="284">
        <f t="shared" si="1"/>
        <v>67620.100000000006</v>
      </c>
      <c r="E20" s="19">
        <v>12765.3</v>
      </c>
      <c r="F20" s="19">
        <v>7745.2</v>
      </c>
      <c r="G20" s="19">
        <v>327.3</v>
      </c>
      <c r="H20" s="19">
        <v>2044.9</v>
      </c>
      <c r="I20" s="19">
        <v>20456.900000000001</v>
      </c>
      <c r="J20" s="19">
        <v>21273.1</v>
      </c>
      <c r="K20" s="284">
        <f t="shared" si="2"/>
        <v>41730</v>
      </c>
      <c r="L20" s="19">
        <v>14.2</v>
      </c>
      <c r="M20" s="19">
        <v>2429.4</v>
      </c>
      <c r="N20" s="19">
        <v>9225.5</v>
      </c>
      <c r="O20" s="19">
        <v>888.3</v>
      </c>
      <c r="P20" s="19">
        <v>2698.6</v>
      </c>
      <c r="Q20" s="19">
        <v>0</v>
      </c>
      <c r="R20" s="19">
        <v>15669.1</v>
      </c>
      <c r="S20" s="19">
        <v>0</v>
      </c>
      <c r="T20" s="285">
        <f t="shared" si="3"/>
        <v>163157.9</v>
      </c>
      <c r="U20" s="19">
        <v>6261.6</v>
      </c>
      <c r="V20" s="19">
        <v>40066.400000000001</v>
      </c>
      <c r="W20" s="19">
        <v>12278</v>
      </c>
      <c r="X20" s="19">
        <v>28786.1</v>
      </c>
      <c r="Y20" s="19">
        <v>8094.4</v>
      </c>
      <c r="Z20" s="19">
        <v>10863.8</v>
      </c>
      <c r="AA20" s="19">
        <v>56026.3</v>
      </c>
      <c r="AB20" s="19">
        <v>4665.6000000000004</v>
      </c>
      <c r="AC20" s="286">
        <f t="shared" si="4"/>
        <v>167042.20000000001</v>
      </c>
      <c r="AD20" s="287">
        <f t="shared" si="5"/>
        <v>-3884.3000000000175</v>
      </c>
      <c r="AE20" s="288">
        <f t="shared" si="6"/>
        <v>-1.1061064160978181E-2</v>
      </c>
      <c r="AF20" s="19"/>
      <c r="AG20" s="18">
        <v>42735</v>
      </c>
      <c r="AH20" s="97">
        <f t="shared" si="7"/>
        <v>-1.1061064160978181E-2</v>
      </c>
      <c r="AI20" s="97">
        <f t="shared" si="8"/>
        <v>-1.1061064160978181E-2</v>
      </c>
      <c r="AJ20" s="97">
        <f t="shared" si="9"/>
        <v>-1.1061064160978181E-2</v>
      </c>
      <c r="AK20" s="19"/>
      <c r="AL20" s="19"/>
      <c r="AM20" s="19"/>
      <c r="AN20" s="19"/>
      <c r="AO20" s="19"/>
      <c r="AP20" s="19"/>
      <c r="AQ20" s="19"/>
      <c r="AR20" s="19"/>
      <c r="AS20" s="18">
        <v>40178</v>
      </c>
      <c r="AT20" s="19">
        <v>83954.809226568163</v>
      </c>
      <c r="AU20" s="19">
        <v>77018.935974070831</v>
      </c>
      <c r="AV20" s="19">
        <v>160973.74520063898</v>
      </c>
      <c r="AW20" s="19">
        <v>160973.74520063898</v>
      </c>
      <c r="AX20" s="19">
        <v>160973.74520063898</v>
      </c>
      <c r="AY20" s="93">
        <f t="shared" ref="AY20:BA20" si="25">AV20/$BF20</f>
        <v>0.48666257148407827</v>
      </c>
      <c r="AZ20" s="93">
        <f t="shared" si="25"/>
        <v>0.48666257148407827</v>
      </c>
      <c r="BA20" s="93">
        <f t="shared" si="25"/>
        <v>0.48666257148407827</v>
      </c>
      <c r="BB20" s="19"/>
      <c r="BC20" s="19"/>
      <c r="BD20" s="19"/>
      <c r="BE20" s="289" t="s">
        <v>49</v>
      </c>
      <c r="BF20" s="290">
        <v>330770.75294643943</v>
      </c>
      <c r="BW20" s="388" t="s">
        <v>1195</v>
      </c>
      <c r="BX20" s="388" t="s">
        <v>1206</v>
      </c>
      <c r="BY20" s="388" t="s">
        <v>1207</v>
      </c>
      <c r="BZ20" s="388" t="s">
        <v>1208</v>
      </c>
      <c r="CA20" s="388" t="s">
        <v>1209</v>
      </c>
      <c r="CB20" s="388" t="s">
        <v>1210</v>
      </c>
      <c r="CC20" s="388" t="s">
        <v>1211</v>
      </c>
      <c r="CD20" s="388" t="s">
        <v>1212</v>
      </c>
      <c r="CE20" s="388" t="s">
        <v>1200</v>
      </c>
      <c r="CF20" s="388" t="s">
        <v>1213</v>
      </c>
      <c r="CG20" s="369" t="s">
        <v>1214</v>
      </c>
      <c r="CI20" s="399">
        <v>43613</v>
      </c>
      <c r="CJ20" s="400">
        <v>253000</v>
      </c>
      <c r="CK20" s="388"/>
      <c r="CL20" s="401">
        <v>1</v>
      </c>
      <c r="CM20" s="402">
        <v>99.924999999999997</v>
      </c>
      <c r="CN20" s="403">
        <v>8.0000000000000004E-4</v>
      </c>
      <c r="CO20" s="388">
        <v>364</v>
      </c>
      <c r="CP20" s="404">
        <f>CI20+CO20</f>
        <v>43977</v>
      </c>
      <c r="CQ20" s="369"/>
      <c r="CR20" s="369"/>
      <c r="CS20" s="369"/>
      <c r="CT20" s="369"/>
      <c r="CU20" s="369"/>
    </row>
    <row r="21" spans="1:99" ht="14.25" customHeight="1">
      <c r="A21" s="18">
        <v>43100</v>
      </c>
      <c r="B21" s="19">
        <v>67313.3</v>
      </c>
      <c r="C21" s="19">
        <v>4210.6000000000004</v>
      </c>
      <c r="D21" s="284">
        <f t="shared" si="1"/>
        <v>71523.900000000009</v>
      </c>
      <c r="E21" s="19">
        <v>12097.8</v>
      </c>
      <c r="F21" s="19">
        <v>8462.1</v>
      </c>
      <c r="G21" s="19">
        <v>340.09999999999997</v>
      </c>
      <c r="H21" s="19">
        <v>2088.6999999999998</v>
      </c>
      <c r="I21" s="19">
        <v>21216.7</v>
      </c>
      <c r="J21" s="19">
        <v>22417.1</v>
      </c>
      <c r="K21" s="284">
        <f t="shared" si="2"/>
        <v>43633.8</v>
      </c>
      <c r="L21" s="19">
        <v>8.3000000000000007</v>
      </c>
      <c r="M21" s="19">
        <v>1614</v>
      </c>
      <c r="N21" s="19">
        <v>10113.799999999999</v>
      </c>
      <c r="O21" s="19">
        <v>899.3</v>
      </c>
      <c r="P21" s="19">
        <v>2805.7</v>
      </c>
      <c r="Q21" s="19">
        <v>0</v>
      </c>
      <c r="R21" s="19">
        <v>15526.6</v>
      </c>
      <c r="S21" s="19">
        <v>0</v>
      </c>
      <c r="T21" s="285">
        <f t="shared" si="3"/>
        <v>169114.10000000003</v>
      </c>
      <c r="U21" s="19">
        <v>4714.5</v>
      </c>
      <c r="V21" s="19">
        <v>41760.6</v>
      </c>
      <c r="W21" s="19">
        <v>10116.1</v>
      </c>
      <c r="X21" s="19">
        <v>29481</v>
      </c>
      <c r="Y21" s="19">
        <v>7535.5</v>
      </c>
      <c r="Z21" s="19">
        <v>9793</v>
      </c>
      <c r="AA21" s="19">
        <v>57188.6</v>
      </c>
      <c r="AB21" s="19">
        <v>5611</v>
      </c>
      <c r="AC21" s="286">
        <f t="shared" si="4"/>
        <v>166200.29999999999</v>
      </c>
      <c r="AD21" s="287">
        <f t="shared" si="5"/>
        <v>2913.8000000000466</v>
      </c>
      <c r="AE21" s="288">
        <f t="shared" si="6"/>
        <v>7.9519421094693399E-3</v>
      </c>
      <c r="AF21" s="19"/>
      <c r="AG21" s="18">
        <v>43100</v>
      </c>
      <c r="AH21" s="97">
        <f t="shared" si="7"/>
        <v>7.9519421094693399E-3</v>
      </c>
      <c r="AI21" s="97">
        <f t="shared" si="8"/>
        <v>7.9519421094693399E-3</v>
      </c>
      <c r="AJ21" s="97">
        <f t="shared" si="9"/>
        <v>7.9519421094693399E-3</v>
      </c>
      <c r="AK21" s="19"/>
      <c r="AL21" s="19"/>
      <c r="AM21" s="19"/>
      <c r="AN21" s="19"/>
      <c r="AO21" s="19"/>
      <c r="AP21" s="19"/>
      <c r="AQ21" s="19"/>
      <c r="AR21" s="19"/>
      <c r="AS21" s="18">
        <v>40543</v>
      </c>
      <c r="AT21" s="19">
        <v>104278.41700112894</v>
      </c>
      <c r="AU21" s="19">
        <v>85753.433083185315</v>
      </c>
      <c r="AV21" s="19">
        <v>190031.85008431427</v>
      </c>
      <c r="AW21" s="19">
        <v>190031.85008431427</v>
      </c>
      <c r="AX21" s="19">
        <v>190031.85008431427</v>
      </c>
      <c r="AY21" s="93">
        <f t="shared" ref="AY21:BA21" si="26">AV21/$BF21</f>
        <v>0.57791327735781084</v>
      </c>
      <c r="AZ21" s="93">
        <f t="shared" si="26"/>
        <v>0.57791327735781084</v>
      </c>
      <c r="BA21" s="93">
        <f t="shared" si="26"/>
        <v>0.57791327735781084</v>
      </c>
      <c r="BB21" s="19"/>
      <c r="BC21" s="19"/>
      <c r="BD21" s="19"/>
      <c r="BE21" s="289" t="s">
        <v>50</v>
      </c>
      <c r="BF21" s="290">
        <v>328824.16364117799</v>
      </c>
      <c r="BW21" s="388"/>
      <c r="BX21" s="529" t="s">
        <v>1215</v>
      </c>
      <c r="BY21" s="529"/>
      <c r="BZ21" s="529"/>
      <c r="CA21" s="529"/>
      <c r="CB21" s="529"/>
      <c r="CC21" s="388"/>
      <c r="CD21" s="388"/>
      <c r="CE21" s="388"/>
      <c r="CF21" s="388"/>
      <c r="CG21" s="369"/>
      <c r="CI21" s="399">
        <v>43642</v>
      </c>
      <c r="CJ21" s="400">
        <v>965000</v>
      </c>
      <c r="CK21" s="388"/>
      <c r="CL21" s="401">
        <v>1</v>
      </c>
      <c r="CM21" s="402">
        <v>99.924999999999997</v>
      </c>
      <c r="CN21" s="403">
        <v>8.0000000000000004E-4</v>
      </c>
      <c r="CO21" s="388">
        <v>364</v>
      </c>
      <c r="CP21" s="404">
        <f>CI21+CO21</f>
        <v>44006</v>
      </c>
      <c r="CQ21" s="369"/>
      <c r="CR21" s="369"/>
      <c r="CS21" s="369"/>
      <c r="CT21" s="369"/>
      <c r="CU21" s="369"/>
    </row>
    <row r="22" spans="1:99" ht="14.25" customHeight="1">
      <c r="A22" s="18">
        <v>43465</v>
      </c>
      <c r="B22" s="19">
        <v>72248.3</v>
      </c>
      <c r="C22" s="19">
        <v>4417.8</v>
      </c>
      <c r="D22" s="284">
        <f t="shared" si="1"/>
        <v>76666.100000000006</v>
      </c>
      <c r="E22" s="19">
        <v>13582.6</v>
      </c>
      <c r="F22" s="19">
        <v>8730.2000000000007</v>
      </c>
      <c r="G22" s="19">
        <v>351.2</v>
      </c>
      <c r="H22" s="19">
        <v>2111.6</v>
      </c>
      <c r="I22" s="19">
        <v>22066.5</v>
      </c>
      <c r="J22" s="19">
        <v>23841.200000000001</v>
      </c>
      <c r="K22" s="284">
        <f t="shared" si="2"/>
        <v>45907.7</v>
      </c>
      <c r="L22" s="19">
        <v>8.4</v>
      </c>
      <c r="M22" s="19">
        <v>2137.3000000000002</v>
      </c>
      <c r="N22" s="19">
        <v>7748.3</v>
      </c>
      <c r="O22" s="19">
        <v>844.8</v>
      </c>
      <c r="P22" s="290">
        <v>2512.4</v>
      </c>
      <c r="Q22" s="19">
        <v>0</v>
      </c>
      <c r="R22" s="19">
        <v>16597.8</v>
      </c>
      <c r="S22" s="19">
        <v>0</v>
      </c>
      <c r="T22" s="285">
        <f t="shared" si="3"/>
        <v>177198.40000000005</v>
      </c>
      <c r="U22" s="19">
        <v>6909.9</v>
      </c>
      <c r="V22" s="19">
        <v>44491.4</v>
      </c>
      <c r="W22" s="19">
        <v>13603.1</v>
      </c>
      <c r="X22" s="19">
        <v>30844.1</v>
      </c>
      <c r="Y22" s="19">
        <v>5176.3</v>
      </c>
      <c r="Z22" s="19">
        <v>8932</v>
      </c>
      <c r="AA22" s="19">
        <v>59516.5</v>
      </c>
      <c r="AB22" s="19">
        <v>6733.3</v>
      </c>
      <c r="AC22" s="286">
        <f t="shared" si="4"/>
        <v>176206.59999999998</v>
      </c>
      <c r="AD22" s="287">
        <f t="shared" si="5"/>
        <v>991.80000000007567</v>
      </c>
      <c r="AE22" s="288">
        <f t="shared" si="6"/>
        <v>2.5897925323540715E-3</v>
      </c>
      <c r="AF22" s="19"/>
      <c r="AG22" s="18">
        <v>43465</v>
      </c>
      <c r="AH22" s="97">
        <f t="shared" si="7"/>
        <v>2.5897925323540715E-3</v>
      </c>
      <c r="AI22" s="97">
        <f t="shared" si="8"/>
        <v>2.5897925323540715E-3</v>
      </c>
      <c r="AJ22" s="97">
        <f t="shared" si="9"/>
        <v>2.5897925323540715E-3</v>
      </c>
      <c r="AK22" s="19"/>
      <c r="AL22" s="19"/>
      <c r="AM22" s="19"/>
      <c r="AN22" s="19"/>
      <c r="AO22" s="19"/>
      <c r="AP22" s="19"/>
      <c r="AQ22" s="19"/>
      <c r="AR22" s="19"/>
      <c r="AS22" s="18">
        <v>40908</v>
      </c>
      <c r="AT22" s="19">
        <v>123972.75989266025</v>
      </c>
      <c r="AU22" s="19">
        <v>90515.229974215457</v>
      </c>
      <c r="AV22" s="19">
        <v>214487.98986687569</v>
      </c>
      <c r="AW22" s="19">
        <v>214487.98986687569</v>
      </c>
      <c r="AX22" s="19">
        <v>214487.98986687569</v>
      </c>
      <c r="AY22" s="93">
        <f t="shared" ref="AY22:BA22" si="27">AV22/$BF22</f>
        <v>0.64369286118885916</v>
      </c>
      <c r="AZ22" s="93">
        <f t="shared" si="27"/>
        <v>0.64369286118885916</v>
      </c>
      <c r="BA22" s="93">
        <f t="shared" si="27"/>
        <v>0.64369286118885916</v>
      </c>
      <c r="BB22" s="19"/>
      <c r="BC22" s="19"/>
      <c r="BD22" s="19"/>
      <c r="BE22" s="289" t="s">
        <v>51</v>
      </c>
      <c r="BF22" s="290">
        <v>333214.80289641587</v>
      </c>
      <c r="BW22" s="399">
        <v>43893</v>
      </c>
      <c r="BX22" s="388" t="s">
        <v>1216</v>
      </c>
      <c r="BY22" s="369" t="s">
        <v>1217</v>
      </c>
      <c r="BZ22" s="388" t="s">
        <v>1218</v>
      </c>
      <c r="CA22" s="400">
        <v>800000000</v>
      </c>
      <c r="CB22" s="388" t="s">
        <v>1219</v>
      </c>
      <c r="CC22" s="388">
        <v>7.46</v>
      </c>
      <c r="CD22" s="388">
        <v>20</v>
      </c>
      <c r="CE22" s="404">
        <v>51198</v>
      </c>
      <c r="CF22" s="405">
        <v>1.2500000000000001E-2</v>
      </c>
      <c r="CG22" s="369" t="s">
        <v>1220</v>
      </c>
      <c r="CI22" s="399">
        <v>43697</v>
      </c>
      <c r="CJ22" s="400">
        <v>20000</v>
      </c>
      <c r="CK22" s="388"/>
      <c r="CL22" s="401">
        <v>1</v>
      </c>
      <c r="CM22" s="402">
        <v>99.972999999999999</v>
      </c>
      <c r="CN22" s="403">
        <v>5.0000000000000001E-4</v>
      </c>
      <c r="CO22" s="388">
        <v>182</v>
      </c>
      <c r="CP22" s="404">
        <f>CI22+CO22</f>
        <v>43879</v>
      </c>
      <c r="CQ22" s="369"/>
      <c r="CR22" s="369"/>
      <c r="CS22" s="369"/>
      <c r="CT22" s="369"/>
      <c r="CU22" s="369"/>
    </row>
    <row r="23" spans="1:99" ht="14.25" customHeight="1">
      <c r="A23" s="293">
        <v>43830</v>
      </c>
      <c r="B23" s="294">
        <v>76224</v>
      </c>
      <c r="C23" s="294">
        <v>5065</v>
      </c>
      <c r="D23" s="295">
        <f t="shared" si="1"/>
        <v>81289</v>
      </c>
      <c r="E23" s="296">
        <f t="shared" ref="E23:G23" si="28">E22*(1+$E$94)</f>
        <v>14446.135489763501</v>
      </c>
      <c r="F23" s="296">
        <f t="shared" si="28"/>
        <v>9285.236409283445</v>
      </c>
      <c r="G23" s="296">
        <f t="shared" si="28"/>
        <v>373.52810095305324</v>
      </c>
      <c r="H23" s="296">
        <v>2151.6999999999998</v>
      </c>
      <c r="I23" s="294">
        <v>22417</v>
      </c>
      <c r="J23" s="294">
        <v>24947</v>
      </c>
      <c r="K23" s="297">
        <v>47364</v>
      </c>
      <c r="L23" s="294">
        <v>13</v>
      </c>
      <c r="M23" s="294">
        <v>3703</v>
      </c>
      <c r="N23" s="294">
        <v>9631</v>
      </c>
      <c r="O23" s="294">
        <v>839</v>
      </c>
      <c r="P23" s="294">
        <v>2640</v>
      </c>
      <c r="Q23" s="294">
        <v>0</v>
      </c>
      <c r="R23" s="294">
        <v>17970</v>
      </c>
      <c r="S23" s="294">
        <v>0</v>
      </c>
      <c r="T23" s="298">
        <f t="shared" si="3"/>
        <v>189705.60000000001</v>
      </c>
      <c r="U23" s="294">
        <v>7541</v>
      </c>
      <c r="V23" s="294">
        <v>47486</v>
      </c>
      <c r="W23" s="294">
        <v>17322</v>
      </c>
      <c r="X23" s="294">
        <v>33329</v>
      </c>
      <c r="Y23" s="294">
        <v>5371</v>
      </c>
      <c r="Z23" s="294">
        <v>8894</v>
      </c>
      <c r="AA23" s="294">
        <v>62205</v>
      </c>
      <c r="AB23" s="294">
        <v>6195</v>
      </c>
      <c r="AC23" s="299">
        <f t="shared" si="4"/>
        <v>188343</v>
      </c>
      <c r="AD23" s="287">
        <f t="shared" si="5"/>
        <v>1362.6000000000058</v>
      </c>
      <c r="AE23" s="288">
        <f t="shared" si="6"/>
        <v>3.4056264030558211E-3</v>
      </c>
      <c r="AG23" s="293">
        <v>43830</v>
      </c>
      <c r="AH23" s="300">
        <f t="shared" si="7"/>
        <v>3.4056264030558211E-3</v>
      </c>
      <c r="AI23" s="300">
        <f t="shared" si="8"/>
        <v>3.4056264030558211E-3</v>
      </c>
      <c r="AJ23" s="300">
        <f t="shared" si="9"/>
        <v>3.4056264030558211E-3</v>
      </c>
      <c r="AS23" s="18">
        <v>41274</v>
      </c>
      <c r="AT23" s="19">
        <v>133139.57548988558</v>
      </c>
      <c r="AU23" s="19">
        <v>98620.982906473306</v>
      </c>
      <c r="AV23" s="19">
        <v>231760.55839635892</v>
      </c>
      <c r="AW23" s="19">
        <v>231760.55839635892</v>
      </c>
      <c r="AX23" s="19">
        <v>231760.55839635892</v>
      </c>
      <c r="AY23" s="93">
        <f t="shared" ref="AY23:BA23" si="29">AV23/$BF23</f>
        <v>0.70122226222110329</v>
      </c>
      <c r="AZ23" s="93">
        <f t="shared" si="29"/>
        <v>0.70122226222110329</v>
      </c>
      <c r="BA23" s="93">
        <f t="shared" si="29"/>
        <v>0.70122226222110329</v>
      </c>
      <c r="BE23" s="289" t="s">
        <v>52</v>
      </c>
      <c r="BF23" s="290">
        <v>330509.41318129771</v>
      </c>
      <c r="BW23" s="399"/>
      <c r="BX23" s="388" t="s">
        <v>1221</v>
      </c>
      <c r="BY23" s="369" t="s">
        <v>1222</v>
      </c>
      <c r="BZ23" s="388" t="s">
        <v>1223</v>
      </c>
      <c r="CA23" s="400">
        <v>5000000000</v>
      </c>
      <c r="CB23" s="388" t="s">
        <v>1224</v>
      </c>
      <c r="CC23" s="401">
        <v>1</v>
      </c>
      <c r="CD23" s="388">
        <v>5</v>
      </c>
      <c r="CE23" s="404">
        <v>45719</v>
      </c>
      <c r="CF23" s="405">
        <v>2.5000000000000001E-3</v>
      </c>
      <c r="CG23" s="369" t="s">
        <v>1220</v>
      </c>
      <c r="CI23" s="399"/>
      <c r="CJ23" s="400">
        <v>1168000</v>
      </c>
      <c r="CK23" s="388"/>
      <c r="CL23" s="401">
        <v>1</v>
      </c>
      <c r="CM23" s="402">
        <v>99.924999999999997</v>
      </c>
      <c r="CN23" s="403">
        <v>8.0000000000000004E-4</v>
      </c>
      <c r="CO23" s="388">
        <v>364</v>
      </c>
      <c r="CP23" s="404">
        <f>CI22+CO23</f>
        <v>44061</v>
      </c>
      <c r="CQ23" s="369"/>
      <c r="CR23" s="369"/>
      <c r="CS23" s="369"/>
      <c r="CT23" s="369"/>
      <c r="CU23" s="369"/>
    </row>
    <row r="24" spans="1:99" ht="14.25" customHeight="1">
      <c r="A24" s="88">
        <v>44196</v>
      </c>
      <c r="B24" s="302"/>
      <c r="C24" s="302"/>
      <c r="D24" s="304">
        <f>SUM(bdp!AP109:AP112)*21%</f>
        <v>59912.00996486198</v>
      </c>
      <c r="E24" s="89">
        <f>AVERAGE(nezaposlenost!BB27:BE27)*AVERAGE(place!Y91:Y94)*12/1000000*9%</f>
        <v>12772.022356590513</v>
      </c>
      <c r="F24" s="64">
        <f>F23*70%</f>
        <v>6499.6654864984112</v>
      </c>
      <c r="G24" s="89">
        <f t="shared" ref="G24:H24" si="30">G23</f>
        <v>373.52810095305324</v>
      </c>
      <c r="H24" s="89">
        <f t="shared" si="30"/>
        <v>2151.6999999999998</v>
      </c>
      <c r="I24" s="302"/>
      <c r="J24" s="302"/>
      <c r="K24" s="304">
        <f>AVERAGE(nezaposlenost!BB27:BE27)*AVERAGE(place!Y91:Y94)*12/1000000*29%</f>
        <v>41154.294260124982</v>
      </c>
      <c r="L24" s="304">
        <f t="shared" ref="L24:M24" si="31">L23</f>
        <v>13</v>
      </c>
      <c r="M24" s="308">
        <f t="shared" si="31"/>
        <v>3703</v>
      </c>
      <c r="N24" s="308">
        <f>N23+8800</f>
        <v>18431</v>
      </c>
      <c r="O24" s="308">
        <f t="shared" ref="O24:S24" si="32">O23</f>
        <v>839</v>
      </c>
      <c r="P24" s="308">
        <f t="shared" si="32"/>
        <v>2640</v>
      </c>
      <c r="Q24" s="308">
        <f t="shared" si="32"/>
        <v>0</v>
      </c>
      <c r="R24" s="308">
        <f t="shared" si="32"/>
        <v>17970</v>
      </c>
      <c r="S24" s="308">
        <f t="shared" si="32"/>
        <v>0</v>
      </c>
      <c r="T24" s="309">
        <f t="shared" si="3"/>
        <v>166459.22016902897</v>
      </c>
      <c r="U24" s="89">
        <f>U23</f>
        <v>7541</v>
      </c>
      <c r="V24" s="89">
        <f>V23*102%</f>
        <v>48435.72</v>
      </c>
      <c r="W24" s="89">
        <f>W23</f>
        <v>17322</v>
      </c>
      <c r="X24" s="89">
        <f>X23*95%</f>
        <v>31662.55</v>
      </c>
      <c r="Y24" s="89">
        <f t="shared" ref="Y24" si="33">Y23</f>
        <v>5371</v>
      </c>
      <c r="Z24" s="89">
        <f>Z23+CF30/1000000-CS30/1000000</f>
        <v>7817.7461250000006</v>
      </c>
      <c r="AA24" s="310">
        <v>66425</v>
      </c>
      <c r="AB24" s="89">
        <f>AB23+BU10/1000000</f>
        <v>15689.744903125</v>
      </c>
      <c r="AC24" s="311">
        <f t="shared" si="4"/>
        <v>200264.76102812501</v>
      </c>
      <c r="AD24" s="287">
        <f t="shared" si="5"/>
        <v>-33805.540859096043</v>
      </c>
      <c r="AE24" s="288">
        <f t="shared" si="6"/>
        <v>-9.9574086806898721E-2</v>
      </c>
      <c r="AG24" s="88">
        <v>44196</v>
      </c>
      <c r="AH24" s="158">
        <f t="shared" si="7"/>
        <v>-9.9574086806898721E-2</v>
      </c>
      <c r="AI24" s="158">
        <f t="shared" si="8"/>
        <v>-9.2481923844476024E-2</v>
      </c>
      <c r="AJ24" s="158">
        <f t="shared" si="9"/>
        <v>-8.4823761018107818E-2</v>
      </c>
      <c r="AS24" s="18">
        <v>41639</v>
      </c>
      <c r="AT24" s="19">
        <v>152385.57322179957</v>
      </c>
      <c r="AU24" s="19">
        <v>116521.78554959956</v>
      </c>
      <c r="AV24" s="19">
        <v>268907.35877139913</v>
      </c>
      <c r="AW24" s="19">
        <v>268907.35877139913</v>
      </c>
      <c r="AX24" s="19">
        <v>268907.35877139913</v>
      </c>
      <c r="AY24" s="93">
        <f t="shared" ref="AY24:BA24" si="34">AV24/$BF24</f>
        <v>0.81189614083040706</v>
      </c>
      <c r="AZ24" s="93">
        <f t="shared" si="34"/>
        <v>0.81189614083040706</v>
      </c>
      <c r="BA24" s="93">
        <f t="shared" si="34"/>
        <v>0.81189614083040706</v>
      </c>
      <c r="BE24" s="289" t="s">
        <v>53</v>
      </c>
      <c r="BF24" s="290">
        <v>331209.06141561503</v>
      </c>
      <c r="BW24" s="399"/>
      <c r="BX24" s="388" t="s">
        <v>1225</v>
      </c>
      <c r="BY24" s="369" t="s">
        <v>1226</v>
      </c>
      <c r="BZ24" s="388" t="s">
        <v>1227</v>
      </c>
      <c r="CA24" s="400">
        <v>4000000000</v>
      </c>
      <c r="CB24" s="388" t="s">
        <v>1224</v>
      </c>
      <c r="CC24" s="401">
        <v>1</v>
      </c>
      <c r="CD24" s="388">
        <v>15</v>
      </c>
      <c r="CE24" s="404">
        <v>49275</v>
      </c>
      <c r="CF24" s="405">
        <v>0.01</v>
      </c>
      <c r="CG24" s="369" t="s">
        <v>1220</v>
      </c>
      <c r="CI24" s="399">
        <v>43704</v>
      </c>
      <c r="CJ24" s="400">
        <v>81000</v>
      </c>
      <c r="CK24" s="388"/>
      <c r="CL24" s="401">
        <v>1</v>
      </c>
      <c r="CM24" s="402">
        <v>99.935000000000002</v>
      </c>
      <c r="CN24" s="403">
        <v>6.9999999999999999E-4</v>
      </c>
      <c r="CO24" s="388">
        <v>364</v>
      </c>
      <c r="CP24" s="404">
        <f>CI24+CO24</f>
        <v>44068</v>
      </c>
      <c r="CQ24" s="369"/>
      <c r="CR24" s="369"/>
      <c r="CS24" s="369"/>
      <c r="CT24" s="369"/>
      <c r="CU24" s="369"/>
    </row>
    <row r="25" spans="1:99" ht="14.25" customHeight="1">
      <c r="M25" s="506" t="s">
        <v>1102</v>
      </c>
      <c r="N25" s="507"/>
      <c r="O25" s="507"/>
      <c r="P25" s="507"/>
      <c r="Q25" s="507"/>
      <c r="R25" s="507"/>
      <c r="S25" s="508"/>
      <c r="U25" s="539" t="s">
        <v>1103</v>
      </c>
      <c r="V25" s="507"/>
      <c r="W25" s="507"/>
      <c r="X25" s="507"/>
      <c r="Y25" s="507"/>
      <c r="Z25" s="507"/>
      <c r="AA25" s="507"/>
      <c r="AB25" s="508"/>
      <c r="AE25" s="271"/>
      <c r="AH25" s="97"/>
      <c r="AS25" s="18">
        <v>42004</v>
      </c>
      <c r="AT25" s="19">
        <v>160233.00272012965</v>
      </c>
      <c r="AU25" s="19">
        <v>120374.92552145806</v>
      </c>
      <c r="AV25" s="19">
        <v>280607.92824158765</v>
      </c>
      <c r="AW25" s="19">
        <v>280607.92824158765</v>
      </c>
      <c r="AX25" s="19">
        <v>280607.92824158765</v>
      </c>
      <c r="AY25" s="93">
        <f t="shared" ref="AY25:BA25" si="35">AV25/$BF25</f>
        <v>0.8468810924216772</v>
      </c>
      <c r="AZ25" s="93">
        <f t="shared" si="35"/>
        <v>0.8468810924216772</v>
      </c>
      <c r="BA25" s="93">
        <f t="shared" si="35"/>
        <v>0.8468810924216772</v>
      </c>
      <c r="BE25" s="289" t="s">
        <v>54</v>
      </c>
      <c r="BF25" s="290">
        <v>331342.77143817488</v>
      </c>
      <c r="BW25" s="399">
        <v>43956</v>
      </c>
      <c r="BX25" s="388"/>
      <c r="BY25" s="369" t="s">
        <v>1228</v>
      </c>
      <c r="BZ25" s="388"/>
      <c r="CA25" s="400">
        <v>1445000000</v>
      </c>
      <c r="CB25" s="388" t="s">
        <v>1219</v>
      </c>
      <c r="CC25" s="388">
        <v>7.57</v>
      </c>
      <c r="CD25" s="388">
        <v>7</v>
      </c>
      <c r="CE25" s="404">
        <v>46512</v>
      </c>
      <c r="CF25" s="405">
        <v>7.4999999999999997E-3</v>
      </c>
      <c r="CG25" s="369" t="s">
        <v>1220</v>
      </c>
      <c r="CI25" s="399"/>
      <c r="CJ25" s="400"/>
      <c r="CK25" s="400">
        <v>32000</v>
      </c>
      <c r="CL25" s="401">
        <v>7.39</v>
      </c>
      <c r="CM25" s="402">
        <v>100.05</v>
      </c>
      <c r="CN25" s="403">
        <v>-5.0000000000000001E-4</v>
      </c>
      <c r="CO25" s="388">
        <v>364</v>
      </c>
      <c r="CP25" s="404">
        <f>CI24+CO25</f>
        <v>44068</v>
      </c>
      <c r="CQ25" s="369"/>
      <c r="CR25" s="369"/>
      <c r="CS25" s="369"/>
      <c r="CT25" s="369"/>
      <c r="CU25" s="369"/>
    </row>
    <row r="26" spans="1:99" ht="14.25" customHeight="1">
      <c r="A26" s="3"/>
      <c r="B26" s="3"/>
      <c r="C26" s="3"/>
      <c r="D26" s="3"/>
      <c r="E26" s="3"/>
      <c r="F26" s="3"/>
      <c r="G26" s="3"/>
      <c r="H26" s="3"/>
      <c r="I26" s="3"/>
      <c r="J26" s="3"/>
      <c r="K26" s="3"/>
      <c r="L26" s="3"/>
      <c r="M26" s="258"/>
      <c r="N26" s="258"/>
      <c r="O26" s="258"/>
      <c r="P26" s="258"/>
      <c r="Q26" s="258"/>
      <c r="R26" s="258"/>
      <c r="S26" s="258"/>
      <c r="T26" s="3"/>
      <c r="U26" s="258"/>
      <c r="V26" s="258"/>
      <c r="W26" s="258"/>
      <c r="X26" s="258"/>
      <c r="Y26" s="258"/>
      <c r="Z26" s="258"/>
      <c r="AA26" s="258"/>
      <c r="AB26" s="258"/>
      <c r="AC26" s="3"/>
      <c r="AD26" s="3"/>
      <c r="AE26" s="3"/>
      <c r="AF26" s="3"/>
      <c r="AG26" s="3"/>
      <c r="AH26" s="3"/>
      <c r="AI26" s="3"/>
      <c r="AJ26" s="3"/>
      <c r="AK26" s="3"/>
      <c r="AL26" s="3"/>
      <c r="AM26" s="3"/>
      <c r="AN26" s="3"/>
      <c r="AO26" s="3"/>
      <c r="AP26" s="3"/>
      <c r="AQ26" s="3"/>
      <c r="AR26" s="3"/>
      <c r="AS26" s="18">
        <v>42369</v>
      </c>
      <c r="AT26" s="19">
        <v>166150.48492113766</v>
      </c>
      <c r="AU26" s="19">
        <v>120259.91358305421</v>
      </c>
      <c r="AV26" s="19">
        <v>286410.39850419183</v>
      </c>
      <c r="AW26" s="19">
        <v>286410.39850419183</v>
      </c>
      <c r="AX26" s="19">
        <v>286410.39850419183</v>
      </c>
      <c r="AY26" s="93">
        <f t="shared" ref="AY26:BA26" si="36">AV26/$BF26</f>
        <v>0.84313720727367536</v>
      </c>
      <c r="AZ26" s="93">
        <f t="shared" si="36"/>
        <v>0.84313720727367536</v>
      </c>
      <c r="BA26" s="93">
        <f t="shared" si="36"/>
        <v>0.84313720727367536</v>
      </c>
      <c r="BB26" s="3"/>
      <c r="BC26" s="3"/>
      <c r="BD26" s="3"/>
      <c r="BE26" s="289" t="s">
        <v>55</v>
      </c>
      <c r="BF26" s="290">
        <v>339696.07322906982</v>
      </c>
      <c r="BW26" s="369"/>
      <c r="BX26" s="369"/>
      <c r="BY26" s="369"/>
      <c r="BZ26" s="369"/>
      <c r="CA26" s="369"/>
      <c r="CB26" s="369"/>
      <c r="CC26" s="369"/>
      <c r="CD26" s="369"/>
      <c r="CE26" s="369"/>
      <c r="CF26" s="369"/>
      <c r="CG26" s="369"/>
      <c r="CI26" s="399">
        <v>43760</v>
      </c>
      <c r="CJ26" s="400">
        <v>711000</v>
      </c>
      <c r="CK26" s="388"/>
      <c r="CL26" s="401">
        <v>1</v>
      </c>
      <c r="CM26" s="402">
        <v>99.94</v>
      </c>
      <c r="CN26" s="403">
        <v>5.9999999999999995E-4</v>
      </c>
      <c r="CO26" s="388">
        <v>364</v>
      </c>
      <c r="CP26" s="404">
        <f>CI26+CO26</f>
        <v>44124</v>
      </c>
      <c r="CQ26" s="369"/>
      <c r="CR26" s="369"/>
      <c r="CS26" s="369"/>
      <c r="CT26" s="369"/>
      <c r="CU26" s="369"/>
    </row>
    <row r="27" spans="1:99" ht="14.25" customHeight="1">
      <c r="A27" s="560" t="s">
        <v>6</v>
      </c>
      <c r="B27" s="507"/>
      <c r="C27" s="507"/>
      <c r="D27" s="507"/>
      <c r="E27" s="507"/>
      <c r="F27" s="507"/>
      <c r="G27" s="507"/>
      <c r="H27" s="507"/>
      <c r="I27" s="507"/>
      <c r="J27" s="507"/>
      <c r="K27" s="507"/>
      <c r="L27" s="507"/>
      <c r="M27" s="507"/>
      <c r="N27" s="507"/>
      <c r="O27" s="507"/>
      <c r="P27" s="507"/>
      <c r="Q27" s="507"/>
      <c r="R27" s="507"/>
      <c r="S27" s="507"/>
      <c r="T27" s="507"/>
      <c r="U27" s="507"/>
      <c r="V27" s="507"/>
      <c r="W27" s="507"/>
      <c r="X27" s="507"/>
      <c r="Y27" s="507"/>
      <c r="Z27" s="507"/>
      <c r="AA27" s="507"/>
      <c r="AB27" s="507"/>
      <c r="AC27" s="507"/>
      <c r="AD27" s="507"/>
      <c r="AE27" s="508"/>
      <c r="AF27" s="3"/>
      <c r="AG27" s="3"/>
      <c r="AH27" s="3"/>
      <c r="AI27" s="3"/>
      <c r="AJ27" s="3"/>
      <c r="AK27" s="3"/>
      <c r="AL27" s="3"/>
      <c r="AM27" s="3"/>
      <c r="AN27" s="3"/>
      <c r="AO27" s="3"/>
      <c r="AP27" s="3"/>
      <c r="AQ27" s="3"/>
      <c r="AR27" s="3"/>
      <c r="AS27" s="18">
        <v>42735</v>
      </c>
      <c r="AT27" s="19">
        <v>173400.63741512407</v>
      </c>
      <c r="AU27" s="19">
        <v>110352.33443771985</v>
      </c>
      <c r="AV27" s="19">
        <v>283752.97185284394</v>
      </c>
      <c r="AW27" s="19">
        <v>283752.97185284394</v>
      </c>
      <c r="AX27" s="19">
        <v>283752.97185284394</v>
      </c>
      <c r="AY27" s="93">
        <f t="shared" ref="AY27:BA27" si="37">AV27/$BF27</f>
        <v>0.80802475984671418</v>
      </c>
      <c r="AZ27" s="93">
        <f t="shared" si="37"/>
        <v>0.80802475984671418</v>
      </c>
      <c r="BA27" s="93">
        <f t="shared" si="37"/>
        <v>0.80802475984671418</v>
      </c>
      <c r="BB27" s="3"/>
      <c r="BC27" s="3"/>
      <c r="BD27" s="3"/>
      <c r="BE27" s="289" t="s">
        <v>56</v>
      </c>
      <c r="BF27" s="290">
        <v>351168.65961715468</v>
      </c>
      <c r="BW27" s="369"/>
      <c r="BX27" s="369"/>
      <c r="BY27" s="369"/>
      <c r="BZ27" s="369"/>
      <c r="CA27" s="406">
        <f>CA22*CC22+CA23+CA24</f>
        <v>14968000000</v>
      </c>
      <c r="CB27" s="369"/>
      <c r="CC27" s="369"/>
      <c r="CD27" s="369"/>
      <c r="CE27" s="369"/>
      <c r="CF27" s="369"/>
      <c r="CG27" s="369"/>
      <c r="CI27" s="399"/>
      <c r="CJ27" s="400"/>
      <c r="CK27" s="400">
        <v>58000</v>
      </c>
      <c r="CL27" s="401">
        <v>7.44</v>
      </c>
      <c r="CM27" s="402">
        <v>100.05</v>
      </c>
      <c r="CN27" s="403">
        <v>-5.0000000000000001E-4</v>
      </c>
      <c r="CO27" s="388">
        <v>364</v>
      </c>
      <c r="CP27" s="404">
        <f>CI26+CO27</f>
        <v>44124</v>
      </c>
      <c r="CQ27" s="369"/>
      <c r="CR27" s="369"/>
      <c r="CS27" s="369"/>
      <c r="CT27" s="369"/>
      <c r="CU27" s="369"/>
    </row>
    <row r="28" spans="1:99" ht="14.25" customHeight="1">
      <c r="A28" s="3" t="s">
        <v>28</v>
      </c>
      <c r="B28" s="542" t="s">
        <v>1053</v>
      </c>
      <c r="C28" s="507"/>
      <c r="D28" s="507"/>
      <c r="E28" s="507"/>
      <c r="F28" s="507"/>
      <c r="G28" s="507"/>
      <c r="H28" s="507"/>
      <c r="I28" s="507"/>
      <c r="J28" s="507"/>
      <c r="K28" s="507"/>
      <c r="L28" s="508"/>
      <c r="M28" s="543" t="s">
        <v>1054</v>
      </c>
      <c r="N28" s="507"/>
      <c r="O28" s="507"/>
      <c r="P28" s="507"/>
      <c r="Q28" s="507"/>
      <c r="R28" s="507"/>
      <c r="S28" s="508"/>
      <c r="T28" s="544" t="s">
        <v>1055</v>
      </c>
      <c r="U28" s="546" t="s">
        <v>1056</v>
      </c>
      <c r="V28" s="547"/>
      <c r="W28" s="547"/>
      <c r="X28" s="547"/>
      <c r="Y28" s="547"/>
      <c r="Z28" s="547"/>
      <c r="AA28" s="547"/>
      <c r="AB28" s="548"/>
      <c r="AC28" s="554" t="s">
        <v>1057</v>
      </c>
      <c r="AD28" s="555" t="s">
        <v>1058</v>
      </c>
      <c r="AE28" s="3"/>
      <c r="AF28" s="3"/>
      <c r="AG28" s="3"/>
      <c r="AH28" s="3"/>
      <c r="AI28" s="3"/>
      <c r="AJ28" s="3"/>
      <c r="AK28" s="3"/>
      <c r="AL28" s="3"/>
      <c r="AM28" s="3"/>
      <c r="AN28" s="3"/>
      <c r="AO28" s="3"/>
      <c r="AP28" s="3"/>
      <c r="AQ28" s="3"/>
      <c r="AR28" s="3"/>
      <c r="AS28" s="18">
        <v>43100</v>
      </c>
      <c r="AT28" s="19">
        <v>173018.74963057603</v>
      </c>
      <c r="AU28" s="19">
        <v>111901.11754141106</v>
      </c>
      <c r="AV28" s="19">
        <v>284919.86717198708</v>
      </c>
      <c r="AW28" s="19">
        <v>284919.86717198708</v>
      </c>
      <c r="AX28" s="19">
        <v>284919.86717198708</v>
      </c>
      <c r="AY28" s="93">
        <f t="shared" ref="AY28:BA28" si="38">AV28/$BF28</f>
        <v>0.77756427697330743</v>
      </c>
      <c r="AZ28" s="93">
        <f t="shared" si="38"/>
        <v>0.77756427697330743</v>
      </c>
      <c r="BA28" s="93">
        <f t="shared" si="38"/>
        <v>0.77756427697330743</v>
      </c>
      <c r="BB28" s="3"/>
      <c r="BC28" s="3"/>
      <c r="BD28" s="3"/>
      <c r="BE28" s="289" t="s">
        <v>57</v>
      </c>
      <c r="BF28" s="290">
        <v>366426.12785793905</v>
      </c>
      <c r="BW28" s="369"/>
      <c r="BX28" s="369"/>
      <c r="BY28" s="369"/>
      <c r="BZ28" s="369"/>
      <c r="CA28" s="406">
        <f>CA25*CC25</f>
        <v>10938650000</v>
      </c>
      <c r="CB28" s="369"/>
      <c r="CC28" s="369"/>
      <c r="CD28" s="369"/>
      <c r="CE28" s="369"/>
      <c r="CF28" s="369"/>
      <c r="CG28" s="369"/>
      <c r="CI28" s="399">
        <v>43788</v>
      </c>
      <c r="CJ28" s="400">
        <v>1486000</v>
      </c>
      <c r="CK28" s="388"/>
      <c r="CL28" s="401">
        <v>1</v>
      </c>
      <c r="CM28" s="402">
        <v>99.94</v>
      </c>
      <c r="CN28" s="403">
        <v>5.9999999999999995E-4</v>
      </c>
      <c r="CO28" s="388">
        <v>364</v>
      </c>
      <c r="CP28" s="404">
        <f>CI28+CO28</f>
        <v>44152</v>
      </c>
      <c r="CQ28" s="369"/>
      <c r="CR28" s="369"/>
      <c r="CS28" s="369"/>
      <c r="CT28" s="369"/>
      <c r="CU28" s="369"/>
    </row>
    <row r="29" spans="1:99" ht="14.25" customHeight="1">
      <c r="A29" s="3" t="s">
        <v>29</v>
      </c>
      <c r="B29" s="556" t="s">
        <v>1059</v>
      </c>
      <c r="C29" s="507"/>
      <c r="D29" s="508"/>
      <c r="E29" s="557" t="s">
        <v>1060</v>
      </c>
      <c r="F29" s="507"/>
      <c r="G29" s="507"/>
      <c r="H29" s="508"/>
      <c r="I29" s="558" t="s">
        <v>1061</v>
      </c>
      <c r="J29" s="507"/>
      <c r="K29" s="508"/>
      <c r="L29" s="273" t="s">
        <v>1062</v>
      </c>
      <c r="M29" s="185" t="s">
        <v>1063</v>
      </c>
      <c r="N29" s="185" t="s">
        <v>1064</v>
      </c>
      <c r="O29" s="275" t="s">
        <v>1065</v>
      </c>
      <c r="P29" s="275" t="s">
        <v>1065</v>
      </c>
      <c r="Q29" s="185" t="s">
        <v>1066</v>
      </c>
      <c r="R29" s="185" t="s">
        <v>1067</v>
      </c>
      <c r="S29" s="185" t="s">
        <v>1068</v>
      </c>
      <c r="T29" s="545"/>
      <c r="U29" s="549"/>
      <c r="V29" s="515"/>
      <c r="W29" s="515"/>
      <c r="X29" s="515"/>
      <c r="Y29" s="515"/>
      <c r="Z29" s="515"/>
      <c r="AA29" s="515"/>
      <c r="AB29" s="550"/>
      <c r="AC29" s="545"/>
      <c r="AD29" s="545"/>
      <c r="AE29" s="185"/>
      <c r="AF29" s="3"/>
      <c r="AG29" s="3"/>
      <c r="AH29" s="3"/>
      <c r="AI29" s="3"/>
      <c r="AJ29" s="3"/>
      <c r="AK29" s="3"/>
      <c r="AL29" s="3"/>
      <c r="AM29" s="3"/>
      <c r="AN29" s="3"/>
      <c r="AO29" s="3"/>
      <c r="AP29" s="3"/>
      <c r="AQ29" s="3"/>
      <c r="AR29" s="3"/>
      <c r="AS29" s="18">
        <v>43465</v>
      </c>
      <c r="AT29" s="19">
        <v>181337.62511851997</v>
      </c>
      <c r="AU29" s="19">
        <v>104800.34992319411</v>
      </c>
      <c r="AV29" s="19">
        <v>286137.97504171403</v>
      </c>
      <c r="AW29" s="19">
        <v>286137.97504171403</v>
      </c>
      <c r="AX29" s="19">
        <v>286137.97504171403</v>
      </c>
      <c r="AY29" s="93">
        <f t="shared" ref="AY29:BA29" si="39">AV29/$BF29</f>
        <v>0.7478310245949783</v>
      </c>
      <c r="AZ29" s="93">
        <f t="shared" si="39"/>
        <v>0.7478310245949783</v>
      </c>
      <c r="BA29" s="93">
        <f t="shared" si="39"/>
        <v>0.7478310245949783</v>
      </c>
      <c r="BB29" s="3"/>
      <c r="BC29" s="3"/>
      <c r="BD29" s="3"/>
      <c r="BE29" s="312" t="s">
        <v>1047</v>
      </c>
      <c r="BF29" s="290">
        <v>382623.83564079198</v>
      </c>
      <c r="BW29" s="369"/>
      <c r="BX29" s="369"/>
      <c r="BY29" s="369"/>
      <c r="BZ29" s="369"/>
      <c r="CA29" s="369"/>
      <c r="CB29" s="369"/>
      <c r="CC29" s="369"/>
      <c r="CD29" s="369"/>
      <c r="CE29" s="369"/>
      <c r="CF29" s="407" t="s">
        <v>1229</v>
      </c>
      <c r="CG29" s="369"/>
      <c r="CI29" s="399">
        <v>43802</v>
      </c>
      <c r="CJ29" s="400">
        <v>1761000</v>
      </c>
      <c r="CK29" s="388"/>
      <c r="CL29" s="401">
        <v>1</v>
      </c>
      <c r="CM29" s="402">
        <v>99.94</v>
      </c>
      <c r="CN29" s="403">
        <v>5.9999999999999995E-4</v>
      </c>
      <c r="CO29" s="388">
        <v>364</v>
      </c>
      <c r="CP29" s="404">
        <f>CI29+CO29</f>
        <v>44166</v>
      </c>
      <c r="CQ29" s="369"/>
      <c r="CR29" s="369"/>
      <c r="CS29" s="407" t="s">
        <v>1229</v>
      </c>
      <c r="CT29" s="369"/>
      <c r="CU29" s="369"/>
    </row>
    <row r="30" spans="1:99" ht="14.25" customHeight="1">
      <c r="A30" s="18" t="s">
        <v>30</v>
      </c>
      <c r="B30" s="185" t="s">
        <v>1069</v>
      </c>
      <c r="C30" s="185" t="s">
        <v>1070</v>
      </c>
      <c r="D30" s="276" t="s">
        <v>1059</v>
      </c>
      <c r="E30" s="559" t="s">
        <v>1071</v>
      </c>
      <c r="F30" s="507"/>
      <c r="G30" s="508"/>
      <c r="H30" s="185" t="s">
        <v>1072</v>
      </c>
      <c r="I30" s="185" t="s">
        <v>1073</v>
      </c>
      <c r="J30" s="185" t="s">
        <v>1074</v>
      </c>
      <c r="K30" s="277" t="s">
        <v>1061</v>
      </c>
      <c r="L30" s="185" t="s">
        <v>1075</v>
      </c>
      <c r="M30" s="185" t="s">
        <v>1076</v>
      </c>
      <c r="N30" s="185" t="s">
        <v>1064</v>
      </c>
      <c r="O30" s="185" t="s">
        <v>1077</v>
      </c>
      <c r="P30" s="185" t="s">
        <v>1078</v>
      </c>
      <c r="Q30" s="185" t="s">
        <v>1066</v>
      </c>
      <c r="R30" s="185" t="s">
        <v>1079</v>
      </c>
      <c r="S30" s="185" t="s">
        <v>1068</v>
      </c>
      <c r="T30" s="545"/>
      <c r="U30" s="551"/>
      <c r="V30" s="552"/>
      <c r="W30" s="552"/>
      <c r="X30" s="552"/>
      <c r="Y30" s="552"/>
      <c r="Z30" s="552"/>
      <c r="AA30" s="552"/>
      <c r="AB30" s="553"/>
      <c r="AC30" s="545"/>
      <c r="AD30" s="545"/>
      <c r="AE30" s="278"/>
      <c r="AF30" s="3"/>
      <c r="AG30" s="3"/>
      <c r="AH30" s="3"/>
      <c r="AI30" s="3"/>
      <c r="AJ30" s="3"/>
      <c r="AK30" s="3"/>
      <c r="AL30" s="3"/>
      <c r="AM30" s="3"/>
      <c r="AN30" s="3"/>
      <c r="AO30" s="3"/>
      <c r="AP30" s="3"/>
      <c r="AQ30" s="3"/>
      <c r="AR30" s="3"/>
      <c r="AS30" s="18">
        <v>43830</v>
      </c>
      <c r="AT30" s="19">
        <v>197196.64605183646</v>
      </c>
      <c r="AU30" s="19">
        <v>95823.250647858076</v>
      </c>
      <c r="AV30" s="19">
        <v>293019.89669969457</v>
      </c>
      <c r="AW30" s="19">
        <v>293019.89669969457</v>
      </c>
      <c r="AX30" s="19">
        <v>293019.89669969457</v>
      </c>
      <c r="AY30" s="97">
        <f>AV30/SUM(bdp!AR105:AR108)</f>
        <v>0.73236187936383745</v>
      </c>
      <c r="AZ30" s="93">
        <f>AW30/SUM(bdp!AU105:AU108)</f>
        <v>0.73236187936383745</v>
      </c>
      <c r="BA30" s="93">
        <f>AX30/SUM(bdp!AX105:AX108)</f>
        <v>0.73236187936383745</v>
      </c>
      <c r="BB30" s="3"/>
      <c r="BC30" s="3"/>
      <c r="BD30" s="3"/>
      <c r="BW30" s="369"/>
      <c r="BX30" s="369"/>
      <c r="BY30" s="369"/>
      <c r="BZ30" s="369"/>
      <c r="CA30" s="408">
        <f>CA27+CA28</f>
        <v>25906650000</v>
      </c>
      <c r="CB30" s="369"/>
      <c r="CC30" s="369"/>
      <c r="CD30" s="369"/>
      <c r="CE30" s="369"/>
      <c r="CF30" s="409">
        <f>CA22*CC22*CF22+CA23*CF23+CA24*CF24+CA25*CC25*CF25</f>
        <v>209139875</v>
      </c>
      <c r="CG30" s="369"/>
      <c r="CI30" s="399">
        <v>43829</v>
      </c>
      <c r="CJ30" s="400">
        <v>1430000</v>
      </c>
      <c r="CK30" s="388"/>
      <c r="CL30" s="401">
        <v>1</v>
      </c>
      <c r="CM30" s="402">
        <v>99.94</v>
      </c>
      <c r="CN30" s="403">
        <v>5.9999999999999995E-4</v>
      </c>
      <c r="CO30" s="388">
        <v>364</v>
      </c>
      <c r="CP30" s="404">
        <f>CI30+CO30</f>
        <v>44193</v>
      </c>
      <c r="CQ30" s="369"/>
      <c r="CR30" s="369"/>
      <c r="CS30" s="409">
        <f>CR39*CM39*CO39+CR40*CO40*CM40+CR42*CO42*CM42</f>
        <v>1285393750</v>
      </c>
      <c r="CT30" s="369"/>
      <c r="CU30" s="369"/>
    </row>
    <row r="31" spans="1:99" ht="14.25" customHeight="1">
      <c r="A31" s="18"/>
      <c r="B31" s="185"/>
      <c r="C31" s="185"/>
      <c r="D31" s="276" t="s">
        <v>1059</v>
      </c>
      <c r="E31" s="185" t="s">
        <v>1083</v>
      </c>
      <c r="F31" s="185" t="s">
        <v>1084</v>
      </c>
      <c r="G31" s="185" t="s">
        <v>1085</v>
      </c>
      <c r="H31" s="185" t="s">
        <v>1072</v>
      </c>
      <c r="I31" s="185" t="s">
        <v>1073</v>
      </c>
      <c r="J31" s="185" t="s">
        <v>1074</v>
      </c>
      <c r="K31" s="277" t="s">
        <v>1061</v>
      </c>
      <c r="L31" s="185" t="s">
        <v>1075</v>
      </c>
      <c r="M31" s="185" t="s">
        <v>1076</v>
      </c>
      <c r="N31" s="185" t="s">
        <v>1064</v>
      </c>
      <c r="O31" s="185" t="s">
        <v>1077</v>
      </c>
      <c r="P31" s="185" t="s">
        <v>1078</v>
      </c>
      <c r="Q31" s="185" t="s">
        <v>1066</v>
      </c>
      <c r="R31" s="185" t="s">
        <v>1079</v>
      </c>
      <c r="S31" s="185" t="s">
        <v>1068</v>
      </c>
      <c r="T31" s="518"/>
      <c r="U31" s="185" t="s">
        <v>1063</v>
      </c>
      <c r="V31" s="185" t="s">
        <v>629</v>
      </c>
      <c r="W31" s="185" t="s">
        <v>1086</v>
      </c>
      <c r="X31" s="185" t="s">
        <v>1087</v>
      </c>
      <c r="Y31" s="185" t="s">
        <v>1064</v>
      </c>
      <c r="Z31" s="185" t="s">
        <v>1065</v>
      </c>
      <c r="AA31" s="185" t="s">
        <v>1088</v>
      </c>
      <c r="AB31" s="185" t="s">
        <v>1089</v>
      </c>
      <c r="AC31" s="518"/>
      <c r="AD31" s="518"/>
      <c r="AE31" s="280" t="s">
        <v>648</v>
      </c>
      <c r="AF31" s="3"/>
      <c r="AG31" s="3"/>
      <c r="AH31" s="3"/>
      <c r="AI31" s="3"/>
      <c r="AJ31" s="3"/>
      <c r="AK31" s="3"/>
      <c r="AL31" s="3"/>
      <c r="AM31" s="3"/>
      <c r="AN31" s="3"/>
      <c r="AO31" s="3"/>
      <c r="AP31" s="3"/>
      <c r="AQ31" s="3"/>
      <c r="AR31" s="3"/>
      <c r="AS31" s="18">
        <v>44196</v>
      </c>
      <c r="AT31" s="19"/>
      <c r="AU31" s="19"/>
      <c r="AV31" s="19">
        <f>AV30-AD24</f>
        <v>326825.43755879061</v>
      </c>
      <c r="AW31" s="19">
        <f>AW30-AD50</f>
        <v>324417.63837635377</v>
      </c>
      <c r="AX31" s="19">
        <f>AX30-AD76</f>
        <v>321817.68145348027</v>
      </c>
      <c r="AY31" s="313">
        <f>AV31/SUM(bdp!AR109:AR112)</f>
        <v>0.96266303283904553</v>
      </c>
      <c r="AZ31" s="313">
        <f>AW31/SUM(bdp!AU109:AU112)</f>
        <v>0.92810312273399842</v>
      </c>
      <c r="BA31" s="313">
        <f>AX31/SUM(bdp!AX109:AX112)</f>
        <v>0.89266938539488516</v>
      </c>
      <c r="BB31" s="3"/>
      <c r="BC31" s="3"/>
      <c r="BD31" s="3"/>
      <c r="CI31" s="369"/>
      <c r="CJ31" s="369"/>
      <c r="CK31" s="369"/>
      <c r="CL31" s="369"/>
      <c r="CM31" s="369"/>
      <c r="CN31" s="369"/>
      <c r="CO31" s="369"/>
      <c r="CP31" s="369"/>
      <c r="CQ31" s="369"/>
      <c r="CR31" s="369"/>
      <c r="CS31" s="369"/>
      <c r="CT31" s="369"/>
      <c r="CU31" s="369"/>
    </row>
    <row r="32" spans="1:99" ht="14.25" customHeight="1">
      <c r="A32" s="18">
        <v>37621</v>
      </c>
      <c r="B32" s="19">
        <v>39417.599999999999</v>
      </c>
      <c r="C32" s="19">
        <v>1917.1</v>
      </c>
      <c r="D32" s="284">
        <f t="shared" ref="D32:D49" si="40">B32+C32</f>
        <v>41334.699999999997</v>
      </c>
      <c r="E32" s="19">
        <v>8030.2</v>
      </c>
      <c r="F32" s="19">
        <v>3843.4</v>
      </c>
      <c r="G32" s="19">
        <v>0</v>
      </c>
      <c r="H32" s="19">
        <v>1193.9000000000001</v>
      </c>
      <c r="I32" s="19">
        <v>13164.6</v>
      </c>
      <c r="J32" s="19">
        <v>12035.5</v>
      </c>
      <c r="K32" s="284">
        <f t="shared" ref="K32:K48" si="41">I32+J32</f>
        <v>25200.1</v>
      </c>
      <c r="L32" s="19">
        <v>1.9</v>
      </c>
      <c r="M32" s="19">
        <v>1479.9</v>
      </c>
      <c r="N32" s="19">
        <v>7317.3</v>
      </c>
      <c r="O32" s="19">
        <v>579.79999999999995</v>
      </c>
      <c r="P32" s="19">
        <v>2100.9</v>
      </c>
      <c r="Q32" s="19">
        <v>0</v>
      </c>
      <c r="R32" s="19">
        <v>9044.6</v>
      </c>
      <c r="S32" s="19">
        <v>0</v>
      </c>
      <c r="T32" s="285">
        <f t="shared" ref="T32:T50" si="42">SUM(K32:S32,D32:H32)</f>
        <v>100126.7</v>
      </c>
      <c r="U32" s="19">
        <v>5268.2</v>
      </c>
      <c r="V32" s="19">
        <v>25388.3</v>
      </c>
      <c r="W32" s="19">
        <v>11745.8</v>
      </c>
      <c r="X32" s="19">
        <v>16633</v>
      </c>
      <c r="Y32" s="19">
        <v>2142.5</v>
      </c>
      <c r="Z32" s="19">
        <v>3498.1</v>
      </c>
      <c r="AA32" s="19">
        <v>37779.4</v>
      </c>
      <c r="AB32" s="19">
        <v>4615.5</v>
      </c>
      <c r="AC32" s="286">
        <f t="shared" ref="AC32:AC49" si="43">SUM(U32:AB32)</f>
        <v>107070.8</v>
      </c>
      <c r="AD32" s="287">
        <f t="shared" ref="AD32:AD49" si="44">T32-AC32</f>
        <v>-6944.1000000000058</v>
      </c>
      <c r="AE32" s="288">
        <f t="shared" ref="AE32:AE50" si="45">AD32/(C98+D98)</f>
        <v>-3.2897096359012952E-2</v>
      </c>
      <c r="AF32" s="3"/>
      <c r="AG32" s="3"/>
      <c r="AH32" s="3"/>
      <c r="AI32" s="3"/>
      <c r="AJ32" s="3"/>
      <c r="AK32" s="3"/>
      <c r="AL32" s="3"/>
      <c r="AM32" s="3"/>
      <c r="AN32" s="3"/>
      <c r="AO32" s="3"/>
      <c r="AP32" s="3"/>
      <c r="AQ32" s="3"/>
      <c r="AR32" s="3"/>
      <c r="AS32" s="3"/>
      <c r="AT32" s="3"/>
      <c r="AU32" s="3"/>
      <c r="AV32" s="3"/>
      <c r="AW32" s="3"/>
      <c r="AX32" s="3"/>
      <c r="AY32" s="93"/>
      <c r="AZ32" s="93"/>
      <c r="BA32" s="93"/>
      <c r="BB32" s="3"/>
      <c r="BC32" s="3"/>
      <c r="BD32" s="3"/>
      <c r="CI32" s="369"/>
      <c r="CJ32" s="532">
        <f>(SUM(CJ5:CJ7,CJ9,CJ11:CJ16,CJ18,CJ20:CJ24,CJ26,CJ28:CJ30)+CK8*CL8+CK19*CL19+CK25*CL25+CK27*CL27)*1000</f>
        <v>27800993000</v>
      </c>
      <c r="CK32" s="532"/>
      <c r="CL32" s="369"/>
      <c r="CM32" s="369"/>
      <c r="CN32" s="369"/>
      <c r="CO32" s="369"/>
      <c r="CP32" s="369"/>
      <c r="CQ32" s="369"/>
      <c r="CR32" s="369"/>
      <c r="CS32" s="369"/>
      <c r="CT32" s="369"/>
      <c r="CU32" s="369"/>
    </row>
    <row r="33" spans="1:99" ht="14.25" customHeight="1">
      <c r="A33" s="18">
        <v>37986</v>
      </c>
      <c r="B33" s="19">
        <v>42404.4</v>
      </c>
      <c r="C33" s="19">
        <v>2074.4</v>
      </c>
      <c r="D33" s="284">
        <f t="shared" si="40"/>
        <v>44478.8</v>
      </c>
      <c r="E33" s="19">
        <v>8440</v>
      </c>
      <c r="F33" s="19">
        <v>4491.8999999999996</v>
      </c>
      <c r="G33" s="19">
        <v>0</v>
      </c>
      <c r="H33" s="19">
        <v>1436.4</v>
      </c>
      <c r="I33" s="19">
        <v>14326.7</v>
      </c>
      <c r="J33" s="19">
        <v>13097.9</v>
      </c>
      <c r="K33" s="284">
        <f t="shared" si="41"/>
        <v>27424.6</v>
      </c>
      <c r="L33" s="19">
        <v>1.9</v>
      </c>
      <c r="M33" s="19">
        <v>1192.9000000000001</v>
      </c>
      <c r="N33" s="19">
        <v>6028.5</v>
      </c>
      <c r="O33" s="19">
        <v>752.1</v>
      </c>
      <c r="P33" s="19">
        <v>2293.4</v>
      </c>
      <c r="Q33" s="19">
        <v>0</v>
      </c>
      <c r="R33" s="19">
        <v>9338.4</v>
      </c>
      <c r="S33" s="19">
        <v>0</v>
      </c>
      <c r="T33" s="285">
        <f t="shared" si="42"/>
        <v>105878.9</v>
      </c>
      <c r="U33" s="19">
        <v>4953.8</v>
      </c>
      <c r="V33" s="19">
        <v>27265.8</v>
      </c>
      <c r="W33" s="19">
        <v>17123.3</v>
      </c>
      <c r="X33" s="19">
        <v>16853.2</v>
      </c>
      <c r="Y33" s="19">
        <v>6018.2</v>
      </c>
      <c r="Z33" s="19">
        <v>3901</v>
      </c>
      <c r="AA33" s="19">
        <v>35345.199999999997</v>
      </c>
      <c r="AB33" s="19">
        <v>4932.3999999999996</v>
      </c>
      <c r="AC33" s="286">
        <f t="shared" si="43"/>
        <v>116392.89999999998</v>
      </c>
      <c r="AD33" s="287">
        <f t="shared" si="44"/>
        <v>-10513.999999999985</v>
      </c>
      <c r="AE33" s="288">
        <f t="shared" si="45"/>
        <v>-4.5207287035546509E-2</v>
      </c>
      <c r="AF33" s="3"/>
      <c r="AG33" s="3"/>
      <c r="AH33" s="3"/>
      <c r="AI33" s="3"/>
      <c r="AJ33" s="3"/>
      <c r="AK33" s="3"/>
      <c r="AL33" s="3"/>
      <c r="AM33" s="3"/>
      <c r="AN33" s="3"/>
      <c r="AO33" s="3"/>
      <c r="AP33" s="3"/>
      <c r="AQ33" s="3"/>
      <c r="AR33" s="3"/>
      <c r="AS33" s="3"/>
      <c r="AT33" s="3"/>
      <c r="AU33" s="3"/>
      <c r="AV33" s="3"/>
      <c r="AW33" s="3"/>
      <c r="AX33" s="3"/>
      <c r="AY33" s="3"/>
      <c r="AZ33" s="3"/>
      <c r="BA33" s="3"/>
      <c r="BB33" s="3"/>
      <c r="BC33" s="3"/>
      <c r="BD33" s="3"/>
      <c r="CI33" s="369"/>
      <c r="CJ33" s="369"/>
      <c r="CK33" s="369"/>
      <c r="CL33" s="369"/>
      <c r="CM33" s="369"/>
      <c r="CN33" s="369"/>
      <c r="CO33" s="369"/>
      <c r="CP33" s="369"/>
      <c r="CQ33" s="369"/>
      <c r="CR33" s="369"/>
      <c r="CS33" s="369"/>
      <c r="CT33" s="369"/>
      <c r="CU33" s="369"/>
    </row>
    <row r="34" spans="1:99" ht="14.25" customHeight="1">
      <c r="A34" s="18">
        <v>38352</v>
      </c>
      <c r="B34" s="19">
        <v>44086.8</v>
      </c>
      <c r="C34" s="19">
        <v>2352.9</v>
      </c>
      <c r="D34" s="284">
        <f t="shared" si="40"/>
        <v>46439.700000000004</v>
      </c>
      <c r="E34" s="19">
        <v>9258.6</v>
      </c>
      <c r="F34" s="19">
        <v>4587.7</v>
      </c>
      <c r="G34" s="19">
        <v>0</v>
      </c>
      <c r="H34" s="19">
        <v>1554.4</v>
      </c>
      <c r="I34" s="19">
        <v>15737.7</v>
      </c>
      <c r="J34" s="19">
        <v>13739.9</v>
      </c>
      <c r="K34" s="284">
        <f t="shared" si="41"/>
        <v>29477.599999999999</v>
      </c>
      <c r="L34" s="19">
        <v>2.2999999999999998</v>
      </c>
      <c r="M34" s="19">
        <v>54.5</v>
      </c>
      <c r="N34" s="19">
        <v>5713</v>
      </c>
      <c r="O34" s="19">
        <v>903.2</v>
      </c>
      <c r="P34" s="19">
        <v>2382.5</v>
      </c>
      <c r="Q34" s="19">
        <v>0</v>
      </c>
      <c r="R34" s="19">
        <v>9731.1</v>
      </c>
      <c r="S34" s="19">
        <v>0</v>
      </c>
      <c r="T34" s="285">
        <f t="shared" si="42"/>
        <v>110104.59999999999</v>
      </c>
      <c r="U34" s="19">
        <v>6349.2</v>
      </c>
      <c r="V34" s="19">
        <v>29456.7</v>
      </c>
      <c r="W34" s="19">
        <v>16498</v>
      </c>
      <c r="X34" s="19">
        <v>17203.599999999999</v>
      </c>
      <c r="Y34" s="19">
        <v>3345.7</v>
      </c>
      <c r="Z34" s="19">
        <v>4462.2</v>
      </c>
      <c r="AA34" s="19">
        <v>39424.1</v>
      </c>
      <c r="AB34" s="19">
        <v>5830.7</v>
      </c>
      <c r="AC34" s="286">
        <f t="shared" si="43"/>
        <v>122570.2</v>
      </c>
      <c r="AD34" s="287">
        <f t="shared" si="44"/>
        <v>-12465.600000000006</v>
      </c>
      <c r="AE34" s="288">
        <f t="shared" si="45"/>
        <v>-4.9665070740932155E-2</v>
      </c>
      <c r="AF34" s="3"/>
      <c r="AG34" s="3"/>
      <c r="AH34" s="3"/>
      <c r="AI34" s="3"/>
      <c r="AJ34" s="3"/>
      <c r="AK34" s="3"/>
      <c r="AL34" s="3"/>
      <c r="AM34" s="3"/>
      <c r="AN34" s="3"/>
      <c r="AO34" s="3"/>
      <c r="AP34" s="3"/>
      <c r="AQ34" s="3"/>
      <c r="AR34" s="3"/>
      <c r="AS34" s="3"/>
      <c r="AT34" s="3"/>
      <c r="AU34" s="3"/>
      <c r="AV34" s="3"/>
      <c r="AW34" s="3"/>
      <c r="AX34" s="3"/>
      <c r="AY34" s="3"/>
      <c r="AZ34" s="3"/>
      <c r="BA34" s="3"/>
      <c r="BB34" s="3"/>
      <c r="BC34" s="3"/>
      <c r="BD34" s="3"/>
      <c r="CI34" s="369" t="s">
        <v>1232</v>
      </c>
      <c r="CJ34" s="369"/>
      <c r="CK34" s="422">
        <f>(CJ12+CJ13)*1000</f>
        <v>2555000000</v>
      </c>
      <c r="CL34" s="369" t="s">
        <v>1233</v>
      </c>
      <c r="CM34" s="369"/>
      <c r="CN34" s="369"/>
      <c r="CO34" s="369"/>
      <c r="CP34" s="369"/>
      <c r="CQ34" s="369"/>
      <c r="CR34" s="369"/>
      <c r="CS34" s="369"/>
      <c r="CT34" s="369"/>
      <c r="CU34" s="369"/>
    </row>
    <row r="35" spans="1:99" ht="14.25" customHeight="1">
      <c r="A35" s="18">
        <v>38717</v>
      </c>
      <c r="B35" s="19">
        <v>47049.1</v>
      </c>
      <c r="C35" s="19">
        <v>2362.3000000000002</v>
      </c>
      <c r="D35" s="284">
        <f t="shared" si="40"/>
        <v>49411.4</v>
      </c>
      <c r="E35" s="19">
        <v>9371.2999999999993</v>
      </c>
      <c r="F35" s="19">
        <v>6168.9</v>
      </c>
      <c r="G35" s="19">
        <v>0</v>
      </c>
      <c r="H35" s="19">
        <v>1668.8</v>
      </c>
      <c r="I35" s="19">
        <v>16695.5</v>
      </c>
      <c r="J35" s="19">
        <v>14605.8</v>
      </c>
      <c r="K35" s="284">
        <f t="shared" si="41"/>
        <v>31301.3</v>
      </c>
      <c r="L35" s="19">
        <v>2.4</v>
      </c>
      <c r="M35" s="19">
        <v>74.5</v>
      </c>
      <c r="N35" s="19">
        <v>5282.1</v>
      </c>
      <c r="O35" s="19">
        <v>1021.4</v>
      </c>
      <c r="P35" s="19">
        <v>2478.5</v>
      </c>
      <c r="Q35" s="19">
        <v>0</v>
      </c>
      <c r="R35" s="19">
        <v>10022.799999999999</v>
      </c>
      <c r="S35" s="19">
        <v>0</v>
      </c>
      <c r="T35" s="285">
        <f t="shared" si="42"/>
        <v>116803.4</v>
      </c>
      <c r="U35" s="19">
        <v>4883.1000000000004</v>
      </c>
      <c r="V35" s="19">
        <v>30427.8</v>
      </c>
      <c r="W35" s="19">
        <v>15504.7</v>
      </c>
      <c r="X35" s="19">
        <v>19086.5</v>
      </c>
      <c r="Y35" s="19">
        <v>6185.2</v>
      </c>
      <c r="Z35" s="19">
        <v>4831.2</v>
      </c>
      <c r="AA35" s="19">
        <v>39514.300000000003</v>
      </c>
      <c r="AB35" s="19">
        <v>6267.9</v>
      </c>
      <c r="AC35" s="286">
        <f t="shared" si="43"/>
        <v>126700.7</v>
      </c>
      <c r="AD35" s="287">
        <f t="shared" si="44"/>
        <v>-9897.3000000000029</v>
      </c>
      <c r="AE35" s="288">
        <f t="shared" si="45"/>
        <v>-3.6654660509326496E-2</v>
      </c>
      <c r="AF35" s="3"/>
      <c r="AG35" s="3"/>
      <c r="AH35" s="3"/>
      <c r="AI35" s="3"/>
      <c r="AJ35" s="3"/>
      <c r="AK35" s="3"/>
      <c r="AL35" s="3"/>
      <c r="AM35" s="3"/>
      <c r="AN35" s="3"/>
      <c r="AO35" s="3"/>
      <c r="AP35" s="3"/>
      <c r="AQ35" s="3"/>
      <c r="AR35" s="3"/>
      <c r="AS35" s="3"/>
      <c r="AT35" s="3"/>
      <c r="AU35" s="3"/>
      <c r="AV35" s="3"/>
      <c r="AW35" s="3"/>
      <c r="AX35" s="3"/>
      <c r="AY35" s="3"/>
      <c r="AZ35" s="3"/>
      <c r="BA35" s="3"/>
      <c r="BB35" s="3"/>
      <c r="BC35" s="3"/>
      <c r="BD35" s="3"/>
      <c r="CI35" s="369"/>
      <c r="CJ35" s="369"/>
      <c r="CK35" s="369"/>
      <c r="CL35" s="369"/>
      <c r="CM35" s="369"/>
      <c r="CN35" s="369"/>
      <c r="CO35" s="369"/>
      <c r="CP35" s="369"/>
      <c r="CQ35" s="369"/>
      <c r="CR35" s="369"/>
      <c r="CS35" s="369"/>
      <c r="CT35" s="369"/>
      <c r="CU35" s="369"/>
    </row>
    <row r="36" spans="1:99" ht="14.25" customHeight="1">
      <c r="A36" s="18">
        <v>39082</v>
      </c>
      <c r="B36" s="19">
        <v>51273.7</v>
      </c>
      <c r="C36" s="19">
        <v>2576.6</v>
      </c>
      <c r="D36" s="284">
        <f t="shared" si="40"/>
        <v>53850.299999999996</v>
      </c>
      <c r="E36" s="19">
        <v>10606.9</v>
      </c>
      <c r="F36" s="19">
        <v>8304.6</v>
      </c>
      <c r="G36" s="19">
        <v>0</v>
      </c>
      <c r="H36" s="19">
        <v>1757.7</v>
      </c>
      <c r="I36" s="19">
        <v>18051.400000000001</v>
      </c>
      <c r="J36" s="19">
        <v>15825.8</v>
      </c>
      <c r="K36" s="284">
        <f t="shared" si="41"/>
        <v>33877.199999999997</v>
      </c>
      <c r="L36" s="19">
        <v>2</v>
      </c>
      <c r="M36" s="19">
        <v>166.4</v>
      </c>
      <c r="N36" s="19">
        <v>5105.3</v>
      </c>
      <c r="O36" s="19">
        <v>1132.2</v>
      </c>
      <c r="P36" s="19">
        <v>2573.6999999999998</v>
      </c>
      <c r="Q36" s="19">
        <v>0</v>
      </c>
      <c r="R36" s="19">
        <v>10319.299999999999</v>
      </c>
      <c r="S36" s="19">
        <v>0</v>
      </c>
      <c r="T36" s="285">
        <f t="shared" si="42"/>
        <v>127695.59999999999</v>
      </c>
      <c r="U36" s="19">
        <v>4328.7</v>
      </c>
      <c r="V36" s="19">
        <v>32220.400000000001</v>
      </c>
      <c r="W36" s="19">
        <v>16903</v>
      </c>
      <c r="X36" s="19">
        <v>21166.1</v>
      </c>
      <c r="Y36" s="19">
        <v>5583.2</v>
      </c>
      <c r="Z36" s="19">
        <v>4866.5</v>
      </c>
      <c r="AA36" s="19">
        <v>45143.8</v>
      </c>
      <c r="AB36" s="19">
        <v>6706.9</v>
      </c>
      <c r="AC36" s="286">
        <f t="shared" si="43"/>
        <v>136918.6</v>
      </c>
      <c r="AD36" s="287">
        <f t="shared" si="44"/>
        <v>-9223.0000000000146</v>
      </c>
      <c r="AE36" s="288">
        <f t="shared" si="45"/>
        <v>-3.13233528765521E-2</v>
      </c>
      <c r="AF36" s="3"/>
      <c r="AG36" s="3"/>
      <c r="AH36" s="3"/>
      <c r="AI36" s="3"/>
      <c r="AJ36" s="3"/>
      <c r="AK36" s="3"/>
      <c r="AL36" s="3"/>
      <c r="AM36" s="3"/>
      <c r="AN36" s="3"/>
      <c r="AO36" s="3"/>
      <c r="AP36" s="3"/>
      <c r="AQ36" s="3"/>
      <c r="AR36" s="3"/>
      <c r="AS36" s="3" t="s">
        <v>9</v>
      </c>
      <c r="AT36" s="3" t="s">
        <v>1104</v>
      </c>
      <c r="AU36" s="3" t="s">
        <v>1105</v>
      </c>
      <c r="AV36" s="3" t="s">
        <v>1106</v>
      </c>
      <c r="AW36" s="3"/>
      <c r="AX36" s="3"/>
      <c r="AY36" s="3"/>
      <c r="AZ36" s="3"/>
      <c r="BA36" s="3"/>
      <c r="BB36" s="3"/>
      <c r="BC36" s="3"/>
      <c r="BD36" s="3"/>
      <c r="CI36" s="369"/>
      <c r="CJ36" s="529" t="s">
        <v>1205</v>
      </c>
      <c r="CK36" s="529"/>
      <c r="CL36" s="529"/>
      <c r="CM36" s="529"/>
      <c r="CN36" s="529"/>
      <c r="CO36" s="369"/>
      <c r="CP36" s="369"/>
      <c r="CQ36" s="369"/>
      <c r="CR36" s="369"/>
      <c r="CS36" s="369"/>
      <c r="CT36" s="369"/>
      <c r="CU36" s="369"/>
    </row>
    <row r="37" spans="1:99" ht="14.25" customHeight="1">
      <c r="A37" s="18">
        <v>39447</v>
      </c>
      <c r="B37" s="19">
        <v>55095.9</v>
      </c>
      <c r="C37" s="19">
        <v>2957.1</v>
      </c>
      <c r="D37" s="284">
        <f t="shared" si="40"/>
        <v>58053</v>
      </c>
      <c r="E37" s="19">
        <v>12547.5</v>
      </c>
      <c r="F37" s="19">
        <v>9862.1</v>
      </c>
      <c r="G37" s="19">
        <v>0</v>
      </c>
      <c r="H37" s="19">
        <v>1856.1</v>
      </c>
      <c r="I37" s="19">
        <v>19845.5</v>
      </c>
      <c r="J37" s="19">
        <v>17358</v>
      </c>
      <c r="K37" s="284">
        <f t="shared" si="41"/>
        <v>37203.5</v>
      </c>
      <c r="L37" s="19">
        <v>2.2000000000000002</v>
      </c>
      <c r="M37" s="19">
        <v>240.5</v>
      </c>
      <c r="N37" s="19">
        <v>5715.2</v>
      </c>
      <c r="O37" s="19">
        <v>1289.7</v>
      </c>
      <c r="P37" s="19">
        <v>2617.5</v>
      </c>
      <c r="Q37" s="19">
        <v>0</v>
      </c>
      <c r="R37" s="19">
        <v>10514.9</v>
      </c>
      <c r="S37" s="19">
        <v>0</v>
      </c>
      <c r="T37" s="285">
        <f t="shared" si="42"/>
        <v>139902.20000000001</v>
      </c>
      <c r="U37" s="19">
        <v>4216.7</v>
      </c>
      <c r="V37" s="19">
        <v>36599.599999999999</v>
      </c>
      <c r="W37" s="19">
        <v>20009.7</v>
      </c>
      <c r="X37" s="19">
        <v>23151.5</v>
      </c>
      <c r="Y37" s="19">
        <v>2827.9</v>
      </c>
      <c r="Z37" s="19">
        <v>5368.4</v>
      </c>
      <c r="AA37" s="19">
        <v>47138.7</v>
      </c>
      <c r="AB37" s="19">
        <v>7786.2</v>
      </c>
      <c r="AC37" s="286">
        <f t="shared" si="43"/>
        <v>147098.70000000001</v>
      </c>
      <c r="AD37" s="287">
        <f t="shared" si="44"/>
        <v>-7196.5</v>
      </c>
      <c r="AE37" s="288">
        <f t="shared" si="45"/>
        <v>-2.2294595711018328E-2</v>
      </c>
      <c r="AF37" s="3"/>
      <c r="AG37" s="3"/>
      <c r="AH37" s="3"/>
      <c r="AI37" s="3"/>
      <c r="AJ37" s="3"/>
      <c r="AK37" s="3"/>
      <c r="AL37" s="3"/>
      <c r="AM37" s="3"/>
      <c r="AN37" s="3"/>
      <c r="AO37" s="3"/>
      <c r="AP37" s="3"/>
      <c r="AQ37" s="3"/>
      <c r="AR37" s="3"/>
      <c r="AS37" s="18">
        <v>37621</v>
      </c>
      <c r="AT37" s="19">
        <f t="shared" ref="AT37:AT54" si="46">AV13-AV12</f>
        <v>6691.5592977695342</v>
      </c>
      <c r="AU37" s="19">
        <f t="shared" ref="AU37:AU54" si="47">-AD6</f>
        <v>6944.1000000000058</v>
      </c>
      <c r="AV37" s="19">
        <f t="shared" ref="AV37:AV54" si="48">AT37-AU37</f>
        <v>-252.54070223047165</v>
      </c>
      <c r="AW37" s="3"/>
      <c r="AX37" s="3"/>
      <c r="AY37" s="3"/>
      <c r="AZ37" s="3"/>
      <c r="BA37" s="3"/>
      <c r="BB37" s="3"/>
      <c r="BC37" s="3"/>
      <c r="BD37" s="3"/>
      <c r="CI37" s="388" t="s">
        <v>1195</v>
      </c>
      <c r="CJ37" s="388" t="s">
        <v>1206</v>
      </c>
      <c r="CK37" s="388" t="s">
        <v>1207</v>
      </c>
      <c r="CL37" s="388" t="s">
        <v>1208</v>
      </c>
      <c r="CM37" s="388" t="s">
        <v>1209</v>
      </c>
      <c r="CN37" s="388" t="s">
        <v>1210</v>
      </c>
      <c r="CO37" s="388" t="s">
        <v>1211</v>
      </c>
      <c r="CP37" s="388" t="s">
        <v>1212</v>
      </c>
      <c r="CQ37" s="388" t="s">
        <v>1200</v>
      </c>
      <c r="CR37" s="388" t="s">
        <v>1213</v>
      </c>
      <c r="CS37" s="369" t="s">
        <v>1214</v>
      </c>
      <c r="CT37" s="369"/>
      <c r="CU37" s="369"/>
    </row>
    <row r="38" spans="1:99" ht="14.25" customHeight="1">
      <c r="A38" s="18">
        <v>39813</v>
      </c>
      <c r="B38" s="19">
        <v>58485.1</v>
      </c>
      <c r="C38" s="19">
        <v>3303.6</v>
      </c>
      <c r="D38" s="284">
        <f t="shared" si="40"/>
        <v>61788.7</v>
      </c>
      <c r="E38" s="19">
        <v>13360.3</v>
      </c>
      <c r="F38" s="19">
        <v>10062.200000000001</v>
      </c>
      <c r="G38" s="19">
        <v>0</v>
      </c>
      <c r="H38" s="19">
        <v>1973.5</v>
      </c>
      <c r="I38" s="19">
        <v>21758.1</v>
      </c>
      <c r="J38" s="19">
        <v>18945.400000000001</v>
      </c>
      <c r="K38" s="284">
        <f t="shared" si="41"/>
        <v>40703.5</v>
      </c>
      <c r="L38" s="19">
        <v>2.6</v>
      </c>
      <c r="M38" s="19">
        <v>255.4</v>
      </c>
      <c r="N38" s="19">
        <v>4744.2</v>
      </c>
      <c r="O38" s="19">
        <v>1195.8</v>
      </c>
      <c r="P38" s="19">
        <v>2759.9</v>
      </c>
      <c r="Q38" s="19">
        <v>0</v>
      </c>
      <c r="R38" s="19">
        <v>12328.6</v>
      </c>
      <c r="S38" s="19">
        <v>0</v>
      </c>
      <c r="T38" s="285">
        <f t="shared" si="42"/>
        <v>149174.70000000001</v>
      </c>
      <c r="U38" s="19">
        <v>5119.7</v>
      </c>
      <c r="V38" s="19">
        <v>38903</v>
      </c>
      <c r="W38" s="19">
        <v>21416.400000000001</v>
      </c>
      <c r="X38" s="19">
        <v>25277.8</v>
      </c>
      <c r="Y38" s="19">
        <v>4881.8</v>
      </c>
      <c r="Z38" s="19">
        <v>6206.6</v>
      </c>
      <c r="AA38" s="19">
        <v>48699.3</v>
      </c>
      <c r="AB38" s="19">
        <v>8461.1</v>
      </c>
      <c r="AC38" s="286">
        <f t="shared" si="43"/>
        <v>158965.70000000001</v>
      </c>
      <c r="AD38" s="287">
        <f t="shared" si="44"/>
        <v>-9791</v>
      </c>
      <c r="AE38" s="288">
        <f t="shared" si="45"/>
        <v>-2.8237694661230842E-2</v>
      </c>
      <c r="AF38" s="3"/>
      <c r="AG38" s="3"/>
      <c r="AH38" s="3"/>
      <c r="AI38" s="3"/>
      <c r="AJ38" s="3"/>
      <c r="AK38" s="3"/>
      <c r="AL38" s="3"/>
      <c r="AM38" s="3"/>
      <c r="AN38" s="3"/>
      <c r="AO38" s="3"/>
      <c r="AP38" s="3"/>
      <c r="AQ38" s="3"/>
      <c r="AR38" s="3"/>
      <c r="AS38" s="18">
        <v>37986</v>
      </c>
      <c r="AT38" s="19">
        <f t="shared" si="46"/>
        <v>11119.142676079136</v>
      </c>
      <c r="AU38" s="19">
        <f t="shared" si="47"/>
        <v>10513.999999999985</v>
      </c>
      <c r="AV38" s="19">
        <f t="shared" si="48"/>
        <v>605.14267607915099</v>
      </c>
      <c r="AW38" s="3"/>
      <c r="AX38" s="3"/>
      <c r="AY38" s="3"/>
      <c r="AZ38" s="3"/>
      <c r="BA38" s="3"/>
      <c r="BB38" s="3"/>
      <c r="BC38" s="3"/>
      <c r="BD38" s="3"/>
      <c r="CI38" s="388"/>
      <c r="CJ38" s="529" t="s">
        <v>1215</v>
      </c>
      <c r="CK38" s="529"/>
      <c r="CL38" s="529"/>
      <c r="CM38" s="529"/>
      <c r="CN38" s="529"/>
      <c r="CO38" s="388"/>
      <c r="CP38" s="388"/>
      <c r="CQ38" s="388"/>
      <c r="CR38" s="388"/>
      <c r="CS38" s="369"/>
      <c r="CT38" s="369"/>
      <c r="CU38" s="369"/>
    </row>
    <row r="39" spans="1:99" ht="14.25" customHeight="1">
      <c r="A39" s="18">
        <v>40178</v>
      </c>
      <c r="B39" s="19">
        <v>52842.3</v>
      </c>
      <c r="C39" s="19">
        <v>3311.1</v>
      </c>
      <c r="D39" s="284">
        <f t="shared" si="40"/>
        <v>56153.4</v>
      </c>
      <c r="E39" s="19">
        <v>12804</v>
      </c>
      <c r="F39" s="19">
        <v>8459</v>
      </c>
      <c r="G39" s="19">
        <v>1057.4000000000001</v>
      </c>
      <c r="H39" s="19">
        <v>2021.7</v>
      </c>
      <c r="I39" s="19">
        <v>21374</v>
      </c>
      <c r="J39" s="19">
        <v>18620.8</v>
      </c>
      <c r="K39" s="284">
        <f t="shared" si="41"/>
        <v>39994.800000000003</v>
      </c>
      <c r="L39" s="19">
        <v>4.2</v>
      </c>
      <c r="M39" s="19">
        <v>434.1</v>
      </c>
      <c r="N39" s="19">
        <v>4799.7</v>
      </c>
      <c r="O39" s="19">
        <v>1292.5</v>
      </c>
      <c r="P39" s="19">
        <v>2629.4</v>
      </c>
      <c r="Q39" s="19">
        <v>0</v>
      </c>
      <c r="R39" s="19">
        <v>12013.7</v>
      </c>
      <c r="S39" s="19">
        <v>0</v>
      </c>
      <c r="T39" s="285">
        <f t="shared" si="42"/>
        <v>141663.9</v>
      </c>
      <c r="U39" s="19">
        <v>4696.8</v>
      </c>
      <c r="V39" s="19">
        <v>40880.800000000003</v>
      </c>
      <c r="W39" s="19">
        <v>20005.3</v>
      </c>
      <c r="X39" s="19">
        <v>24408.5</v>
      </c>
      <c r="Y39" s="19">
        <v>3659.6</v>
      </c>
      <c r="Z39" s="19">
        <v>7341.9</v>
      </c>
      <c r="AA39" s="19">
        <v>52616</v>
      </c>
      <c r="AB39" s="19">
        <v>8060.6</v>
      </c>
      <c r="AC39" s="286">
        <f t="shared" si="43"/>
        <v>161669.50000000003</v>
      </c>
      <c r="AD39" s="287">
        <f t="shared" si="44"/>
        <v>-20005.600000000035</v>
      </c>
      <c r="AE39" s="288">
        <f t="shared" si="45"/>
        <v>-6.0481819118848534E-2</v>
      </c>
      <c r="AF39" s="3"/>
      <c r="AG39" s="3"/>
      <c r="AH39" s="3"/>
      <c r="AI39" s="3"/>
      <c r="AJ39" s="3"/>
      <c r="AK39" s="3"/>
      <c r="AL39" s="3"/>
      <c r="AM39" s="3"/>
      <c r="AN39" s="3"/>
      <c r="AO39" s="3"/>
      <c r="AP39" s="3"/>
      <c r="AQ39" s="3"/>
      <c r="AR39" s="3"/>
      <c r="AS39" s="18">
        <v>38352</v>
      </c>
      <c r="AT39" s="19">
        <f t="shared" si="46"/>
        <v>12379.404531050503</v>
      </c>
      <c r="AU39" s="19">
        <f t="shared" si="47"/>
        <v>12465.600000000006</v>
      </c>
      <c r="AV39" s="19">
        <f t="shared" si="48"/>
        <v>-86.195468949503265</v>
      </c>
      <c r="AW39" s="3"/>
      <c r="AX39" s="3"/>
      <c r="AY39" s="3"/>
      <c r="AZ39" s="3"/>
      <c r="BA39" s="3"/>
      <c r="BB39" s="3"/>
      <c r="BC39" s="3"/>
      <c r="BD39" s="3"/>
      <c r="CI39" s="399">
        <v>40242</v>
      </c>
      <c r="CJ39" s="388" t="s">
        <v>1234</v>
      </c>
      <c r="CK39" s="369" t="s">
        <v>1235</v>
      </c>
      <c r="CL39" s="388" t="s">
        <v>1236</v>
      </c>
      <c r="CM39" s="400">
        <v>5000000000</v>
      </c>
      <c r="CN39" s="388" t="s">
        <v>1224</v>
      </c>
      <c r="CO39" s="401">
        <v>1</v>
      </c>
      <c r="CP39" s="388">
        <v>10</v>
      </c>
      <c r="CQ39" s="404">
        <v>43895</v>
      </c>
      <c r="CR39" s="405">
        <v>6.7500000000000004E-2</v>
      </c>
      <c r="CS39" s="369" t="s">
        <v>1220</v>
      </c>
      <c r="CT39" s="369"/>
      <c r="CU39" s="423"/>
    </row>
    <row r="40" spans="1:99" ht="14.25" customHeight="1">
      <c r="A40" s="18">
        <v>40543</v>
      </c>
      <c r="B40" s="19">
        <v>54344.800000000003</v>
      </c>
      <c r="C40" s="19">
        <v>3476.4</v>
      </c>
      <c r="D40" s="284">
        <f t="shared" si="40"/>
        <v>57821.200000000004</v>
      </c>
      <c r="E40" s="19">
        <v>11373.4</v>
      </c>
      <c r="F40" s="19">
        <v>6346.7</v>
      </c>
      <c r="G40" s="19">
        <v>1902.5</v>
      </c>
      <c r="H40" s="19">
        <v>2083</v>
      </c>
      <c r="I40" s="19">
        <v>20783.599999999999</v>
      </c>
      <c r="J40" s="19">
        <v>17928.8</v>
      </c>
      <c r="K40" s="284">
        <f t="shared" si="41"/>
        <v>38712.399999999994</v>
      </c>
      <c r="L40" s="19">
        <v>3.2</v>
      </c>
      <c r="M40" s="19">
        <v>925.3</v>
      </c>
      <c r="N40" s="19">
        <v>3434.7</v>
      </c>
      <c r="O40" s="19">
        <v>1210.4000000000001</v>
      </c>
      <c r="P40" s="19">
        <v>2357.5</v>
      </c>
      <c r="Q40" s="19">
        <v>0</v>
      </c>
      <c r="R40" s="19">
        <v>12196.3</v>
      </c>
      <c r="S40" s="19">
        <v>0</v>
      </c>
      <c r="T40" s="285">
        <f t="shared" si="42"/>
        <v>138366.6</v>
      </c>
      <c r="U40" s="19">
        <v>8518.7999999999993</v>
      </c>
      <c r="V40" s="19">
        <v>40110.1</v>
      </c>
      <c r="W40" s="19">
        <v>12790.6</v>
      </c>
      <c r="X40" s="19">
        <v>24987.5</v>
      </c>
      <c r="Y40" s="19">
        <v>5839.7</v>
      </c>
      <c r="Z40" s="19">
        <v>7860.2</v>
      </c>
      <c r="AA40" s="19">
        <v>52126.1</v>
      </c>
      <c r="AB40" s="19">
        <v>7393.6</v>
      </c>
      <c r="AC40" s="286">
        <f t="shared" si="43"/>
        <v>159626.6</v>
      </c>
      <c r="AD40" s="287">
        <f t="shared" si="44"/>
        <v>-21260</v>
      </c>
      <c r="AE40" s="288">
        <f t="shared" si="45"/>
        <v>-6.4654585855040192E-2</v>
      </c>
      <c r="AF40" s="3"/>
      <c r="AG40" s="3"/>
      <c r="AH40" s="3"/>
      <c r="AI40" s="3"/>
      <c r="AJ40" s="3"/>
      <c r="AK40" s="3"/>
      <c r="AL40" s="3"/>
      <c r="AM40" s="3"/>
      <c r="AN40" s="3"/>
      <c r="AO40" s="3"/>
      <c r="AP40" s="3"/>
      <c r="AQ40" s="3"/>
      <c r="AR40" s="3"/>
      <c r="AS40" s="18">
        <v>38717</v>
      </c>
      <c r="AT40" s="19">
        <f t="shared" si="46"/>
        <v>10232.286965108826</v>
      </c>
      <c r="AU40" s="19">
        <f t="shared" si="47"/>
        <v>9897.3000000000029</v>
      </c>
      <c r="AV40" s="19">
        <f t="shared" si="48"/>
        <v>334.98696510882291</v>
      </c>
      <c r="AW40" s="3"/>
      <c r="AX40" s="3"/>
      <c r="AY40" s="3"/>
      <c r="AZ40" s="3"/>
      <c r="BA40" s="3"/>
      <c r="BB40" s="3"/>
      <c r="BC40" s="3"/>
      <c r="BD40" s="3"/>
      <c r="CI40" s="399"/>
      <c r="CJ40" s="388" t="s">
        <v>1237</v>
      </c>
      <c r="CK40" s="369" t="s">
        <v>1238</v>
      </c>
      <c r="CL40" s="388" t="s">
        <v>1239</v>
      </c>
      <c r="CM40" s="400">
        <v>1000000000</v>
      </c>
      <c r="CN40" s="388" t="s">
        <v>1219</v>
      </c>
      <c r="CO40" s="401">
        <v>7.27</v>
      </c>
      <c r="CP40" s="388">
        <v>10</v>
      </c>
      <c r="CQ40" s="404">
        <v>43895</v>
      </c>
      <c r="CR40" s="405">
        <v>6.5000000000000002E-2</v>
      </c>
      <c r="CS40" s="369" t="s">
        <v>1220</v>
      </c>
      <c r="CT40" s="369"/>
      <c r="CU40" s="369"/>
    </row>
    <row r="41" spans="1:99" ht="14.25" customHeight="1">
      <c r="A41" s="18">
        <v>40908</v>
      </c>
      <c r="B41" s="19">
        <v>53773.9</v>
      </c>
      <c r="C41" s="19">
        <v>3532.5</v>
      </c>
      <c r="D41" s="284">
        <f t="shared" si="40"/>
        <v>57306.400000000001</v>
      </c>
      <c r="E41" s="19">
        <v>11484.7</v>
      </c>
      <c r="F41" s="19">
        <v>7740.8</v>
      </c>
      <c r="G41" s="19">
        <v>65.2</v>
      </c>
      <c r="H41" s="19">
        <v>2025.9</v>
      </c>
      <c r="I41" s="19">
        <v>20686.2</v>
      </c>
      <c r="J41" s="19">
        <v>17918.900000000001</v>
      </c>
      <c r="K41" s="284">
        <f t="shared" si="41"/>
        <v>38605.100000000006</v>
      </c>
      <c r="L41" s="19">
        <v>7.4</v>
      </c>
      <c r="M41" s="19">
        <v>1044</v>
      </c>
      <c r="N41" s="19">
        <v>2985.1</v>
      </c>
      <c r="O41" s="19">
        <v>1080.0999999999999</v>
      </c>
      <c r="P41" s="19">
        <v>2498.6999999999998</v>
      </c>
      <c r="Q41" s="19">
        <v>0</v>
      </c>
      <c r="R41" s="19">
        <v>11953.8</v>
      </c>
      <c r="S41" s="19">
        <v>0</v>
      </c>
      <c r="T41" s="285">
        <f t="shared" si="42"/>
        <v>136797.20000000001</v>
      </c>
      <c r="U41" s="19">
        <v>9622.7000000000007</v>
      </c>
      <c r="V41" s="19">
        <v>40460.199999999997</v>
      </c>
      <c r="W41" s="19">
        <v>12230.4</v>
      </c>
      <c r="X41" s="19">
        <v>26003.599999999999</v>
      </c>
      <c r="Y41" s="19">
        <v>3894.6</v>
      </c>
      <c r="Z41" s="19">
        <v>8948.1</v>
      </c>
      <c r="AA41" s="19">
        <v>54242.6</v>
      </c>
      <c r="AB41" s="19">
        <v>7763.9</v>
      </c>
      <c r="AC41" s="286">
        <f t="shared" si="43"/>
        <v>163166.1</v>
      </c>
      <c r="AD41" s="287">
        <f t="shared" si="44"/>
        <v>-26368.899999999994</v>
      </c>
      <c r="AE41" s="288">
        <f t="shared" si="45"/>
        <v>-7.9134872039829385E-2</v>
      </c>
      <c r="AF41" s="3"/>
      <c r="AG41" s="3"/>
      <c r="AH41" s="3"/>
      <c r="AI41" s="3"/>
      <c r="AJ41" s="3"/>
      <c r="AK41" s="3"/>
      <c r="AL41" s="3"/>
      <c r="AM41" s="3"/>
      <c r="AN41" s="3"/>
      <c r="AO41" s="3"/>
      <c r="AP41" s="3"/>
      <c r="AQ41" s="3"/>
      <c r="AR41" s="3"/>
      <c r="AS41" s="18">
        <v>39082</v>
      </c>
      <c r="AT41" s="19">
        <f t="shared" si="46"/>
        <v>2682.9048806465144</v>
      </c>
      <c r="AU41" s="19">
        <f t="shared" si="47"/>
        <v>9223.0000000000146</v>
      </c>
      <c r="AV41" s="19">
        <f t="shared" si="48"/>
        <v>-6540.0951193535002</v>
      </c>
      <c r="AW41" s="3"/>
      <c r="AX41" s="3"/>
      <c r="AY41" s="3"/>
      <c r="AZ41" s="3"/>
      <c r="BA41" s="3"/>
      <c r="BB41" s="3"/>
      <c r="BC41" s="3"/>
      <c r="BD41" s="3"/>
      <c r="CI41" s="399"/>
      <c r="CJ41" s="529" t="s">
        <v>1240</v>
      </c>
      <c r="CK41" s="529"/>
      <c r="CL41" s="529"/>
      <c r="CM41" s="529"/>
      <c r="CN41" s="529"/>
      <c r="CO41" s="388"/>
      <c r="CP41" s="388"/>
      <c r="CQ41" s="404"/>
      <c r="CR41" s="405" t="s">
        <v>1241</v>
      </c>
      <c r="CS41" s="369"/>
      <c r="CT41" s="369"/>
      <c r="CU41" s="369"/>
    </row>
    <row r="42" spans="1:99" ht="14.25" customHeight="1">
      <c r="A42" s="18">
        <v>41274</v>
      </c>
      <c r="B42" s="19">
        <v>56335.7</v>
      </c>
      <c r="C42" s="19">
        <v>3555.9</v>
      </c>
      <c r="D42" s="284">
        <f t="shared" si="40"/>
        <v>59891.6</v>
      </c>
      <c r="E42" s="19">
        <v>12191.2</v>
      </c>
      <c r="F42" s="19">
        <v>6597.3</v>
      </c>
      <c r="G42" s="19">
        <v>38.5</v>
      </c>
      <c r="H42" s="19">
        <v>2104.5</v>
      </c>
      <c r="I42" s="19">
        <v>19771.599999999999</v>
      </c>
      <c r="J42" s="19">
        <v>18074.3</v>
      </c>
      <c r="K42" s="284">
        <f t="shared" si="41"/>
        <v>37845.899999999994</v>
      </c>
      <c r="L42" s="19">
        <v>7.4</v>
      </c>
      <c r="M42" s="19">
        <v>2718.1</v>
      </c>
      <c r="N42" s="19">
        <v>4503.2</v>
      </c>
      <c r="O42" s="19">
        <v>1172.8</v>
      </c>
      <c r="P42" s="19">
        <v>2387</v>
      </c>
      <c r="Q42" s="19">
        <v>0</v>
      </c>
      <c r="R42" s="19">
        <v>12554.2</v>
      </c>
      <c r="S42" s="19">
        <v>0</v>
      </c>
      <c r="T42" s="285">
        <f t="shared" si="42"/>
        <v>142011.69999999998</v>
      </c>
      <c r="U42" s="19">
        <v>5716.1</v>
      </c>
      <c r="V42" s="19">
        <v>39910</v>
      </c>
      <c r="W42" s="19">
        <v>12472.3</v>
      </c>
      <c r="X42" s="19">
        <v>25763.599999999999</v>
      </c>
      <c r="Y42" s="19">
        <v>4649.3</v>
      </c>
      <c r="Z42" s="19">
        <v>10192.200000000001</v>
      </c>
      <c r="AA42" s="19">
        <v>53853.599999999999</v>
      </c>
      <c r="AB42" s="19">
        <v>7148.5</v>
      </c>
      <c r="AC42" s="286">
        <f t="shared" si="43"/>
        <v>159705.60000000001</v>
      </c>
      <c r="AD42" s="287">
        <f t="shared" si="44"/>
        <v>-17693.900000000023</v>
      </c>
      <c r="AE42" s="288">
        <f t="shared" si="45"/>
        <v>-5.3535246159657067E-2</v>
      </c>
      <c r="AF42" s="3"/>
      <c r="AG42" s="3"/>
      <c r="AH42" s="3"/>
      <c r="AI42" s="3"/>
      <c r="AJ42" s="3"/>
      <c r="AK42" s="3"/>
      <c r="AL42" s="3"/>
      <c r="AM42" s="3"/>
      <c r="AN42" s="3"/>
      <c r="AO42" s="3"/>
      <c r="AP42" s="3"/>
      <c r="AQ42" s="3"/>
      <c r="AR42" s="3"/>
      <c r="AS42" s="18">
        <v>39447</v>
      </c>
      <c r="AT42" s="19">
        <f t="shared" si="46"/>
        <v>6484.4089126058971</v>
      </c>
      <c r="AU42" s="19">
        <f t="shared" si="47"/>
        <v>7196.5</v>
      </c>
      <c r="AV42" s="19">
        <f t="shared" si="48"/>
        <v>-712.09108739410294</v>
      </c>
      <c r="AW42" s="3"/>
      <c r="AX42" s="3"/>
      <c r="AY42" s="3"/>
      <c r="AZ42" s="3"/>
      <c r="BA42" s="3"/>
      <c r="BB42" s="3"/>
      <c r="BC42" s="3"/>
      <c r="BD42" s="3"/>
      <c r="CI42" s="399">
        <v>40373</v>
      </c>
      <c r="CJ42" s="369"/>
      <c r="CK42" s="369"/>
      <c r="CL42" s="369"/>
      <c r="CM42" s="424">
        <v>1250000000</v>
      </c>
      <c r="CN42" s="388" t="s">
        <v>1242</v>
      </c>
      <c r="CO42" s="401">
        <v>5.74</v>
      </c>
      <c r="CP42" s="388">
        <v>10</v>
      </c>
      <c r="CQ42" s="404">
        <v>44026</v>
      </c>
      <c r="CR42" s="405">
        <v>6.6250000000000003E-2</v>
      </c>
      <c r="CS42" s="369"/>
      <c r="CT42" s="369"/>
      <c r="CU42" s="425" t="s">
        <v>1243</v>
      </c>
    </row>
    <row r="43" spans="1:99" ht="14.25" customHeight="1">
      <c r="A43" s="18">
        <v>41639</v>
      </c>
      <c r="B43" s="19">
        <v>58022.6</v>
      </c>
      <c r="C43" s="19">
        <v>3642.9</v>
      </c>
      <c r="D43" s="284">
        <f t="shared" si="40"/>
        <v>61665.5</v>
      </c>
      <c r="E43" s="19">
        <v>12761.9</v>
      </c>
      <c r="F43" s="19">
        <v>6741.8</v>
      </c>
      <c r="G43" s="19">
        <v>32</v>
      </c>
      <c r="H43" s="19">
        <v>2051.6999999999998</v>
      </c>
      <c r="I43" s="19">
        <v>18924.599999999999</v>
      </c>
      <c r="J43" s="19">
        <v>18224.7</v>
      </c>
      <c r="K43" s="284">
        <f t="shared" si="41"/>
        <v>37149.300000000003</v>
      </c>
      <c r="L43" s="19">
        <v>6.1</v>
      </c>
      <c r="M43" s="19">
        <v>895.3</v>
      </c>
      <c r="N43" s="19">
        <v>4340.1000000000004</v>
      </c>
      <c r="O43" s="19">
        <v>1284</v>
      </c>
      <c r="P43" s="19">
        <v>2283.4</v>
      </c>
      <c r="Q43" s="19">
        <v>0</v>
      </c>
      <c r="R43" s="19">
        <v>12928.1</v>
      </c>
      <c r="S43" s="19">
        <v>0</v>
      </c>
      <c r="T43" s="285">
        <f t="shared" si="42"/>
        <v>142139.20000000001</v>
      </c>
      <c r="U43" s="19">
        <v>4361.8</v>
      </c>
      <c r="V43" s="19">
        <v>38823.199999999997</v>
      </c>
      <c r="W43" s="19">
        <v>12995.2</v>
      </c>
      <c r="X43" s="19">
        <v>26343</v>
      </c>
      <c r="Y43" s="19">
        <v>6293.4</v>
      </c>
      <c r="Z43" s="19">
        <v>10383.9</v>
      </c>
      <c r="AA43" s="19">
        <v>54865.5</v>
      </c>
      <c r="AB43" s="19">
        <v>5750.5</v>
      </c>
      <c r="AC43" s="286">
        <f t="shared" si="43"/>
        <v>159816.5</v>
      </c>
      <c r="AD43" s="287">
        <f t="shared" si="44"/>
        <v>-17677.299999999988</v>
      </c>
      <c r="AE43" s="288">
        <f t="shared" si="45"/>
        <v>-5.3372048352301513E-2</v>
      </c>
      <c r="AF43" s="3"/>
      <c r="AG43" s="3"/>
      <c r="AH43" s="3"/>
      <c r="AI43" s="3"/>
      <c r="AJ43" s="3"/>
      <c r="AK43" s="3"/>
      <c r="AL43" s="3"/>
      <c r="AM43" s="3"/>
      <c r="AN43" s="3"/>
      <c r="AO43" s="3"/>
      <c r="AP43" s="3"/>
      <c r="AQ43" s="3"/>
      <c r="AR43" s="3"/>
      <c r="AS43" s="18">
        <v>39813</v>
      </c>
      <c r="AT43" s="19">
        <f t="shared" si="46"/>
        <v>15627.346650719599</v>
      </c>
      <c r="AU43" s="19">
        <f t="shared" si="47"/>
        <v>9791</v>
      </c>
      <c r="AV43" s="19">
        <f t="shared" si="48"/>
        <v>5836.346650719599</v>
      </c>
      <c r="AW43" s="3"/>
      <c r="AX43" s="3"/>
      <c r="AY43" s="3"/>
      <c r="AZ43" s="3"/>
      <c r="BA43" s="3"/>
      <c r="BB43" s="3"/>
      <c r="BC43" s="3"/>
      <c r="BD43" s="3"/>
      <c r="CI43" s="369"/>
      <c r="CJ43" s="369"/>
      <c r="CK43" s="369"/>
      <c r="CL43" s="369"/>
      <c r="CM43" s="406"/>
      <c r="CN43" s="369"/>
      <c r="CO43" s="369"/>
      <c r="CP43" s="369"/>
      <c r="CQ43" s="369"/>
      <c r="CR43" s="369"/>
      <c r="CS43" s="369"/>
      <c r="CT43" s="369"/>
      <c r="CU43" s="426" t="s">
        <v>1244</v>
      </c>
    </row>
    <row r="44" spans="1:99" ht="14.25" customHeight="1">
      <c r="A44" s="18">
        <v>42004</v>
      </c>
      <c r="B44" s="19">
        <v>57545.1</v>
      </c>
      <c r="C44" s="19">
        <v>3744.6</v>
      </c>
      <c r="D44" s="284">
        <f t="shared" si="40"/>
        <v>61289.7</v>
      </c>
      <c r="E44" s="19">
        <v>12821.3</v>
      </c>
      <c r="F44" s="19">
        <v>5824.7</v>
      </c>
      <c r="G44" s="19">
        <v>119.3</v>
      </c>
      <c r="H44" s="19">
        <v>2075.6999999999998</v>
      </c>
      <c r="I44" s="19">
        <v>20278.099999999999</v>
      </c>
      <c r="J44" s="19">
        <v>18908.599999999999</v>
      </c>
      <c r="K44" s="284">
        <f t="shared" si="41"/>
        <v>39186.699999999997</v>
      </c>
      <c r="L44" s="19">
        <v>9.6</v>
      </c>
      <c r="M44" s="19">
        <v>938.5</v>
      </c>
      <c r="N44" s="19">
        <v>4719.8999999999996</v>
      </c>
      <c r="O44" s="19">
        <v>1695.7</v>
      </c>
      <c r="P44" s="19">
        <v>2446.5</v>
      </c>
      <c r="Q44" s="19">
        <v>0</v>
      </c>
      <c r="R44" s="19">
        <v>12626.5</v>
      </c>
      <c r="S44" s="19">
        <v>0</v>
      </c>
      <c r="T44" s="285">
        <f t="shared" si="42"/>
        <v>143754.1</v>
      </c>
      <c r="U44" s="19">
        <v>5641.5</v>
      </c>
      <c r="V44" s="19">
        <v>38011.4</v>
      </c>
      <c r="W44" s="19">
        <v>12732.5</v>
      </c>
      <c r="X44" s="19">
        <v>27463.4</v>
      </c>
      <c r="Y44" s="19">
        <v>5158.3</v>
      </c>
      <c r="Z44" s="19">
        <v>11388.5</v>
      </c>
      <c r="AA44" s="19">
        <v>56045.7</v>
      </c>
      <c r="AB44" s="19">
        <v>5037.8</v>
      </c>
      <c r="AC44" s="286">
        <f t="shared" si="43"/>
        <v>161479.09999999998</v>
      </c>
      <c r="AD44" s="287">
        <f t="shared" si="44"/>
        <v>-17724.999999999971</v>
      </c>
      <c r="AE44" s="288">
        <f t="shared" si="45"/>
        <v>-5.3494453375993636E-2</v>
      </c>
      <c r="AF44" s="3"/>
      <c r="AG44" s="3"/>
      <c r="AH44" s="3"/>
      <c r="AI44" s="3"/>
      <c r="AJ44" s="3"/>
      <c r="AK44" s="3"/>
      <c r="AL44" s="3"/>
      <c r="AM44" s="3"/>
      <c r="AN44" s="3"/>
      <c r="AO44" s="3"/>
      <c r="AP44" s="3"/>
      <c r="AQ44" s="3"/>
      <c r="AR44" s="3"/>
      <c r="AS44" s="18">
        <v>40178</v>
      </c>
      <c r="AT44" s="19">
        <f t="shared" si="46"/>
        <v>24772.83297960044</v>
      </c>
      <c r="AU44" s="19">
        <f t="shared" si="47"/>
        <v>20005.600000000035</v>
      </c>
      <c r="AV44" s="19">
        <f t="shared" si="48"/>
        <v>4767.2329796004051</v>
      </c>
      <c r="AW44" s="3"/>
      <c r="AX44" s="3"/>
      <c r="AY44" s="3"/>
      <c r="AZ44" s="3"/>
      <c r="BA44" s="3"/>
      <c r="BB44" s="3"/>
      <c r="BC44" s="3"/>
      <c r="BD44" s="3"/>
      <c r="CI44" s="369"/>
      <c r="CJ44" s="369"/>
      <c r="CK44" s="369"/>
      <c r="CL44" s="369"/>
      <c r="CM44" s="409">
        <f>CM39+CM40*CO40</f>
        <v>12270000000</v>
      </c>
      <c r="CN44" s="369"/>
      <c r="CO44" s="369"/>
      <c r="CP44" s="369"/>
      <c r="CQ44" s="369"/>
      <c r="CR44" s="406"/>
      <c r="CS44" s="369"/>
      <c r="CT44" s="369"/>
      <c r="CU44" s="426" t="s">
        <v>1245</v>
      </c>
    </row>
    <row r="45" spans="1:99" ht="14.25" customHeight="1">
      <c r="A45" s="18">
        <v>42369</v>
      </c>
      <c r="B45" s="19">
        <v>60488.1</v>
      </c>
      <c r="C45" s="19">
        <v>4346.6000000000004</v>
      </c>
      <c r="D45" s="284">
        <f t="shared" si="40"/>
        <v>64834.7</v>
      </c>
      <c r="E45" s="19">
        <v>12038.6</v>
      </c>
      <c r="F45" s="19">
        <v>6362.6</v>
      </c>
      <c r="G45" s="19">
        <v>306.3</v>
      </c>
      <c r="H45" s="19">
        <v>2109.3000000000002</v>
      </c>
      <c r="I45" s="19">
        <v>21062.9</v>
      </c>
      <c r="J45" s="19">
        <v>19651.5</v>
      </c>
      <c r="K45" s="284">
        <f t="shared" si="41"/>
        <v>40714.400000000001</v>
      </c>
      <c r="L45" s="19">
        <v>10.4</v>
      </c>
      <c r="M45" s="19">
        <v>1671.9</v>
      </c>
      <c r="N45" s="19">
        <v>7911.1</v>
      </c>
      <c r="O45" s="19">
        <v>1078.9000000000001</v>
      </c>
      <c r="P45" s="19">
        <v>2255.1</v>
      </c>
      <c r="Q45" s="19">
        <v>0</v>
      </c>
      <c r="R45" s="19">
        <v>14652.8</v>
      </c>
      <c r="S45" s="19">
        <v>0</v>
      </c>
      <c r="T45" s="285">
        <f t="shared" si="42"/>
        <v>153946.09999999998</v>
      </c>
      <c r="U45" s="19">
        <v>5005.8999999999996</v>
      </c>
      <c r="V45" s="19">
        <v>38987.5</v>
      </c>
      <c r="W45" s="19">
        <v>11829.4</v>
      </c>
      <c r="X45" s="19">
        <v>27950.400000000001</v>
      </c>
      <c r="Y45" s="19">
        <v>7960.1</v>
      </c>
      <c r="Z45" s="19">
        <v>11686.3</v>
      </c>
      <c r="AA45" s="19">
        <v>57742</v>
      </c>
      <c r="AB45" s="19">
        <v>4045.4</v>
      </c>
      <c r="AC45" s="286">
        <f t="shared" si="43"/>
        <v>165207.00000000003</v>
      </c>
      <c r="AD45" s="287">
        <f t="shared" si="44"/>
        <v>-11260.900000000052</v>
      </c>
      <c r="AE45" s="288">
        <f t="shared" si="45"/>
        <v>-3.3149890789207923E-2</v>
      </c>
      <c r="AF45" s="3"/>
      <c r="AG45" s="3"/>
      <c r="AH45" s="3"/>
      <c r="AI45" s="3"/>
      <c r="AJ45" s="3"/>
      <c r="AK45" s="3"/>
      <c r="AL45" s="3"/>
      <c r="AM45" s="3"/>
      <c r="AN45" s="3"/>
      <c r="AO45" s="3"/>
      <c r="AP45" s="3"/>
      <c r="AQ45" s="3"/>
      <c r="AR45" s="3"/>
      <c r="AS45" s="18">
        <v>40543</v>
      </c>
      <c r="AT45" s="19">
        <f t="shared" si="46"/>
        <v>29058.104883675289</v>
      </c>
      <c r="AU45" s="19">
        <f t="shared" si="47"/>
        <v>21260</v>
      </c>
      <c r="AV45" s="19">
        <f t="shared" si="48"/>
        <v>7798.1048836752889</v>
      </c>
      <c r="AW45" s="3"/>
      <c r="AX45" s="3"/>
      <c r="AY45" s="3"/>
      <c r="AZ45" s="3"/>
      <c r="BA45" s="3"/>
      <c r="BB45" s="3"/>
      <c r="BC45" s="3"/>
      <c r="BD45" s="3"/>
      <c r="CI45" s="369"/>
      <c r="CJ45" s="369"/>
      <c r="CK45" s="369"/>
      <c r="CL45" s="369"/>
      <c r="CM45" s="369"/>
      <c r="CN45" s="369"/>
      <c r="CO45" s="369"/>
      <c r="CP45" s="369"/>
      <c r="CQ45" s="369"/>
      <c r="CR45" s="369"/>
      <c r="CS45" s="369"/>
      <c r="CT45" s="369"/>
      <c r="CU45" s="426" t="s">
        <v>1246</v>
      </c>
    </row>
    <row r="46" spans="1:99" ht="14.25" customHeight="1">
      <c r="A46" s="18">
        <v>42735</v>
      </c>
      <c r="B46" s="19">
        <v>63093.5</v>
      </c>
      <c r="C46" s="19">
        <v>4526.6000000000004</v>
      </c>
      <c r="D46" s="284">
        <f t="shared" si="40"/>
        <v>67620.100000000006</v>
      </c>
      <c r="E46" s="19">
        <v>12765.3</v>
      </c>
      <c r="F46" s="19">
        <v>7745.2</v>
      </c>
      <c r="G46" s="19">
        <v>327.3</v>
      </c>
      <c r="H46" s="19">
        <v>2044.9</v>
      </c>
      <c r="I46" s="19">
        <v>20456.900000000001</v>
      </c>
      <c r="J46" s="19">
        <v>21273.1</v>
      </c>
      <c r="K46" s="284">
        <f t="shared" si="41"/>
        <v>41730</v>
      </c>
      <c r="L46" s="19">
        <v>14.2</v>
      </c>
      <c r="M46" s="19">
        <v>2429.4</v>
      </c>
      <c r="N46" s="19">
        <v>9225.5</v>
      </c>
      <c r="O46" s="19">
        <v>888.3</v>
      </c>
      <c r="P46" s="19">
        <v>2698.6</v>
      </c>
      <c r="Q46" s="19">
        <v>0</v>
      </c>
      <c r="R46" s="19">
        <v>15669.1</v>
      </c>
      <c r="S46" s="19">
        <v>0</v>
      </c>
      <c r="T46" s="285">
        <f t="shared" si="42"/>
        <v>163157.9</v>
      </c>
      <c r="U46" s="19">
        <v>6261.6</v>
      </c>
      <c r="V46" s="19">
        <v>40066.400000000001</v>
      </c>
      <c r="W46" s="19">
        <v>12278</v>
      </c>
      <c r="X46" s="19">
        <v>28786.1</v>
      </c>
      <c r="Y46" s="19">
        <v>8094.4</v>
      </c>
      <c r="Z46" s="19">
        <v>10863.8</v>
      </c>
      <c r="AA46" s="19">
        <v>56026.3</v>
      </c>
      <c r="AB46" s="19">
        <v>4665.6000000000004</v>
      </c>
      <c r="AC46" s="286">
        <f t="shared" si="43"/>
        <v>167042.20000000001</v>
      </c>
      <c r="AD46" s="287">
        <f t="shared" si="44"/>
        <v>-3884.3000000000175</v>
      </c>
      <c r="AE46" s="288">
        <f t="shared" si="45"/>
        <v>-1.1061064160978181E-2</v>
      </c>
      <c r="AF46" s="3"/>
      <c r="AG46" s="3"/>
      <c r="AH46" s="3"/>
      <c r="AI46" s="3"/>
      <c r="AJ46" s="3"/>
      <c r="AK46" s="3"/>
      <c r="AL46" s="3"/>
      <c r="AM46" s="3"/>
      <c r="AN46" s="3"/>
      <c r="AO46" s="3"/>
      <c r="AP46" s="3"/>
      <c r="AQ46" s="3"/>
      <c r="AR46" s="3"/>
      <c r="AS46" s="18">
        <v>40908</v>
      </c>
      <c r="AT46" s="19">
        <f t="shared" si="46"/>
        <v>24456.139782561426</v>
      </c>
      <c r="AU46" s="19">
        <f t="shared" si="47"/>
        <v>26368.899999999994</v>
      </c>
      <c r="AV46" s="19">
        <f t="shared" si="48"/>
        <v>-1912.7602174385684</v>
      </c>
      <c r="AW46" s="3"/>
      <c r="AX46" s="3"/>
      <c r="AY46" s="3"/>
      <c r="AZ46" s="3"/>
      <c r="BA46" s="3"/>
      <c r="BB46" s="3"/>
      <c r="BC46" s="3"/>
      <c r="BD46" s="3"/>
      <c r="CI46" s="369"/>
      <c r="CJ46" s="369"/>
      <c r="CK46" s="369"/>
      <c r="CL46" s="369"/>
      <c r="CM46" s="369"/>
      <c r="CN46" s="369"/>
      <c r="CO46" s="369"/>
      <c r="CP46" s="369"/>
      <c r="CQ46" s="369"/>
      <c r="CR46" s="369"/>
      <c r="CS46" s="369"/>
      <c r="CT46" s="369"/>
      <c r="CU46" s="426" t="s">
        <v>1247</v>
      </c>
    </row>
    <row r="47" spans="1:99" ht="14.25" customHeight="1">
      <c r="A47" s="18">
        <v>43100</v>
      </c>
      <c r="B47" s="19">
        <v>67313.3</v>
      </c>
      <c r="C47" s="19">
        <v>4210.6000000000004</v>
      </c>
      <c r="D47" s="284">
        <f t="shared" si="40"/>
        <v>71523.900000000009</v>
      </c>
      <c r="E47" s="19">
        <v>12097.8</v>
      </c>
      <c r="F47" s="19">
        <v>8462.1</v>
      </c>
      <c r="G47" s="19">
        <v>340.09999999999997</v>
      </c>
      <c r="H47" s="19">
        <v>2088.6999999999998</v>
      </c>
      <c r="I47" s="19">
        <v>21216.7</v>
      </c>
      <c r="J47" s="19">
        <v>22417.1</v>
      </c>
      <c r="K47" s="284">
        <f t="shared" si="41"/>
        <v>43633.8</v>
      </c>
      <c r="L47" s="19">
        <v>8.3000000000000007</v>
      </c>
      <c r="M47" s="19">
        <v>1614</v>
      </c>
      <c r="N47" s="19">
        <v>10113.799999999999</v>
      </c>
      <c r="O47" s="19">
        <v>899.3</v>
      </c>
      <c r="P47" s="19">
        <v>2805.7</v>
      </c>
      <c r="Q47" s="19">
        <v>0</v>
      </c>
      <c r="R47" s="19">
        <v>15526.6</v>
      </c>
      <c r="S47" s="19">
        <v>0</v>
      </c>
      <c r="T47" s="285">
        <f t="shared" si="42"/>
        <v>169114.10000000003</v>
      </c>
      <c r="U47" s="19">
        <v>4714.5</v>
      </c>
      <c r="V47" s="19">
        <v>41760.6</v>
      </c>
      <c r="W47" s="19">
        <v>10116.1</v>
      </c>
      <c r="X47" s="19">
        <v>29481</v>
      </c>
      <c r="Y47" s="19">
        <v>7535.5</v>
      </c>
      <c r="Z47" s="19">
        <v>9793</v>
      </c>
      <c r="AA47" s="19">
        <v>57188.6</v>
      </c>
      <c r="AB47" s="19">
        <v>5611</v>
      </c>
      <c r="AC47" s="286">
        <f t="shared" si="43"/>
        <v>166200.29999999999</v>
      </c>
      <c r="AD47" s="287">
        <f t="shared" si="44"/>
        <v>2913.8000000000466</v>
      </c>
      <c r="AE47" s="288">
        <f t="shared" si="45"/>
        <v>7.9519421094693399E-3</v>
      </c>
      <c r="AF47" s="3"/>
      <c r="AG47" s="3"/>
      <c r="AH47" s="3"/>
      <c r="AI47" s="3"/>
      <c r="AJ47" s="3"/>
      <c r="AK47" s="3"/>
      <c r="AL47" s="3"/>
      <c r="AM47" s="3"/>
      <c r="AN47" s="3"/>
      <c r="AO47" s="3"/>
      <c r="AP47" s="3"/>
      <c r="AQ47" s="3"/>
      <c r="AR47" s="3"/>
      <c r="AS47" s="18">
        <v>41274</v>
      </c>
      <c r="AT47" s="19">
        <f t="shared" si="46"/>
        <v>17272.568529483222</v>
      </c>
      <c r="AU47" s="19">
        <f t="shared" si="47"/>
        <v>17693.900000000023</v>
      </c>
      <c r="AV47" s="19">
        <f t="shared" si="48"/>
        <v>-421.33147051680135</v>
      </c>
      <c r="AW47" s="3"/>
      <c r="AX47" s="3"/>
      <c r="AY47" s="3"/>
      <c r="AZ47" s="3"/>
      <c r="BA47" s="3"/>
      <c r="BB47" s="3"/>
      <c r="BC47" s="3"/>
      <c r="BD47" s="3"/>
      <c r="CI47" s="369"/>
      <c r="CJ47" s="369"/>
      <c r="CK47" s="369"/>
      <c r="CL47" s="369"/>
      <c r="CM47" s="369"/>
      <c r="CN47" s="369"/>
      <c r="CO47" s="369"/>
      <c r="CP47" s="369"/>
      <c r="CQ47" s="369"/>
      <c r="CR47" s="369"/>
      <c r="CS47" s="369"/>
      <c r="CT47" s="369"/>
      <c r="CU47" s="426" t="s">
        <v>1248</v>
      </c>
    </row>
    <row r="48" spans="1:99" ht="14.25" customHeight="1">
      <c r="A48" s="18">
        <v>43465</v>
      </c>
      <c r="B48" s="19">
        <v>72248.3</v>
      </c>
      <c r="C48" s="19">
        <v>4417.8</v>
      </c>
      <c r="D48" s="284">
        <f t="shared" si="40"/>
        <v>76666.100000000006</v>
      </c>
      <c r="E48" s="19">
        <v>13582.6</v>
      </c>
      <c r="F48" s="19">
        <v>8730.2000000000007</v>
      </c>
      <c r="G48" s="19">
        <v>351.2</v>
      </c>
      <c r="H48" s="19">
        <v>2111.6</v>
      </c>
      <c r="I48" s="19">
        <v>22066.5</v>
      </c>
      <c r="J48" s="19">
        <v>23841.200000000001</v>
      </c>
      <c r="K48" s="284">
        <f t="shared" si="41"/>
        <v>45907.7</v>
      </c>
      <c r="L48" s="19">
        <v>8.4</v>
      </c>
      <c r="M48" s="19">
        <v>2137.3000000000002</v>
      </c>
      <c r="N48" s="19">
        <v>7748.3</v>
      </c>
      <c r="O48" s="19">
        <v>844.8</v>
      </c>
      <c r="P48" s="19">
        <v>2512.4</v>
      </c>
      <c r="Q48" s="19">
        <v>0</v>
      </c>
      <c r="R48" s="19">
        <v>16597.8</v>
      </c>
      <c r="S48" s="19">
        <v>0</v>
      </c>
      <c r="T48" s="285">
        <f t="shared" si="42"/>
        <v>177198.40000000005</v>
      </c>
      <c r="U48" s="19">
        <v>6909.9</v>
      </c>
      <c r="V48" s="19">
        <v>44491.4</v>
      </c>
      <c r="W48" s="19">
        <v>13603.1</v>
      </c>
      <c r="X48" s="19">
        <v>30844.1</v>
      </c>
      <c r="Y48" s="19">
        <v>5176.3</v>
      </c>
      <c r="Z48" s="19">
        <v>8932</v>
      </c>
      <c r="AA48" s="19">
        <v>59516.5</v>
      </c>
      <c r="AB48" s="19">
        <v>6733.3</v>
      </c>
      <c r="AC48" s="286">
        <f t="shared" si="43"/>
        <v>176206.59999999998</v>
      </c>
      <c r="AD48" s="287">
        <f t="shared" si="44"/>
        <v>991.80000000007567</v>
      </c>
      <c r="AE48" s="288">
        <f t="shared" si="45"/>
        <v>2.5897925323540715E-3</v>
      </c>
      <c r="AF48" s="3"/>
      <c r="AG48" s="3"/>
      <c r="AH48" s="3"/>
      <c r="AI48" s="3"/>
      <c r="AJ48" s="3"/>
      <c r="AK48" s="3"/>
      <c r="AL48" s="3"/>
      <c r="AM48" s="3"/>
      <c r="AN48" s="3"/>
      <c r="AO48" s="3"/>
      <c r="AP48" s="3"/>
      <c r="AQ48" s="3"/>
      <c r="AR48" s="3"/>
      <c r="AS48" s="18">
        <v>41639</v>
      </c>
      <c r="AT48" s="19">
        <f t="shared" si="46"/>
        <v>37146.800375040213</v>
      </c>
      <c r="AU48" s="19">
        <f t="shared" si="47"/>
        <v>17677.299999999988</v>
      </c>
      <c r="AV48" s="19">
        <f t="shared" si="48"/>
        <v>19469.500375040225</v>
      </c>
      <c r="AW48" s="3"/>
      <c r="AX48" s="3"/>
      <c r="AY48" s="3"/>
      <c r="AZ48" s="3"/>
      <c r="BA48" s="3"/>
      <c r="BB48" s="3"/>
      <c r="BC48" s="3"/>
      <c r="BD48" s="3"/>
      <c r="CI48" s="369"/>
      <c r="CJ48" s="369"/>
      <c r="CK48" s="369"/>
      <c r="CL48" s="369"/>
      <c r="CM48" s="369"/>
      <c r="CN48" s="369"/>
      <c r="CO48" s="369"/>
      <c r="CP48" s="369"/>
      <c r="CQ48" s="369"/>
      <c r="CR48" s="369"/>
      <c r="CS48" s="369"/>
      <c r="CT48" s="369"/>
      <c r="CU48" s="426" t="s">
        <v>1249</v>
      </c>
    </row>
    <row r="49" spans="1:99" ht="14.25" customHeight="1">
      <c r="A49" s="293">
        <v>43830</v>
      </c>
      <c r="B49" s="294">
        <v>76224</v>
      </c>
      <c r="C49" s="294">
        <v>5065</v>
      </c>
      <c r="D49" s="295">
        <f t="shared" si="40"/>
        <v>81289</v>
      </c>
      <c r="E49" s="296">
        <f t="shared" ref="E49:G49" si="49">E48*(1+$E$94)</f>
        <v>14446.135489763501</v>
      </c>
      <c r="F49" s="296">
        <f t="shared" si="49"/>
        <v>9285.236409283445</v>
      </c>
      <c r="G49" s="296">
        <f t="shared" si="49"/>
        <v>373.52810095305324</v>
      </c>
      <c r="H49" s="296">
        <v>2151.6999999999998</v>
      </c>
      <c r="I49" s="294">
        <v>22417</v>
      </c>
      <c r="J49" s="294">
        <v>24947</v>
      </c>
      <c r="K49" s="297">
        <v>47364</v>
      </c>
      <c r="L49" s="294">
        <v>13</v>
      </c>
      <c r="M49" s="294">
        <v>3703</v>
      </c>
      <c r="N49" s="294">
        <v>9631</v>
      </c>
      <c r="O49" s="294">
        <v>839</v>
      </c>
      <c r="P49" s="294">
        <v>2640</v>
      </c>
      <c r="Q49" s="294">
        <v>0</v>
      </c>
      <c r="R49" s="294">
        <v>17970</v>
      </c>
      <c r="S49" s="294">
        <v>0</v>
      </c>
      <c r="T49" s="298">
        <f t="shared" si="42"/>
        <v>189705.60000000001</v>
      </c>
      <c r="U49" s="294">
        <v>7541</v>
      </c>
      <c r="V49" s="294">
        <v>47486</v>
      </c>
      <c r="W49" s="294">
        <v>17322</v>
      </c>
      <c r="X49" s="294">
        <v>33329</v>
      </c>
      <c r="Y49" s="294">
        <v>5371</v>
      </c>
      <c r="Z49" s="294">
        <v>8894</v>
      </c>
      <c r="AA49" s="294">
        <v>62205</v>
      </c>
      <c r="AB49" s="294">
        <v>6195</v>
      </c>
      <c r="AC49" s="299">
        <f t="shared" si="43"/>
        <v>188343</v>
      </c>
      <c r="AD49" s="287">
        <f t="shared" si="44"/>
        <v>1362.6000000000058</v>
      </c>
      <c r="AE49" s="288">
        <f t="shared" si="45"/>
        <v>3.4056264030558211E-3</v>
      </c>
      <c r="AF49" s="3"/>
      <c r="AG49" s="3"/>
      <c r="AH49" s="3"/>
      <c r="AI49" s="3"/>
      <c r="AJ49" s="3"/>
      <c r="AK49" s="3"/>
      <c r="AL49" s="3"/>
      <c r="AM49" s="3"/>
      <c r="AN49" s="3"/>
      <c r="AO49" s="3"/>
      <c r="AP49" s="3"/>
      <c r="AQ49" s="3"/>
      <c r="AR49" s="3"/>
      <c r="AS49" s="18">
        <v>42004</v>
      </c>
      <c r="AT49" s="19">
        <f t="shared" si="46"/>
        <v>11700.569470188522</v>
      </c>
      <c r="AU49" s="19">
        <f t="shared" si="47"/>
        <v>17724.999999999971</v>
      </c>
      <c r="AV49" s="19">
        <f t="shared" si="48"/>
        <v>-6024.4305298114487</v>
      </c>
      <c r="AW49" s="3"/>
      <c r="AX49" s="3"/>
      <c r="AY49" s="3"/>
      <c r="AZ49" s="3"/>
      <c r="BA49" s="3"/>
      <c r="BB49" s="3"/>
      <c r="BC49" s="3"/>
      <c r="BD49" s="3"/>
      <c r="CI49" s="369"/>
      <c r="CJ49" s="369"/>
      <c r="CK49" s="369"/>
      <c r="CL49" s="369"/>
      <c r="CM49" s="369"/>
      <c r="CN49" s="369"/>
      <c r="CO49" s="369"/>
      <c r="CP49" s="369"/>
      <c r="CQ49" s="369"/>
      <c r="CR49" s="369"/>
      <c r="CS49" s="369"/>
      <c r="CT49" s="369"/>
      <c r="CU49" s="426" t="s">
        <v>1250</v>
      </c>
    </row>
    <row r="50" spans="1:99" ht="14.25" customHeight="1" thickBot="1">
      <c r="A50" s="18">
        <v>44196</v>
      </c>
      <c r="B50" s="302"/>
      <c r="C50" s="302"/>
      <c r="D50" s="304">
        <f>SUM(bdp!AS109:AS112)*21%</f>
        <v>61685.140450269144</v>
      </c>
      <c r="E50" s="89">
        <f>AVERAGE(nezaposlenost!BF27:BI27)*AVERAGE(place!Z91:Z94)*12/1000000*9%</f>
        <v>12922.338626939647</v>
      </c>
      <c r="F50" s="64">
        <f>F49*70%</f>
        <v>6499.6654864984112</v>
      </c>
      <c r="G50" s="89">
        <f t="shared" ref="G50:H50" si="50">G49</f>
        <v>373.52810095305324</v>
      </c>
      <c r="H50" s="89">
        <f t="shared" si="50"/>
        <v>2151.6999999999998</v>
      </c>
      <c r="I50" s="302"/>
      <c r="J50" s="302"/>
      <c r="K50" s="304">
        <f>AVERAGE(nezaposlenost!BF27:BI27)*AVERAGE(place!Z91:Z94)*12/1000000*29%</f>
        <v>41638.646686805529</v>
      </c>
      <c r="L50" s="304">
        <f t="shared" ref="L50:M50" si="51">L49</f>
        <v>13</v>
      </c>
      <c r="M50" s="308">
        <f t="shared" si="51"/>
        <v>3703</v>
      </c>
      <c r="N50" s="308">
        <f>N49+8800</f>
        <v>18431</v>
      </c>
      <c r="O50" s="308">
        <f t="shared" ref="O50:S50" si="52">O49</f>
        <v>839</v>
      </c>
      <c r="P50" s="308">
        <f t="shared" si="52"/>
        <v>2640</v>
      </c>
      <c r="Q50" s="308">
        <f t="shared" si="52"/>
        <v>0</v>
      </c>
      <c r="R50" s="308">
        <f t="shared" si="52"/>
        <v>17970</v>
      </c>
      <c r="S50" s="308">
        <f t="shared" si="52"/>
        <v>0</v>
      </c>
      <c r="T50" s="309">
        <f t="shared" si="42"/>
        <v>168867.01935146583</v>
      </c>
      <c r="U50" s="89">
        <f>U49</f>
        <v>7541</v>
      </c>
      <c r="V50" s="89">
        <f>V49*102%</f>
        <v>48435.72</v>
      </c>
      <c r="W50" s="89">
        <f>W49</f>
        <v>17322</v>
      </c>
      <c r="X50" s="89">
        <f>X49*95%</f>
        <v>31662.55</v>
      </c>
      <c r="Y50" s="89">
        <f t="shared" ref="Y50" si="53">Y49</f>
        <v>5371</v>
      </c>
      <c r="Z50" s="89">
        <f>Z49+CF30/1000000-CS30/1000000</f>
        <v>7817.7461250000006</v>
      </c>
      <c r="AA50" s="310">
        <v>66425</v>
      </c>
      <c r="AB50" s="89">
        <f>AB49+BU10/1000000</f>
        <v>15689.744903125</v>
      </c>
      <c r="AC50" s="311">
        <f>SUM(U50:AB50)</f>
        <v>200264.76102812501</v>
      </c>
      <c r="AD50" s="287">
        <f>T50-AC50</f>
        <v>-31397.741676659178</v>
      </c>
      <c r="AE50" s="288">
        <f t="shared" si="45"/>
        <v>-9.2481923844476024E-2</v>
      </c>
      <c r="AF50" s="3"/>
      <c r="AG50" s="3"/>
      <c r="AH50" s="3"/>
      <c r="AI50" s="3"/>
      <c r="AJ50" s="3"/>
      <c r="AK50" s="3"/>
      <c r="AL50" s="3"/>
      <c r="AM50" s="3"/>
      <c r="AN50" s="3"/>
      <c r="AO50" s="3"/>
      <c r="AP50" s="3"/>
      <c r="AQ50" s="3"/>
      <c r="AR50" s="3"/>
      <c r="AS50" s="18">
        <v>42369</v>
      </c>
      <c r="AT50" s="19">
        <f t="shared" si="46"/>
        <v>5802.4702626041835</v>
      </c>
      <c r="AU50" s="19">
        <f t="shared" si="47"/>
        <v>11260.900000000052</v>
      </c>
      <c r="AV50" s="19">
        <f t="shared" si="48"/>
        <v>-5458.4297373958689</v>
      </c>
      <c r="AW50" s="3"/>
      <c r="AX50" s="3"/>
      <c r="AY50" s="3"/>
      <c r="AZ50" s="3"/>
      <c r="BA50" s="3"/>
      <c r="BB50" s="3"/>
      <c r="BC50" s="3"/>
      <c r="BD50" s="3"/>
      <c r="CI50" s="369"/>
      <c r="CJ50" s="369"/>
      <c r="CK50" s="369"/>
      <c r="CL50" s="369"/>
      <c r="CM50" s="369"/>
      <c r="CN50" s="369"/>
      <c r="CO50" s="369"/>
      <c r="CP50" s="369"/>
      <c r="CQ50" s="369"/>
      <c r="CR50" s="369"/>
      <c r="CS50" s="369"/>
      <c r="CT50" s="369"/>
      <c r="CU50" s="427" t="s">
        <v>1251</v>
      </c>
    </row>
    <row r="51" spans="1:99" ht="14.25" customHeight="1">
      <c r="M51" s="506" t="s">
        <v>1102</v>
      </c>
      <c r="N51" s="507"/>
      <c r="O51" s="507"/>
      <c r="P51" s="507"/>
      <c r="Q51" s="507"/>
      <c r="R51" s="507"/>
      <c r="S51" s="508"/>
      <c r="U51" s="539" t="s">
        <v>1103</v>
      </c>
      <c r="V51" s="507"/>
      <c r="W51" s="507"/>
      <c r="X51" s="507"/>
      <c r="Y51" s="507"/>
      <c r="Z51" s="507"/>
      <c r="AA51" s="507"/>
      <c r="AB51" s="508"/>
      <c r="AF51" s="3"/>
      <c r="AG51" s="3" t="s">
        <v>9</v>
      </c>
      <c r="AH51" s="3" t="s">
        <v>1302</v>
      </c>
      <c r="AI51" s="3" t="s">
        <v>1056</v>
      </c>
      <c r="AJ51" s="3" t="s">
        <v>1303</v>
      </c>
      <c r="AK51" s="3"/>
      <c r="AL51" s="3" t="s">
        <v>9</v>
      </c>
      <c r="AM51" s="3" t="s">
        <v>1303</v>
      </c>
      <c r="AN51" s="3" t="s">
        <v>1304</v>
      </c>
      <c r="AO51" s="3"/>
      <c r="AP51" s="3"/>
      <c r="AQ51" s="3"/>
      <c r="AR51" s="3"/>
      <c r="AS51" s="18">
        <v>42735</v>
      </c>
      <c r="AT51" s="19">
        <f t="shared" si="46"/>
        <v>-2657.4266513478942</v>
      </c>
      <c r="AU51" s="19">
        <f t="shared" si="47"/>
        <v>3884.3000000000175</v>
      </c>
      <c r="AV51" s="19">
        <f t="shared" si="48"/>
        <v>-6541.7266513479117</v>
      </c>
      <c r="AW51" s="3"/>
      <c r="AX51" s="3"/>
      <c r="AY51" s="3"/>
      <c r="AZ51" s="3"/>
      <c r="BA51" s="3"/>
      <c r="BB51" s="3"/>
      <c r="BC51" s="3"/>
      <c r="BD51" s="3"/>
    </row>
    <row r="52" spans="1:99" ht="14.25" customHeight="1">
      <c r="A52" s="3"/>
      <c r="B52" s="3"/>
      <c r="C52" s="3"/>
      <c r="D52" s="3"/>
      <c r="E52" s="3"/>
      <c r="F52" s="3"/>
      <c r="G52" s="3"/>
      <c r="H52" s="3"/>
      <c r="I52" s="3"/>
      <c r="J52" s="3"/>
      <c r="K52" s="3"/>
      <c r="L52" s="3"/>
      <c r="M52" s="258"/>
      <c r="N52" s="258"/>
      <c r="O52" s="258"/>
      <c r="P52" s="258"/>
      <c r="Q52" s="258"/>
      <c r="R52" s="258"/>
      <c r="S52" s="258"/>
      <c r="T52" s="3"/>
      <c r="U52" s="258"/>
      <c r="V52" s="258"/>
      <c r="W52" s="258"/>
      <c r="X52" s="258"/>
      <c r="Y52" s="258"/>
      <c r="Z52" s="258"/>
      <c r="AA52" s="258"/>
      <c r="AB52" s="258"/>
      <c r="AC52" s="3"/>
      <c r="AD52" s="3"/>
      <c r="AE52" s="3"/>
      <c r="AF52" s="3"/>
      <c r="AG52" s="18">
        <v>37621</v>
      </c>
      <c r="AH52" s="480">
        <f t="shared" ref="AH52:AH68" si="54">T32</f>
        <v>100126.7</v>
      </c>
      <c r="AI52" s="480">
        <f t="shared" ref="AI52:AI68" si="55">AC32</f>
        <v>107070.8</v>
      </c>
      <c r="AJ52" s="19">
        <f>AD32</f>
        <v>-6944.1000000000058</v>
      </c>
      <c r="AK52" s="3"/>
      <c r="AL52" s="18">
        <v>37621</v>
      </c>
      <c r="AM52" s="97">
        <f>AE6</f>
        <v>-3.2897096359012952E-2</v>
      </c>
      <c r="AN52" s="482">
        <f>AY13</f>
        <v>0.36798117134690034</v>
      </c>
      <c r="AO52" s="3"/>
      <c r="AP52" s="3"/>
      <c r="AQ52" s="3"/>
      <c r="AR52" s="3"/>
      <c r="AS52" s="18">
        <v>43100</v>
      </c>
      <c r="AT52" s="19">
        <f t="shared" si="46"/>
        <v>1166.8953191431356</v>
      </c>
      <c r="AU52" s="19">
        <f t="shared" si="47"/>
        <v>-2913.8000000000466</v>
      </c>
      <c r="AV52" s="19">
        <f t="shared" si="48"/>
        <v>4080.6953191431821</v>
      </c>
      <c r="AW52" s="3"/>
      <c r="AX52" s="3"/>
      <c r="AY52" s="3"/>
      <c r="AZ52" s="3"/>
      <c r="BA52" s="3"/>
      <c r="BB52" s="3"/>
      <c r="BC52" s="3"/>
      <c r="BD52" s="3"/>
    </row>
    <row r="53" spans="1:99" ht="14.25" customHeight="1">
      <c r="A53" s="561" t="s">
        <v>7</v>
      </c>
      <c r="B53" s="507"/>
      <c r="C53" s="507"/>
      <c r="D53" s="507"/>
      <c r="E53" s="507"/>
      <c r="F53" s="507"/>
      <c r="G53" s="507"/>
      <c r="H53" s="507"/>
      <c r="I53" s="507"/>
      <c r="J53" s="507"/>
      <c r="K53" s="507"/>
      <c r="L53" s="507"/>
      <c r="M53" s="507"/>
      <c r="N53" s="507"/>
      <c r="O53" s="507"/>
      <c r="P53" s="507"/>
      <c r="Q53" s="507"/>
      <c r="R53" s="507"/>
      <c r="S53" s="507"/>
      <c r="T53" s="507"/>
      <c r="U53" s="507"/>
      <c r="V53" s="507"/>
      <c r="W53" s="507"/>
      <c r="X53" s="507"/>
      <c r="Y53" s="507"/>
      <c r="Z53" s="507"/>
      <c r="AA53" s="507"/>
      <c r="AB53" s="507"/>
      <c r="AC53" s="507"/>
      <c r="AD53" s="507"/>
      <c r="AE53" s="508"/>
      <c r="AF53" s="3"/>
      <c r="AG53" s="18">
        <v>37986</v>
      </c>
      <c r="AH53" s="480">
        <f t="shared" si="54"/>
        <v>105878.9</v>
      </c>
      <c r="AI53" s="480">
        <f t="shared" si="55"/>
        <v>116392.89999999998</v>
      </c>
      <c r="AJ53" s="19">
        <f t="shared" ref="AJ53:AJ69" si="56">AD33</f>
        <v>-10513.999999999985</v>
      </c>
      <c r="AK53" s="3"/>
      <c r="AL53" s="18">
        <v>37986</v>
      </c>
      <c r="AM53" s="97">
        <f t="shared" ref="AM53:AM69" si="57">AE7</f>
        <v>-4.5207287035546509E-2</v>
      </c>
      <c r="AN53" s="482">
        <f t="shared" ref="AN53:AN69" si="58">AY14</f>
        <v>0.38179168144341324</v>
      </c>
      <c r="AO53" s="3"/>
      <c r="AP53" s="3"/>
      <c r="AQ53" s="3"/>
      <c r="AR53" s="3"/>
      <c r="AS53" s="18">
        <v>43465</v>
      </c>
      <c r="AT53" s="19">
        <f t="shared" si="46"/>
        <v>1218.107869726955</v>
      </c>
      <c r="AU53" s="19">
        <f t="shared" si="47"/>
        <v>-991.80000000007567</v>
      </c>
      <c r="AV53" s="19">
        <f t="shared" si="48"/>
        <v>2209.9078697270306</v>
      </c>
      <c r="AW53" s="3"/>
      <c r="AX53" s="3"/>
      <c r="AY53" s="3"/>
      <c r="AZ53" s="3"/>
      <c r="BA53" s="3"/>
      <c r="BB53" s="3"/>
      <c r="BC53" s="3"/>
      <c r="BD53" s="3"/>
    </row>
    <row r="54" spans="1:99" ht="14.25" customHeight="1">
      <c r="A54" s="3" t="s">
        <v>28</v>
      </c>
      <c r="B54" s="542" t="s">
        <v>1053</v>
      </c>
      <c r="C54" s="507"/>
      <c r="D54" s="507"/>
      <c r="E54" s="507"/>
      <c r="F54" s="507"/>
      <c r="G54" s="507"/>
      <c r="H54" s="507"/>
      <c r="I54" s="507"/>
      <c r="J54" s="507"/>
      <c r="K54" s="507"/>
      <c r="L54" s="508"/>
      <c r="M54" s="543" t="s">
        <v>1054</v>
      </c>
      <c r="N54" s="507"/>
      <c r="O54" s="507"/>
      <c r="P54" s="507"/>
      <c r="Q54" s="507"/>
      <c r="R54" s="507"/>
      <c r="S54" s="508"/>
      <c r="T54" s="544" t="s">
        <v>1055</v>
      </c>
      <c r="U54" s="546" t="s">
        <v>1056</v>
      </c>
      <c r="V54" s="547"/>
      <c r="W54" s="547"/>
      <c r="X54" s="547"/>
      <c r="Y54" s="547"/>
      <c r="Z54" s="547"/>
      <c r="AA54" s="547"/>
      <c r="AB54" s="548"/>
      <c r="AC54" s="554" t="s">
        <v>1057</v>
      </c>
      <c r="AD54" s="555" t="s">
        <v>1058</v>
      </c>
      <c r="AE54" s="3"/>
      <c r="AF54" s="3"/>
      <c r="AG54" s="18">
        <v>38352</v>
      </c>
      <c r="AH54" s="480">
        <f t="shared" si="54"/>
        <v>110104.59999999999</v>
      </c>
      <c r="AI54" s="480">
        <f t="shared" si="55"/>
        <v>122570.2</v>
      </c>
      <c r="AJ54" s="19">
        <f t="shared" si="56"/>
        <v>-12465.600000000006</v>
      </c>
      <c r="AK54" s="3"/>
      <c r="AL54" s="18">
        <v>38352</v>
      </c>
      <c r="AM54" s="97">
        <f t="shared" si="57"/>
        <v>-4.9665070740932155E-2</v>
      </c>
      <c r="AN54" s="482">
        <f t="shared" si="58"/>
        <v>0.40309439382790474</v>
      </c>
      <c r="AO54" s="3"/>
      <c r="AP54" s="3"/>
      <c r="AQ54" s="3"/>
      <c r="AR54" s="3"/>
      <c r="AS54" s="18">
        <v>43830</v>
      </c>
      <c r="AT54" s="19">
        <f t="shared" si="46"/>
        <v>6881.9216579805361</v>
      </c>
      <c r="AU54" s="19">
        <f t="shared" si="47"/>
        <v>-1362.6000000000058</v>
      </c>
      <c r="AV54" s="19">
        <f t="shared" si="48"/>
        <v>8244.5216579805419</v>
      </c>
      <c r="AW54" s="3"/>
      <c r="AX54" s="3"/>
      <c r="AY54" s="3"/>
      <c r="AZ54" s="3"/>
      <c r="BA54" s="3"/>
      <c r="BB54" s="3"/>
      <c r="BC54" s="3"/>
      <c r="BD54" s="3"/>
    </row>
    <row r="55" spans="1:99" ht="14.25" customHeight="1">
      <c r="A55" s="3" t="s">
        <v>29</v>
      </c>
      <c r="B55" s="556" t="s">
        <v>1059</v>
      </c>
      <c r="C55" s="507"/>
      <c r="D55" s="508"/>
      <c r="E55" s="557" t="s">
        <v>1060</v>
      </c>
      <c r="F55" s="507"/>
      <c r="G55" s="507"/>
      <c r="H55" s="508"/>
      <c r="I55" s="558" t="s">
        <v>1061</v>
      </c>
      <c r="J55" s="507"/>
      <c r="K55" s="508"/>
      <c r="L55" s="273" t="s">
        <v>1062</v>
      </c>
      <c r="M55" s="185" t="s">
        <v>1063</v>
      </c>
      <c r="N55" s="185" t="s">
        <v>1064</v>
      </c>
      <c r="O55" s="275" t="s">
        <v>1065</v>
      </c>
      <c r="P55" s="275" t="s">
        <v>1065</v>
      </c>
      <c r="Q55" s="185" t="s">
        <v>1066</v>
      </c>
      <c r="R55" s="185" t="s">
        <v>1067</v>
      </c>
      <c r="S55" s="185" t="s">
        <v>1068</v>
      </c>
      <c r="T55" s="545"/>
      <c r="U55" s="549"/>
      <c r="V55" s="515"/>
      <c r="W55" s="515"/>
      <c r="X55" s="515"/>
      <c r="Y55" s="515"/>
      <c r="Z55" s="515"/>
      <c r="AA55" s="515"/>
      <c r="AB55" s="550"/>
      <c r="AC55" s="545"/>
      <c r="AD55" s="545"/>
      <c r="AE55" s="185"/>
      <c r="AF55" s="3"/>
      <c r="AG55" s="18">
        <v>38717</v>
      </c>
      <c r="AH55" s="480">
        <f t="shared" si="54"/>
        <v>116803.4</v>
      </c>
      <c r="AI55" s="480">
        <f t="shared" si="55"/>
        <v>126700.7</v>
      </c>
      <c r="AJ55" s="19">
        <f t="shared" si="56"/>
        <v>-9897.3000000000029</v>
      </c>
      <c r="AK55" s="3"/>
      <c r="AL55" s="18">
        <v>38717</v>
      </c>
      <c r="AM55" s="97">
        <f t="shared" si="57"/>
        <v>-3.6654660509326496E-2</v>
      </c>
      <c r="AN55" s="482">
        <f t="shared" si="58"/>
        <v>0.41259305085363696</v>
      </c>
      <c r="AO55" s="3"/>
      <c r="AP55" s="3"/>
      <c r="AQ55" s="3"/>
      <c r="AR55" s="3"/>
      <c r="AS55" s="18"/>
      <c r="AT55" s="19"/>
      <c r="AU55" s="19"/>
      <c r="AV55" s="3"/>
      <c r="AW55" s="3"/>
      <c r="AX55" s="3"/>
      <c r="AY55" s="3"/>
      <c r="AZ55" s="3"/>
      <c r="BA55" s="3"/>
      <c r="BB55" s="3"/>
      <c r="BC55" s="3"/>
      <c r="BD55" s="3"/>
    </row>
    <row r="56" spans="1:99" ht="14.25" customHeight="1">
      <c r="A56" s="18" t="s">
        <v>30</v>
      </c>
      <c r="B56" s="185" t="s">
        <v>1069</v>
      </c>
      <c r="C56" s="185" t="s">
        <v>1070</v>
      </c>
      <c r="D56" s="276" t="s">
        <v>1059</v>
      </c>
      <c r="E56" s="559" t="s">
        <v>1071</v>
      </c>
      <c r="F56" s="507"/>
      <c r="G56" s="508"/>
      <c r="H56" s="185" t="s">
        <v>1072</v>
      </c>
      <c r="I56" s="185" t="s">
        <v>1073</v>
      </c>
      <c r="J56" s="185" t="s">
        <v>1074</v>
      </c>
      <c r="K56" s="277" t="s">
        <v>1061</v>
      </c>
      <c r="L56" s="185" t="s">
        <v>1075</v>
      </c>
      <c r="M56" s="185" t="s">
        <v>1076</v>
      </c>
      <c r="N56" s="185" t="s">
        <v>1064</v>
      </c>
      <c r="O56" s="185" t="s">
        <v>1077</v>
      </c>
      <c r="P56" s="185" t="s">
        <v>1078</v>
      </c>
      <c r="Q56" s="185" t="s">
        <v>1066</v>
      </c>
      <c r="R56" s="185" t="s">
        <v>1079</v>
      </c>
      <c r="S56" s="185" t="s">
        <v>1068</v>
      </c>
      <c r="T56" s="545"/>
      <c r="U56" s="551"/>
      <c r="V56" s="552"/>
      <c r="W56" s="552"/>
      <c r="X56" s="552"/>
      <c r="Y56" s="552"/>
      <c r="Z56" s="552"/>
      <c r="AA56" s="552"/>
      <c r="AB56" s="553"/>
      <c r="AC56" s="545"/>
      <c r="AD56" s="545"/>
      <c r="AE56" s="278"/>
      <c r="AF56" s="3"/>
      <c r="AG56" s="18">
        <v>39082</v>
      </c>
      <c r="AH56" s="480">
        <f t="shared" si="54"/>
        <v>127695.59999999999</v>
      </c>
      <c r="AI56" s="480">
        <f t="shared" si="55"/>
        <v>136918.6</v>
      </c>
      <c r="AJ56" s="19">
        <f t="shared" si="56"/>
        <v>-9223.0000000000146</v>
      </c>
      <c r="AK56" s="3"/>
      <c r="AL56" s="18">
        <v>39082</v>
      </c>
      <c r="AM56" s="97">
        <f t="shared" si="57"/>
        <v>-3.13233528765521E-2</v>
      </c>
      <c r="AN56" s="482">
        <f t="shared" si="58"/>
        <v>0.3874722065102536</v>
      </c>
      <c r="AO56" s="3"/>
      <c r="AP56" s="3"/>
      <c r="AQ56" s="3"/>
      <c r="AR56" s="3"/>
      <c r="AT56" s="3"/>
      <c r="AU56" s="3"/>
      <c r="AV56" s="3"/>
      <c r="AW56" s="3"/>
      <c r="AX56" s="3"/>
      <c r="AY56" s="3"/>
      <c r="AZ56" s="3"/>
      <c r="BA56" s="3"/>
      <c r="BB56" s="3"/>
      <c r="BC56" s="3"/>
      <c r="BD56" s="3"/>
    </row>
    <row r="57" spans="1:99" ht="14.25" customHeight="1">
      <c r="A57" s="18"/>
      <c r="B57" s="185"/>
      <c r="C57" s="185"/>
      <c r="D57" s="276" t="s">
        <v>1059</v>
      </c>
      <c r="E57" s="185" t="s">
        <v>1083</v>
      </c>
      <c r="F57" s="185" t="s">
        <v>1084</v>
      </c>
      <c r="G57" s="185" t="s">
        <v>1085</v>
      </c>
      <c r="H57" s="185" t="s">
        <v>1072</v>
      </c>
      <c r="I57" s="185" t="s">
        <v>1073</v>
      </c>
      <c r="J57" s="185" t="s">
        <v>1074</v>
      </c>
      <c r="K57" s="277" t="s">
        <v>1061</v>
      </c>
      <c r="L57" s="185" t="s">
        <v>1075</v>
      </c>
      <c r="M57" s="185" t="s">
        <v>1076</v>
      </c>
      <c r="N57" s="185" t="s">
        <v>1064</v>
      </c>
      <c r="O57" s="185" t="s">
        <v>1077</v>
      </c>
      <c r="P57" s="185" t="s">
        <v>1078</v>
      </c>
      <c r="Q57" s="185" t="s">
        <v>1066</v>
      </c>
      <c r="R57" s="185" t="s">
        <v>1079</v>
      </c>
      <c r="S57" s="185" t="s">
        <v>1068</v>
      </c>
      <c r="T57" s="518"/>
      <c r="U57" s="185" t="s">
        <v>1063</v>
      </c>
      <c r="V57" s="185" t="s">
        <v>629</v>
      </c>
      <c r="W57" s="185" t="s">
        <v>1086</v>
      </c>
      <c r="X57" s="185" t="s">
        <v>1087</v>
      </c>
      <c r="Y57" s="185" t="s">
        <v>1064</v>
      </c>
      <c r="Z57" s="185" t="s">
        <v>1065</v>
      </c>
      <c r="AA57" s="185" t="s">
        <v>1088</v>
      </c>
      <c r="AB57" s="185" t="s">
        <v>1089</v>
      </c>
      <c r="AC57" s="518"/>
      <c r="AD57" s="518"/>
      <c r="AE57" s="280" t="s">
        <v>648</v>
      </c>
      <c r="AF57" s="3"/>
      <c r="AG57" s="18">
        <v>39447</v>
      </c>
      <c r="AH57" s="480">
        <f t="shared" si="54"/>
        <v>139902.20000000001</v>
      </c>
      <c r="AI57" s="480">
        <f t="shared" si="55"/>
        <v>147098.70000000001</v>
      </c>
      <c r="AJ57" s="19">
        <f t="shared" si="56"/>
        <v>-7196.5</v>
      </c>
      <c r="AK57" s="3"/>
      <c r="AL57" s="18">
        <v>39447</v>
      </c>
      <c r="AM57" s="97">
        <f t="shared" si="57"/>
        <v>-2.2294595711018328E-2</v>
      </c>
      <c r="AN57" s="482">
        <f t="shared" si="58"/>
        <v>0.37353404144202751</v>
      </c>
      <c r="AO57" s="3"/>
      <c r="AP57" s="3"/>
      <c r="AQ57" s="3"/>
      <c r="AR57" s="3"/>
      <c r="AT57" s="3"/>
      <c r="AU57" s="3"/>
      <c r="AV57" s="3"/>
      <c r="AW57" s="3"/>
      <c r="AX57" s="3"/>
      <c r="AY57" s="3"/>
      <c r="AZ57" s="3"/>
      <c r="BA57" s="3"/>
      <c r="BB57" s="3"/>
      <c r="BC57" s="3"/>
      <c r="BD57" s="3"/>
    </row>
    <row r="58" spans="1:99" ht="14.25" customHeight="1">
      <c r="A58" s="18">
        <v>37621</v>
      </c>
      <c r="B58" s="19">
        <v>39417.599999999999</v>
      </c>
      <c r="C58" s="19">
        <v>1917.1</v>
      </c>
      <c r="D58" s="284">
        <f t="shared" ref="D58:D75" si="59">B58+C58</f>
        <v>41334.699999999997</v>
      </c>
      <c r="E58" s="19">
        <v>8030.2</v>
      </c>
      <c r="F58" s="19">
        <v>3843.4</v>
      </c>
      <c r="G58" s="19">
        <v>0</v>
      </c>
      <c r="H58" s="19">
        <v>1193.9000000000001</v>
      </c>
      <c r="I58" s="19">
        <v>13164.6</v>
      </c>
      <c r="J58" s="19">
        <v>12035.5</v>
      </c>
      <c r="K58" s="284">
        <f t="shared" ref="K58:K74" si="60">I58+J58</f>
        <v>25200.1</v>
      </c>
      <c r="L58" s="19">
        <v>1.9</v>
      </c>
      <c r="M58" s="19">
        <v>1479.9</v>
      </c>
      <c r="N58" s="19">
        <v>7317.3</v>
      </c>
      <c r="O58" s="19">
        <v>579.79999999999995</v>
      </c>
      <c r="P58" s="19">
        <v>2100.9</v>
      </c>
      <c r="Q58" s="19">
        <v>0</v>
      </c>
      <c r="R58" s="19">
        <v>9044.6</v>
      </c>
      <c r="S58" s="19">
        <v>0</v>
      </c>
      <c r="T58" s="285">
        <f t="shared" ref="T58:T76" si="61">SUM(K58:S58,D58:H58)</f>
        <v>100126.7</v>
      </c>
      <c r="U58" s="19">
        <v>5268.2</v>
      </c>
      <c r="V58" s="19">
        <v>25388.3</v>
      </c>
      <c r="W58" s="19">
        <v>11745.8</v>
      </c>
      <c r="X58" s="19">
        <v>16633</v>
      </c>
      <c r="Y58" s="19">
        <v>2142.5</v>
      </c>
      <c r="Z58" s="19">
        <v>3498.1</v>
      </c>
      <c r="AA58" s="19">
        <v>37779.4</v>
      </c>
      <c r="AB58" s="19">
        <v>4615.5</v>
      </c>
      <c r="AC58" s="286">
        <f t="shared" ref="AC58:AC76" si="62">SUM(U58:AB58)</f>
        <v>107070.8</v>
      </c>
      <c r="AD58" s="287">
        <f t="shared" ref="AD58:AD76" si="63">T58-AC58</f>
        <v>-6944.1000000000058</v>
      </c>
      <c r="AE58" s="288">
        <f t="shared" ref="AE58:AE76" si="64">AD58/(C98+D98)</f>
        <v>-3.2897096359012952E-2</v>
      </c>
      <c r="AF58" s="3"/>
      <c r="AG58" s="18">
        <v>39813</v>
      </c>
      <c r="AH58" s="480">
        <f t="shared" si="54"/>
        <v>149174.70000000001</v>
      </c>
      <c r="AI58" s="480">
        <f t="shared" si="55"/>
        <v>158965.70000000001</v>
      </c>
      <c r="AJ58" s="19">
        <f t="shared" si="56"/>
        <v>-9791</v>
      </c>
      <c r="AK58" s="3"/>
      <c r="AL58" s="18">
        <v>39813</v>
      </c>
      <c r="AM58" s="97">
        <f t="shared" si="57"/>
        <v>-2.8237694661230842E-2</v>
      </c>
      <c r="AN58" s="482">
        <f t="shared" si="58"/>
        <v>0.39280963603624736</v>
      </c>
      <c r="AO58" s="3"/>
      <c r="AP58" s="3"/>
      <c r="AQ58" s="3"/>
      <c r="AR58" s="3"/>
      <c r="AT58" s="3"/>
      <c r="AU58" s="3"/>
      <c r="AV58" s="3"/>
      <c r="AW58" s="3"/>
      <c r="AX58" s="3"/>
      <c r="AY58" s="3"/>
      <c r="AZ58" s="3"/>
      <c r="BA58" s="3"/>
      <c r="BB58" s="3"/>
      <c r="BC58" s="3"/>
      <c r="BD58" s="3"/>
    </row>
    <row r="59" spans="1:99" ht="14.25" customHeight="1">
      <c r="A59" s="18">
        <v>37986</v>
      </c>
      <c r="B59" s="19">
        <v>42404.4</v>
      </c>
      <c r="C59" s="19">
        <v>2074.4</v>
      </c>
      <c r="D59" s="284">
        <f t="shared" si="59"/>
        <v>44478.8</v>
      </c>
      <c r="E59" s="19">
        <v>8440</v>
      </c>
      <c r="F59" s="19">
        <v>4491.8999999999996</v>
      </c>
      <c r="G59" s="19">
        <v>0</v>
      </c>
      <c r="H59" s="19">
        <v>1436.4</v>
      </c>
      <c r="I59" s="19">
        <v>14326.7</v>
      </c>
      <c r="J59" s="19">
        <v>13097.9</v>
      </c>
      <c r="K59" s="284">
        <f t="shared" si="60"/>
        <v>27424.6</v>
      </c>
      <c r="L59" s="19">
        <v>1.9</v>
      </c>
      <c r="M59" s="19">
        <v>1192.9000000000001</v>
      </c>
      <c r="N59" s="19">
        <v>6028.5</v>
      </c>
      <c r="O59" s="19">
        <v>752.1</v>
      </c>
      <c r="P59" s="19">
        <v>2293.4</v>
      </c>
      <c r="Q59" s="19">
        <v>0</v>
      </c>
      <c r="R59" s="19">
        <v>9338.4</v>
      </c>
      <c r="S59" s="19">
        <v>0</v>
      </c>
      <c r="T59" s="285">
        <f t="shared" si="61"/>
        <v>105878.9</v>
      </c>
      <c r="U59" s="19">
        <v>4953.8</v>
      </c>
      <c r="V59" s="19">
        <v>27265.8</v>
      </c>
      <c r="W59" s="19">
        <v>17123.3</v>
      </c>
      <c r="X59" s="19">
        <v>16853.2</v>
      </c>
      <c r="Y59" s="19">
        <v>6018.2</v>
      </c>
      <c r="Z59" s="19">
        <v>3901</v>
      </c>
      <c r="AA59" s="19">
        <v>35345.199999999997</v>
      </c>
      <c r="AB59" s="19">
        <v>4932.3999999999996</v>
      </c>
      <c r="AC59" s="286">
        <f t="shared" si="62"/>
        <v>116392.89999999998</v>
      </c>
      <c r="AD59" s="287">
        <f t="shared" si="63"/>
        <v>-10513.999999999985</v>
      </c>
      <c r="AE59" s="288">
        <f t="shared" si="64"/>
        <v>-4.5207287035546509E-2</v>
      </c>
      <c r="AF59" s="3"/>
      <c r="AG59" s="18">
        <v>40178</v>
      </c>
      <c r="AH59" s="480">
        <f t="shared" si="54"/>
        <v>141663.9</v>
      </c>
      <c r="AI59" s="480">
        <f t="shared" si="55"/>
        <v>161669.50000000003</v>
      </c>
      <c r="AJ59" s="19">
        <f t="shared" si="56"/>
        <v>-20005.600000000035</v>
      </c>
      <c r="AK59" s="3"/>
      <c r="AL59" s="18">
        <v>40178</v>
      </c>
      <c r="AM59" s="97">
        <f t="shared" si="57"/>
        <v>-6.0481819118848534E-2</v>
      </c>
      <c r="AN59" s="482">
        <f t="shared" si="58"/>
        <v>0.48666257148407827</v>
      </c>
      <c r="AO59" s="3"/>
      <c r="AP59" s="3"/>
      <c r="AQ59" s="3"/>
      <c r="AR59" s="3"/>
      <c r="AT59" s="3"/>
      <c r="AU59" s="3"/>
      <c r="AV59" s="3"/>
      <c r="AW59" s="3"/>
      <c r="AX59" s="3"/>
      <c r="AY59" s="3"/>
      <c r="AZ59" s="3"/>
      <c r="BA59" s="3"/>
      <c r="BB59" s="3"/>
      <c r="BC59" s="3"/>
      <c r="BD59" s="3"/>
    </row>
    <row r="60" spans="1:99" ht="14.25" customHeight="1">
      <c r="A60" s="18">
        <v>38352</v>
      </c>
      <c r="B60" s="19">
        <v>44086.8</v>
      </c>
      <c r="C60" s="19">
        <v>2352.9</v>
      </c>
      <c r="D60" s="284">
        <f t="shared" si="59"/>
        <v>46439.700000000004</v>
      </c>
      <c r="E60" s="19">
        <v>9258.6</v>
      </c>
      <c r="F60" s="19">
        <v>4587.7</v>
      </c>
      <c r="G60" s="19">
        <v>0</v>
      </c>
      <c r="H60" s="19">
        <v>1554.4</v>
      </c>
      <c r="I60" s="19">
        <v>15737.7</v>
      </c>
      <c r="J60" s="19">
        <v>13739.9</v>
      </c>
      <c r="K60" s="284">
        <f t="shared" si="60"/>
        <v>29477.599999999999</v>
      </c>
      <c r="L60" s="19">
        <v>2.2999999999999998</v>
      </c>
      <c r="M60" s="19">
        <v>54.5</v>
      </c>
      <c r="N60" s="19">
        <v>5713</v>
      </c>
      <c r="O60" s="19">
        <v>903.2</v>
      </c>
      <c r="P60" s="19">
        <v>2382.5</v>
      </c>
      <c r="Q60" s="19">
        <v>0</v>
      </c>
      <c r="R60" s="19">
        <v>9731.1</v>
      </c>
      <c r="S60" s="19">
        <v>0</v>
      </c>
      <c r="T60" s="285">
        <f t="shared" si="61"/>
        <v>110104.59999999999</v>
      </c>
      <c r="U60" s="19">
        <v>6349.2</v>
      </c>
      <c r="V60" s="19">
        <v>29456.7</v>
      </c>
      <c r="W60" s="19">
        <v>16498</v>
      </c>
      <c r="X60" s="19">
        <v>17203.599999999999</v>
      </c>
      <c r="Y60" s="19">
        <v>3345.7</v>
      </c>
      <c r="Z60" s="19">
        <v>4462.2</v>
      </c>
      <c r="AA60" s="19">
        <v>39424.1</v>
      </c>
      <c r="AB60" s="19">
        <v>5830.7</v>
      </c>
      <c r="AC60" s="286">
        <f t="shared" si="62"/>
        <v>122570.2</v>
      </c>
      <c r="AD60" s="287">
        <f t="shared" si="63"/>
        <v>-12465.600000000006</v>
      </c>
      <c r="AE60" s="288">
        <f t="shared" si="64"/>
        <v>-4.9665070740932155E-2</v>
      </c>
      <c r="AF60" s="3"/>
      <c r="AG60" s="18">
        <v>40543</v>
      </c>
      <c r="AH60" s="480">
        <f t="shared" si="54"/>
        <v>138366.6</v>
      </c>
      <c r="AI60" s="480">
        <f t="shared" si="55"/>
        <v>159626.6</v>
      </c>
      <c r="AJ60" s="19">
        <f t="shared" si="56"/>
        <v>-21260</v>
      </c>
      <c r="AK60" s="3"/>
      <c r="AL60" s="18">
        <v>40543</v>
      </c>
      <c r="AM60" s="97">
        <f t="shared" si="57"/>
        <v>-6.4654585855040192E-2</v>
      </c>
      <c r="AN60" s="482">
        <f t="shared" si="58"/>
        <v>0.57791327735781084</v>
      </c>
      <c r="AO60" s="3"/>
      <c r="AP60" s="3"/>
      <c r="AQ60" s="3"/>
      <c r="AR60" s="3"/>
      <c r="AT60" s="3"/>
      <c r="AU60" s="3"/>
      <c r="AV60" s="3"/>
      <c r="AW60" s="3"/>
      <c r="AX60" s="3"/>
      <c r="AY60" s="3"/>
      <c r="AZ60" s="3"/>
      <c r="BA60" s="3"/>
      <c r="BB60" s="3"/>
      <c r="BC60" s="3"/>
      <c r="BD60" s="3"/>
    </row>
    <row r="61" spans="1:99" ht="14.25" customHeight="1">
      <c r="A61" s="18">
        <v>38717</v>
      </c>
      <c r="B61" s="19">
        <v>47049.1</v>
      </c>
      <c r="C61" s="19">
        <v>2362.3000000000002</v>
      </c>
      <c r="D61" s="284">
        <f t="shared" si="59"/>
        <v>49411.4</v>
      </c>
      <c r="E61" s="19">
        <v>9371.2999999999993</v>
      </c>
      <c r="F61" s="19">
        <v>6168.9</v>
      </c>
      <c r="G61" s="19">
        <v>0</v>
      </c>
      <c r="H61" s="19">
        <v>1668.8</v>
      </c>
      <c r="I61" s="19">
        <v>16695.5</v>
      </c>
      <c r="J61" s="19">
        <v>14605.8</v>
      </c>
      <c r="K61" s="284">
        <f t="shared" si="60"/>
        <v>31301.3</v>
      </c>
      <c r="L61" s="19">
        <v>2.4</v>
      </c>
      <c r="M61" s="19">
        <v>74.5</v>
      </c>
      <c r="N61" s="19">
        <v>5282.1</v>
      </c>
      <c r="O61" s="19">
        <v>1021.4</v>
      </c>
      <c r="P61" s="19">
        <v>2478.5</v>
      </c>
      <c r="Q61" s="19">
        <v>0</v>
      </c>
      <c r="R61" s="19">
        <v>10022.799999999999</v>
      </c>
      <c r="S61" s="19">
        <v>0</v>
      </c>
      <c r="T61" s="285">
        <f t="shared" si="61"/>
        <v>116803.4</v>
      </c>
      <c r="U61" s="19">
        <v>4883.1000000000004</v>
      </c>
      <c r="V61" s="19">
        <v>30427.8</v>
      </c>
      <c r="W61" s="19">
        <v>15504.7</v>
      </c>
      <c r="X61" s="19">
        <v>19086.5</v>
      </c>
      <c r="Y61" s="19">
        <v>6185.2</v>
      </c>
      <c r="Z61" s="19">
        <v>4831.2</v>
      </c>
      <c r="AA61" s="19">
        <v>39514.300000000003</v>
      </c>
      <c r="AB61" s="19">
        <v>6267.9</v>
      </c>
      <c r="AC61" s="286">
        <f t="shared" si="62"/>
        <v>126700.7</v>
      </c>
      <c r="AD61" s="287">
        <f t="shared" si="63"/>
        <v>-9897.3000000000029</v>
      </c>
      <c r="AE61" s="288">
        <f t="shared" si="64"/>
        <v>-3.6654660509326496E-2</v>
      </c>
      <c r="AF61" s="3"/>
      <c r="AG61" s="18">
        <v>40908</v>
      </c>
      <c r="AH61" s="480">
        <f t="shared" si="54"/>
        <v>136797.20000000001</v>
      </c>
      <c r="AI61" s="480">
        <f t="shared" si="55"/>
        <v>163166.1</v>
      </c>
      <c r="AJ61" s="19">
        <f t="shared" si="56"/>
        <v>-26368.899999999994</v>
      </c>
      <c r="AK61" s="3"/>
      <c r="AL61" s="18">
        <v>40908</v>
      </c>
      <c r="AM61" s="97">
        <f t="shared" si="57"/>
        <v>-7.9134872039829385E-2</v>
      </c>
      <c r="AN61" s="482">
        <f t="shared" si="58"/>
        <v>0.64369286118885916</v>
      </c>
      <c r="AO61" s="3"/>
      <c r="AP61" s="3"/>
      <c r="AQ61" s="3"/>
      <c r="AR61" s="3"/>
      <c r="AT61" s="3"/>
      <c r="AU61" s="3"/>
      <c r="AV61" s="3"/>
      <c r="AW61" s="3"/>
      <c r="AX61" s="3"/>
      <c r="AY61" s="3"/>
      <c r="AZ61" s="3"/>
      <c r="BA61" s="3"/>
      <c r="BB61" s="3"/>
      <c r="BC61" s="3"/>
      <c r="BD61" s="3"/>
    </row>
    <row r="62" spans="1:99" ht="14.25" customHeight="1">
      <c r="A62" s="18">
        <v>39082</v>
      </c>
      <c r="B62" s="19">
        <v>51273.7</v>
      </c>
      <c r="C62" s="19">
        <v>2576.6</v>
      </c>
      <c r="D62" s="284">
        <f t="shared" si="59"/>
        <v>53850.299999999996</v>
      </c>
      <c r="E62" s="19">
        <v>10606.9</v>
      </c>
      <c r="F62" s="19">
        <v>8304.6</v>
      </c>
      <c r="G62" s="19">
        <v>0</v>
      </c>
      <c r="H62" s="19">
        <v>1757.7</v>
      </c>
      <c r="I62" s="19">
        <v>18051.400000000001</v>
      </c>
      <c r="J62" s="19">
        <v>15825.8</v>
      </c>
      <c r="K62" s="284">
        <f t="shared" si="60"/>
        <v>33877.199999999997</v>
      </c>
      <c r="L62" s="19">
        <v>2</v>
      </c>
      <c r="M62" s="19">
        <v>166.4</v>
      </c>
      <c r="N62" s="19">
        <v>5105.3</v>
      </c>
      <c r="O62" s="19">
        <v>1132.2</v>
      </c>
      <c r="P62" s="19">
        <v>2573.6999999999998</v>
      </c>
      <c r="Q62" s="19">
        <v>0</v>
      </c>
      <c r="R62" s="19">
        <v>10319.299999999999</v>
      </c>
      <c r="S62" s="19">
        <v>0</v>
      </c>
      <c r="T62" s="285">
        <f t="shared" si="61"/>
        <v>127695.59999999999</v>
      </c>
      <c r="U62" s="19">
        <v>4328.7</v>
      </c>
      <c r="V62" s="19">
        <v>32220.400000000001</v>
      </c>
      <c r="W62" s="19">
        <v>16903</v>
      </c>
      <c r="X62" s="19">
        <v>21166.1</v>
      </c>
      <c r="Y62" s="19">
        <v>5583.2</v>
      </c>
      <c r="Z62" s="19">
        <v>4866.5</v>
      </c>
      <c r="AA62" s="19">
        <v>45143.8</v>
      </c>
      <c r="AB62" s="19">
        <v>6706.9</v>
      </c>
      <c r="AC62" s="286">
        <f t="shared" si="62"/>
        <v>136918.6</v>
      </c>
      <c r="AD62" s="287">
        <f t="shared" si="63"/>
        <v>-9223.0000000000146</v>
      </c>
      <c r="AE62" s="288">
        <f t="shared" si="64"/>
        <v>-3.13233528765521E-2</v>
      </c>
      <c r="AF62" s="3"/>
      <c r="AG62" s="18">
        <v>41274</v>
      </c>
      <c r="AH62" s="480">
        <f t="shared" si="54"/>
        <v>142011.69999999998</v>
      </c>
      <c r="AI62" s="480">
        <f t="shared" si="55"/>
        <v>159705.60000000001</v>
      </c>
      <c r="AJ62" s="19">
        <f t="shared" si="56"/>
        <v>-17693.900000000023</v>
      </c>
      <c r="AK62" s="3"/>
      <c r="AL62" s="18">
        <v>41274</v>
      </c>
      <c r="AM62" s="97">
        <f t="shared" si="57"/>
        <v>-5.3535246159657067E-2</v>
      </c>
      <c r="AN62" s="482">
        <f t="shared" si="58"/>
        <v>0.70122226222110329</v>
      </c>
      <c r="AO62" s="3"/>
      <c r="AP62" s="3"/>
      <c r="AQ62" s="3"/>
      <c r="AR62" s="3"/>
      <c r="AT62" s="3"/>
      <c r="AU62" s="3"/>
      <c r="AV62" s="3"/>
      <c r="AW62" s="3"/>
      <c r="AX62" s="3"/>
      <c r="AY62" s="3"/>
      <c r="AZ62" s="3"/>
      <c r="BA62" s="3"/>
      <c r="BB62" s="3"/>
      <c r="BC62" s="3"/>
      <c r="BD62" s="3"/>
    </row>
    <row r="63" spans="1:99" ht="14.25" customHeight="1">
      <c r="A63" s="18">
        <v>39447</v>
      </c>
      <c r="B63" s="19">
        <v>55095.9</v>
      </c>
      <c r="C63" s="19">
        <v>2957.1</v>
      </c>
      <c r="D63" s="284">
        <f t="shared" si="59"/>
        <v>58053</v>
      </c>
      <c r="E63" s="19">
        <v>12547.5</v>
      </c>
      <c r="F63" s="19">
        <v>9862.1</v>
      </c>
      <c r="G63" s="19">
        <v>0</v>
      </c>
      <c r="H63" s="19">
        <v>1856.1</v>
      </c>
      <c r="I63" s="19">
        <v>19845.5</v>
      </c>
      <c r="J63" s="19">
        <v>17358</v>
      </c>
      <c r="K63" s="284">
        <f t="shared" si="60"/>
        <v>37203.5</v>
      </c>
      <c r="L63" s="19">
        <v>2.2000000000000002</v>
      </c>
      <c r="M63" s="19">
        <v>240.5</v>
      </c>
      <c r="N63" s="19">
        <v>5715.2</v>
      </c>
      <c r="O63" s="19">
        <v>1289.7</v>
      </c>
      <c r="P63" s="19">
        <v>2617.5</v>
      </c>
      <c r="Q63" s="19">
        <v>0</v>
      </c>
      <c r="R63" s="19">
        <v>10514.9</v>
      </c>
      <c r="S63" s="19">
        <v>0</v>
      </c>
      <c r="T63" s="285">
        <f t="shared" si="61"/>
        <v>139902.20000000001</v>
      </c>
      <c r="U63" s="19">
        <v>4216.7</v>
      </c>
      <c r="V63" s="19">
        <v>36599.599999999999</v>
      </c>
      <c r="W63" s="19">
        <v>20009.7</v>
      </c>
      <c r="X63" s="19">
        <v>23151.5</v>
      </c>
      <c r="Y63" s="19">
        <v>2827.9</v>
      </c>
      <c r="Z63" s="19">
        <v>5368.4</v>
      </c>
      <c r="AA63" s="19">
        <v>47138.7</v>
      </c>
      <c r="AB63" s="19">
        <v>7786.2</v>
      </c>
      <c r="AC63" s="286">
        <f t="shared" si="62"/>
        <v>147098.70000000001</v>
      </c>
      <c r="AD63" s="287">
        <f t="shared" si="63"/>
        <v>-7196.5</v>
      </c>
      <c r="AE63" s="288">
        <f t="shared" si="64"/>
        <v>-2.2294595711018328E-2</v>
      </c>
      <c r="AF63" s="3"/>
      <c r="AG63" s="18">
        <v>41639</v>
      </c>
      <c r="AH63" s="480">
        <f t="shared" si="54"/>
        <v>142139.20000000001</v>
      </c>
      <c r="AI63" s="480">
        <f t="shared" si="55"/>
        <v>159816.5</v>
      </c>
      <c r="AJ63" s="19">
        <f t="shared" si="56"/>
        <v>-17677.299999999988</v>
      </c>
      <c r="AK63" s="3"/>
      <c r="AL63" s="18">
        <v>41639</v>
      </c>
      <c r="AM63" s="97">
        <f t="shared" si="57"/>
        <v>-5.3372048352301513E-2</v>
      </c>
      <c r="AN63" s="482">
        <f t="shared" si="58"/>
        <v>0.81189614083040706</v>
      </c>
      <c r="AO63" s="3"/>
      <c r="AP63" s="3"/>
      <c r="AQ63" s="3"/>
      <c r="AR63" s="3"/>
      <c r="AS63" s="3"/>
      <c r="AT63" s="3"/>
      <c r="AU63" s="3"/>
      <c r="AV63" s="3"/>
      <c r="AW63" s="3"/>
      <c r="AX63" s="3"/>
      <c r="AY63" s="3"/>
      <c r="AZ63" s="3"/>
      <c r="BA63" s="3"/>
      <c r="BB63" s="3"/>
      <c r="BC63" s="3"/>
      <c r="BD63" s="3"/>
    </row>
    <row r="64" spans="1:99" ht="14.25" customHeight="1">
      <c r="A64" s="18">
        <v>39813</v>
      </c>
      <c r="B64" s="19">
        <v>58485.1</v>
      </c>
      <c r="C64" s="19">
        <v>3303.6</v>
      </c>
      <c r="D64" s="284">
        <f t="shared" si="59"/>
        <v>61788.7</v>
      </c>
      <c r="E64" s="19">
        <v>13360.3</v>
      </c>
      <c r="F64" s="19">
        <v>10062.200000000001</v>
      </c>
      <c r="G64" s="19">
        <v>0</v>
      </c>
      <c r="H64" s="19">
        <v>1973.5</v>
      </c>
      <c r="I64" s="19">
        <v>21758.1</v>
      </c>
      <c r="J64" s="19">
        <v>18945.400000000001</v>
      </c>
      <c r="K64" s="284">
        <f t="shared" si="60"/>
        <v>40703.5</v>
      </c>
      <c r="L64" s="19">
        <v>2.6</v>
      </c>
      <c r="M64" s="19">
        <v>255.4</v>
      </c>
      <c r="N64" s="19">
        <v>4744.2</v>
      </c>
      <c r="O64" s="19">
        <v>1195.8</v>
      </c>
      <c r="P64" s="19">
        <v>2759.9</v>
      </c>
      <c r="Q64" s="19">
        <v>0</v>
      </c>
      <c r="R64" s="19">
        <v>12328.6</v>
      </c>
      <c r="S64" s="19">
        <v>0</v>
      </c>
      <c r="T64" s="285">
        <f t="shared" si="61"/>
        <v>149174.70000000001</v>
      </c>
      <c r="U64" s="19">
        <v>5119.7</v>
      </c>
      <c r="V64" s="19">
        <v>38903</v>
      </c>
      <c r="W64" s="19">
        <v>21416.400000000001</v>
      </c>
      <c r="X64" s="19">
        <v>25277.8</v>
      </c>
      <c r="Y64" s="19">
        <v>4881.8</v>
      </c>
      <c r="Z64" s="19">
        <v>6206.6</v>
      </c>
      <c r="AA64" s="19">
        <v>48699.3</v>
      </c>
      <c r="AB64" s="19">
        <v>8461.1</v>
      </c>
      <c r="AC64" s="286">
        <f t="shared" si="62"/>
        <v>158965.70000000001</v>
      </c>
      <c r="AD64" s="287">
        <f t="shared" si="63"/>
        <v>-9791</v>
      </c>
      <c r="AE64" s="288">
        <f t="shared" si="64"/>
        <v>-2.8237694661230842E-2</v>
      </c>
      <c r="AF64" s="3"/>
      <c r="AG64" s="18">
        <v>42004</v>
      </c>
      <c r="AH64" s="480">
        <f t="shared" si="54"/>
        <v>143754.1</v>
      </c>
      <c r="AI64" s="480">
        <f t="shared" si="55"/>
        <v>161479.09999999998</v>
      </c>
      <c r="AJ64" s="19">
        <f t="shared" si="56"/>
        <v>-17724.999999999971</v>
      </c>
      <c r="AK64" s="3"/>
      <c r="AL64" s="18">
        <v>42004</v>
      </c>
      <c r="AM64" s="97">
        <f t="shared" si="57"/>
        <v>-5.3494453375993636E-2</v>
      </c>
      <c r="AN64" s="482">
        <f t="shared" si="58"/>
        <v>0.8468810924216772</v>
      </c>
      <c r="AO64" s="3"/>
      <c r="AP64" s="3"/>
      <c r="AQ64" s="3"/>
      <c r="AR64" s="3"/>
      <c r="AS64" s="3"/>
      <c r="AT64" s="3"/>
      <c r="AU64" s="3"/>
      <c r="AV64" s="3"/>
      <c r="AW64" s="3"/>
      <c r="AX64" s="3"/>
      <c r="AY64" s="3"/>
      <c r="AZ64" s="3"/>
      <c r="BA64" s="3"/>
      <c r="BB64" s="3"/>
      <c r="BC64" s="3"/>
      <c r="BD64" s="3"/>
    </row>
    <row r="65" spans="1:56" ht="14.25" customHeight="1">
      <c r="A65" s="18">
        <v>40178</v>
      </c>
      <c r="B65" s="19">
        <v>52842.3</v>
      </c>
      <c r="C65" s="19">
        <v>3311.1</v>
      </c>
      <c r="D65" s="284">
        <f t="shared" si="59"/>
        <v>56153.4</v>
      </c>
      <c r="E65" s="19">
        <v>12804</v>
      </c>
      <c r="F65" s="19">
        <v>8459</v>
      </c>
      <c r="G65" s="19">
        <v>1057.4000000000001</v>
      </c>
      <c r="H65" s="19">
        <v>2021.7</v>
      </c>
      <c r="I65" s="19">
        <v>21374</v>
      </c>
      <c r="J65" s="19">
        <v>18620.8</v>
      </c>
      <c r="K65" s="284">
        <f t="shared" si="60"/>
        <v>39994.800000000003</v>
      </c>
      <c r="L65" s="19">
        <v>4.2</v>
      </c>
      <c r="M65" s="19">
        <v>434.1</v>
      </c>
      <c r="N65" s="19">
        <v>4799.7</v>
      </c>
      <c r="O65" s="19">
        <v>1292.5</v>
      </c>
      <c r="P65" s="19">
        <v>2629.4</v>
      </c>
      <c r="Q65" s="19">
        <v>0</v>
      </c>
      <c r="R65" s="19">
        <v>12013.7</v>
      </c>
      <c r="S65" s="19">
        <v>0</v>
      </c>
      <c r="T65" s="285">
        <f t="shared" si="61"/>
        <v>141663.9</v>
      </c>
      <c r="U65" s="19">
        <v>4696.8</v>
      </c>
      <c r="V65" s="19">
        <v>40880.800000000003</v>
      </c>
      <c r="W65" s="19">
        <v>20005.3</v>
      </c>
      <c r="X65" s="19">
        <v>24408.5</v>
      </c>
      <c r="Y65" s="19">
        <v>3659.6</v>
      </c>
      <c r="Z65" s="19">
        <v>7341.9</v>
      </c>
      <c r="AA65" s="19">
        <v>52616</v>
      </c>
      <c r="AB65" s="19">
        <v>8060.6</v>
      </c>
      <c r="AC65" s="286">
        <f t="shared" si="62"/>
        <v>161669.50000000003</v>
      </c>
      <c r="AD65" s="287">
        <f t="shared" si="63"/>
        <v>-20005.600000000035</v>
      </c>
      <c r="AE65" s="288">
        <f t="shared" si="64"/>
        <v>-6.0481819118848534E-2</v>
      </c>
      <c r="AF65" s="3"/>
      <c r="AG65" s="18">
        <v>42369</v>
      </c>
      <c r="AH65" s="480">
        <f t="shared" si="54"/>
        <v>153946.09999999998</v>
      </c>
      <c r="AI65" s="480">
        <f t="shared" si="55"/>
        <v>165207.00000000003</v>
      </c>
      <c r="AJ65" s="19">
        <f t="shared" si="56"/>
        <v>-11260.900000000052</v>
      </c>
      <c r="AK65" s="3"/>
      <c r="AL65" s="18">
        <v>42369</v>
      </c>
      <c r="AM65" s="97">
        <f t="shared" si="57"/>
        <v>-3.3149890789207923E-2</v>
      </c>
      <c r="AN65" s="482">
        <f t="shared" si="58"/>
        <v>0.84313720727367536</v>
      </c>
      <c r="AO65" s="3"/>
      <c r="AP65" s="3"/>
      <c r="AQ65" s="3"/>
      <c r="AR65" s="3"/>
      <c r="AS65" s="3"/>
      <c r="AT65" s="3"/>
      <c r="AU65" s="3"/>
      <c r="AV65" s="3"/>
      <c r="AW65" s="3"/>
      <c r="AX65" s="3"/>
      <c r="AY65" s="3"/>
      <c r="AZ65" s="3"/>
      <c r="BA65" s="3"/>
      <c r="BB65" s="3"/>
      <c r="BC65" s="3"/>
      <c r="BD65" s="3"/>
    </row>
    <row r="66" spans="1:56" ht="14.25" customHeight="1">
      <c r="A66" s="18">
        <v>40543</v>
      </c>
      <c r="B66" s="19">
        <v>54344.800000000003</v>
      </c>
      <c r="C66" s="19">
        <v>3476.4</v>
      </c>
      <c r="D66" s="284">
        <f t="shared" si="59"/>
        <v>57821.200000000004</v>
      </c>
      <c r="E66" s="19">
        <v>11373.4</v>
      </c>
      <c r="F66" s="19">
        <v>6346.7</v>
      </c>
      <c r="G66" s="19">
        <v>1902.5</v>
      </c>
      <c r="H66" s="19">
        <v>2083</v>
      </c>
      <c r="I66" s="19">
        <v>20783.599999999999</v>
      </c>
      <c r="J66" s="19">
        <v>17928.8</v>
      </c>
      <c r="K66" s="284">
        <f t="shared" si="60"/>
        <v>38712.399999999994</v>
      </c>
      <c r="L66" s="19">
        <v>3.2</v>
      </c>
      <c r="M66" s="19">
        <v>925.3</v>
      </c>
      <c r="N66" s="19">
        <v>3434.7</v>
      </c>
      <c r="O66" s="19">
        <v>1210.4000000000001</v>
      </c>
      <c r="P66" s="19">
        <v>2357.5</v>
      </c>
      <c r="Q66" s="19">
        <v>0</v>
      </c>
      <c r="R66" s="19">
        <v>12196.3</v>
      </c>
      <c r="S66" s="19">
        <v>0</v>
      </c>
      <c r="T66" s="285">
        <f t="shared" si="61"/>
        <v>138366.6</v>
      </c>
      <c r="U66" s="19">
        <v>8518.7999999999993</v>
      </c>
      <c r="V66" s="19">
        <v>40110.1</v>
      </c>
      <c r="W66" s="19">
        <v>12790.6</v>
      </c>
      <c r="X66" s="19">
        <v>24987.5</v>
      </c>
      <c r="Y66" s="19">
        <v>5839.7</v>
      </c>
      <c r="Z66" s="19">
        <v>7860.2</v>
      </c>
      <c r="AA66" s="19">
        <v>52126.1</v>
      </c>
      <c r="AB66" s="19">
        <v>7393.6</v>
      </c>
      <c r="AC66" s="286">
        <f t="shared" si="62"/>
        <v>159626.6</v>
      </c>
      <c r="AD66" s="287">
        <f t="shared" si="63"/>
        <v>-21260</v>
      </c>
      <c r="AE66" s="288">
        <f t="shared" si="64"/>
        <v>-6.4654585855040192E-2</v>
      </c>
      <c r="AF66" s="3"/>
      <c r="AG66" s="18">
        <v>42735</v>
      </c>
      <c r="AH66" s="480">
        <f t="shared" si="54"/>
        <v>163157.9</v>
      </c>
      <c r="AI66" s="480">
        <f t="shared" si="55"/>
        <v>167042.20000000001</v>
      </c>
      <c r="AJ66" s="19">
        <f t="shared" si="56"/>
        <v>-3884.3000000000175</v>
      </c>
      <c r="AK66" s="3"/>
      <c r="AL66" s="18">
        <v>42735</v>
      </c>
      <c r="AM66" s="97">
        <f t="shared" si="57"/>
        <v>-1.1061064160978181E-2</v>
      </c>
      <c r="AN66" s="482">
        <f t="shared" si="58"/>
        <v>0.80802475984671418</v>
      </c>
      <c r="AO66" s="3"/>
      <c r="AP66" s="3"/>
      <c r="AQ66" s="3"/>
      <c r="AR66" s="3"/>
      <c r="AS66" s="3"/>
      <c r="AT66" s="3"/>
      <c r="AU66" s="3"/>
      <c r="AV66" s="3"/>
      <c r="AW66" s="3"/>
      <c r="AX66" s="3"/>
      <c r="AY66" s="3"/>
      <c r="AZ66" s="3"/>
      <c r="BA66" s="3"/>
      <c r="BB66" s="3"/>
      <c r="BC66" s="3"/>
      <c r="BD66" s="3"/>
    </row>
    <row r="67" spans="1:56" ht="14.25" customHeight="1">
      <c r="A67" s="18">
        <v>40908</v>
      </c>
      <c r="B67" s="19">
        <v>53773.9</v>
      </c>
      <c r="C67" s="19">
        <v>3532.5</v>
      </c>
      <c r="D67" s="284">
        <f t="shared" si="59"/>
        <v>57306.400000000001</v>
      </c>
      <c r="E67" s="19">
        <v>11484.7</v>
      </c>
      <c r="F67" s="19">
        <v>7740.8</v>
      </c>
      <c r="G67" s="19">
        <v>65.2</v>
      </c>
      <c r="H67" s="19">
        <v>2025.9</v>
      </c>
      <c r="I67" s="19">
        <v>20686.2</v>
      </c>
      <c r="J67" s="19">
        <v>17918.900000000001</v>
      </c>
      <c r="K67" s="284">
        <f t="shared" si="60"/>
        <v>38605.100000000006</v>
      </c>
      <c r="L67" s="19">
        <v>7.4</v>
      </c>
      <c r="M67" s="19">
        <v>1044</v>
      </c>
      <c r="N67" s="19">
        <v>2985.1</v>
      </c>
      <c r="O67" s="19">
        <v>1080.0999999999999</v>
      </c>
      <c r="P67" s="19">
        <v>2498.6999999999998</v>
      </c>
      <c r="Q67" s="19">
        <v>0</v>
      </c>
      <c r="R67" s="19">
        <v>11953.8</v>
      </c>
      <c r="S67" s="19">
        <v>0</v>
      </c>
      <c r="T67" s="285">
        <f t="shared" si="61"/>
        <v>136797.20000000001</v>
      </c>
      <c r="U67" s="19">
        <v>9622.7000000000007</v>
      </c>
      <c r="V67" s="19">
        <v>40460.199999999997</v>
      </c>
      <c r="W67" s="19">
        <v>12230.4</v>
      </c>
      <c r="X67" s="19">
        <v>26003.599999999999</v>
      </c>
      <c r="Y67" s="19">
        <v>3894.6</v>
      </c>
      <c r="Z67" s="19">
        <v>8948.1</v>
      </c>
      <c r="AA67" s="19">
        <v>54242.6</v>
      </c>
      <c r="AB67" s="19">
        <v>7763.9</v>
      </c>
      <c r="AC67" s="286">
        <f t="shared" si="62"/>
        <v>163166.1</v>
      </c>
      <c r="AD67" s="287">
        <f t="shared" si="63"/>
        <v>-26368.899999999994</v>
      </c>
      <c r="AE67" s="288">
        <f t="shared" si="64"/>
        <v>-7.9134872039829385E-2</v>
      </c>
      <c r="AF67" s="3"/>
      <c r="AG67" s="18">
        <v>43100</v>
      </c>
      <c r="AH67" s="480">
        <f t="shared" si="54"/>
        <v>169114.10000000003</v>
      </c>
      <c r="AI67" s="480">
        <f t="shared" si="55"/>
        <v>166200.29999999999</v>
      </c>
      <c r="AJ67" s="19">
        <f t="shared" si="56"/>
        <v>2913.8000000000466</v>
      </c>
      <c r="AK67" s="3"/>
      <c r="AL67" s="18">
        <v>43100</v>
      </c>
      <c r="AM67" s="97">
        <f t="shared" si="57"/>
        <v>7.9519421094693399E-3</v>
      </c>
      <c r="AN67" s="482">
        <f t="shared" si="58"/>
        <v>0.77756427697330743</v>
      </c>
      <c r="AO67" s="3"/>
      <c r="AP67" s="3"/>
      <c r="AQ67" s="3"/>
      <c r="AR67" s="3"/>
      <c r="AS67" s="3"/>
      <c r="AT67" s="3"/>
      <c r="AU67" s="3"/>
      <c r="AV67" s="3"/>
      <c r="AW67" s="3"/>
      <c r="AX67" s="3"/>
      <c r="AY67" s="3"/>
      <c r="AZ67" s="3"/>
      <c r="BA67" s="3"/>
      <c r="BB67" s="3"/>
      <c r="BC67" s="3"/>
      <c r="BD67" s="3"/>
    </row>
    <row r="68" spans="1:56" ht="14.25" customHeight="1">
      <c r="A68" s="18">
        <v>41274</v>
      </c>
      <c r="B68" s="19">
        <v>56335.7</v>
      </c>
      <c r="C68" s="19">
        <v>3555.9</v>
      </c>
      <c r="D68" s="284">
        <f t="shared" si="59"/>
        <v>59891.6</v>
      </c>
      <c r="E68" s="19">
        <v>12191.2</v>
      </c>
      <c r="F68" s="19">
        <v>6597.3</v>
      </c>
      <c r="G68" s="19">
        <v>38.5</v>
      </c>
      <c r="H68" s="19">
        <v>2104.5</v>
      </c>
      <c r="I68" s="19">
        <v>19771.599999999999</v>
      </c>
      <c r="J68" s="19">
        <v>18074.3</v>
      </c>
      <c r="K68" s="284">
        <f t="shared" si="60"/>
        <v>37845.899999999994</v>
      </c>
      <c r="L68" s="19">
        <v>7.4</v>
      </c>
      <c r="M68" s="19">
        <v>2718.1</v>
      </c>
      <c r="N68" s="19">
        <v>4503.2</v>
      </c>
      <c r="O68" s="19">
        <v>1172.8</v>
      </c>
      <c r="P68" s="19">
        <v>2387</v>
      </c>
      <c r="Q68" s="19">
        <v>0</v>
      </c>
      <c r="R68" s="19">
        <v>12554.2</v>
      </c>
      <c r="S68" s="19">
        <v>0</v>
      </c>
      <c r="T68" s="285">
        <f t="shared" si="61"/>
        <v>142011.69999999998</v>
      </c>
      <c r="U68" s="19">
        <v>5716.1</v>
      </c>
      <c r="V68" s="19">
        <v>39910</v>
      </c>
      <c r="W68" s="19">
        <v>12472.3</v>
      </c>
      <c r="X68" s="19">
        <v>25763.599999999999</v>
      </c>
      <c r="Y68" s="19">
        <v>4649.3</v>
      </c>
      <c r="Z68" s="19">
        <v>10192.200000000001</v>
      </c>
      <c r="AA68" s="19">
        <v>53853.599999999999</v>
      </c>
      <c r="AB68" s="19">
        <v>7148.5</v>
      </c>
      <c r="AC68" s="286">
        <f t="shared" si="62"/>
        <v>159705.60000000001</v>
      </c>
      <c r="AD68" s="287">
        <f t="shared" si="63"/>
        <v>-17693.900000000023</v>
      </c>
      <c r="AE68" s="288">
        <f t="shared" si="64"/>
        <v>-5.3535246159657067E-2</v>
      </c>
      <c r="AF68" s="3"/>
      <c r="AG68" s="18">
        <v>43465</v>
      </c>
      <c r="AH68" s="480">
        <f t="shared" si="54"/>
        <v>177198.40000000005</v>
      </c>
      <c r="AI68" s="480">
        <f t="shared" si="55"/>
        <v>176206.59999999998</v>
      </c>
      <c r="AJ68" s="19">
        <f t="shared" si="56"/>
        <v>991.80000000007567</v>
      </c>
      <c r="AK68" s="3"/>
      <c r="AL68" s="18">
        <v>43465</v>
      </c>
      <c r="AM68" s="97">
        <f t="shared" si="57"/>
        <v>2.5897925323540715E-3</v>
      </c>
      <c r="AN68" s="482">
        <f t="shared" si="58"/>
        <v>0.7478310245949783</v>
      </c>
      <c r="AO68" s="3"/>
      <c r="AP68" s="3"/>
      <c r="AQ68" s="3"/>
      <c r="AR68" s="3"/>
      <c r="AS68" s="3"/>
      <c r="AT68" s="3"/>
      <c r="AU68" s="3"/>
      <c r="AV68" s="3"/>
      <c r="AW68" s="3"/>
      <c r="AX68" s="3"/>
      <c r="AY68" s="3"/>
      <c r="AZ68" s="3"/>
      <c r="BA68" s="3"/>
      <c r="BB68" s="3"/>
      <c r="BC68" s="3"/>
      <c r="BD68" s="3"/>
    </row>
    <row r="69" spans="1:56" ht="14.25" customHeight="1">
      <c r="A69" s="18">
        <v>41639</v>
      </c>
      <c r="B69" s="19">
        <v>58022.6</v>
      </c>
      <c r="C69" s="19">
        <v>3642.9</v>
      </c>
      <c r="D69" s="284">
        <f t="shared" si="59"/>
        <v>61665.5</v>
      </c>
      <c r="E69" s="19">
        <v>12761.9</v>
      </c>
      <c r="F69" s="19">
        <v>6741.8</v>
      </c>
      <c r="G69" s="19">
        <v>32</v>
      </c>
      <c r="H69" s="19">
        <v>2051.6999999999998</v>
      </c>
      <c r="I69" s="19">
        <v>18924.599999999999</v>
      </c>
      <c r="J69" s="19">
        <v>18224.7</v>
      </c>
      <c r="K69" s="284">
        <f t="shared" si="60"/>
        <v>37149.300000000003</v>
      </c>
      <c r="L69" s="19">
        <v>6.1</v>
      </c>
      <c r="M69" s="19">
        <v>895.3</v>
      </c>
      <c r="N69" s="19">
        <v>4340.1000000000004</v>
      </c>
      <c r="O69" s="19">
        <v>1284</v>
      </c>
      <c r="P69" s="19">
        <v>2283.4</v>
      </c>
      <c r="Q69" s="19">
        <v>0</v>
      </c>
      <c r="R69" s="19">
        <v>12928.1</v>
      </c>
      <c r="S69" s="19">
        <v>0</v>
      </c>
      <c r="T69" s="285">
        <f t="shared" si="61"/>
        <v>142139.20000000001</v>
      </c>
      <c r="U69" s="19">
        <v>4361.8</v>
      </c>
      <c r="V69" s="19">
        <v>38823.199999999997</v>
      </c>
      <c r="W69" s="19">
        <v>12995.2</v>
      </c>
      <c r="X69" s="19">
        <v>26343</v>
      </c>
      <c r="Y69" s="19">
        <v>6293.4</v>
      </c>
      <c r="Z69" s="19">
        <v>10383.9</v>
      </c>
      <c r="AA69" s="19">
        <v>54865.5</v>
      </c>
      <c r="AB69" s="19">
        <v>5750.5</v>
      </c>
      <c r="AC69" s="286">
        <f t="shared" si="62"/>
        <v>159816.5</v>
      </c>
      <c r="AD69" s="287">
        <f t="shared" si="63"/>
        <v>-17677.299999999988</v>
      </c>
      <c r="AE69" s="288">
        <f t="shared" si="64"/>
        <v>-5.3372048352301513E-2</v>
      </c>
      <c r="AF69" s="3"/>
      <c r="AG69" s="18">
        <v>43830</v>
      </c>
      <c r="AH69" s="480">
        <f>T49</f>
        <v>189705.60000000001</v>
      </c>
      <c r="AI69" s="480">
        <f>AC49</f>
        <v>188343</v>
      </c>
      <c r="AJ69" s="19">
        <f t="shared" si="56"/>
        <v>1362.6000000000058</v>
      </c>
      <c r="AK69" s="3"/>
      <c r="AL69" s="18">
        <v>43830</v>
      </c>
      <c r="AM69" s="97">
        <f t="shared" si="57"/>
        <v>3.4056264030558211E-3</v>
      </c>
      <c r="AN69" s="482">
        <f t="shared" si="58"/>
        <v>0.73236187936383745</v>
      </c>
      <c r="AO69" s="3"/>
      <c r="AP69" s="3"/>
      <c r="AQ69" s="3"/>
      <c r="AR69" s="3"/>
      <c r="AS69" s="3"/>
      <c r="AT69" s="3"/>
      <c r="AU69" s="3"/>
      <c r="AV69" s="3"/>
      <c r="AW69" s="3"/>
      <c r="AX69" s="3"/>
      <c r="AY69" s="3"/>
      <c r="AZ69" s="3"/>
      <c r="BA69" s="3"/>
      <c r="BB69" s="3"/>
      <c r="BC69" s="3"/>
      <c r="BD69" s="3"/>
    </row>
    <row r="70" spans="1:56" ht="14.25" customHeight="1">
      <c r="A70" s="18">
        <v>42004</v>
      </c>
      <c r="B70" s="19">
        <v>57545.1</v>
      </c>
      <c r="C70" s="19">
        <v>3744.6</v>
      </c>
      <c r="D70" s="284">
        <f t="shared" si="59"/>
        <v>61289.7</v>
      </c>
      <c r="E70" s="19">
        <v>12821.3</v>
      </c>
      <c r="F70" s="19">
        <v>5824.7</v>
      </c>
      <c r="G70" s="19">
        <v>119.3</v>
      </c>
      <c r="H70" s="19">
        <v>2075.6999999999998</v>
      </c>
      <c r="I70" s="19">
        <v>20278.099999999999</v>
      </c>
      <c r="J70" s="19">
        <v>18908.599999999999</v>
      </c>
      <c r="K70" s="284">
        <f t="shared" si="60"/>
        <v>39186.699999999997</v>
      </c>
      <c r="L70" s="19">
        <v>9.6</v>
      </c>
      <c r="M70" s="19">
        <v>938.5</v>
      </c>
      <c r="N70" s="19">
        <v>4719.8999999999996</v>
      </c>
      <c r="O70" s="19">
        <v>1695.7</v>
      </c>
      <c r="P70" s="19">
        <v>2446.5</v>
      </c>
      <c r="Q70" s="19">
        <v>0</v>
      </c>
      <c r="R70" s="19">
        <v>12626.5</v>
      </c>
      <c r="S70" s="19">
        <v>0</v>
      </c>
      <c r="T70" s="285">
        <f t="shared" si="61"/>
        <v>143754.1</v>
      </c>
      <c r="U70" s="19">
        <v>5641.5</v>
      </c>
      <c r="V70" s="19">
        <v>38011.4</v>
      </c>
      <c r="W70" s="19">
        <v>12732.5</v>
      </c>
      <c r="X70" s="19">
        <v>27463.4</v>
      </c>
      <c r="Y70" s="19">
        <v>5158.3</v>
      </c>
      <c r="Z70" s="19">
        <v>11388.5</v>
      </c>
      <c r="AA70" s="19">
        <v>56045.7</v>
      </c>
      <c r="AB70" s="19">
        <v>5037.8</v>
      </c>
      <c r="AC70" s="286">
        <f t="shared" si="62"/>
        <v>161479.09999999998</v>
      </c>
      <c r="AD70" s="287">
        <f t="shared" si="63"/>
        <v>-17724.999999999971</v>
      </c>
      <c r="AE70" s="288">
        <f t="shared" si="64"/>
        <v>-5.3494453375993636E-2</v>
      </c>
      <c r="AF70" s="3"/>
      <c r="AG70" s="18"/>
      <c r="AJ70" s="3"/>
      <c r="AK70" s="3"/>
      <c r="AL70" s="3"/>
      <c r="AM70" s="3"/>
      <c r="AN70" s="3"/>
      <c r="AO70" s="3"/>
      <c r="AP70" s="3"/>
      <c r="AQ70" s="3"/>
      <c r="AR70" s="3"/>
      <c r="AS70" s="3"/>
      <c r="AT70" s="3"/>
      <c r="AU70" s="3"/>
      <c r="AV70" s="3"/>
      <c r="AW70" s="3"/>
      <c r="AX70" s="3"/>
      <c r="AY70" s="3"/>
      <c r="AZ70" s="3"/>
      <c r="BA70" s="3"/>
      <c r="BB70" s="3"/>
      <c r="BC70" s="3"/>
      <c r="BD70" s="3"/>
    </row>
    <row r="71" spans="1:56" ht="14.25" customHeight="1">
      <c r="A71" s="18">
        <v>42369</v>
      </c>
      <c r="B71" s="19">
        <v>60488.1</v>
      </c>
      <c r="C71" s="19">
        <v>4346.6000000000004</v>
      </c>
      <c r="D71" s="284">
        <f t="shared" si="59"/>
        <v>64834.7</v>
      </c>
      <c r="E71" s="19">
        <v>12038.6</v>
      </c>
      <c r="F71" s="19">
        <v>6362.6</v>
      </c>
      <c r="G71" s="19">
        <v>306.3</v>
      </c>
      <c r="H71" s="19">
        <v>2109.3000000000002</v>
      </c>
      <c r="I71" s="19">
        <v>21062.9</v>
      </c>
      <c r="J71" s="19">
        <v>19651.5</v>
      </c>
      <c r="K71" s="284">
        <f t="shared" si="60"/>
        <v>40714.400000000001</v>
      </c>
      <c r="L71" s="19">
        <v>10.4</v>
      </c>
      <c r="M71" s="19">
        <v>1671.9</v>
      </c>
      <c r="N71" s="19">
        <v>7911.1</v>
      </c>
      <c r="O71" s="19">
        <v>1078.9000000000001</v>
      </c>
      <c r="P71" s="19">
        <v>2255.1</v>
      </c>
      <c r="Q71" s="19">
        <v>0</v>
      </c>
      <c r="R71" s="19">
        <v>14652.8</v>
      </c>
      <c r="S71" s="19">
        <v>0</v>
      </c>
      <c r="T71" s="285">
        <f t="shared" si="61"/>
        <v>153946.09999999998</v>
      </c>
      <c r="U71" s="19">
        <v>5005.8999999999996</v>
      </c>
      <c r="V71" s="19">
        <v>38987.5</v>
      </c>
      <c r="W71" s="19">
        <v>11829.4</v>
      </c>
      <c r="X71" s="19">
        <v>27950.400000000001</v>
      </c>
      <c r="Y71" s="19">
        <v>7960.1</v>
      </c>
      <c r="Z71" s="19">
        <v>11686.3</v>
      </c>
      <c r="AA71" s="19">
        <v>57742</v>
      </c>
      <c r="AB71" s="19">
        <v>4045.4</v>
      </c>
      <c r="AC71" s="286">
        <f t="shared" si="62"/>
        <v>165207.00000000003</v>
      </c>
      <c r="AD71" s="287">
        <f t="shared" si="63"/>
        <v>-11260.900000000052</v>
      </c>
      <c r="AE71" s="288">
        <f t="shared" si="64"/>
        <v>-3.3149890789207923E-2</v>
      </c>
      <c r="AQ71" s="3"/>
      <c r="AR71" s="3"/>
      <c r="AS71" s="3"/>
      <c r="AT71" s="3"/>
      <c r="AU71" s="3"/>
      <c r="AV71" s="3"/>
      <c r="AW71" s="3"/>
      <c r="AX71" s="3"/>
      <c r="AY71" s="3"/>
      <c r="AZ71" s="3"/>
      <c r="BA71" s="3"/>
      <c r="BB71" s="3"/>
      <c r="BC71" s="3"/>
      <c r="BD71" s="3"/>
    </row>
    <row r="72" spans="1:56" ht="14.25" customHeight="1">
      <c r="A72" s="18">
        <v>42735</v>
      </c>
      <c r="B72" s="19">
        <v>63093.5</v>
      </c>
      <c r="C72" s="19">
        <v>4526.6000000000004</v>
      </c>
      <c r="D72" s="284">
        <f t="shared" si="59"/>
        <v>67620.100000000006</v>
      </c>
      <c r="E72" s="19">
        <v>12765.3</v>
      </c>
      <c r="F72" s="19">
        <v>7745.2</v>
      </c>
      <c r="G72" s="19">
        <v>327.3</v>
      </c>
      <c r="H72" s="19">
        <v>2044.9</v>
      </c>
      <c r="I72" s="19">
        <v>20456.900000000001</v>
      </c>
      <c r="J72" s="19">
        <v>21273.1</v>
      </c>
      <c r="K72" s="284">
        <f t="shared" si="60"/>
        <v>41730</v>
      </c>
      <c r="L72" s="19">
        <v>14.2</v>
      </c>
      <c r="M72" s="19">
        <v>2429.4</v>
      </c>
      <c r="N72" s="19">
        <v>9225.5</v>
      </c>
      <c r="O72" s="19">
        <v>888.3</v>
      </c>
      <c r="P72" s="19">
        <v>2698.6</v>
      </c>
      <c r="Q72" s="19">
        <v>0</v>
      </c>
      <c r="R72" s="19">
        <v>15669.1</v>
      </c>
      <c r="S72" s="19">
        <v>0</v>
      </c>
      <c r="T72" s="285">
        <f t="shared" si="61"/>
        <v>163157.9</v>
      </c>
      <c r="U72" s="19">
        <v>6261.6</v>
      </c>
      <c r="V72" s="19">
        <v>40066.400000000001</v>
      </c>
      <c r="W72" s="19">
        <v>12278</v>
      </c>
      <c r="X72" s="19">
        <v>28786.1</v>
      </c>
      <c r="Y72" s="19">
        <v>8094.4</v>
      </c>
      <c r="Z72" s="19">
        <v>10863.8</v>
      </c>
      <c r="AA72" s="19">
        <v>56026.3</v>
      </c>
      <c r="AB72" s="19">
        <v>4665.6000000000004</v>
      </c>
      <c r="AC72" s="286">
        <f t="shared" si="62"/>
        <v>167042.20000000001</v>
      </c>
      <c r="AD72" s="287">
        <f t="shared" si="63"/>
        <v>-3884.3000000000175</v>
      </c>
      <c r="AE72" s="288">
        <f t="shared" si="64"/>
        <v>-1.1061064160978181E-2</v>
      </c>
      <c r="AG72" s="3" t="s">
        <v>9</v>
      </c>
      <c r="AH72" s="3" t="s">
        <v>1305</v>
      </c>
      <c r="AI72" s="3" t="s">
        <v>1302</v>
      </c>
      <c r="AJ72" s="3" t="s">
        <v>1056</v>
      </c>
      <c r="AK72" s="3" t="s">
        <v>1303</v>
      </c>
      <c r="AM72" s="3" t="s">
        <v>9</v>
      </c>
      <c r="AN72" s="354" t="s">
        <v>1305</v>
      </c>
      <c r="AO72" s="3" t="s">
        <v>1303</v>
      </c>
      <c r="AP72" s="3" t="s">
        <v>1304</v>
      </c>
      <c r="AQ72" s="3"/>
      <c r="AR72" s="3"/>
      <c r="AS72" s="3"/>
      <c r="AT72" s="3"/>
      <c r="AU72" s="3"/>
      <c r="AV72" s="3"/>
      <c r="AW72" s="3"/>
      <c r="AX72" s="3"/>
      <c r="AY72" s="3"/>
      <c r="AZ72" s="3"/>
      <c r="BA72" s="3"/>
      <c r="BB72" s="3"/>
      <c r="BC72" s="3"/>
      <c r="BD72" s="3"/>
    </row>
    <row r="73" spans="1:56" ht="14.25" customHeight="1">
      <c r="A73" s="18">
        <v>43100</v>
      </c>
      <c r="B73" s="19">
        <v>67313.3</v>
      </c>
      <c r="C73" s="19">
        <v>4210.6000000000004</v>
      </c>
      <c r="D73" s="284">
        <f t="shared" si="59"/>
        <v>71523.900000000009</v>
      </c>
      <c r="E73" s="19">
        <v>12097.8</v>
      </c>
      <c r="F73" s="19">
        <v>8462.1</v>
      </c>
      <c r="G73" s="19">
        <v>340.09999999999997</v>
      </c>
      <c r="H73" s="19">
        <v>2088.6999999999998</v>
      </c>
      <c r="I73" s="19">
        <v>21216.7</v>
      </c>
      <c r="J73" s="19">
        <v>22417.1</v>
      </c>
      <c r="K73" s="284">
        <f t="shared" si="60"/>
        <v>43633.8</v>
      </c>
      <c r="L73" s="19">
        <v>8.3000000000000007</v>
      </c>
      <c r="M73" s="19">
        <v>1614</v>
      </c>
      <c r="N73" s="19">
        <v>10113.799999999999</v>
      </c>
      <c r="O73" s="19">
        <v>899.3</v>
      </c>
      <c r="P73" s="19">
        <v>2805.7</v>
      </c>
      <c r="Q73" s="19">
        <v>0</v>
      </c>
      <c r="R73" s="19">
        <v>15526.6</v>
      </c>
      <c r="S73" s="19">
        <v>0</v>
      </c>
      <c r="T73" s="285">
        <f t="shared" si="61"/>
        <v>169114.10000000003</v>
      </c>
      <c r="U73" s="19">
        <v>4714.5</v>
      </c>
      <c r="V73" s="19">
        <v>41760.6</v>
      </c>
      <c r="W73" s="19">
        <v>10116.1</v>
      </c>
      <c r="X73" s="19">
        <v>29481</v>
      </c>
      <c r="Y73" s="19">
        <v>7535.5</v>
      </c>
      <c r="Z73" s="19">
        <v>9793</v>
      </c>
      <c r="AA73" s="19">
        <v>57188.6</v>
      </c>
      <c r="AB73" s="19">
        <v>5611</v>
      </c>
      <c r="AC73" s="286">
        <f t="shared" si="62"/>
        <v>166200.29999999999</v>
      </c>
      <c r="AD73" s="287">
        <f t="shared" si="63"/>
        <v>2913.8000000000466</v>
      </c>
      <c r="AE73" s="288">
        <f t="shared" si="64"/>
        <v>7.9519421094693399E-3</v>
      </c>
      <c r="AG73" s="18">
        <v>44196</v>
      </c>
      <c r="AH73" s="18" t="s">
        <v>1162</v>
      </c>
      <c r="AI73" s="481">
        <f>T24</f>
        <v>166459.22016902897</v>
      </c>
      <c r="AJ73" s="481">
        <f>AC24</f>
        <v>200264.76102812501</v>
      </c>
      <c r="AK73" s="481">
        <f>AD24</f>
        <v>-33805.540859096043</v>
      </c>
      <c r="AM73" s="18">
        <v>44196</v>
      </c>
      <c r="AN73" s="18" t="s">
        <v>1162</v>
      </c>
      <c r="AO73" s="484">
        <f>AE24</f>
        <v>-9.9574086806898721E-2</v>
      </c>
      <c r="AP73" s="93">
        <f>AY31</f>
        <v>0.96266303283904553</v>
      </c>
      <c r="AQ73" s="3"/>
      <c r="AR73" s="3"/>
      <c r="AS73" s="3"/>
      <c r="AT73" s="3"/>
      <c r="AU73" s="3"/>
      <c r="AV73" s="3"/>
      <c r="AW73" s="3"/>
      <c r="AX73" s="3"/>
      <c r="AY73" s="3"/>
      <c r="AZ73" s="3"/>
      <c r="BA73" s="3"/>
      <c r="BB73" s="3"/>
      <c r="BC73" s="3"/>
      <c r="BD73" s="3"/>
    </row>
    <row r="74" spans="1:56" ht="14.25" customHeight="1">
      <c r="A74" s="18">
        <v>43465</v>
      </c>
      <c r="B74" s="19">
        <v>72248.3</v>
      </c>
      <c r="C74" s="19">
        <v>4417.8</v>
      </c>
      <c r="D74" s="284">
        <f t="shared" si="59"/>
        <v>76666.100000000006</v>
      </c>
      <c r="E74" s="19">
        <v>13582.6</v>
      </c>
      <c r="F74" s="19">
        <v>8730.2000000000007</v>
      </c>
      <c r="G74" s="19">
        <v>351.2</v>
      </c>
      <c r="H74" s="19">
        <v>2111.6</v>
      </c>
      <c r="I74" s="19">
        <v>22066.5</v>
      </c>
      <c r="J74" s="19">
        <v>23841.200000000001</v>
      </c>
      <c r="K74" s="284">
        <f t="shared" si="60"/>
        <v>45907.7</v>
      </c>
      <c r="L74" s="19">
        <v>8.4</v>
      </c>
      <c r="M74" s="19">
        <v>2137.3000000000002</v>
      </c>
      <c r="N74" s="19">
        <v>7748.3</v>
      </c>
      <c r="O74" s="19">
        <v>844.8</v>
      </c>
      <c r="P74" s="19">
        <v>2512.4</v>
      </c>
      <c r="Q74" s="19">
        <v>0</v>
      </c>
      <c r="R74" s="19">
        <v>16597.8</v>
      </c>
      <c r="S74" s="19">
        <v>0</v>
      </c>
      <c r="T74" s="285">
        <f t="shared" si="61"/>
        <v>177198.40000000005</v>
      </c>
      <c r="U74" s="19">
        <v>6909.9</v>
      </c>
      <c r="V74" s="19">
        <v>44491.4</v>
      </c>
      <c r="W74" s="19">
        <v>13603.1</v>
      </c>
      <c r="X74" s="19">
        <v>30844.1</v>
      </c>
      <c r="Y74" s="19">
        <v>5176.3</v>
      </c>
      <c r="Z74" s="19">
        <v>8932</v>
      </c>
      <c r="AA74" s="19">
        <v>59516.5</v>
      </c>
      <c r="AB74" s="19">
        <v>6733.3</v>
      </c>
      <c r="AC74" s="286">
        <f t="shared" si="62"/>
        <v>176206.59999999998</v>
      </c>
      <c r="AD74" s="287">
        <f t="shared" si="63"/>
        <v>991.80000000007567</v>
      </c>
      <c r="AE74" s="288">
        <f t="shared" si="64"/>
        <v>2.5897925323540715E-3</v>
      </c>
      <c r="AG74" s="18">
        <v>44196</v>
      </c>
      <c r="AH74" s="18" t="s">
        <v>1164</v>
      </c>
      <c r="AI74" s="480">
        <f>T50</f>
        <v>168867.01935146583</v>
      </c>
      <c r="AJ74" s="480">
        <f>AC50</f>
        <v>200264.76102812501</v>
      </c>
      <c r="AK74" s="19">
        <f>AD50</f>
        <v>-31397.741676659178</v>
      </c>
      <c r="AM74" s="18">
        <v>44196</v>
      </c>
      <c r="AN74" s="18" t="s">
        <v>1164</v>
      </c>
      <c r="AO74" s="19">
        <f>AE50</f>
        <v>-9.2481923844476024E-2</v>
      </c>
      <c r="AP74" s="93">
        <f>AZ31</f>
        <v>0.92810312273399842</v>
      </c>
      <c r="AQ74" s="3"/>
      <c r="AR74" s="3"/>
      <c r="AS74" s="3"/>
      <c r="AT74" s="3"/>
      <c r="AU74" s="3"/>
      <c r="AV74" s="3"/>
      <c r="AW74" s="3"/>
      <c r="AX74" s="3"/>
      <c r="AY74" s="3"/>
      <c r="AZ74" s="3"/>
      <c r="BA74" s="3"/>
      <c r="BB74" s="3"/>
      <c r="BC74" s="3"/>
      <c r="BD74" s="3"/>
    </row>
    <row r="75" spans="1:56" ht="14.25" customHeight="1">
      <c r="A75" s="293">
        <v>43830</v>
      </c>
      <c r="B75" s="294">
        <v>76224</v>
      </c>
      <c r="C75" s="294">
        <v>5065</v>
      </c>
      <c r="D75" s="295">
        <f t="shared" si="59"/>
        <v>81289</v>
      </c>
      <c r="E75" s="296">
        <f t="shared" ref="E75:G75" si="65">E74*(1+$E$94)</f>
        <v>14446.135489763501</v>
      </c>
      <c r="F75" s="296">
        <f t="shared" si="65"/>
        <v>9285.236409283445</v>
      </c>
      <c r="G75" s="296">
        <f t="shared" si="65"/>
        <v>373.52810095305324</v>
      </c>
      <c r="H75" s="296">
        <v>2151.6999999999998</v>
      </c>
      <c r="I75" s="294">
        <v>22417</v>
      </c>
      <c r="J75" s="294">
        <v>24947</v>
      </c>
      <c r="K75" s="297">
        <v>47364</v>
      </c>
      <c r="L75" s="294">
        <v>13</v>
      </c>
      <c r="M75" s="294">
        <v>3703</v>
      </c>
      <c r="N75" s="294">
        <v>9631</v>
      </c>
      <c r="O75" s="294">
        <v>839</v>
      </c>
      <c r="P75" s="294">
        <v>2640</v>
      </c>
      <c r="Q75" s="294">
        <v>0</v>
      </c>
      <c r="R75" s="294">
        <v>17970</v>
      </c>
      <c r="S75" s="294">
        <v>0</v>
      </c>
      <c r="T75" s="298">
        <f t="shared" si="61"/>
        <v>189705.60000000001</v>
      </c>
      <c r="U75" s="294">
        <v>7541</v>
      </c>
      <c r="V75" s="294">
        <v>47486</v>
      </c>
      <c r="W75" s="294">
        <v>17322</v>
      </c>
      <c r="X75" s="294">
        <v>33329</v>
      </c>
      <c r="Y75" s="294">
        <v>5371</v>
      </c>
      <c r="Z75" s="294">
        <v>8894</v>
      </c>
      <c r="AA75" s="294">
        <v>62205</v>
      </c>
      <c r="AB75" s="294">
        <v>6195</v>
      </c>
      <c r="AC75" s="299">
        <f t="shared" si="62"/>
        <v>188343</v>
      </c>
      <c r="AD75" s="287">
        <f t="shared" si="63"/>
        <v>1362.6000000000058</v>
      </c>
      <c r="AE75" s="288">
        <f t="shared" si="64"/>
        <v>3.4056264030558211E-3</v>
      </c>
      <c r="AG75" s="18">
        <v>44196</v>
      </c>
      <c r="AH75" s="18" t="s">
        <v>1163</v>
      </c>
      <c r="AI75" s="19">
        <f>T76</f>
        <v>171466.97627433931</v>
      </c>
      <c r="AJ75" s="19">
        <f>AC76</f>
        <v>200264.76102812501</v>
      </c>
      <c r="AK75" s="19">
        <f>AD76</f>
        <v>-28797.784753785701</v>
      </c>
      <c r="AM75" s="18">
        <v>44196</v>
      </c>
      <c r="AN75" s="18" t="s">
        <v>1163</v>
      </c>
      <c r="AO75" s="19">
        <f>AE76</f>
        <v>-8.4823761018107818E-2</v>
      </c>
      <c r="AP75" s="93">
        <f>BA31</f>
        <v>0.89266938539488516</v>
      </c>
      <c r="AQ75" s="3"/>
      <c r="AR75" s="3"/>
      <c r="AS75" s="3"/>
      <c r="AT75" s="3"/>
      <c r="AU75" s="3"/>
      <c r="AV75" s="3"/>
      <c r="AW75" s="3"/>
      <c r="AX75" s="3"/>
      <c r="AY75" s="3"/>
      <c r="AZ75" s="3"/>
      <c r="BA75" s="3"/>
      <c r="BB75" s="3"/>
      <c r="BC75" s="3"/>
      <c r="BD75" s="3"/>
    </row>
    <row r="76" spans="1:56" ht="14.25" customHeight="1">
      <c r="A76" s="18">
        <v>44196</v>
      </c>
      <c r="B76" s="302"/>
      <c r="C76" s="302"/>
      <c r="D76" s="304">
        <f>SUM(bdp!AV109:AV112)*21%</f>
        <v>63619.696698225714</v>
      </c>
      <c r="E76" s="89">
        <f>AVERAGE(nezaposlenost!BJ27:BM27)*AVERAGE(place!AA91:AA94)*12/1000000*9%</f>
        <v>13079.933523630503</v>
      </c>
      <c r="F76" s="64">
        <f>F75*70%</f>
        <v>6499.6654864984112</v>
      </c>
      <c r="G76" s="89">
        <f t="shared" ref="G76:H76" si="66">G75</f>
        <v>373.52810095305324</v>
      </c>
      <c r="H76" s="89">
        <f t="shared" si="66"/>
        <v>2151.6999999999998</v>
      </c>
      <c r="I76" s="302"/>
      <c r="J76" s="302"/>
      <c r="K76" s="304">
        <f>AVERAGE(nezaposlenost!BJ27:BM27)*AVERAGE(place!AA91:AA94)*12/1000000*29%</f>
        <v>42146.452465031623</v>
      </c>
      <c r="L76" s="304">
        <f t="shared" ref="L76:M76" si="67">L75</f>
        <v>13</v>
      </c>
      <c r="M76" s="308">
        <f t="shared" si="67"/>
        <v>3703</v>
      </c>
      <c r="N76" s="308">
        <f>N75+8800</f>
        <v>18431</v>
      </c>
      <c r="O76" s="308">
        <f t="shared" ref="O76:S76" si="68">O75</f>
        <v>839</v>
      </c>
      <c r="P76" s="308">
        <f t="shared" si="68"/>
        <v>2640</v>
      </c>
      <c r="Q76" s="308">
        <f t="shared" si="68"/>
        <v>0</v>
      </c>
      <c r="R76" s="308">
        <f t="shared" si="68"/>
        <v>17970</v>
      </c>
      <c r="S76" s="308">
        <f t="shared" si="68"/>
        <v>0</v>
      </c>
      <c r="T76" s="309">
        <f t="shared" si="61"/>
        <v>171466.97627433931</v>
      </c>
      <c r="U76" s="89">
        <f>U75</f>
        <v>7541</v>
      </c>
      <c r="V76" s="89">
        <f>V75*102%</f>
        <v>48435.72</v>
      </c>
      <c r="W76" s="89">
        <f>W75</f>
        <v>17322</v>
      </c>
      <c r="X76" s="89">
        <f>X75*95%</f>
        <v>31662.55</v>
      </c>
      <c r="Y76" s="89">
        <f t="shared" ref="Y76" si="69">Y75</f>
        <v>5371</v>
      </c>
      <c r="Z76" s="89">
        <f>Z75+CF30/1000000-CS30/1000000</f>
        <v>7817.7461250000006</v>
      </c>
      <c r="AA76" s="310">
        <v>66425</v>
      </c>
      <c r="AB76" s="89">
        <f>AB75+BU10/1000000</f>
        <v>15689.744903125</v>
      </c>
      <c r="AC76" s="311">
        <f t="shared" si="62"/>
        <v>200264.76102812501</v>
      </c>
      <c r="AD76" s="287">
        <f t="shared" si="63"/>
        <v>-28797.784753785701</v>
      </c>
      <c r="AE76" s="288">
        <f t="shared" si="64"/>
        <v>-8.4823761018107818E-2</v>
      </c>
      <c r="AQ76" s="3"/>
      <c r="AR76" s="3"/>
      <c r="AS76" s="3"/>
      <c r="AT76" s="3"/>
      <c r="AU76" s="3"/>
      <c r="AV76" s="3"/>
      <c r="AW76" s="3"/>
      <c r="AX76" s="3"/>
      <c r="AY76" s="3"/>
      <c r="AZ76" s="3"/>
      <c r="BA76" s="3"/>
      <c r="BB76" s="3"/>
      <c r="BC76" s="3"/>
      <c r="BD76" s="3"/>
    </row>
    <row r="77" spans="1:56" ht="14.25" customHeight="1">
      <c r="M77" s="506" t="s">
        <v>1102</v>
      </c>
      <c r="N77" s="507"/>
      <c r="O77" s="507"/>
      <c r="P77" s="507"/>
      <c r="Q77" s="507"/>
      <c r="R77" s="507"/>
      <c r="S77" s="508"/>
      <c r="U77" s="539" t="s">
        <v>1103</v>
      </c>
      <c r="V77" s="507"/>
      <c r="W77" s="507"/>
      <c r="X77" s="507"/>
      <c r="Y77" s="507"/>
      <c r="Z77" s="507"/>
      <c r="AA77" s="507"/>
      <c r="AB77" s="508"/>
      <c r="AG77" s="18"/>
      <c r="AH77" s="18"/>
      <c r="AI77" s="483"/>
      <c r="AJ77" s="483"/>
      <c r="AK77" s="481"/>
      <c r="AQ77" s="3"/>
      <c r="AR77" s="3"/>
      <c r="AS77" s="3"/>
      <c r="AT77" s="3"/>
      <c r="AU77" s="3"/>
      <c r="AV77" s="3"/>
      <c r="AW77" s="3"/>
      <c r="AX77" s="3"/>
      <c r="AY77" s="3"/>
      <c r="AZ77" s="3"/>
      <c r="BA77" s="3"/>
      <c r="BB77" s="3"/>
      <c r="BC77" s="3"/>
      <c r="BD77" s="3"/>
    </row>
    <row r="78" spans="1:56" ht="14.25" customHeight="1">
      <c r="A78" s="3"/>
      <c r="B78" s="3"/>
      <c r="C78" s="3"/>
      <c r="D78" s="3"/>
      <c r="E78" s="3"/>
      <c r="F78" s="3"/>
      <c r="G78" s="3"/>
      <c r="H78" s="3"/>
      <c r="I78" s="3"/>
      <c r="J78" s="3"/>
      <c r="K78" s="3"/>
      <c r="L78" s="3"/>
      <c r="M78" s="258"/>
      <c r="N78" s="258"/>
      <c r="O78" s="258"/>
      <c r="P78" s="258"/>
      <c r="Q78" s="258"/>
      <c r="R78" s="258"/>
      <c r="S78" s="258"/>
      <c r="T78" s="3"/>
      <c r="U78" s="258"/>
      <c r="V78" s="258"/>
      <c r="W78" s="258"/>
      <c r="X78" s="258"/>
      <c r="Y78" s="258"/>
      <c r="Z78" s="258"/>
      <c r="AA78" s="258"/>
      <c r="AB78" s="258"/>
      <c r="AC78" s="3"/>
      <c r="AD78" s="3"/>
      <c r="AE78" s="3"/>
      <c r="AF78" s="3"/>
      <c r="AL78" s="3"/>
      <c r="AM78" s="3"/>
      <c r="AN78" s="3"/>
      <c r="AO78" s="3"/>
      <c r="AP78" s="3"/>
      <c r="AQ78" s="3"/>
      <c r="AR78" s="3"/>
      <c r="AS78" s="3"/>
      <c r="AT78" s="3"/>
      <c r="AU78" s="3"/>
      <c r="AV78" s="3"/>
      <c r="AW78" s="3"/>
      <c r="AX78" s="3"/>
      <c r="AY78" s="3"/>
      <c r="AZ78" s="3"/>
      <c r="BA78" s="3"/>
      <c r="BB78" s="3"/>
      <c r="BC78" s="3"/>
      <c r="BD78" s="3"/>
    </row>
    <row r="79" spans="1:56" ht="14.25" customHeight="1">
      <c r="A79" s="3"/>
      <c r="B79" s="3"/>
      <c r="C79" s="3"/>
      <c r="D79" s="3"/>
      <c r="E79" s="3"/>
      <c r="F79" s="3"/>
      <c r="G79" s="3"/>
      <c r="H79" s="3"/>
      <c r="I79" s="3"/>
      <c r="J79" s="3"/>
      <c r="K79" s="3"/>
      <c r="L79" s="3"/>
      <c r="M79" s="258"/>
      <c r="N79" s="258"/>
      <c r="O79" s="258"/>
      <c r="P79" s="258"/>
      <c r="Q79" s="258"/>
      <c r="R79" s="258"/>
      <c r="S79" s="258"/>
      <c r="T79" s="3"/>
      <c r="U79" s="258"/>
      <c r="V79" s="258"/>
      <c r="W79" s="258"/>
      <c r="X79" s="258"/>
      <c r="Y79" s="258"/>
      <c r="Z79" s="258"/>
      <c r="AA79" s="258"/>
      <c r="AB79" s="258"/>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4.25" customHeight="1">
      <c r="A80" s="3"/>
      <c r="B80" s="3"/>
      <c r="C80" s="3"/>
      <c r="D80" s="3"/>
      <c r="E80" s="3"/>
      <c r="F80" s="3"/>
      <c r="G80" s="3"/>
      <c r="H80" s="3"/>
      <c r="I80" s="3"/>
      <c r="J80" s="3"/>
      <c r="K80" s="3"/>
      <c r="L80" s="3"/>
      <c r="M80" s="258"/>
      <c r="N80" s="258"/>
      <c r="O80" s="258"/>
      <c r="P80" s="258"/>
      <c r="Q80" s="258"/>
      <c r="R80" s="258"/>
      <c r="S80" s="258"/>
      <c r="T80" s="3"/>
      <c r="U80" s="258"/>
      <c r="V80" s="258"/>
      <c r="W80" s="258"/>
      <c r="X80" s="258"/>
      <c r="Y80" s="258"/>
      <c r="Z80" s="258"/>
      <c r="AA80" s="258"/>
      <c r="AB80" s="258"/>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14.25" customHeight="1">
      <c r="A81" s="3"/>
      <c r="B81" s="3"/>
      <c r="C81" s="3"/>
      <c r="D81" s="3"/>
      <c r="E81" s="3"/>
      <c r="F81" s="3"/>
      <c r="G81" s="3"/>
      <c r="H81" s="3"/>
      <c r="I81" s="3"/>
      <c r="J81" s="3"/>
      <c r="K81" s="3"/>
      <c r="L81" s="3"/>
      <c r="M81" s="258"/>
      <c r="N81" s="258"/>
      <c r="O81" s="258"/>
      <c r="P81" s="258"/>
      <c r="Q81" s="258"/>
      <c r="R81" s="258"/>
      <c r="S81" s="258"/>
      <c r="T81" s="3"/>
      <c r="U81" s="258"/>
      <c r="V81" s="258"/>
      <c r="W81" s="258"/>
      <c r="X81" s="258"/>
      <c r="Y81" s="258"/>
      <c r="Z81" s="258"/>
      <c r="AA81" s="258"/>
      <c r="AB81" s="258"/>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4.25" customHeight="1">
      <c r="A82" s="3"/>
      <c r="B82" s="3"/>
      <c r="C82" s="3"/>
      <c r="D82" s="3"/>
      <c r="E82" s="3"/>
      <c r="F82" s="3"/>
      <c r="G82" s="3"/>
      <c r="H82" s="3"/>
      <c r="I82" s="3"/>
      <c r="J82" s="3"/>
      <c r="K82" s="3"/>
      <c r="L82" s="3"/>
      <c r="M82" s="258"/>
      <c r="N82" s="258"/>
      <c r="O82" s="258"/>
      <c r="P82" s="258"/>
      <c r="Q82" s="258"/>
      <c r="R82" s="258"/>
      <c r="S82" s="258"/>
      <c r="T82" s="3"/>
      <c r="U82" s="258"/>
      <c r="V82" s="258"/>
      <c r="W82" s="258"/>
      <c r="X82" s="258"/>
      <c r="Y82" s="258"/>
      <c r="Z82" s="258"/>
      <c r="AA82" s="258"/>
      <c r="AB82" s="258"/>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4.25" customHeight="1">
      <c r="A83" s="3"/>
      <c r="B83" s="3"/>
      <c r="C83" s="3"/>
      <c r="D83" s="3"/>
      <c r="E83" s="3"/>
      <c r="F83" s="3"/>
      <c r="G83" s="3"/>
      <c r="H83" s="3"/>
      <c r="I83" s="3"/>
      <c r="J83" s="3"/>
      <c r="K83" s="3"/>
      <c r="L83" s="3"/>
      <c r="M83" s="258"/>
      <c r="N83" s="258"/>
      <c r="O83" s="258"/>
      <c r="P83" s="258"/>
      <c r="Q83" s="258"/>
      <c r="R83" s="258"/>
      <c r="S83" s="258"/>
      <c r="T83" s="3"/>
      <c r="U83" s="258"/>
      <c r="V83" s="258"/>
      <c r="W83" s="258"/>
      <c r="X83" s="258"/>
      <c r="Y83" s="258"/>
      <c r="Z83" s="258"/>
      <c r="AA83" s="258"/>
      <c r="AB83" s="258"/>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ht="14.25" customHeight="1">
      <c r="A84" s="3"/>
      <c r="B84" s="3"/>
      <c r="C84" s="3"/>
      <c r="D84" s="3"/>
      <c r="E84" s="3"/>
      <c r="F84" s="3"/>
      <c r="G84" s="3"/>
      <c r="H84" s="3"/>
      <c r="I84" s="3"/>
      <c r="J84" s="3"/>
      <c r="K84" s="3"/>
      <c r="L84" s="3"/>
      <c r="M84" s="258"/>
      <c r="N84" s="258"/>
      <c r="O84" s="258"/>
      <c r="P84" s="258"/>
      <c r="Q84" s="258"/>
      <c r="R84" s="258"/>
      <c r="S84" s="258"/>
      <c r="T84" s="3"/>
      <c r="U84" s="258"/>
      <c r="V84" s="258"/>
      <c r="W84" s="258"/>
      <c r="X84" s="258"/>
      <c r="Y84" s="258"/>
      <c r="Z84" s="258"/>
      <c r="AA84" s="258"/>
      <c r="AB84" s="258"/>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ht="14.25" customHeight="1">
      <c r="A85" s="3"/>
      <c r="B85" s="3"/>
      <c r="C85" s="3"/>
      <c r="D85" s="3"/>
      <c r="E85" s="3"/>
      <c r="F85" s="3"/>
      <c r="G85" s="3"/>
      <c r="H85" s="3"/>
      <c r="I85" s="3"/>
      <c r="J85" s="3"/>
      <c r="K85" s="3"/>
      <c r="L85" s="3"/>
      <c r="M85" s="258"/>
      <c r="N85" s="258"/>
      <c r="O85" s="258"/>
      <c r="P85" s="258"/>
      <c r="Q85" s="258"/>
      <c r="R85" s="258"/>
      <c r="S85" s="258"/>
      <c r="T85" s="3"/>
      <c r="U85" s="258"/>
      <c r="V85" s="258"/>
      <c r="W85" s="258"/>
      <c r="X85" s="258"/>
      <c r="Y85" s="258"/>
      <c r="Z85" s="258"/>
      <c r="AA85" s="258"/>
      <c r="AB85" s="258"/>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ht="14.25" customHeight="1">
      <c r="A86" s="3"/>
      <c r="B86" s="3"/>
      <c r="C86" s="3"/>
      <c r="D86" s="3"/>
      <c r="E86" s="3"/>
      <c r="F86" s="3"/>
      <c r="G86" s="3"/>
      <c r="H86" s="3"/>
      <c r="I86" s="3"/>
      <c r="J86" s="3"/>
      <c r="K86" s="3"/>
      <c r="L86" s="3"/>
      <c r="M86" s="258"/>
      <c r="N86" s="258"/>
      <c r="O86" s="258"/>
      <c r="P86" s="258"/>
      <c r="Q86" s="258"/>
      <c r="R86" s="258"/>
      <c r="S86" s="258"/>
      <c r="T86" s="3"/>
      <c r="U86" s="258"/>
      <c r="V86" s="258"/>
      <c r="W86" s="258"/>
      <c r="X86" s="258"/>
      <c r="Y86" s="258"/>
      <c r="Z86" s="258"/>
      <c r="AA86" s="258"/>
      <c r="AB86" s="258"/>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4.25" customHeight="1">
      <c r="A87" s="3"/>
      <c r="B87" s="3"/>
      <c r="C87" s="3"/>
      <c r="D87" s="3"/>
      <c r="E87" s="3"/>
      <c r="F87" s="3"/>
      <c r="G87" s="3"/>
      <c r="H87" s="3"/>
      <c r="I87" s="3"/>
      <c r="J87" s="3"/>
      <c r="K87" s="3"/>
      <c r="L87" s="3"/>
      <c r="M87" s="258"/>
      <c r="N87" s="258"/>
      <c r="O87" s="258"/>
      <c r="P87" s="258"/>
      <c r="Q87" s="258"/>
      <c r="R87" s="258"/>
      <c r="S87" s="258"/>
      <c r="T87" s="3"/>
      <c r="U87" s="258"/>
      <c r="V87" s="258"/>
      <c r="W87" s="258"/>
      <c r="X87" s="258"/>
      <c r="Y87" s="258"/>
      <c r="Z87" s="258"/>
      <c r="AA87" s="258"/>
      <c r="AB87" s="258"/>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4.25" customHeight="1">
      <c r="A88" s="3"/>
      <c r="B88" s="3"/>
      <c r="C88" s="3"/>
      <c r="D88" s="3"/>
      <c r="E88" s="3"/>
      <c r="F88" s="3"/>
      <c r="G88" s="3"/>
      <c r="H88" s="3"/>
      <c r="I88" s="3"/>
      <c r="J88" s="3"/>
      <c r="K88" s="3"/>
      <c r="L88" s="3"/>
      <c r="M88" s="258"/>
      <c r="N88" s="258"/>
      <c r="O88" s="258"/>
      <c r="P88" s="258"/>
      <c r="Q88" s="258"/>
      <c r="R88" s="258"/>
      <c r="S88" s="258"/>
      <c r="T88" s="3"/>
      <c r="U88" s="258"/>
      <c r="V88" s="258"/>
      <c r="W88" s="258"/>
      <c r="X88" s="258"/>
      <c r="Y88" s="258"/>
      <c r="Z88" s="258"/>
      <c r="AA88" s="258"/>
      <c r="AB88" s="258"/>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14.25" customHeight="1">
      <c r="A89" s="3"/>
      <c r="B89" s="3"/>
      <c r="C89" s="3"/>
      <c r="D89" s="3"/>
      <c r="E89" s="3"/>
      <c r="F89" s="3"/>
      <c r="G89" s="3"/>
      <c r="H89" s="3"/>
      <c r="I89" s="3"/>
      <c r="J89" s="3"/>
      <c r="K89" s="3"/>
      <c r="L89" s="3"/>
      <c r="M89" s="258"/>
      <c r="N89" s="258"/>
      <c r="O89" s="258"/>
      <c r="P89" s="258"/>
      <c r="Q89" s="258"/>
      <c r="R89" s="258"/>
      <c r="S89" s="258"/>
      <c r="T89" s="3"/>
      <c r="U89" s="258"/>
      <c r="V89" s="258"/>
      <c r="W89" s="258"/>
      <c r="X89" s="258"/>
      <c r="Y89" s="258"/>
      <c r="Z89" s="258"/>
      <c r="AA89" s="258"/>
      <c r="AB89" s="258"/>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4.25" customHeight="1">
      <c r="A90" s="3"/>
      <c r="B90" s="3"/>
      <c r="C90" s="3"/>
      <c r="D90" s="3"/>
      <c r="E90" s="3"/>
      <c r="F90" s="3"/>
      <c r="G90" s="3"/>
      <c r="H90" s="3"/>
      <c r="I90" s="3"/>
      <c r="J90" s="3"/>
      <c r="K90" s="3"/>
      <c r="L90" s="3"/>
      <c r="M90" s="258"/>
      <c r="N90" s="258"/>
      <c r="O90" s="258"/>
      <c r="P90" s="258"/>
      <c r="Q90" s="258"/>
      <c r="R90" s="258"/>
      <c r="S90" s="258"/>
      <c r="T90" s="3"/>
      <c r="U90" s="258"/>
      <c r="V90" s="258"/>
      <c r="W90" s="258"/>
      <c r="X90" s="258"/>
      <c r="Y90" s="258"/>
      <c r="Z90" s="258"/>
      <c r="AA90" s="258"/>
      <c r="AB90" s="258"/>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4.25" customHeight="1">
      <c r="A91" s="3"/>
      <c r="B91" s="3"/>
      <c r="C91" s="3"/>
      <c r="D91" s="3"/>
      <c r="E91" s="3"/>
      <c r="F91" s="3"/>
      <c r="G91" s="3"/>
      <c r="H91" s="3"/>
      <c r="I91" s="3"/>
      <c r="J91" s="3"/>
      <c r="K91" s="3"/>
      <c r="L91" s="3"/>
      <c r="M91" s="258"/>
      <c r="N91" s="258"/>
      <c r="O91" s="258"/>
      <c r="P91" s="258"/>
      <c r="Q91" s="258"/>
      <c r="R91" s="258"/>
      <c r="S91" s="258"/>
      <c r="T91" s="3"/>
      <c r="U91" s="258"/>
      <c r="V91" s="258"/>
      <c r="W91" s="258"/>
      <c r="X91" s="258"/>
      <c r="Y91" s="258"/>
      <c r="Z91" s="258"/>
      <c r="AA91" s="258"/>
      <c r="AB91" s="258"/>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4.25" customHeight="1">
      <c r="A92" s="3"/>
      <c r="B92" s="3"/>
      <c r="C92" s="3"/>
      <c r="D92" s="3"/>
      <c r="E92" s="3"/>
      <c r="F92" s="3"/>
      <c r="G92" s="3"/>
      <c r="H92" s="3"/>
      <c r="I92" s="3"/>
      <c r="J92" s="3"/>
      <c r="K92" s="3"/>
      <c r="L92" s="3"/>
      <c r="M92" s="258"/>
      <c r="N92" s="258"/>
      <c r="O92" s="258"/>
      <c r="P92" s="258"/>
      <c r="Q92" s="258"/>
      <c r="R92" s="258"/>
      <c r="S92" s="258"/>
      <c r="T92" s="3"/>
      <c r="U92" s="258"/>
      <c r="V92" s="258"/>
      <c r="W92" s="258"/>
      <c r="X92" s="258"/>
      <c r="Y92" s="258"/>
      <c r="Z92" s="258"/>
      <c r="AA92" s="258"/>
      <c r="AB92" s="258"/>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14.25" customHeight="1">
      <c r="E93" s="296">
        <v>24104.9</v>
      </c>
    </row>
    <row r="94" spans="1:56" ht="14.25" customHeight="1">
      <c r="E94" s="320">
        <f>E93/SUM(E22:G22)-1</f>
        <v>6.3576597246734812E-2</v>
      </c>
    </row>
    <row r="95" spans="1:56" ht="14.25" customHeight="1"/>
    <row r="96" spans="1:56" ht="14.25" customHeight="1"/>
    <row r="97" spans="1:27" ht="14.25" customHeight="1">
      <c r="A97" s="18" t="s">
        <v>30</v>
      </c>
      <c r="B97" s="185" t="s">
        <v>1069</v>
      </c>
      <c r="C97" s="3" t="s">
        <v>174</v>
      </c>
      <c r="D97" s="3" t="s">
        <v>1107</v>
      </c>
      <c r="E97" s="276" t="s">
        <v>1059</v>
      </c>
      <c r="I97" s="18" t="s">
        <v>30</v>
      </c>
      <c r="J97" s="277" t="s">
        <v>1061</v>
      </c>
      <c r="K97" s="3" t="s">
        <v>1108</v>
      </c>
      <c r="L97" s="3" t="s">
        <v>1109</v>
      </c>
      <c r="M97" s="3" t="s">
        <v>1110</v>
      </c>
      <c r="N97" s="3" t="s">
        <v>1111</v>
      </c>
      <c r="P97" s="3" t="s">
        <v>9</v>
      </c>
      <c r="Q97" s="185" t="s">
        <v>1083</v>
      </c>
      <c r="R97" s="3" t="s">
        <v>1111</v>
      </c>
      <c r="T97" s="185"/>
      <c r="U97" s="321"/>
      <c r="V97" s="322" t="s">
        <v>1112</v>
      </c>
      <c r="W97" s="321" t="s">
        <v>1113</v>
      </c>
      <c r="X97" s="321" t="s">
        <v>1114</v>
      </c>
      <c r="Y97" s="185" t="s">
        <v>1084</v>
      </c>
    </row>
    <row r="98" spans="1:27" ht="14.25" customHeight="1">
      <c r="A98" s="18">
        <v>37621</v>
      </c>
      <c r="B98" s="19">
        <v>39417.599999999999</v>
      </c>
      <c r="C98" s="20">
        <f>SUM(bdp!AP37:AP40)</f>
        <v>174599.30000000002</v>
      </c>
      <c r="D98" s="20">
        <f>SUM(bdp!AQ37:AQ40)</f>
        <v>36486.198981964175</v>
      </c>
      <c r="E98" s="19">
        <f t="shared" ref="E98:E115" si="70">B6+C6</f>
        <v>41334.699999999997</v>
      </c>
      <c r="F98" s="93">
        <f t="shared" ref="F98:F115" si="71">E98/C98</f>
        <v>0.23674035348366226</v>
      </c>
      <c r="G98" s="93">
        <f t="shared" ref="G98:G115" si="72">E98/D98-1</f>
        <v>0.13288588982460259</v>
      </c>
      <c r="I98" s="18">
        <v>37621</v>
      </c>
      <c r="J98" s="284">
        <v>25200.1</v>
      </c>
      <c r="K98" s="98"/>
      <c r="N98" s="18"/>
      <c r="P98" s="18">
        <v>37621</v>
      </c>
      <c r="Q98" s="19">
        <v>8030.2</v>
      </c>
      <c r="R98" s="19"/>
      <c r="T98" s="19"/>
      <c r="U98" s="323" t="s">
        <v>1115</v>
      </c>
      <c r="V98" s="324">
        <v>157</v>
      </c>
      <c r="W98" s="325">
        <v>158</v>
      </c>
      <c r="X98" s="325">
        <v>159</v>
      </c>
    </row>
    <row r="99" spans="1:27" ht="14.25" customHeight="1">
      <c r="A99" s="18">
        <v>37986</v>
      </c>
      <c r="B99" s="19">
        <v>42404.4</v>
      </c>
      <c r="C99" s="20">
        <f>SUM(bdp!AP41:AP44)</f>
        <v>193935.3</v>
      </c>
      <c r="D99" s="20">
        <f>SUM(bdp!AQ41:AQ44)</f>
        <v>38637.824587919269</v>
      </c>
      <c r="E99" s="19">
        <f t="shared" si="70"/>
        <v>44478.8</v>
      </c>
      <c r="F99" s="93">
        <f t="shared" si="71"/>
        <v>0.22934865390674108</v>
      </c>
      <c r="G99" s="93">
        <f t="shared" si="72"/>
        <v>0.15117247087215691</v>
      </c>
      <c r="I99" s="18">
        <v>37986</v>
      </c>
      <c r="J99" s="284">
        <v>27424.6</v>
      </c>
      <c r="K99" s="98"/>
      <c r="M99" s="18"/>
      <c r="N99" s="19"/>
      <c r="O99" s="19"/>
      <c r="P99" s="18">
        <v>37986</v>
      </c>
      <c r="Q99" s="19">
        <v>8440</v>
      </c>
      <c r="R99" s="19"/>
      <c r="T99" s="19"/>
      <c r="U99" s="323" t="s">
        <v>1120</v>
      </c>
      <c r="V99" s="324">
        <v>145</v>
      </c>
      <c r="W99" s="325">
        <v>146</v>
      </c>
      <c r="X99" s="325">
        <v>147</v>
      </c>
    </row>
    <row r="100" spans="1:27" ht="14.25" customHeight="1">
      <c r="A100" s="18">
        <v>38352</v>
      </c>
      <c r="B100" s="19">
        <v>44086.8</v>
      </c>
      <c r="C100" s="20">
        <f>SUM(bdp!AP45:AP48)</f>
        <v>210898.3</v>
      </c>
      <c r="D100" s="20">
        <f>SUM(bdp!AQ45:AQ48)</f>
        <v>40095</v>
      </c>
      <c r="E100" s="19">
        <f t="shared" si="70"/>
        <v>46439.700000000004</v>
      </c>
      <c r="F100" s="93">
        <f t="shared" si="71"/>
        <v>0.22019949900022906</v>
      </c>
      <c r="G100" s="93">
        <f t="shared" si="72"/>
        <v>0.15824167601945383</v>
      </c>
      <c r="I100" s="18">
        <v>38352</v>
      </c>
      <c r="J100" s="284">
        <v>29477.599999999999</v>
      </c>
      <c r="K100" s="98"/>
      <c r="M100" s="18"/>
      <c r="N100" s="19"/>
      <c r="O100" s="19"/>
      <c r="P100" s="18">
        <v>38352</v>
      </c>
      <c r="Q100" s="19">
        <v>9258.6</v>
      </c>
      <c r="R100" s="19"/>
      <c r="T100" s="19"/>
      <c r="U100" s="323" t="s">
        <v>1122</v>
      </c>
      <c r="V100" s="324">
        <v>150</v>
      </c>
      <c r="W100" s="325">
        <v>151</v>
      </c>
      <c r="X100" s="325">
        <v>153</v>
      </c>
    </row>
    <row r="101" spans="1:27" ht="14.25" customHeight="1">
      <c r="A101" s="18">
        <v>38717</v>
      </c>
      <c r="B101" s="19">
        <v>47049.1</v>
      </c>
      <c r="C101" s="20">
        <f>SUM(bdp!AP49:AP52)</f>
        <v>227098.7</v>
      </c>
      <c r="D101" s="20">
        <f>SUM(bdp!AQ49:AQ52)</f>
        <v>42916.077451879872</v>
      </c>
      <c r="E101" s="19">
        <f t="shared" si="70"/>
        <v>49411.4</v>
      </c>
      <c r="F101" s="93">
        <f t="shared" si="71"/>
        <v>0.21757676287887159</v>
      </c>
      <c r="G101" s="93">
        <f t="shared" si="72"/>
        <v>0.15134939942736114</v>
      </c>
      <c r="I101" s="18">
        <v>38717</v>
      </c>
      <c r="J101" s="284">
        <v>31301.3</v>
      </c>
      <c r="K101" s="98"/>
      <c r="M101" s="18"/>
      <c r="N101" s="19"/>
      <c r="O101" s="19"/>
      <c r="P101" s="18">
        <v>38717</v>
      </c>
      <c r="Q101" s="19">
        <v>9371.2999999999993</v>
      </c>
      <c r="R101" s="19"/>
      <c r="T101" s="19"/>
      <c r="U101" s="326" t="s">
        <v>1123</v>
      </c>
      <c r="V101" s="327">
        <v>181</v>
      </c>
      <c r="W101" s="328">
        <v>182</v>
      </c>
      <c r="X101" s="328">
        <v>184</v>
      </c>
    </row>
    <row r="102" spans="1:27" ht="14.25" customHeight="1">
      <c r="A102" s="18">
        <v>39082</v>
      </c>
      <c r="B102" s="19">
        <v>51273.7</v>
      </c>
      <c r="C102" s="20">
        <f>SUM(bdp!AP53:AP56)</f>
        <v>247176.40000000002</v>
      </c>
      <c r="D102" s="20">
        <f>SUM(bdp!AQ53:AQ56)</f>
        <v>47268.451939976338</v>
      </c>
      <c r="E102" s="19">
        <f t="shared" si="70"/>
        <v>53850.299999999996</v>
      </c>
      <c r="F102" s="93">
        <f t="shared" si="71"/>
        <v>0.21786181852312758</v>
      </c>
      <c r="G102" s="93">
        <f t="shared" si="72"/>
        <v>0.13924399445917102</v>
      </c>
      <c r="I102" s="18">
        <v>39082</v>
      </c>
      <c r="J102" s="284">
        <v>33877.199999999997</v>
      </c>
      <c r="K102" s="98"/>
      <c r="M102" s="18"/>
      <c r="N102" s="19"/>
      <c r="O102" s="19"/>
      <c r="P102" s="18">
        <v>39082</v>
      </c>
      <c r="Q102" s="19">
        <v>10606.9</v>
      </c>
      <c r="R102" s="19"/>
      <c r="T102" s="19"/>
      <c r="U102" s="329">
        <v>2001</v>
      </c>
      <c r="V102" s="330">
        <v>17174543601</v>
      </c>
      <c r="W102" s="331">
        <v>12074044910</v>
      </c>
      <c r="X102" s="331">
        <v>2602954975</v>
      </c>
    </row>
    <row r="103" spans="1:27" ht="14.25" customHeight="1">
      <c r="A103" s="18">
        <v>39447</v>
      </c>
      <c r="B103" s="19">
        <v>55095.9</v>
      </c>
      <c r="C103" s="20">
        <f>SUM(bdp!AP57:AP60)</f>
        <v>272580.60000000003</v>
      </c>
      <c r="D103" s="20">
        <f>SUM(bdp!AQ57:AQ60)</f>
        <v>50210.63125984199</v>
      </c>
      <c r="E103" s="19">
        <f t="shared" si="70"/>
        <v>58053</v>
      </c>
      <c r="F103" s="93">
        <f t="shared" si="71"/>
        <v>0.21297553824446785</v>
      </c>
      <c r="G103" s="93">
        <f t="shared" si="72"/>
        <v>0.15618940737019305</v>
      </c>
      <c r="I103" s="18">
        <v>39447</v>
      </c>
      <c r="J103" s="284">
        <v>37203.5</v>
      </c>
      <c r="K103" s="98"/>
      <c r="M103" s="18"/>
      <c r="N103" s="19"/>
      <c r="O103" s="19"/>
      <c r="P103" s="18">
        <v>39447</v>
      </c>
      <c r="Q103" s="19">
        <v>12547.5</v>
      </c>
      <c r="R103" s="19"/>
      <c r="T103" s="19"/>
      <c r="U103" s="332">
        <v>2002</v>
      </c>
      <c r="V103" s="333">
        <v>25639339851</v>
      </c>
      <c r="W103" s="334">
        <v>11652322334</v>
      </c>
      <c r="X103" s="334">
        <v>3221928786</v>
      </c>
    </row>
    <row r="104" spans="1:27" ht="14.25" customHeight="1">
      <c r="A104" s="18">
        <v>39813</v>
      </c>
      <c r="B104" s="19">
        <v>58485.1</v>
      </c>
      <c r="C104" s="20">
        <f>SUM(bdp!AP61:AP64)</f>
        <v>293609.3</v>
      </c>
      <c r="D104" s="20">
        <f>SUM(bdp!AQ61:AQ64)</f>
        <v>53125.804174160134</v>
      </c>
      <c r="E104" s="19">
        <f t="shared" si="70"/>
        <v>61788.7</v>
      </c>
      <c r="F104" s="93">
        <f t="shared" si="71"/>
        <v>0.21044530946397133</v>
      </c>
      <c r="G104" s="93">
        <f t="shared" si="72"/>
        <v>0.16306380600735282</v>
      </c>
      <c r="I104" s="18">
        <v>39813</v>
      </c>
      <c r="J104" s="284">
        <v>40703.5</v>
      </c>
      <c r="K104" s="98"/>
      <c r="M104" s="18"/>
      <c r="N104" s="19"/>
      <c r="O104" s="19"/>
      <c r="P104" s="18">
        <v>39813</v>
      </c>
      <c r="Q104" s="19">
        <v>13360.3</v>
      </c>
      <c r="R104" s="19"/>
      <c r="T104" s="19"/>
      <c r="U104" s="329">
        <v>2008</v>
      </c>
      <c r="V104" s="330">
        <v>40315289961</v>
      </c>
      <c r="W104" s="331">
        <v>17230920402</v>
      </c>
      <c r="X104" s="331">
        <v>6770646446</v>
      </c>
      <c r="Y104" s="19">
        <v>10062.200000000001</v>
      </c>
      <c r="Z104" s="93"/>
    </row>
    <row r="105" spans="1:27" ht="14.25" customHeight="1">
      <c r="A105" s="18">
        <v>40178</v>
      </c>
      <c r="B105" s="19">
        <v>52842.3</v>
      </c>
      <c r="C105" s="20">
        <f>SUM(bdp!AP65:AP68)</f>
        <v>283030.60000000003</v>
      </c>
      <c r="D105" s="20">
        <f>SUM(bdp!AQ65:AQ68)</f>
        <v>47739.874358392655</v>
      </c>
      <c r="E105" s="19">
        <f t="shared" si="70"/>
        <v>56153.4</v>
      </c>
      <c r="F105" s="93">
        <f t="shared" si="71"/>
        <v>0.19840045563977887</v>
      </c>
      <c r="G105" s="93">
        <f t="shared" si="72"/>
        <v>0.17623686184101262</v>
      </c>
      <c r="I105" s="18">
        <v>40178</v>
      </c>
      <c r="J105" s="284">
        <v>39994.800000000003</v>
      </c>
      <c r="K105" s="98"/>
      <c r="M105" s="18"/>
      <c r="N105" s="19"/>
      <c r="O105" s="19"/>
      <c r="P105" s="18">
        <v>40178</v>
      </c>
      <c r="Q105" s="19">
        <v>12804</v>
      </c>
      <c r="R105" s="19"/>
      <c r="T105" s="19"/>
      <c r="U105" s="329">
        <v>2009</v>
      </c>
      <c r="V105" s="330">
        <v>31958883698</v>
      </c>
      <c r="W105" s="331">
        <v>22468639407</v>
      </c>
      <c r="X105" s="331">
        <v>5093376111</v>
      </c>
      <c r="Y105" s="19">
        <v>8459</v>
      </c>
      <c r="Z105" s="93">
        <f t="shared" ref="Z105:AA105" si="73">X105/X104-1</f>
        <v>-0.24772676410993322</v>
      </c>
      <c r="AA105" s="93">
        <f t="shared" si="73"/>
        <v>-0.15932897378306932</v>
      </c>
    </row>
    <row r="106" spans="1:27" ht="14.25" customHeight="1">
      <c r="A106" s="18">
        <v>40543</v>
      </c>
      <c r="B106" s="19">
        <v>54344.800000000003</v>
      </c>
      <c r="C106" s="20">
        <f>SUM(bdp!AP69:AP72)</f>
        <v>279151</v>
      </c>
      <c r="D106" s="20">
        <f>SUM(bdp!AQ69:AQ72)</f>
        <v>49673.316463279312</v>
      </c>
      <c r="E106" s="19">
        <f t="shared" si="70"/>
        <v>57821.200000000004</v>
      </c>
      <c r="F106" s="93">
        <f t="shared" si="71"/>
        <v>0.20713234056120167</v>
      </c>
      <c r="G106" s="93">
        <f t="shared" si="72"/>
        <v>0.16402938472497541</v>
      </c>
      <c r="I106" s="18">
        <v>40543</v>
      </c>
      <c r="J106" s="284">
        <v>38712.399999999994</v>
      </c>
      <c r="K106" s="98">
        <f>nezaposlenost!AN27</f>
        <v>1432454</v>
      </c>
      <c r="L106" s="19">
        <f>AVERAGE(place!Y51:Y54)</f>
        <v>7664.4716476237891</v>
      </c>
      <c r="M106" s="19">
        <f t="shared" ref="M106:M116" si="74">K106*L106*12</f>
        <v>131748036834.30345</v>
      </c>
      <c r="N106" s="97">
        <f t="shared" ref="N106:N115" si="75">J106/(M106/1000000)</f>
        <v>0.29383663643267571</v>
      </c>
      <c r="O106" s="19"/>
      <c r="P106" s="18">
        <v>40543</v>
      </c>
      <c r="Q106" s="19">
        <v>11373.4</v>
      </c>
      <c r="R106" s="97">
        <f t="shared" ref="R106:R115" si="76">Q106/(M106/1000000)</f>
        <v>8.6326903028574681E-2</v>
      </c>
      <c r="T106" s="19"/>
      <c r="U106" s="329">
        <v>2010</v>
      </c>
      <c r="V106" s="330">
        <v>34227918805</v>
      </c>
      <c r="W106" s="331">
        <v>29850754175</v>
      </c>
      <c r="X106" s="331">
        <v>6040234369</v>
      </c>
      <c r="Y106" s="19">
        <v>6346.7</v>
      </c>
      <c r="Z106" s="93">
        <f t="shared" ref="Z106:AA106" si="77">X106/X105-1</f>
        <v>0.18589992911677999</v>
      </c>
      <c r="AA106" s="93">
        <f t="shared" si="77"/>
        <v>-0.24971036765575128</v>
      </c>
    </row>
    <row r="107" spans="1:27" ht="14.25" customHeight="1">
      <c r="A107" s="18">
        <v>40908</v>
      </c>
      <c r="B107" s="19">
        <v>53773.9</v>
      </c>
      <c r="C107" s="20">
        <f>SUM(bdp!AP73:AP76)</f>
        <v>284482.59999999998</v>
      </c>
      <c r="D107" s="20">
        <f>SUM(bdp!AQ73:AQ76)</f>
        <v>48732.066559747058</v>
      </c>
      <c r="E107" s="19">
        <f t="shared" si="70"/>
        <v>57306.400000000001</v>
      </c>
      <c r="F107" s="93">
        <f t="shared" si="71"/>
        <v>0.20144079110638052</v>
      </c>
      <c r="G107" s="93">
        <f t="shared" si="72"/>
        <v>0.17594848824522025</v>
      </c>
      <c r="I107" s="18">
        <v>40908</v>
      </c>
      <c r="J107" s="284">
        <v>38605.100000000006</v>
      </c>
      <c r="K107" s="98">
        <f>nezaposlenost!AO27</f>
        <v>1411238</v>
      </c>
      <c r="L107" s="19">
        <f>AVERAGE(place!Y55:Y58)</f>
        <v>7785.488789832536</v>
      </c>
      <c r="M107" s="19">
        <f t="shared" si="74"/>
        <v>131846131545.42825</v>
      </c>
      <c r="N107" s="97">
        <f t="shared" si="75"/>
        <v>0.29280419188255385</v>
      </c>
      <c r="O107" s="19"/>
      <c r="P107" s="18">
        <v>40908</v>
      </c>
      <c r="Q107" s="19">
        <v>11484.7</v>
      </c>
      <c r="R107" s="97">
        <f t="shared" si="76"/>
        <v>8.7106840871117183E-2</v>
      </c>
      <c r="T107" s="19"/>
      <c r="U107" s="329">
        <v>2011</v>
      </c>
      <c r="V107" s="330">
        <v>38262449537</v>
      </c>
      <c r="W107" s="331">
        <v>25848960979</v>
      </c>
      <c r="X107" s="331">
        <v>5233555448</v>
      </c>
      <c r="Y107" s="19">
        <v>7740.8</v>
      </c>
      <c r="Z107" s="93">
        <f t="shared" ref="Z107:AA107" si="78">X107/X106-1</f>
        <v>-0.13355093059634882</v>
      </c>
      <c r="AA107" s="93">
        <f t="shared" si="78"/>
        <v>0.21965745978224915</v>
      </c>
    </row>
    <row r="108" spans="1:27" ht="14.25" customHeight="1">
      <c r="A108" s="18">
        <v>41274</v>
      </c>
      <c r="B108" s="19">
        <v>56335.7</v>
      </c>
      <c r="C108" s="20">
        <f>SUM(bdp!AP77:AP80)</f>
        <v>278373.30000000005</v>
      </c>
      <c r="D108" s="20">
        <f>SUM(bdp!AQ77:AQ80)</f>
        <v>52136.061014832485</v>
      </c>
      <c r="E108" s="19">
        <f t="shared" si="70"/>
        <v>59891.6</v>
      </c>
      <c r="F108" s="93">
        <f t="shared" si="71"/>
        <v>0.21514850741791683</v>
      </c>
      <c r="G108" s="93">
        <f t="shared" si="72"/>
        <v>0.14875575243325523</v>
      </c>
      <c r="I108" s="18">
        <v>41274</v>
      </c>
      <c r="J108" s="284">
        <v>37845.899999999994</v>
      </c>
      <c r="K108" s="98">
        <f>nezaposlenost!AP27</f>
        <v>1395116</v>
      </c>
      <c r="L108" s="19">
        <f>AVERAGE(place!Y59:Y62)</f>
        <v>7860.2792714188436</v>
      </c>
      <c r="M108" s="19">
        <f t="shared" si="74"/>
        <v>131592016512.29724</v>
      </c>
      <c r="N108" s="97">
        <f t="shared" si="75"/>
        <v>0.28760027396086985</v>
      </c>
      <c r="O108" s="19"/>
      <c r="P108" s="18">
        <v>41274</v>
      </c>
      <c r="Q108" s="19">
        <v>12191.2</v>
      </c>
      <c r="R108" s="97">
        <f t="shared" si="76"/>
        <v>9.2643918097119027E-2</v>
      </c>
      <c r="T108" s="19"/>
      <c r="U108" s="329">
        <v>2012</v>
      </c>
      <c r="V108" s="330">
        <v>38388097074</v>
      </c>
      <c r="W108" s="331">
        <v>29195384274</v>
      </c>
      <c r="X108" s="331">
        <v>4251796966</v>
      </c>
      <c r="Y108" s="19">
        <v>6597.3</v>
      </c>
      <c r="Z108" s="93">
        <f t="shared" ref="Z108:AA108" si="79">X108/X107-1</f>
        <v>-0.18758920044979721</v>
      </c>
      <c r="AA108" s="93">
        <f t="shared" si="79"/>
        <v>-0.1477237494832575</v>
      </c>
    </row>
    <row r="109" spans="1:27" ht="14.25" customHeight="1">
      <c r="A109" s="18">
        <v>41639</v>
      </c>
      <c r="B109" s="19">
        <v>58022.6</v>
      </c>
      <c r="C109" s="20">
        <f>SUM(bdp!AP81:AP84)</f>
        <v>276217.5</v>
      </c>
      <c r="D109" s="20">
        <f>SUM(bdp!AQ81:AQ84)</f>
        <v>54991.448236623313</v>
      </c>
      <c r="E109" s="19">
        <f t="shared" si="70"/>
        <v>61665.5</v>
      </c>
      <c r="F109" s="93">
        <f t="shared" si="71"/>
        <v>0.22324979409342274</v>
      </c>
      <c r="G109" s="93">
        <f t="shared" si="72"/>
        <v>0.12136526637121525</v>
      </c>
      <c r="I109" s="18">
        <v>41639</v>
      </c>
      <c r="J109" s="284">
        <v>37149.300000000003</v>
      </c>
      <c r="K109" s="98">
        <f>nezaposlenost!AQ27</f>
        <v>1364298</v>
      </c>
      <c r="L109" s="19">
        <f>AVERAGE(place!Y63:Y66)</f>
        <v>7940.6576498330141</v>
      </c>
      <c r="M109" s="19">
        <f t="shared" si="74"/>
        <v>130001080204.22256</v>
      </c>
      <c r="N109" s="97">
        <f t="shared" si="75"/>
        <v>0.28576147168655108</v>
      </c>
      <c r="O109" s="19"/>
      <c r="P109" s="18">
        <v>41639</v>
      </c>
      <c r="Q109" s="19">
        <v>12761.9</v>
      </c>
      <c r="R109" s="97">
        <f t="shared" si="76"/>
        <v>9.8167645837649586E-2</v>
      </c>
      <c r="T109" s="19"/>
      <c r="U109" s="329">
        <v>2013</v>
      </c>
      <c r="V109" s="330">
        <v>34639382126</v>
      </c>
      <c r="W109" s="331">
        <v>27195939795</v>
      </c>
      <c r="X109" s="331">
        <v>3913950313</v>
      </c>
      <c r="Y109" s="19">
        <v>6741.8</v>
      </c>
      <c r="Z109" s="93">
        <f t="shared" ref="Z109:AA109" si="80">X109/X108-1</f>
        <v>-7.945973330844136E-2</v>
      </c>
      <c r="AA109" s="93">
        <f t="shared" si="80"/>
        <v>2.1902899671077503E-2</v>
      </c>
    </row>
    <row r="110" spans="1:27" ht="14.25" customHeight="1">
      <c r="A110" s="18">
        <v>42004</v>
      </c>
      <c r="B110" s="19">
        <v>57545.1</v>
      </c>
      <c r="C110" s="20">
        <f>SUM(bdp!AP85:AP88)</f>
        <v>276364.79999999999</v>
      </c>
      <c r="D110" s="20">
        <f>SUM(bdp!AQ85:AQ88)</f>
        <v>54977.96324719501</v>
      </c>
      <c r="E110" s="19">
        <f t="shared" si="70"/>
        <v>61289.7</v>
      </c>
      <c r="F110" s="93">
        <f t="shared" si="71"/>
        <v>0.22177100701681257</v>
      </c>
      <c r="G110" s="93">
        <f t="shared" si="72"/>
        <v>0.11480484870685004</v>
      </c>
      <c r="I110" s="18">
        <v>42004</v>
      </c>
      <c r="J110" s="284">
        <v>39186.699999999997</v>
      </c>
      <c r="K110" s="98">
        <f>nezaposlenost!AR27</f>
        <v>1342149</v>
      </c>
      <c r="L110" s="19">
        <f>AVERAGE(place!Y67:Y70)</f>
        <v>7937.1302868396233</v>
      </c>
      <c r="M110" s="19">
        <f t="shared" si="74"/>
        <v>127833737728.21815</v>
      </c>
      <c r="N110" s="97">
        <f t="shared" si="75"/>
        <v>0.30654427146074037</v>
      </c>
      <c r="O110" s="19"/>
      <c r="P110" s="18">
        <v>42004</v>
      </c>
      <c r="Q110" s="19">
        <v>12821.3</v>
      </c>
      <c r="R110" s="97">
        <f t="shared" si="76"/>
        <v>0.10029668401982282</v>
      </c>
      <c r="T110" s="19"/>
      <c r="U110" s="329">
        <v>2014</v>
      </c>
      <c r="V110" s="330">
        <v>39146980459</v>
      </c>
      <c r="W110" s="331">
        <v>25239919793</v>
      </c>
      <c r="X110" s="331">
        <v>4152989268</v>
      </c>
      <c r="Y110" s="19">
        <v>5824.7</v>
      </c>
      <c r="Z110" s="93">
        <f t="shared" ref="Z110:AA110" si="81">X110/X109-1</f>
        <v>6.1073579346688112E-2</v>
      </c>
      <c r="AA110" s="93">
        <f t="shared" si="81"/>
        <v>-0.13603192025868471</v>
      </c>
    </row>
    <row r="111" spans="1:27" ht="14.25" customHeight="1">
      <c r="A111" s="18">
        <v>42369</v>
      </c>
      <c r="B111" s="19">
        <v>60488.1</v>
      </c>
      <c r="C111" s="20">
        <f>SUM(bdp!AP89:AP92)</f>
        <v>281466.60000000003</v>
      </c>
      <c r="D111" s="20">
        <f>SUM(bdp!AQ89:AQ92)</f>
        <v>58229.843394199095</v>
      </c>
      <c r="E111" s="19">
        <f t="shared" si="70"/>
        <v>64834.7</v>
      </c>
      <c r="F111" s="93">
        <f t="shared" si="71"/>
        <v>0.23034598065987222</v>
      </c>
      <c r="G111" s="93">
        <f t="shared" si="72"/>
        <v>0.11342734619923234</v>
      </c>
      <c r="I111" s="18">
        <v>42369</v>
      </c>
      <c r="J111" s="284">
        <v>40714.400000000001</v>
      </c>
      <c r="K111" s="98">
        <f>nezaposlenost!AS27</f>
        <v>1391002</v>
      </c>
      <c r="L111" s="19">
        <f>AVERAGE(place!Y71:Y74)</f>
        <v>7614.9227151326868</v>
      </c>
      <c r="M111" s="19">
        <f t="shared" si="74"/>
        <v>127108472719.13997</v>
      </c>
      <c r="N111" s="97">
        <f t="shared" si="75"/>
        <v>0.32031224299235272</v>
      </c>
      <c r="O111" s="19"/>
      <c r="P111" s="18">
        <v>42369</v>
      </c>
      <c r="Q111" s="19">
        <v>12038.6</v>
      </c>
      <c r="R111" s="97">
        <f t="shared" si="76"/>
        <v>9.4711231615539904E-2</v>
      </c>
      <c r="T111" s="19"/>
      <c r="U111" s="329">
        <v>2015</v>
      </c>
      <c r="V111" s="330">
        <v>41857585940</v>
      </c>
      <c r="W111" s="331">
        <v>19164129346</v>
      </c>
      <c r="X111" s="331">
        <v>5553952492</v>
      </c>
      <c r="Y111" s="19">
        <v>6362.6</v>
      </c>
      <c r="Z111" s="93">
        <f t="shared" ref="Z111:AA111" si="82">X111/X110-1</f>
        <v>0.3373385129585651</v>
      </c>
      <c r="AA111" s="93">
        <f t="shared" si="82"/>
        <v>9.2348103765000911E-2</v>
      </c>
    </row>
    <row r="112" spans="1:27" ht="14.25" customHeight="1">
      <c r="A112" s="18">
        <v>42735</v>
      </c>
      <c r="B112" s="19">
        <v>63093.5</v>
      </c>
      <c r="C112" s="20">
        <f>SUM(bdp!AP93:AP96)</f>
        <v>291037.2</v>
      </c>
      <c r="D112" s="20">
        <f>SUM(bdp!AQ93:AQ96)</f>
        <v>60131.543212182136</v>
      </c>
      <c r="E112" s="19">
        <f t="shared" si="70"/>
        <v>67620.100000000006</v>
      </c>
      <c r="F112" s="93">
        <f t="shared" si="71"/>
        <v>0.23234177624028821</v>
      </c>
      <c r="G112" s="93">
        <f t="shared" si="72"/>
        <v>0.12453624816169273</v>
      </c>
      <c r="I112" s="18">
        <v>42735</v>
      </c>
      <c r="J112" s="284">
        <v>41730</v>
      </c>
      <c r="K112" s="98">
        <f>nezaposlenost!AT27</f>
        <v>1443141</v>
      </c>
      <c r="L112" s="19">
        <f>AVERAGE(place!Y75:Y78)</f>
        <v>7750.8142261665762</v>
      </c>
      <c r="M112" s="19">
        <f t="shared" si="74"/>
        <v>134226213517.9711</v>
      </c>
      <c r="N112" s="97">
        <f t="shared" si="75"/>
        <v>0.3108930730167167</v>
      </c>
      <c r="O112" s="19"/>
      <c r="P112" s="18">
        <v>42735</v>
      </c>
      <c r="Q112" s="19">
        <v>12765.3</v>
      </c>
      <c r="R112" s="97">
        <f t="shared" si="76"/>
        <v>9.5102883896005116E-2</v>
      </c>
      <c r="T112" s="19"/>
      <c r="U112" s="329">
        <v>2016</v>
      </c>
      <c r="V112" s="330">
        <v>45702436775</v>
      </c>
      <c r="W112" s="331">
        <v>14656839950</v>
      </c>
      <c r="X112" s="331">
        <v>7010340948</v>
      </c>
      <c r="Y112" s="19">
        <v>7745.2</v>
      </c>
      <c r="Z112" s="93">
        <f t="shared" ref="Z112:AA112" si="83">X112/X111-1</f>
        <v>0.26222558765092141</v>
      </c>
      <c r="AA112" s="93">
        <f t="shared" si="83"/>
        <v>0.21730110332254093</v>
      </c>
    </row>
    <row r="113" spans="1:27" ht="14.25" customHeight="1">
      <c r="A113" s="18">
        <v>43100</v>
      </c>
      <c r="B113" s="19">
        <v>67313.3</v>
      </c>
      <c r="C113" s="20">
        <f>SUM(bdp!AP97:AP100)</f>
        <v>302659.30000000005</v>
      </c>
      <c r="D113" s="20">
        <f>SUM(bdp!AQ97:AQ100)</f>
        <v>63766.908828939042</v>
      </c>
      <c r="E113" s="19">
        <f t="shared" si="70"/>
        <v>71523.900000000009</v>
      </c>
      <c r="F113" s="93">
        <f t="shared" si="71"/>
        <v>0.23631819673144025</v>
      </c>
      <c r="G113" s="93">
        <f t="shared" si="72"/>
        <v>0.12164602790876766</v>
      </c>
      <c r="I113" s="18">
        <v>43100</v>
      </c>
      <c r="J113" s="284">
        <v>43633.8</v>
      </c>
      <c r="K113" s="98">
        <f>nezaposlenost!AU27</f>
        <v>1476832</v>
      </c>
      <c r="L113" s="19">
        <f>AVERAGE(place!Y79:Y82)</f>
        <v>8082.3900569763655</v>
      </c>
      <c r="M113" s="19">
        <f t="shared" si="74"/>
        <v>143235987271.49423</v>
      </c>
      <c r="N113" s="97">
        <f t="shared" si="75"/>
        <v>0.30462875169279252</v>
      </c>
      <c r="O113" s="19"/>
      <c r="P113" s="18">
        <v>43100</v>
      </c>
      <c r="Q113" s="19">
        <v>12097.8</v>
      </c>
      <c r="R113" s="97">
        <f t="shared" si="76"/>
        <v>8.4460617966554935E-2</v>
      </c>
      <c r="T113" s="19"/>
      <c r="U113" s="329">
        <v>2017</v>
      </c>
      <c r="V113" s="330">
        <v>47579635894</v>
      </c>
      <c r="W113" s="331">
        <v>43876801811</v>
      </c>
      <c r="X113" s="331">
        <v>6759644150</v>
      </c>
      <c r="Y113" s="19">
        <v>8462.1</v>
      </c>
      <c r="Z113" s="93">
        <f t="shared" ref="Z113:AA113" si="84">X113/X112-1</f>
        <v>-3.5760999337916988E-2</v>
      </c>
      <c r="AA113" s="93">
        <f t="shared" si="84"/>
        <v>9.2560553633218134E-2</v>
      </c>
    </row>
    <row r="114" spans="1:27" ht="14.25" customHeight="1">
      <c r="A114" s="18">
        <v>43465</v>
      </c>
      <c r="B114" s="19">
        <v>72248.3</v>
      </c>
      <c r="C114" s="20">
        <f>SUM(bdp!AP101:AP104)</f>
        <v>314886.3</v>
      </c>
      <c r="D114" s="20">
        <f>SUM(bdp!AQ101:AQ104)</f>
        <v>68078.739712485665</v>
      </c>
      <c r="E114" s="19">
        <f t="shared" si="70"/>
        <v>76666.100000000006</v>
      </c>
      <c r="F114" s="93">
        <f t="shared" si="71"/>
        <v>0.24347232636034025</v>
      </c>
      <c r="G114" s="93">
        <f t="shared" si="72"/>
        <v>0.1261386495076291</v>
      </c>
      <c r="I114" s="18">
        <v>43465</v>
      </c>
      <c r="J114" s="284">
        <v>45907.7</v>
      </c>
      <c r="K114" s="98">
        <f>nezaposlenost!AV27</f>
        <v>1517580</v>
      </c>
      <c r="L114" s="19">
        <f>AVERAGE(place!Y83:Y86)</f>
        <v>8413.4934662558007</v>
      </c>
      <c r="M114" s="19">
        <f t="shared" si="74"/>
        <v>153217792974.24573</v>
      </c>
      <c r="N114" s="97">
        <f t="shared" si="75"/>
        <v>0.29962381723979398</v>
      </c>
      <c r="O114" s="19"/>
      <c r="P114" s="18">
        <v>43465</v>
      </c>
      <c r="Q114" s="19">
        <v>13582.6</v>
      </c>
      <c r="R114" s="97">
        <f t="shared" si="76"/>
        <v>8.8648973048992358E-2</v>
      </c>
      <c r="T114" s="19"/>
      <c r="U114" s="329">
        <v>2018</v>
      </c>
      <c r="V114" s="330">
        <v>54380814552</v>
      </c>
      <c r="W114" s="331">
        <v>18641045372</v>
      </c>
      <c r="X114" s="331">
        <v>7489570285</v>
      </c>
      <c r="Y114" s="19">
        <v>8730.2000000000007</v>
      </c>
      <c r="Z114" s="93">
        <f t="shared" ref="Z114:AA114" si="85">X114/X113-1</f>
        <v>0.10798292318390756</v>
      </c>
      <c r="AA114" s="93">
        <f t="shared" si="85"/>
        <v>3.1682442892426277E-2</v>
      </c>
    </row>
    <row r="115" spans="1:27" ht="14.25" customHeight="1">
      <c r="A115" s="18">
        <v>43830</v>
      </c>
      <c r="B115" s="38">
        <v>76224</v>
      </c>
      <c r="C115" s="20">
        <f>SUM(bdp!AP105:AP108)</f>
        <v>328236.59999999998</v>
      </c>
      <c r="D115" s="20">
        <f>SUM(bdp!AQ105:AQ108)</f>
        <v>71866.006315643986</v>
      </c>
      <c r="E115" s="19">
        <f t="shared" si="70"/>
        <v>81289</v>
      </c>
      <c r="F115" s="93">
        <f t="shared" si="71"/>
        <v>0.24765367420939655</v>
      </c>
      <c r="G115" s="93">
        <f t="shared" si="72"/>
        <v>0.13111892767449906</v>
      </c>
      <c r="I115" s="335">
        <v>43830</v>
      </c>
      <c r="J115" s="297">
        <v>47364</v>
      </c>
      <c r="K115" s="98">
        <f>nezaposlenost!AZ27</f>
        <v>1562312</v>
      </c>
      <c r="L115" s="19">
        <f>AVERAGE(place!Y87:Y90)</f>
        <v>8747.2112547186953</v>
      </c>
      <c r="M115" s="19">
        <f t="shared" si="74"/>
        <v>163990477317.38489</v>
      </c>
      <c r="N115" s="97">
        <f t="shared" si="75"/>
        <v>0.28882164851762931</v>
      </c>
      <c r="O115" s="19"/>
      <c r="P115" s="293">
        <v>43830</v>
      </c>
      <c r="Q115" s="296">
        <v>14446.135489763499</v>
      </c>
      <c r="R115" s="97">
        <f t="shared" si="76"/>
        <v>8.8091307044644129E-2</v>
      </c>
      <c r="T115" s="19"/>
      <c r="U115" s="296"/>
    </row>
    <row r="116" spans="1:27" ht="14.25" customHeight="1">
      <c r="A116" s="18">
        <v>44196</v>
      </c>
      <c r="C116" s="20">
        <f>SUM(bdp!AP109:AP112)</f>
        <v>285295.28554696182</v>
      </c>
      <c r="D116" s="20">
        <f>SUM(bdp!AQ109:AQ112)</f>
        <v>54206.104253922756</v>
      </c>
      <c r="I116" s="18">
        <v>44196</v>
      </c>
      <c r="J116" s="284">
        <f>K116*L116*12/1000000*29%</f>
        <v>39894.038133165093</v>
      </c>
      <c r="K116" s="98">
        <f>nezaposlenost!BE27</f>
        <v>1416236.5594735676</v>
      </c>
      <c r="L116" s="19">
        <f>AVERAGE(place!Y91:Y94)</f>
        <v>8094.5545322707776</v>
      </c>
      <c r="M116" s="19">
        <f t="shared" si="74"/>
        <v>137565648735.05206</v>
      </c>
    </row>
    <row r="117" spans="1:27" ht="14.25" customHeight="1"/>
    <row r="118" spans="1:27" ht="14.25" customHeight="1">
      <c r="N118" s="336">
        <f>AVERAGE(N106:N115)</f>
        <v>0.29908263788826767</v>
      </c>
      <c r="R118" s="336">
        <f>AVERAGE(R106:R115)</f>
        <v>9.1555700542601953E-2</v>
      </c>
    </row>
    <row r="119" spans="1:27" ht="14.25" customHeight="1"/>
    <row r="120" spans="1:27" ht="14.25" customHeight="1"/>
    <row r="121" spans="1:27" ht="14.25" customHeight="1">
      <c r="A121" s="3"/>
    </row>
    <row r="122" spans="1:27" ht="14.25" customHeight="1">
      <c r="A122" s="18"/>
    </row>
    <row r="123" spans="1:27" ht="14.25" customHeight="1">
      <c r="A123" s="18"/>
    </row>
    <row r="124" spans="1:27" ht="14.25" customHeight="1">
      <c r="A124" s="18"/>
      <c r="J124" s="18"/>
      <c r="K124" s="18"/>
      <c r="L124" s="18"/>
      <c r="N124" s="18"/>
      <c r="O124" s="18"/>
      <c r="P124" s="18"/>
      <c r="Q124" s="18"/>
      <c r="R124" s="18"/>
      <c r="S124" s="18"/>
      <c r="T124" s="18"/>
    </row>
    <row r="125" spans="1:27" ht="14.25" customHeight="1">
      <c r="A125" s="18"/>
      <c r="J125" s="19"/>
      <c r="K125" s="19"/>
      <c r="L125" s="19"/>
      <c r="N125" s="19"/>
      <c r="O125" s="19"/>
      <c r="P125" s="19"/>
      <c r="Q125" s="19"/>
      <c r="R125" s="19"/>
      <c r="S125" s="19"/>
      <c r="T125" s="19"/>
    </row>
    <row r="126" spans="1:27" ht="14.25" customHeight="1">
      <c r="A126" s="18"/>
      <c r="J126" s="19"/>
      <c r="K126" s="19"/>
      <c r="L126" s="19"/>
      <c r="N126" s="19"/>
      <c r="O126" s="19"/>
      <c r="P126" s="19"/>
      <c r="Q126" s="19"/>
      <c r="R126" s="19"/>
      <c r="S126" s="19"/>
      <c r="T126" s="19"/>
    </row>
    <row r="127" spans="1:27" ht="14.25" customHeight="1">
      <c r="A127" s="18"/>
      <c r="J127" s="19"/>
      <c r="K127" s="19"/>
      <c r="L127" s="19"/>
      <c r="N127" s="19"/>
      <c r="O127" s="19"/>
      <c r="P127" s="19"/>
      <c r="Q127" s="19"/>
      <c r="R127" s="19"/>
      <c r="S127" s="19"/>
      <c r="T127" s="19"/>
    </row>
    <row r="128" spans="1:27" ht="14.25" customHeight="1">
      <c r="A128" s="18"/>
      <c r="J128" s="19"/>
      <c r="K128" s="19"/>
      <c r="L128" s="19"/>
      <c r="N128" s="19"/>
      <c r="O128" s="19"/>
      <c r="P128" s="19"/>
      <c r="Q128" s="19"/>
      <c r="R128" s="19"/>
      <c r="S128" s="19"/>
      <c r="T128" s="19"/>
    </row>
    <row r="129" spans="1:20" ht="14.25" customHeight="1">
      <c r="A129" s="18"/>
      <c r="J129" s="19"/>
      <c r="K129" s="19"/>
      <c r="L129" s="19"/>
      <c r="N129" s="19"/>
      <c r="O129" s="19"/>
      <c r="P129" s="19"/>
      <c r="Q129" s="19"/>
      <c r="R129" s="19"/>
      <c r="S129" s="19"/>
      <c r="T129" s="19"/>
    </row>
    <row r="130" spans="1:20" ht="14.25" customHeight="1">
      <c r="A130" s="18"/>
      <c r="J130" s="19"/>
      <c r="K130" s="19"/>
      <c r="L130" s="19"/>
      <c r="N130" s="19"/>
      <c r="O130" s="19"/>
      <c r="P130" s="19"/>
      <c r="Q130" s="19"/>
      <c r="R130" s="19"/>
      <c r="S130" s="19"/>
      <c r="T130" s="19"/>
    </row>
    <row r="131" spans="1:20" ht="14.25" customHeight="1">
      <c r="A131" s="18"/>
      <c r="J131" s="19"/>
      <c r="K131" s="19"/>
      <c r="L131" s="19"/>
      <c r="N131" s="19"/>
      <c r="O131" s="19"/>
      <c r="P131" s="19"/>
      <c r="Q131" s="19"/>
      <c r="R131" s="19"/>
      <c r="S131" s="19"/>
      <c r="T131" s="19"/>
    </row>
    <row r="132" spans="1:20" ht="14.25" customHeight="1">
      <c r="A132" s="18"/>
      <c r="J132" s="19"/>
      <c r="K132" s="19"/>
      <c r="L132" s="19"/>
      <c r="N132" s="19"/>
      <c r="O132" s="19"/>
      <c r="P132" s="19"/>
      <c r="Q132" s="19"/>
      <c r="R132" s="19"/>
      <c r="S132" s="19"/>
      <c r="T132" s="19"/>
    </row>
    <row r="133" spans="1:20" ht="14.25" customHeight="1">
      <c r="A133" s="18"/>
    </row>
    <row r="134" spans="1:20" ht="14.25" customHeight="1">
      <c r="A134" s="18"/>
    </row>
    <row r="135" spans="1:20" ht="14.25" customHeight="1">
      <c r="A135" s="18"/>
    </row>
    <row r="136" spans="1:20" ht="14.25" customHeight="1">
      <c r="A136" s="18"/>
    </row>
    <row r="137" spans="1:20" ht="14.25" customHeight="1">
      <c r="A137" s="18"/>
    </row>
    <row r="138" spans="1:20" ht="14.25" customHeight="1">
      <c r="A138" s="18"/>
    </row>
    <row r="139" spans="1:20" ht="14.25" customHeight="1"/>
    <row r="140" spans="1:20" ht="14.25" customHeight="1"/>
    <row r="141" spans="1:20" ht="14.25" customHeight="1"/>
    <row r="142" spans="1:20" ht="14.25" customHeight="1"/>
    <row r="143" spans="1:20" ht="14.25" customHeight="1"/>
    <row r="144" spans="1:20"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7">
    <mergeCell ref="A53:AE53"/>
    <mergeCell ref="E55:H55"/>
    <mergeCell ref="I55:K55"/>
    <mergeCell ref="AC54:AC57"/>
    <mergeCell ref="M77:S77"/>
    <mergeCell ref="U77:AB77"/>
    <mergeCell ref="B54:L54"/>
    <mergeCell ref="M54:S54"/>
    <mergeCell ref="T54:T57"/>
    <mergeCell ref="U54:AB56"/>
    <mergeCell ref="B55:D55"/>
    <mergeCell ref="E56:G56"/>
    <mergeCell ref="AD54:AD57"/>
    <mergeCell ref="M25:S25"/>
    <mergeCell ref="U25:AB25"/>
    <mergeCell ref="A27:AE27"/>
    <mergeCell ref="B28:L28"/>
    <mergeCell ref="M28:S28"/>
    <mergeCell ref="T28:T31"/>
    <mergeCell ref="U28:AB30"/>
    <mergeCell ref="AC28:AC31"/>
    <mergeCell ref="AD28:AD31"/>
    <mergeCell ref="B29:D29"/>
    <mergeCell ref="E29:H29"/>
    <mergeCell ref="I29:K29"/>
    <mergeCell ref="E30:G30"/>
    <mergeCell ref="M51:S51"/>
    <mergeCell ref="U51:AB51"/>
    <mergeCell ref="CA3:CB3"/>
    <mergeCell ref="AY4:BA4"/>
    <mergeCell ref="A1:AE1"/>
    <mergeCell ref="B2:L2"/>
    <mergeCell ref="M2:S2"/>
    <mergeCell ref="T2:T5"/>
    <mergeCell ref="U2:AB4"/>
    <mergeCell ref="AC2:AC5"/>
    <mergeCell ref="AD2:AD5"/>
    <mergeCell ref="B3:D3"/>
    <mergeCell ref="E3:H3"/>
    <mergeCell ref="I3:K3"/>
    <mergeCell ref="E4:G4"/>
    <mergeCell ref="AV4:AX4"/>
    <mergeCell ref="BH1:BJ1"/>
    <mergeCell ref="BL1:BU1"/>
    <mergeCell ref="BX21:CB21"/>
    <mergeCell ref="BW1:CG1"/>
    <mergeCell ref="CJ2:CN2"/>
    <mergeCell ref="CI3:CI4"/>
    <mergeCell ref="CJ3:CK3"/>
    <mergeCell ref="CL3:CL4"/>
    <mergeCell ref="CM3:CN3"/>
    <mergeCell ref="CC3:CC4"/>
    <mergeCell ref="CD3:CD4"/>
    <mergeCell ref="BX16:BY16"/>
    <mergeCell ref="BX17:BY17"/>
    <mergeCell ref="BX19:CB19"/>
    <mergeCell ref="BX2:CB2"/>
    <mergeCell ref="BW3:BW4"/>
    <mergeCell ref="BX3:BY3"/>
    <mergeCell ref="BZ3:BZ4"/>
    <mergeCell ref="CJ41:CN41"/>
    <mergeCell ref="CI1:CS1"/>
    <mergeCell ref="CO3:CO4"/>
    <mergeCell ref="CP3:CP4"/>
    <mergeCell ref="CJ32:CK32"/>
    <mergeCell ref="CJ36:CN36"/>
    <mergeCell ref="CJ38:CN38"/>
  </mergeCells>
  <conditionalFormatting sqref="AD6:AD24">
    <cfRule type="cellIs" dxfId="11" priority="1" operator="greaterThan">
      <formula>0</formula>
    </cfRule>
  </conditionalFormatting>
  <conditionalFormatting sqref="AD6:AD24">
    <cfRule type="cellIs" dxfId="10" priority="2" operator="lessThan">
      <formula>0</formula>
    </cfRule>
  </conditionalFormatting>
  <conditionalFormatting sqref="AE6:AE24">
    <cfRule type="cellIs" dxfId="9" priority="3" operator="greaterThan">
      <formula>0</formula>
    </cfRule>
  </conditionalFormatting>
  <conditionalFormatting sqref="AE6:AE24">
    <cfRule type="cellIs" dxfId="8" priority="4" operator="lessThan">
      <formula>0</formula>
    </cfRule>
  </conditionalFormatting>
  <conditionalFormatting sqref="AD32:AD50">
    <cfRule type="cellIs" dxfId="7" priority="5" operator="greaterThan">
      <formula>0</formula>
    </cfRule>
  </conditionalFormatting>
  <conditionalFormatting sqref="AD32:AD50">
    <cfRule type="cellIs" dxfId="6" priority="6" operator="lessThan">
      <formula>0</formula>
    </cfRule>
  </conditionalFormatting>
  <conditionalFormatting sqref="AE32:AE50">
    <cfRule type="cellIs" dxfId="5" priority="7" operator="greaterThan">
      <formula>0</formula>
    </cfRule>
  </conditionalFormatting>
  <conditionalFormatting sqref="AE32:AE50">
    <cfRule type="cellIs" dxfId="4" priority="8" operator="lessThan">
      <formula>0</formula>
    </cfRule>
  </conditionalFormatting>
  <conditionalFormatting sqref="AD58:AD76">
    <cfRule type="cellIs" dxfId="3" priority="9" operator="greaterThan">
      <formula>0</formula>
    </cfRule>
  </conditionalFormatting>
  <conditionalFormatting sqref="AD58:AD76">
    <cfRule type="cellIs" dxfId="2" priority="10" operator="lessThan">
      <formula>0</formula>
    </cfRule>
  </conditionalFormatting>
  <conditionalFormatting sqref="AE58:AE76">
    <cfRule type="cellIs" dxfId="1" priority="11" operator="greaterThan">
      <formula>0</formula>
    </cfRule>
  </conditionalFormatting>
  <conditionalFormatting sqref="AE58:AE76">
    <cfRule type="cellIs" dxfId="0" priority="12" operator="lessThan">
      <formula>0</formula>
    </cfRule>
  </conditionalFormatting>
  <pageMargins left="0.7" right="0.7" top="0.75" bottom="0.75" header="0" footer="0"/>
  <pageSetup orientation="landscape"/>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000"/>
  <sheetViews>
    <sheetView topLeftCell="AL46" workbookViewId="0">
      <selection activeCell="AN78" sqref="AN78"/>
    </sheetView>
  </sheetViews>
  <sheetFormatPr defaultColWidth="12.59765625" defaultRowHeight="15" customHeight="1"/>
  <cols>
    <col min="1" max="1" width="9.19921875" customWidth="1"/>
    <col min="2" max="2" width="8.3984375" customWidth="1"/>
    <col min="3" max="3" width="7.8984375" customWidth="1"/>
    <col min="4" max="4" width="8.19921875" customWidth="1"/>
    <col min="5" max="6" width="8.5" customWidth="1"/>
    <col min="7" max="7" width="9.5" customWidth="1"/>
    <col min="8" max="8" width="10" customWidth="1"/>
    <col min="9" max="9" width="1.59765625" customWidth="1"/>
    <col min="10" max="10" width="10" customWidth="1"/>
    <col min="11" max="11" width="9.5" customWidth="1"/>
    <col min="12" max="12" width="8" customWidth="1"/>
    <col min="13" max="42" width="8.69921875" customWidth="1"/>
  </cols>
  <sheetData>
    <row r="1" spans="1:42" ht="13.5" customHeight="1">
      <c r="A1" s="259"/>
      <c r="B1" s="524" t="s">
        <v>5</v>
      </c>
      <c r="C1" s="507"/>
      <c r="D1" s="507"/>
      <c r="E1" s="507"/>
      <c r="F1" s="507"/>
      <c r="G1" s="507"/>
      <c r="H1" s="507"/>
      <c r="I1" s="507"/>
      <c r="J1" s="507"/>
      <c r="K1" s="507"/>
      <c r="L1" s="508"/>
      <c r="M1" s="301"/>
      <c r="N1" s="525" t="s">
        <v>6</v>
      </c>
      <c r="O1" s="507"/>
      <c r="P1" s="507"/>
      <c r="Q1" s="507"/>
      <c r="R1" s="507"/>
      <c r="S1" s="507"/>
      <c r="T1" s="507"/>
      <c r="U1" s="507"/>
      <c r="V1" s="507"/>
      <c r="W1" s="507"/>
      <c r="X1" s="508"/>
      <c r="Y1" s="301"/>
      <c r="Z1" s="526" t="s">
        <v>7</v>
      </c>
      <c r="AA1" s="507"/>
      <c r="AB1" s="507"/>
      <c r="AC1" s="507"/>
      <c r="AD1" s="507"/>
      <c r="AE1" s="507"/>
      <c r="AF1" s="507"/>
      <c r="AG1" s="507"/>
      <c r="AH1" s="507"/>
      <c r="AI1" s="507"/>
      <c r="AJ1" s="508"/>
      <c r="AK1" s="301"/>
      <c r="AL1" s="301"/>
      <c r="AM1" s="301"/>
      <c r="AN1" s="301"/>
      <c r="AO1" s="301"/>
      <c r="AP1" s="301"/>
    </row>
    <row r="2" spans="1:42" ht="13.5" customHeight="1">
      <c r="A2" s="301" t="s">
        <v>9</v>
      </c>
      <c r="B2" s="303" t="s">
        <v>1092</v>
      </c>
      <c r="C2" s="301" t="s">
        <v>1093</v>
      </c>
      <c r="D2" s="301" t="s">
        <v>1094</v>
      </c>
      <c r="E2" s="301" t="s">
        <v>1095</v>
      </c>
      <c r="F2" s="301" t="s">
        <v>1096</v>
      </c>
      <c r="G2" s="301" t="s">
        <v>1097</v>
      </c>
      <c r="H2" s="301" t="s">
        <v>1098</v>
      </c>
      <c r="I2" s="301"/>
      <c r="J2" s="301" t="s">
        <v>1099</v>
      </c>
      <c r="K2" s="301" t="s">
        <v>1100</v>
      </c>
      <c r="L2" s="301" t="s">
        <v>1101</v>
      </c>
      <c r="M2" s="301"/>
      <c r="N2" s="303" t="s">
        <v>1092</v>
      </c>
      <c r="O2" s="301" t="s">
        <v>1093</v>
      </c>
      <c r="P2" s="301" t="s">
        <v>1094</v>
      </c>
      <c r="Q2" s="301" t="s">
        <v>1095</v>
      </c>
      <c r="R2" s="301" t="s">
        <v>1096</v>
      </c>
      <c r="S2" s="301" t="s">
        <v>1097</v>
      </c>
      <c r="T2" s="301" t="s">
        <v>1098</v>
      </c>
      <c r="U2" s="301"/>
      <c r="V2" s="301" t="s">
        <v>1099</v>
      </c>
      <c r="W2" s="301" t="s">
        <v>1100</v>
      </c>
      <c r="X2" s="301" t="s">
        <v>1101</v>
      </c>
      <c r="Y2" s="301"/>
      <c r="Z2" s="303" t="s">
        <v>1092</v>
      </c>
      <c r="AA2" s="301" t="s">
        <v>1093</v>
      </c>
      <c r="AB2" s="301" t="s">
        <v>1094</v>
      </c>
      <c r="AC2" s="301" t="s">
        <v>1095</v>
      </c>
      <c r="AD2" s="301" t="s">
        <v>1096</v>
      </c>
      <c r="AE2" s="301" t="s">
        <v>1097</v>
      </c>
      <c r="AF2" s="301" t="s">
        <v>1098</v>
      </c>
      <c r="AG2" s="301"/>
      <c r="AH2" s="301" t="s">
        <v>1099</v>
      </c>
      <c r="AI2" s="301" t="s">
        <v>1100</v>
      </c>
      <c r="AJ2" s="301" t="s">
        <v>1101</v>
      </c>
      <c r="AK2" s="301"/>
      <c r="AL2" s="301"/>
      <c r="AM2" s="301" t="s">
        <v>9</v>
      </c>
      <c r="AN2" s="303" t="s">
        <v>1162</v>
      </c>
      <c r="AO2" s="303" t="s">
        <v>1164</v>
      </c>
      <c r="AP2" s="303" t="s">
        <v>1163</v>
      </c>
    </row>
    <row r="3" spans="1:42" ht="13.5" customHeight="1">
      <c r="A3" s="305">
        <v>37346</v>
      </c>
      <c r="B3" s="303">
        <v>6.86</v>
      </c>
      <c r="C3" s="301">
        <v>5</v>
      </c>
      <c r="D3" s="301">
        <v>37.4</v>
      </c>
      <c r="E3" s="306">
        <v>-1.3</v>
      </c>
      <c r="F3" s="306">
        <v>4.4340461538461502E-2</v>
      </c>
      <c r="G3" s="306">
        <v>3.95818489553263</v>
      </c>
      <c r="H3" s="301">
        <v>1</v>
      </c>
      <c r="I3" s="306"/>
      <c r="J3" s="307">
        <f t="shared" ref="J3:J78" si="0">$C$80+$B$83*C3+$B$84*D3+$B$85*E3+$B$86*H3</f>
        <v>5.4944638699999988</v>
      </c>
      <c r="K3" s="307">
        <f t="shared" ref="K3:K78" si="1">B3-J3</f>
        <v>1.3655361300000015</v>
      </c>
      <c r="L3" s="301"/>
      <c r="M3" s="301"/>
      <c r="N3" s="303">
        <v>6.86</v>
      </c>
      <c r="O3" s="301">
        <v>5</v>
      </c>
      <c r="P3" s="301">
        <v>37.4</v>
      </c>
      <c r="Q3" s="306">
        <v>-1.3</v>
      </c>
      <c r="R3" s="306">
        <v>4.4340461538461502E-2</v>
      </c>
      <c r="S3" s="306">
        <v>3.95818489553263</v>
      </c>
      <c r="T3" s="301">
        <v>1</v>
      </c>
      <c r="U3" s="306"/>
      <c r="V3" s="307">
        <f t="shared" ref="V3:V78" si="2">$C$80+$B$83*O3+$B$84*P3+$B$85*Q3+$B$86*T3</f>
        <v>5.4944638699999988</v>
      </c>
      <c r="W3" s="307">
        <f t="shared" ref="W3:W78" si="3">N3-V3</f>
        <v>1.3655361300000015</v>
      </c>
      <c r="X3" s="301"/>
      <c r="Y3" s="301"/>
      <c r="Z3" s="303">
        <v>6.86</v>
      </c>
      <c r="AA3" s="301">
        <v>5</v>
      </c>
      <c r="AB3" s="301">
        <v>37.4</v>
      </c>
      <c r="AC3" s="306">
        <v>-1.3</v>
      </c>
      <c r="AD3" s="306">
        <v>4.4340461538461502E-2</v>
      </c>
      <c r="AE3" s="306">
        <v>3.95818489553263</v>
      </c>
      <c r="AF3" s="301">
        <v>1</v>
      </c>
      <c r="AG3" s="306"/>
      <c r="AH3" s="307">
        <f t="shared" ref="AH3:AH78" si="4">$C$80+$B$83*AA3+$B$84*AB3+$B$85*AC3+$B$86*AF3</f>
        <v>5.4944638699999988</v>
      </c>
      <c r="AI3" s="307">
        <f t="shared" ref="AI3:AI78" si="5">Z3-AH3</f>
        <v>1.3655361300000015</v>
      </c>
      <c r="AJ3" s="301"/>
      <c r="AK3" s="301"/>
      <c r="AL3" s="301"/>
      <c r="AM3" s="305">
        <v>37346</v>
      </c>
      <c r="AN3" s="303">
        <v>6.86</v>
      </c>
      <c r="AO3" s="303">
        <v>6.86</v>
      </c>
      <c r="AP3" s="303">
        <v>6.86</v>
      </c>
    </row>
    <row r="4" spans="1:42" ht="13.5" customHeight="1">
      <c r="A4" s="305">
        <v>37437</v>
      </c>
      <c r="B4" s="303">
        <v>7.03</v>
      </c>
      <c r="C4" s="301">
        <v>5.21</v>
      </c>
      <c r="D4" s="301">
        <v>36.4</v>
      </c>
      <c r="E4" s="306">
        <v>-2.2250000000000001</v>
      </c>
      <c r="F4" s="306">
        <v>3.5902923076923103E-2</v>
      </c>
      <c r="G4" s="306">
        <v>4.0445352696171399</v>
      </c>
      <c r="H4" s="301">
        <v>1</v>
      </c>
      <c r="I4" s="306"/>
      <c r="J4" s="307">
        <f t="shared" si="0"/>
        <v>6.0100011054999989</v>
      </c>
      <c r="K4" s="307">
        <f t="shared" si="1"/>
        <v>1.0199988945000014</v>
      </c>
      <c r="L4" s="307">
        <f t="shared" ref="L4:L78" si="6">$B$89+$B$90*K3+$B$91*(C4-C3)+$B$92*(D4-D3)+$B$93*(E4-E3)+$B$94*(H4-H3)+$B$95*F4+$B$96*G4</f>
        <v>-0.15436587219774756</v>
      </c>
      <c r="M4" s="301"/>
      <c r="N4" s="303">
        <v>7.03</v>
      </c>
      <c r="O4" s="301">
        <v>5.21</v>
      </c>
      <c r="P4" s="301">
        <v>36.4</v>
      </c>
      <c r="Q4" s="306">
        <v>-2.2250000000000001</v>
      </c>
      <c r="R4" s="306">
        <v>3.5902923076923103E-2</v>
      </c>
      <c r="S4" s="306">
        <v>4.0445352696171399</v>
      </c>
      <c r="T4" s="301">
        <v>1</v>
      </c>
      <c r="U4" s="306"/>
      <c r="V4" s="307">
        <f t="shared" si="2"/>
        <v>6.0100011054999989</v>
      </c>
      <c r="W4" s="307">
        <f t="shared" si="3"/>
        <v>1.0199988945000014</v>
      </c>
      <c r="X4" s="307">
        <f t="shared" ref="X4:X78" si="7">$B$89+$B$90*W3+$B$91*(O4-O3)+$B$92*(P4-P3)+$B$93*(Q4-Q3)+$B$94*(T4-T3)+$B$95*R4+$B$96*S4</f>
        <v>-0.15436587219774756</v>
      </c>
      <c r="Y4" s="301"/>
      <c r="Z4" s="303">
        <v>7.03</v>
      </c>
      <c r="AA4" s="301">
        <v>5.21</v>
      </c>
      <c r="AB4" s="301">
        <v>36.4</v>
      </c>
      <c r="AC4" s="306">
        <v>-2.2250000000000001</v>
      </c>
      <c r="AD4" s="306">
        <v>3.5902923076923103E-2</v>
      </c>
      <c r="AE4" s="306">
        <v>4.0445352696171399</v>
      </c>
      <c r="AF4" s="301">
        <v>1</v>
      </c>
      <c r="AG4" s="306"/>
      <c r="AH4" s="307">
        <f t="shared" si="4"/>
        <v>6.0100011054999989</v>
      </c>
      <c r="AI4" s="307">
        <f t="shared" si="5"/>
        <v>1.0199988945000014</v>
      </c>
      <c r="AJ4" s="307">
        <f t="shared" ref="AJ4:AJ78" si="8">$B$89+$B$90*AI3+$B$91*(AA4-AA3)+$B$92*(AB4-AB3)+$B$93*(AC4-AC3)+$B$94*(AF4-AF3)+$B$95*AD4+$B$96*AE4</f>
        <v>-0.15436587219774756</v>
      </c>
      <c r="AK4" s="301"/>
      <c r="AL4" s="301"/>
      <c r="AM4" s="305">
        <v>37437</v>
      </c>
      <c r="AN4" s="303">
        <v>7.03</v>
      </c>
      <c r="AO4" s="303">
        <v>7.03</v>
      </c>
      <c r="AP4" s="303">
        <v>7.03</v>
      </c>
    </row>
    <row r="5" spans="1:42" ht="13.5" customHeight="1">
      <c r="A5" s="305">
        <v>37529</v>
      </c>
      <c r="B5" s="303">
        <v>7.22</v>
      </c>
      <c r="C5" s="301">
        <v>4.62</v>
      </c>
      <c r="D5" s="301">
        <v>35.9</v>
      </c>
      <c r="E5" s="306">
        <v>-3</v>
      </c>
      <c r="F5" s="306">
        <v>5.6005846153846198E-2</v>
      </c>
      <c r="G5" s="306">
        <v>4.8039781434042297</v>
      </c>
      <c r="H5" s="301">
        <v>1</v>
      </c>
      <c r="I5" s="306"/>
      <c r="J5" s="307">
        <f t="shared" si="0"/>
        <v>5.692372645999999</v>
      </c>
      <c r="K5" s="307">
        <f t="shared" si="1"/>
        <v>1.5276273540000007</v>
      </c>
      <c r="L5" s="307">
        <f t="shared" si="6"/>
        <v>-0.32083180591975524</v>
      </c>
      <c r="M5" s="301"/>
      <c r="N5" s="303">
        <v>7.22</v>
      </c>
      <c r="O5" s="301">
        <v>4.62</v>
      </c>
      <c r="P5" s="301">
        <v>35.9</v>
      </c>
      <c r="Q5" s="306">
        <v>-3</v>
      </c>
      <c r="R5" s="306">
        <v>5.6005846153846198E-2</v>
      </c>
      <c r="S5" s="306">
        <v>4.8039781434042297</v>
      </c>
      <c r="T5" s="301">
        <v>1</v>
      </c>
      <c r="U5" s="306"/>
      <c r="V5" s="307">
        <f t="shared" si="2"/>
        <v>5.692372645999999</v>
      </c>
      <c r="W5" s="307">
        <f t="shared" si="3"/>
        <v>1.5276273540000007</v>
      </c>
      <c r="X5" s="307">
        <f t="shared" si="7"/>
        <v>-0.32083180591975524</v>
      </c>
      <c r="Y5" s="301"/>
      <c r="Z5" s="303">
        <v>7.22</v>
      </c>
      <c r="AA5" s="301">
        <v>4.62</v>
      </c>
      <c r="AB5" s="301">
        <v>35.9</v>
      </c>
      <c r="AC5" s="306">
        <v>-3</v>
      </c>
      <c r="AD5" s="306">
        <v>5.6005846153846198E-2</v>
      </c>
      <c r="AE5" s="306">
        <v>4.8039781434042297</v>
      </c>
      <c r="AF5" s="301">
        <v>1</v>
      </c>
      <c r="AG5" s="306"/>
      <c r="AH5" s="307">
        <f t="shared" si="4"/>
        <v>5.692372645999999</v>
      </c>
      <c r="AI5" s="307">
        <f t="shared" si="5"/>
        <v>1.5276273540000007</v>
      </c>
      <c r="AJ5" s="307">
        <f t="shared" si="8"/>
        <v>-0.32083180591975524</v>
      </c>
      <c r="AK5" s="301"/>
      <c r="AL5" s="301"/>
      <c r="AM5" s="305">
        <v>37529</v>
      </c>
      <c r="AN5" s="303">
        <v>7.22</v>
      </c>
      <c r="AO5" s="303">
        <v>7.22</v>
      </c>
      <c r="AP5" s="303">
        <v>7.22</v>
      </c>
    </row>
    <row r="6" spans="1:42" ht="13.5" customHeight="1">
      <c r="A6" s="305">
        <v>37621</v>
      </c>
      <c r="B6" s="303">
        <v>6.81</v>
      </c>
      <c r="C6" s="301">
        <v>3.91</v>
      </c>
      <c r="D6" s="301">
        <v>36.799999999999997</v>
      </c>
      <c r="E6" s="306">
        <v>-3.4750000000000001</v>
      </c>
      <c r="F6" s="306">
        <v>4.5412769230769201E-2</v>
      </c>
      <c r="G6" s="306">
        <v>5.1158589981854501</v>
      </c>
      <c r="H6" s="301">
        <v>1</v>
      </c>
      <c r="I6" s="306"/>
      <c r="J6" s="307">
        <f t="shared" si="0"/>
        <v>5.1368167005000007</v>
      </c>
      <c r="K6" s="307">
        <f t="shared" si="1"/>
        <v>1.6731832994999989</v>
      </c>
      <c r="L6" s="307">
        <f t="shared" si="6"/>
        <v>-0.47498477861153443</v>
      </c>
      <c r="M6" s="301"/>
      <c r="N6" s="303">
        <v>6.81</v>
      </c>
      <c r="O6" s="301">
        <v>3.91</v>
      </c>
      <c r="P6" s="301">
        <v>36.799999999999997</v>
      </c>
      <c r="Q6" s="306">
        <v>-3.4750000000000001</v>
      </c>
      <c r="R6" s="306">
        <v>4.5412769230769201E-2</v>
      </c>
      <c r="S6" s="306">
        <v>5.1158589981854501</v>
      </c>
      <c r="T6" s="301">
        <v>1</v>
      </c>
      <c r="U6" s="306"/>
      <c r="V6" s="307">
        <f t="shared" si="2"/>
        <v>5.1368167005000007</v>
      </c>
      <c r="W6" s="307">
        <f t="shared" si="3"/>
        <v>1.6731832994999989</v>
      </c>
      <c r="X6" s="307">
        <f t="shared" si="7"/>
        <v>-0.47498477861153443</v>
      </c>
      <c r="Y6" s="301"/>
      <c r="Z6" s="303">
        <v>6.81</v>
      </c>
      <c r="AA6" s="301">
        <v>3.91</v>
      </c>
      <c r="AB6" s="301">
        <v>36.799999999999997</v>
      </c>
      <c r="AC6" s="306">
        <v>-3.4750000000000001</v>
      </c>
      <c r="AD6" s="306">
        <v>4.5412769230769201E-2</v>
      </c>
      <c r="AE6" s="306">
        <v>5.1158589981854501</v>
      </c>
      <c r="AF6" s="301">
        <v>1</v>
      </c>
      <c r="AG6" s="306"/>
      <c r="AH6" s="307">
        <f t="shared" si="4"/>
        <v>5.1368167005000007</v>
      </c>
      <c r="AI6" s="307">
        <f t="shared" si="5"/>
        <v>1.6731832994999989</v>
      </c>
      <c r="AJ6" s="307">
        <f t="shared" si="8"/>
        <v>-0.47498477861153443</v>
      </c>
      <c r="AK6" s="301"/>
      <c r="AL6" s="301"/>
      <c r="AM6" s="305">
        <v>37621</v>
      </c>
      <c r="AN6" s="303">
        <v>6.81</v>
      </c>
      <c r="AO6" s="303">
        <v>6.81</v>
      </c>
      <c r="AP6" s="303">
        <v>6.81</v>
      </c>
    </row>
    <row r="7" spans="1:42" ht="13.5" customHeight="1">
      <c r="A7" s="305">
        <v>37711</v>
      </c>
      <c r="B7" s="303">
        <v>6.18</v>
      </c>
      <c r="C7" s="301">
        <v>4.0199999999999996</v>
      </c>
      <c r="D7" s="301">
        <v>39.200000000000003</v>
      </c>
      <c r="E7" s="306">
        <v>-3.65</v>
      </c>
      <c r="F7" s="306">
        <v>3.3751538461538499E-2</v>
      </c>
      <c r="G7" s="306">
        <v>5.1765987072725599</v>
      </c>
      <c r="H7" s="301">
        <v>1</v>
      </c>
      <c r="I7" s="306"/>
      <c r="J7" s="307">
        <f t="shared" si="0"/>
        <v>5.2534811909999988</v>
      </c>
      <c r="K7" s="307">
        <f t="shared" si="1"/>
        <v>0.92651880900000094</v>
      </c>
      <c r="L7" s="307">
        <f t="shared" si="6"/>
        <v>-0.20984659765806257</v>
      </c>
      <c r="M7" s="301"/>
      <c r="N7" s="303">
        <v>6.18</v>
      </c>
      <c r="O7" s="301">
        <v>4.0199999999999996</v>
      </c>
      <c r="P7" s="301">
        <v>39.200000000000003</v>
      </c>
      <c r="Q7" s="306">
        <v>-3.65</v>
      </c>
      <c r="R7" s="306">
        <v>3.3751538461538499E-2</v>
      </c>
      <c r="S7" s="306">
        <v>5.1765987072725599</v>
      </c>
      <c r="T7" s="301">
        <v>1</v>
      </c>
      <c r="U7" s="306"/>
      <c r="V7" s="307">
        <f t="shared" si="2"/>
        <v>5.2534811909999988</v>
      </c>
      <c r="W7" s="307">
        <f t="shared" si="3"/>
        <v>0.92651880900000094</v>
      </c>
      <c r="X7" s="307">
        <f t="shared" si="7"/>
        <v>-0.20984659765806257</v>
      </c>
      <c r="Y7" s="301"/>
      <c r="Z7" s="303">
        <v>6.18</v>
      </c>
      <c r="AA7" s="301">
        <v>4.0199999999999996</v>
      </c>
      <c r="AB7" s="301">
        <v>39.200000000000003</v>
      </c>
      <c r="AC7" s="306">
        <v>-3.65</v>
      </c>
      <c r="AD7" s="306">
        <v>3.3751538461538499E-2</v>
      </c>
      <c r="AE7" s="306">
        <v>5.1765987072725599</v>
      </c>
      <c r="AF7" s="301">
        <v>1</v>
      </c>
      <c r="AG7" s="306"/>
      <c r="AH7" s="307">
        <f t="shared" si="4"/>
        <v>5.2534811909999988</v>
      </c>
      <c r="AI7" s="307">
        <f t="shared" si="5"/>
        <v>0.92651880900000094</v>
      </c>
      <c r="AJ7" s="307">
        <f t="shared" si="8"/>
        <v>-0.20984659765806257</v>
      </c>
      <c r="AK7" s="301"/>
      <c r="AL7" s="301"/>
      <c r="AM7" s="305">
        <v>37711</v>
      </c>
      <c r="AN7" s="303">
        <v>6.18</v>
      </c>
      <c r="AO7" s="303">
        <v>6.18</v>
      </c>
      <c r="AP7" s="303">
        <v>6.18</v>
      </c>
    </row>
    <row r="8" spans="1:42" ht="13.5" customHeight="1">
      <c r="A8" s="305">
        <v>37802</v>
      </c>
      <c r="B8" s="303">
        <v>5.89</v>
      </c>
      <c r="C8" s="301">
        <v>3.94</v>
      </c>
      <c r="D8" s="301">
        <v>38.700000000000003</v>
      </c>
      <c r="E8" s="306">
        <v>-4.4000000000000004</v>
      </c>
      <c r="F8" s="306">
        <v>3.23933076923077E-2</v>
      </c>
      <c r="G8" s="306">
        <v>5.61274595066135</v>
      </c>
      <c r="H8" s="301">
        <v>1</v>
      </c>
      <c r="I8" s="306"/>
      <c r="J8" s="307">
        <f t="shared" si="0"/>
        <v>5.4227696419999987</v>
      </c>
      <c r="K8" s="307">
        <f t="shared" si="1"/>
        <v>0.46723035800000101</v>
      </c>
      <c r="L8" s="307">
        <f t="shared" si="6"/>
        <v>-0.22147466641921046</v>
      </c>
      <c r="M8" s="301"/>
      <c r="N8" s="303">
        <v>5.89</v>
      </c>
      <c r="O8" s="301">
        <v>3.94</v>
      </c>
      <c r="P8" s="301">
        <v>38.700000000000003</v>
      </c>
      <c r="Q8" s="306">
        <v>-4.4000000000000004</v>
      </c>
      <c r="R8" s="306">
        <v>3.23933076923077E-2</v>
      </c>
      <c r="S8" s="306">
        <v>5.61274595066135</v>
      </c>
      <c r="T8" s="301">
        <v>1</v>
      </c>
      <c r="U8" s="306"/>
      <c r="V8" s="307">
        <f t="shared" si="2"/>
        <v>5.4227696419999987</v>
      </c>
      <c r="W8" s="307">
        <f t="shared" si="3"/>
        <v>0.46723035800000101</v>
      </c>
      <c r="X8" s="307">
        <f t="shared" si="7"/>
        <v>-0.22147466641921046</v>
      </c>
      <c r="Y8" s="301"/>
      <c r="Z8" s="303">
        <v>5.89</v>
      </c>
      <c r="AA8" s="301">
        <v>3.94</v>
      </c>
      <c r="AB8" s="301">
        <v>38.700000000000003</v>
      </c>
      <c r="AC8" s="306">
        <v>-4.4000000000000004</v>
      </c>
      <c r="AD8" s="306">
        <v>3.23933076923077E-2</v>
      </c>
      <c r="AE8" s="306">
        <v>5.61274595066135</v>
      </c>
      <c r="AF8" s="301">
        <v>1</v>
      </c>
      <c r="AG8" s="306"/>
      <c r="AH8" s="307">
        <f t="shared" si="4"/>
        <v>5.4227696419999987</v>
      </c>
      <c r="AI8" s="307">
        <f t="shared" si="5"/>
        <v>0.46723035800000101</v>
      </c>
      <c r="AJ8" s="307">
        <f t="shared" si="8"/>
        <v>-0.22147466641921046</v>
      </c>
      <c r="AK8" s="301"/>
      <c r="AL8" s="301"/>
      <c r="AM8" s="305">
        <v>37802</v>
      </c>
      <c r="AN8" s="303">
        <v>5.89</v>
      </c>
      <c r="AO8" s="303">
        <v>5.89</v>
      </c>
      <c r="AP8" s="303">
        <v>5.89</v>
      </c>
    </row>
    <row r="9" spans="1:42" ht="13.5" customHeight="1">
      <c r="A9" s="305">
        <v>37894</v>
      </c>
      <c r="B9" s="303">
        <v>5.7</v>
      </c>
      <c r="C9" s="301">
        <v>3.93</v>
      </c>
      <c r="D9" s="301">
        <v>38.299999999999997</v>
      </c>
      <c r="E9" s="306">
        <v>-5</v>
      </c>
      <c r="F9" s="306">
        <v>2.3047923076923101E-2</v>
      </c>
      <c r="G9" s="306">
        <v>5.3538403174051101</v>
      </c>
      <c r="H9" s="301">
        <v>1</v>
      </c>
      <c r="I9" s="306"/>
      <c r="J9" s="307">
        <f t="shared" si="0"/>
        <v>5.6105943239999991</v>
      </c>
      <c r="K9" s="307">
        <f t="shared" si="1"/>
        <v>8.9405676000001044E-2</v>
      </c>
      <c r="L9" s="307">
        <f t="shared" si="6"/>
        <v>-0.20196602369010824</v>
      </c>
      <c r="M9" s="301"/>
      <c r="N9" s="303">
        <v>5.7</v>
      </c>
      <c r="O9" s="301">
        <v>3.93</v>
      </c>
      <c r="P9" s="301">
        <v>38.299999999999997</v>
      </c>
      <c r="Q9" s="306">
        <v>-5</v>
      </c>
      <c r="R9" s="306">
        <v>2.3047923076923101E-2</v>
      </c>
      <c r="S9" s="306">
        <v>5.3538403174051101</v>
      </c>
      <c r="T9" s="301">
        <v>1</v>
      </c>
      <c r="U9" s="306"/>
      <c r="V9" s="307">
        <f t="shared" si="2"/>
        <v>5.6105943239999991</v>
      </c>
      <c r="W9" s="307">
        <f t="shared" si="3"/>
        <v>8.9405676000001044E-2</v>
      </c>
      <c r="X9" s="307">
        <f t="shared" si="7"/>
        <v>-0.20196602369010824</v>
      </c>
      <c r="Y9" s="301"/>
      <c r="Z9" s="303">
        <v>5.7</v>
      </c>
      <c r="AA9" s="301">
        <v>3.93</v>
      </c>
      <c r="AB9" s="301">
        <v>38.299999999999997</v>
      </c>
      <c r="AC9" s="306">
        <v>-5</v>
      </c>
      <c r="AD9" s="306">
        <v>2.3047923076923101E-2</v>
      </c>
      <c r="AE9" s="306">
        <v>5.3538403174051101</v>
      </c>
      <c r="AF9" s="301">
        <v>1</v>
      </c>
      <c r="AG9" s="306"/>
      <c r="AH9" s="307">
        <f t="shared" si="4"/>
        <v>5.6105943239999991</v>
      </c>
      <c r="AI9" s="307">
        <f t="shared" si="5"/>
        <v>8.9405676000001044E-2</v>
      </c>
      <c r="AJ9" s="307">
        <f t="shared" si="8"/>
        <v>-0.20196602369010824</v>
      </c>
      <c r="AK9" s="301"/>
      <c r="AL9" s="301"/>
      <c r="AM9" s="305">
        <v>37894</v>
      </c>
      <c r="AN9" s="303">
        <v>5.7</v>
      </c>
      <c r="AO9" s="303">
        <v>5.7</v>
      </c>
      <c r="AP9" s="303">
        <v>5.7</v>
      </c>
    </row>
    <row r="10" spans="1:42" ht="13.5" customHeight="1">
      <c r="A10" s="305">
        <v>37986</v>
      </c>
      <c r="B10" s="303">
        <v>5.48</v>
      </c>
      <c r="C10" s="301">
        <v>4.2699999999999996</v>
      </c>
      <c r="D10" s="301">
        <v>38.200000000000003</v>
      </c>
      <c r="E10" s="306">
        <v>-4.625</v>
      </c>
      <c r="F10" s="306">
        <v>2.1080076923076899E-2</v>
      </c>
      <c r="G10" s="306">
        <v>5.6406774349398603</v>
      </c>
      <c r="H10" s="301">
        <v>1</v>
      </c>
      <c r="I10" s="306"/>
      <c r="J10" s="307">
        <f t="shared" si="0"/>
        <v>5.8236578734999984</v>
      </c>
      <c r="K10" s="307">
        <f t="shared" si="1"/>
        <v>-0.34365787349999799</v>
      </c>
      <c r="L10" s="307">
        <f t="shared" si="6"/>
        <v>-6.5433864199618025E-2</v>
      </c>
      <c r="M10" s="301"/>
      <c r="N10" s="303">
        <v>5.48</v>
      </c>
      <c r="O10" s="301">
        <v>4.2699999999999996</v>
      </c>
      <c r="P10" s="301">
        <v>38.200000000000003</v>
      </c>
      <c r="Q10" s="306">
        <v>-4.625</v>
      </c>
      <c r="R10" s="306">
        <v>2.1080076923076899E-2</v>
      </c>
      <c r="S10" s="306">
        <v>5.6406774349398603</v>
      </c>
      <c r="T10" s="301">
        <v>1</v>
      </c>
      <c r="U10" s="306"/>
      <c r="V10" s="307">
        <f t="shared" si="2"/>
        <v>5.8236578734999984</v>
      </c>
      <c r="W10" s="307">
        <f t="shared" si="3"/>
        <v>-0.34365787349999799</v>
      </c>
      <c r="X10" s="307">
        <f t="shared" si="7"/>
        <v>-6.5433864199618025E-2</v>
      </c>
      <c r="Y10" s="301"/>
      <c r="Z10" s="303">
        <v>5.48</v>
      </c>
      <c r="AA10" s="301">
        <v>4.2699999999999996</v>
      </c>
      <c r="AB10" s="301">
        <v>38.200000000000003</v>
      </c>
      <c r="AC10" s="306">
        <v>-4.625</v>
      </c>
      <c r="AD10" s="306">
        <v>2.1080076923076899E-2</v>
      </c>
      <c r="AE10" s="306">
        <v>5.6406774349398603</v>
      </c>
      <c r="AF10" s="301">
        <v>1</v>
      </c>
      <c r="AG10" s="306"/>
      <c r="AH10" s="307">
        <f t="shared" si="4"/>
        <v>5.8236578734999984</v>
      </c>
      <c r="AI10" s="307">
        <f t="shared" si="5"/>
        <v>-0.34365787349999799</v>
      </c>
      <c r="AJ10" s="307">
        <f t="shared" si="8"/>
        <v>-6.5433864199618025E-2</v>
      </c>
      <c r="AK10" s="301"/>
      <c r="AL10" s="301"/>
      <c r="AM10" s="305">
        <v>37986</v>
      </c>
      <c r="AN10" s="303">
        <v>5.48</v>
      </c>
      <c r="AO10" s="303">
        <v>5.48</v>
      </c>
      <c r="AP10" s="303">
        <v>5.48</v>
      </c>
    </row>
    <row r="11" spans="1:42" ht="13.5" customHeight="1">
      <c r="A11" s="305">
        <v>38077</v>
      </c>
      <c r="B11" s="303">
        <v>5.57</v>
      </c>
      <c r="C11" s="301">
        <v>4.13</v>
      </c>
      <c r="D11" s="301">
        <v>38.5</v>
      </c>
      <c r="E11" s="306">
        <v>-4.3</v>
      </c>
      <c r="F11" s="306">
        <v>1.8234076923076901E-2</v>
      </c>
      <c r="G11" s="306">
        <v>5.3609649427818402</v>
      </c>
      <c r="H11" s="301">
        <v>1</v>
      </c>
      <c r="I11" s="306"/>
      <c r="J11" s="307">
        <f t="shared" si="0"/>
        <v>5.5792491739999992</v>
      </c>
      <c r="K11" s="307">
        <f t="shared" si="1"/>
        <v>-9.2491739999989164E-3</v>
      </c>
      <c r="L11" s="307">
        <f t="shared" si="6"/>
        <v>-0.22449540337204105</v>
      </c>
      <c r="M11" s="301"/>
      <c r="N11" s="303">
        <v>5.57</v>
      </c>
      <c r="O11" s="301">
        <v>4.13</v>
      </c>
      <c r="P11" s="301">
        <v>38.5</v>
      </c>
      <c r="Q11" s="306">
        <v>-4.3</v>
      </c>
      <c r="R11" s="306">
        <v>1.8234076923076901E-2</v>
      </c>
      <c r="S11" s="306">
        <v>5.3609649427818402</v>
      </c>
      <c r="T11" s="301">
        <v>1</v>
      </c>
      <c r="U11" s="306"/>
      <c r="V11" s="307">
        <f t="shared" si="2"/>
        <v>5.5792491739999992</v>
      </c>
      <c r="W11" s="307">
        <f t="shared" si="3"/>
        <v>-9.2491739999989164E-3</v>
      </c>
      <c r="X11" s="307">
        <f t="shared" si="7"/>
        <v>-0.22449540337204105</v>
      </c>
      <c r="Y11" s="301"/>
      <c r="Z11" s="303">
        <v>5.57</v>
      </c>
      <c r="AA11" s="301">
        <v>4.13</v>
      </c>
      <c r="AB11" s="301">
        <v>38.5</v>
      </c>
      <c r="AC11" s="306">
        <v>-4.3</v>
      </c>
      <c r="AD11" s="306">
        <v>1.8234076923076901E-2</v>
      </c>
      <c r="AE11" s="306">
        <v>5.3609649427818402</v>
      </c>
      <c r="AF11" s="301">
        <v>1</v>
      </c>
      <c r="AG11" s="306"/>
      <c r="AH11" s="307">
        <f t="shared" si="4"/>
        <v>5.5792491739999992</v>
      </c>
      <c r="AI11" s="307">
        <f t="shared" si="5"/>
        <v>-9.2491739999989164E-3</v>
      </c>
      <c r="AJ11" s="307">
        <f t="shared" si="8"/>
        <v>-0.22449540337204105</v>
      </c>
      <c r="AK11" s="301"/>
      <c r="AL11" s="301"/>
      <c r="AM11" s="305">
        <v>38077</v>
      </c>
      <c r="AN11" s="303">
        <v>5.57</v>
      </c>
      <c r="AO11" s="303">
        <v>5.57</v>
      </c>
      <c r="AP11" s="303">
        <v>5.57</v>
      </c>
    </row>
    <row r="12" spans="1:42" ht="13.5" customHeight="1">
      <c r="A12" s="305">
        <v>38168</v>
      </c>
      <c r="B12" s="303">
        <v>5.54</v>
      </c>
      <c r="C12" s="301">
        <v>4.32</v>
      </c>
      <c r="D12" s="301">
        <v>40.200000000000003</v>
      </c>
      <c r="E12" s="306">
        <v>-4.8</v>
      </c>
      <c r="F12" s="306">
        <v>1.7142384615384601E-2</v>
      </c>
      <c r="G12" s="306">
        <v>4.57258828716067</v>
      </c>
      <c r="H12" s="301">
        <v>1</v>
      </c>
      <c r="I12" s="306"/>
      <c r="J12" s="307">
        <f t="shared" si="0"/>
        <v>5.889684535999999</v>
      </c>
      <c r="K12" s="307">
        <f t="shared" si="1"/>
        <v>-0.34968453599999894</v>
      </c>
      <c r="L12" s="307">
        <f t="shared" si="6"/>
        <v>-8.1703910232557242E-2</v>
      </c>
      <c r="M12" s="301"/>
      <c r="N12" s="303">
        <v>5.54</v>
      </c>
      <c r="O12" s="301">
        <v>4.32</v>
      </c>
      <c r="P12" s="301">
        <v>40.200000000000003</v>
      </c>
      <c r="Q12" s="306">
        <v>-4.8</v>
      </c>
      <c r="R12" s="306">
        <v>1.7142384615384601E-2</v>
      </c>
      <c r="S12" s="306">
        <v>4.57258828716067</v>
      </c>
      <c r="T12" s="301">
        <v>1</v>
      </c>
      <c r="U12" s="306"/>
      <c r="V12" s="307">
        <f t="shared" si="2"/>
        <v>5.889684535999999</v>
      </c>
      <c r="W12" s="307">
        <f t="shared" si="3"/>
        <v>-0.34968453599999894</v>
      </c>
      <c r="X12" s="307">
        <f t="shared" si="7"/>
        <v>-8.1703910232557242E-2</v>
      </c>
      <c r="Y12" s="301"/>
      <c r="Z12" s="303">
        <v>5.54</v>
      </c>
      <c r="AA12" s="301">
        <v>4.32</v>
      </c>
      <c r="AB12" s="301">
        <v>40.200000000000003</v>
      </c>
      <c r="AC12" s="306">
        <v>-4.8</v>
      </c>
      <c r="AD12" s="306">
        <v>1.7142384615384601E-2</v>
      </c>
      <c r="AE12" s="306">
        <v>4.57258828716067</v>
      </c>
      <c r="AF12" s="301">
        <v>1</v>
      </c>
      <c r="AG12" s="306"/>
      <c r="AH12" s="307">
        <f t="shared" si="4"/>
        <v>5.889684535999999</v>
      </c>
      <c r="AI12" s="307">
        <f t="shared" si="5"/>
        <v>-0.34968453599999894</v>
      </c>
      <c r="AJ12" s="307">
        <f t="shared" si="8"/>
        <v>-8.1703910232557242E-2</v>
      </c>
      <c r="AK12" s="301"/>
      <c r="AL12" s="301"/>
      <c r="AM12" s="305">
        <v>38168</v>
      </c>
      <c r="AN12" s="303">
        <v>5.54</v>
      </c>
      <c r="AO12" s="303">
        <v>5.54</v>
      </c>
      <c r="AP12" s="303">
        <v>5.54</v>
      </c>
    </row>
    <row r="13" spans="1:42" ht="13.5" customHeight="1">
      <c r="A13" s="305">
        <v>38260</v>
      </c>
      <c r="B13" s="303">
        <v>5.68</v>
      </c>
      <c r="C13" s="301">
        <v>4.4800000000000004</v>
      </c>
      <c r="D13" s="301">
        <v>41</v>
      </c>
      <c r="E13" s="306">
        <v>-4.9000000000000004</v>
      </c>
      <c r="F13" s="306">
        <v>1.3644230769230801E-2</v>
      </c>
      <c r="G13" s="306">
        <v>4.1395348837209403</v>
      </c>
      <c r="H13" s="301">
        <v>1</v>
      </c>
      <c r="I13" s="306"/>
      <c r="J13" s="307">
        <f t="shared" si="0"/>
        <v>6.0614287740000012</v>
      </c>
      <c r="K13" s="307">
        <f t="shared" si="1"/>
        <v>-0.38142877400000152</v>
      </c>
      <c r="L13" s="307">
        <f t="shared" si="6"/>
        <v>-0.11476955595109065</v>
      </c>
      <c r="M13" s="301"/>
      <c r="N13" s="303">
        <v>5.68</v>
      </c>
      <c r="O13" s="301">
        <v>4.4800000000000004</v>
      </c>
      <c r="P13" s="301">
        <v>41</v>
      </c>
      <c r="Q13" s="306">
        <v>-4.9000000000000004</v>
      </c>
      <c r="R13" s="306">
        <v>1.3644230769230801E-2</v>
      </c>
      <c r="S13" s="306">
        <v>4.1395348837209403</v>
      </c>
      <c r="T13" s="301">
        <v>1</v>
      </c>
      <c r="U13" s="306"/>
      <c r="V13" s="307">
        <f t="shared" si="2"/>
        <v>6.0614287740000012</v>
      </c>
      <c r="W13" s="307">
        <f t="shared" si="3"/>
        <v>-0.38142877400000152</v>
      </c>
      <c r="X13" s="307">
        <f t="shared" si="7"/>
        <v>-0.11476955595109065</v>
      </c>
      <c r="Y13" s="301"/>
      <c r="Z13" s="303">
        <v>5.68</v>
      </c>
      <c r="AA13" s="301">
        <v>4.4800000000000004</v>
      </c>
      <c r="AB13" s="301">
        <v>41</v>
      </c>
      <c r="AC13" s="306">
        <v>-4.9000000000000004</v>
      </c>
      <c r="AD13" s="306">
        <v>1.3644230769230801E-2</v>
      </c>
      <c r="AE13" s="306">
        <v>4.1395348837209403</v>
      </c>
      <c r="AF13" s="301">
        <v>1</v>
      </c>
      <c r="AG13" s="306"/>
      <c r="AH13" s="307">
        <f t="shared" si="4"/>
        <v>6.0614287740000012</v>
      </c>
      <c r="AI13" s="307">
        <f t="shared" si="5"/>
        <v>-0.38142877400000152</v>
      </c>
      <c r="AJ13" s="307">
        <f t="shared" si="8"/>
        <v>-0.11476955595109065</v>
      </c>
      <c r="AK13" s="301"/>
      <c r="AL13" s="301"/>
      <c r="AM13" s="305">
        <v>38260</v>
      </c>
      <c r="AN13" s="303">
        <v>5.68</v>
      </c>
      <c r="AO13" s="303">
        <v>5.68</v>
      </c>
      <c r="AP13" s="303">
        <v>5.68</v>
      </c>
    </row>
    <row r="14" spans="1:42" ht="13.5" customHeight="1">
      <c r="A14" s="305">
        <v>38352</v>
      </c>
      <c r="B14" s="303">
        <v>5.27</v>
      </c>
      <c r="C14" s="301">
        <v>4.08</v>
      </c>
      <c r="D14" s="301">
        <v>40.299999999999997</v>
      </c>
      <c r="E14" s="306">
        <v>-5.05</v>
      </c>
      <c r="F14" s="306">
        <v>1.1427E-2</v>
      </c>
      <c r="G14" s="306">
        <v>4.1600537929466199</v>
      </c>
      <c r="H14" s="301">
        <v>1</v>
      </c>
      <c r="I14" s="306"/>
      <c r="J14" s="307">
        <f t="shared" si="0"/>
        <v>5.7340739289999991</v>
      </c>
      <c r="K14" s="307">
        <f t="shared" si="1"/>
        <v>-0.46407392899999955</v>
      </c>
      <c r="L14" s="307">
        <f t="shared" si="6"/>
        <v>-0.37423374170520851</v>
      </c>
      <c r="M14" s="301"/>
      <c r="N14" s="303">
        <v>5.27</v>
      </c>
      <c r="O14" s="301">
        <v>4.08</v>
      </c>
      <c r="P14" s="301">
        <v>40.299999999999997</v>
      </c>
      <c r="Q14" s="306">
        <v>-5.05</v>
      </c>
      <c r="R14" s="306">
        <v>1.1427E-2</v>
      </c>
      <c r="S14" s="306">
        <v>4.1600537929466199</v>
      </c>
      <c r="T14" s="301">
        <v>1</v>
      </c>
      <c r="U14" s="306"/>
      <c r="V14" s="307">
        <f t="shared" si="2"/>
        <v>5.7340739289999991</v>
      </c>
      <c r="W14" s="307">
        <f t="shared" si="3"/>
        <v>-0.46407392899999955</v>
      </c>
      <c r="X14" s="307">
        <f t="shared" si="7"/>
        <v>-0.37423374170520851</v>
      </c>
      <c r="Y14" s="301"/>
      <c r="Z14" s="303">
        <v>5.27</v>
      </c>
      <c r="AA14" s="301">
        <v>4.08</v>
      </c>
      <c r="AB14" s="301">
        <v>40.299999999999997</v>
      </c>
      <c r="AC14" s="306">
        <v>-5.05</v>
      </c>
      <c r="AD14" s="306">
        <v>1.1427E-2</v>
      </c>
      <c r="AE14" s="306">
        <v>4.1600537929466199</v>
      </c>
      <c r="AF14" s="301">
        <v>1</v>
      </c>
      <c r="AG14" s="306"/>
      <c r="AH14" s="307">
        <f t="shared" si="4"/>
        <v>5.7340739289999991</v>
      </c>
      <c r="AI14" s="307">
        <f t="shared" si="5"/>
        <v>-0.46407392899999955</v>
      </c>
      <c r="AJ14" s="307">
        <f t="shared" si="8"/>
        <v>-0.37423374170520851</v>
      </c>
      <c r="AK14" s="301"/>
      <c r="AL14" s="301"/>
      <c r="AM14" s="305">
        <v>38352</v>
      </c>
      <c r="AN14" s="303">
        <v>5.27</v>
      </c>
      <c r="AO14" s="303">
        <v>5.27</v>
      </c>
      <c r="AP14" s="303">
        <v>5.27</v>
      </c>
    </row>
    <row r="15" spans="1:42" ht="13.5" customHeight="1">
      <c r="A15" s="305">
        <v>38442</v>
      </c>
      <c r="B15" s="303">
        <v>4.75</v>
      </c>
      <c r="C15" s="301">
        <v>4.21</v>
      </c>
      <c r="D15" s="301">
        <v>42.1</v>
      </c>
      <c r="E15" s="306">
        <v>-5.375</v>
      </c>
      <c r="F15" s="306">
        <v>9.7549999999999998E-3</v>
      </c>
      <c r="G15" s="306">
        <v>3.3241660860743498</v>
      </c>
      <c r="H15" s="301">
        <v>1</v>
      </c>
      <c r="I15" s="306"/>
      <c r="J15" s="307">
        <f t="shared" si="0"/>
        <v>5.9289974404999981</v>
      </c>
      <c r="K15" s="307">
        <f t="shared" si="1"/>
        <v>-1.1789974404999981</v>
      </c>
      <c r="L15" s="307">
        <f t="shared" si="6"/>
        <v>-0.12061677351863256</v>
      </c>
      <c r="M15" s="301"/>
      <c r="N15" s="303">
        <v>4.75</v>
      </c>
      <c r="O15" s="301">
        <v>4.21</v>
      </c>
      <c r="P15" s="301">
        <v>42.1</v>
      </c>
      <c r="Q15" s="306">
        <v>-5.375</v>
      </c>
      <c r="R15" s="306">
        <v>9.7549999999999998E-3</v>
      </c>
      <c r="S15" s="306">
        <v>3.3241660860743498</v>
      </c>
      <c r="T15" s="301">
        <v>1</v>
      </c>
      <c r="U15" s="306"/>
      <c r="V15" s="307">
        <f t="shared" si="2"/>
        <v>5.9289974404999981</v>
      </c>
      <c r="W15" s="307">
        <f t="shared" si="3"/>
        <v>-1.1789974404999981</v>
      </c>
      <c r="X15" s="307">
        <f t="shared" si="7"/>
        <v>-0.12061677351863256</v>
      </c>
      <c r="Y15" s="301"/>
      <c r="Z15" s="303">
        <v>4.75</v>
      </c>
      <c r="AA15" s="301">
        <v>4.21</v>
      </c>
      <c r="AB15" s="301">
        <v>42.1</v>
      </c>
      <c r="AC15" s="306">
        <v>-5.375</v>
      </c>
      <c r="AD15" s="306">
        <v>9.7549999999999998E-3</v>
      </c>
      <c r="AE15" s="306">
        <v>3.3241660860743498</v>
      </c>
      <c r="AF15" s="301">
        <v>1</v>
      </c>
      <c r="AG15" s="306"/>
      <c r="AH15" s="307">
        <f t="shared" si="4"/>
        <v>5.9289974404999981</v>
      </c>
      <c r="AI15" s="307">
        <f t="shared" si="5"/>
        <v>-1.1789974404999981</v>
      </c>
      <c r="AJ15" s="307">
        <f t="shared" si="8"/>
        <v>-0.12061677351863256</v>
      </c>
      <c r="AK15" s="301"/>
      <c r="AL15" s="301"/>
      <c r="AM15" s="305">
        <v>38442</v>
      </c>
      <c r="AN15" s="303">
        <v>4.75</v>
      </c>
      <c r="AO15" s="303">
        <v>4.75</v>
      </c>
      <c r="AP15" s="303">
        <v>4.75</v>
      </c>
    </row>
    <row r="16" spans="1:42" ht="13.5" customHeight="1">
      <c r="A16" s="305">
        <v>38533</v>
      </c>
      <c r="B16" s="303">
        <v>4.37</v>
      </c>
      <c r="C16" s="301">
        <v>4.34</v>
      </c>
      <c r="D16" s="301">
        <v>42</v>
      </c>
      <c r="E16" s="306">
        <v>-4.55</v>
      </c>
      <c r="F16" s="306">
        <v>1.46297692307692E-2</v>
      </c>
      <c r="G16" s="306">
        <v>3.7179720152644</v>
      </c>
      <c r="H16" s="301">
        <v>1</v>
      </c>
      <c r="I16" s="306"/>
      <c r="J16" s="307">
        <f t="shared" si="0"/>
        <v>5.7958446370000001</v>
      </c>
      <c r="K16" s="307">
        <f t="shared" si="1"/>
        <v>-1.425844637</v>
      </c>
      <c r="L16" s="307">
        <f t="shared" si="6"/>
        <v>-9.3113799081711357E-2</v>
      </c>
      <c r="M16" s="301"/>
      <c r="N16" s="303">
        <v>4.37</v>
      </c>
      <c r="O16" s="301">
        <v>4.34</v>
      </c>
      <c r="P16" s="301">
        <v>42</v>
      </c>
      <c r="Q16" s="306">
        <v>-4.55</v>
      </c>
      <c r="R16" s="306">
        <v>1.46297692307692E-2</v>
      </c>
      <c r="S16" s="306">
        <v>3.7179720152644</v>
      </c>
      <c r="T16" s="301">
        <v>1</v>
      </c>
      <c r="U16" s="306"/>
      <c r="V16" s="307">
        <f t="shared" si="2"/>
        <v>5.7958446370000001</v>
      </c>
      <c r="W16" s="307">
        <f t="shared" si="3"/>
        <v>-1.425844637</v>
      </c>
      <c r="X16" s="307">
        <f t="shared" si="7"/>
        <v>-9.3113799081711357E-2</v>
      </c>
      <c r="Y16" s="301"/>
      <c r="Z16" s="303">
        <v>4.37</v>
      </c>
      <c r="AA16" s="301">
        <v>4.34</v>
      </c>
      <c r="AB16" s="301">
        <v>42</v>
      </c>
      <c r="AC16" s="306">
        <v>-4.55</v>
      </c>
      <c r="AD16" s="306">
        <v>1.46297692307692E-2</v>
      </c>
      <c r="AE16" s="306">
        <v>3.7179720152644</v>
      </c>
      <c r="AF16" s="301">
        <v>1</v>
      </c>
      <c r="AG16" s="306"/>
      <c r="AH16" s="307">
        <f t="shared" si="4"/>
        <v>5.7958446370000001</v>
      </c>
      <c r="AI16" s="307">
        <f t="shared" si="5"/>
        <v>-1.425844637</v>
      </c>
      <c r="AJ16" s="307">
        <f t="shared" si="8"/>
        <v>-9.3113799081711357E-2</v>
      </c>
      <c r="AK16" s="301"/>
      <c r="AL16" s="301"/>
      <c r="AM16" s="305">
        <v>38533</v>
      </c>
      <c r="AN16" s="303">
        <v>4.37</v>
      </c>
      <c r="AO16" s="303">
        <v>4.37</v>
      </c>
      <c r="AP16" s="303">
        <v>4.37</v>
      </c>
    </row>
    <row r="17" spans="1:42" ht="13.5" customHeight="1">
      <c r="A17" s="305">
        <v>38625</v>
      </c>
      <c r="B17" s="303">
        <v>4.28</v>
      </c>
      <c r="C17" s="301">
        <v>4.16</v>
      </c>
      <c r="D17" s="301">
        <v>41.7</v>
      </c>
      <c r="E17" s="306">
        <v>-3.8</v>
      </c>
      <c r="F17" s="306">
        <v>1.1696285714285701E-2</v>
      </c>
      <c r="G17" s="306">
        <v>4.2607346789801603</v>
      </c>
      <c r="H17" s="301">
        <v>1</v>
      </c>
      <c r="I17" s="306"/>
      <c r="J17" s="307">
        <f t="shared" si="0"/>
        <v>5.3894444379999999</v>
      </c>
      <c r="K17" s="307">
        <f t="shared" si="1"/>
        <v>-1.1094444379999997</v>
      </c>
      <c r="L17" s="307">
        <f t="shared" si="6"/>
        <v>-0.20037748011362294</v>
      </c>
      <c r="M17" s="301"/>
      <c r="N17" s="303">
        <v>4.28</v>
      </c>
      <c r="O17" s="301">
        <v>4.16</v>
      </c>
      <c r="P17" s="301">
        <v>41.7</v>
      </c>
      <c r="Q17" s="306">
        <v>-3.8</v>
      </c>
      <c r="R17" s="306">
        <v>1.1696285714285701E-2</v>
      </c>
      <c r="S17" s="306">
        <v>4.2607346789801603</v>
      </c>
      <c r="T17" s="301">
        <v>1</v>
      </c>
      <c r="U17" s="306"/>
      <c r="V17" s="307">
        <f t="shared" si="2"/>
        <v>5.3894444379999999</v>
      </c>
      <c r="W17" s="307">
        <f t="shared" si="3"/>
        <v>-1.1094444379999997</v>
      </c>
      <c r="X17" s="307">
        <f t="shared" si="7"/>
        <v>-0.20037748011362294</v>
      </c>
      <c r="Y17" s="301"/>
      <c r="Z17" s="303">
        <v>4.28</v>
      </c>
      <c r="AA17" s="301">
        <v>4.16</v>
      </c>
      <c r="AB17" s="301">
        <v>41.7</v>
      </c>
      <c r="AC17" s="306">
        <v>-3.8</v>
      </c>
      <c r="AD17" s="306">
        <v>1.1696285714285701E-2</v>
      </c>
      <c r="AE17" s="306">
        <v>4.2607346789801603</v>
      </c>
      <c r="AF17" s="301">
        <v>1</v>
      </c>
      <c r="AG17" s="306"/>
      <c r="AH17" s="307">
        <f t="shared" si="4"/>
        <v>5.3894444379999999</v>
      </c>
      <c r="AI17" s="307">
        <f t="shared" si="5"/>
        <v>-1.1094444379999997</v>
      </c>
      <c r="AJ17" s="307">
        <f t="shared" si="8"/>
        <v>-0.20037748011362294</v>
      </c>
      <c r="AK17" s="301"/>
      <c r="AL17" s="301"/>
      <c r="AM17" s="305">
        <v>38625</v>
      </c>
      <c r="AN17" s="303">
        <v>4.28</v>
      </c>
      <c r="AO17" s="303">
        <v>4.28</v>
      </c>
      <c r="AP17" s="303">
        <v>4.28</v>
      </c>
    </row>
    <row r="18" spans="1:42" ht="13.5" customHeight="1">
      <c r="A18" s="305">
        <v>38717</v>
      </c>
      <c r="B18" s="303">
        <v>3.97</v>
      </c>
      <c r="C18" s="301">
        <v>4.45</v>
      </c>
      <c r="D18" s="301">
        <v>41.3</v>
      </c>
      <c r="E18" s="306">
        <v>-3.9</v>
      </c>
      <c r="F18" s="306">
        <v>1.6896230769230799E-2</v>
      </c>
      <c r="G18" s="306">
        <v>4.3140726535688501</v>
      </c>
      <c r="H18" s="301">
        <v>1</v>
      </c>
      <c r="I18" s="306"/>
      <c r="J18" s="307">
        <f t="shared" si="0"/>
        <v>5.7100551100000008</v>
      </c>
      <c r="K18" s="307">
        <f t="shared" si="1"/>
        <v>-1.7400551100000006</v>
      </c>
      <c r="L18" s="307">
        <f t="shared" si="6"/>
        <v>2.6683143296791945E-2</v>
      </c>
      <c r="M18" s="301"/>
      <c r="N18" s="303">
        <v>3.97</v>
      </c>
      <c r="O18" s="301">
        <v>4.45</v>
      </c>
      <c r="P18" s="301">
        <v>41.3</v>
      </c>
      <c r="Q18" s="306">
        <v>-3.9</v>
      </c>
      <c r="R18" s="306">
        <v>1.6896230769230799E-2</v>
      </c>
      <c r="S18" s="306">
        <v>4.3140726535688501</v>
      </c>
      <c r="T18" s="301">
        <v>1</v>
      </c>
      <c r="U18" s="306"/>
      <c r="V18" s="307">
        <f t="shared" si="2"/>
        <v>5.7100551100000008</v>
      </c>
      <c r="W18" s="307">
        <f t="shared" si="3"/>
        <v>-1.7400551100000006</v>
      </c>
      <c r="X18" s="307">
        <f t="shared" si="7"/>
        <v>2.6683143296791945E-2</v>
      </c>
      <c r="Y18" s="301"/>
      <c r="Z18" s="303">
        <v>3.97</v>
      </c>
      <c r="AA18" s="301">
        <v>4.45</v>
      </c>
      <c r="AB18" s="301">
        <v>41.3</v>
      </c>
      <c r="AC18" s="306">
        <v>-3.9</v>
      </c>
      <c r="AD18" s="306">
        <v>1.6896230769230799E-2</v>
      </c>
      <c r="AE18" s="306">
        <v>4.3140726535688501</v>
      </c>
      <c r="AF18" s="301">
        <v>1</v>
      </c>
      <c r="AG18" s="306"/>
      <c r="AH18" s="307">
        <f t="shared" si="4"/>
        <v>5.7100551100000008</v>
      </c>
      <c r="AI18" s="307">
        <f t="shared" si="5"/>
        <v>-1.7400551100000006</v>
      </c>
      <c r="AJ18" s="307">
        <f t="shared" si="8"/>
        <v>2.6683143296791945E-2</v>
      </c>
      <c r="AK18" s="301"/>
      <c r="AL18" s="301"/>
      <c r="AM18" s="305">
        <v>38717</v>
      </c>
      <c r="AN18" s="303">
        <v>3.97</v>
      </c>
      <c r="AO18" s="303">
        <v>3.97</v>
      </c>
      <c r="AP18" s="303">
        <v>3.97</v>
      </c>
    </row>
    <row r="19" spans="1:42" ht="13.5" customHeight="1">
      <c r="A19" s="305">
        <v>38807</v>
      </c>
      <c r="B19" s="303">
        <v>4.04</v>
      </c>
      <c r="C19" s="301">
        <v>4.41</v>
      </c>
      <c r="D19" s="301">
        <v>40.6</v>
      </c>
      <c r="E19" s="306">
        <v>-3.1749999999999998</v>
      </c>
      <c r="F19" s="306">
        <v>2.16451538461538E-2</v>
      </c>
      <c r="G19" s="306">
        <v>5.5517043128923103</v>
      </c>
      <c r="H19" s="301">
        <v>1</v>
      </c>
      <c r="I19" s="306"/>
      <c r="J19" s="307">
        <f t="shared" si="0"/>
        <v>5.4549832105</v>
      </c>
      <c r="K19" s="307">
        <f t="shared" si="1"/>
        <v>-1.4149832105</v>
      </c>
      <c r="L19" s="307">
        <f t="shared" si="6"/>
        <v>-3.8516335380638311E-2</v>
      </c>
      <c r="M19" s="301"/>
      <c r="N19" s="303">
        <v>4.04</v>
      </c>
      <c r="O19" s="301">
        <v>4.41</v>
      </c>
      <c r="P19" s="301">
        <v>40.6</v>
      </c>
      <c r="Q19" s="306">
        <v>-3.1749999999999998</v>
      </c>
      <c r="R19" s="306">
        <v>2.16451538461538E-2</v>
      </c>
      <c r="S19" s="306">
        <v>5.5517043128923103</v>
      </c>
      <c r="T19" s="301">
        <v>1</v>
      </c>
      <c r="U19" s="306"/>
      <c r="V19" s="307">
        <f t="shared" si="2"/>
        <v>5.4549832105</v>
      </c>
      <c r="W19" s="307">
        <f t="shared" si="3"/>
        <v>-1.4149832105</v>
      </c>
      <c r="X19" s="307">
        <f t="shared" si="7"/>
        <v>-3.8516335380638311E-2</v>
      </c>
      <c r="Y19" s="301"/>
      <c r="Z19" s="303">
        <v>4.04</v>
      </c>
      <c r="AA19" s="301">
        <v>4.41</v>
      </c>
      <c r="AB19" s="301">
        <v>40.6</v>
      </c>
      <c r="AC19" s="306">
        <v>-3.1749999999999998</v>
      </c>
      <c r="AD19" s="306">
        <v>2.16451538461538E-2</v>
      </c>
      <c r="AE19" s="306">
        <v>5.5517043128923103</v>
      </c>
      <c r="AF19" s="301">
        <v>1</v>
      </c>
      <c r="AG19" s="306"/>
      <c r="AH19" s="307">
        <f t="shared" si="4"/>
        <v>5.4549832105</v>
      </c>
      <c r="AI19" s="307">
        <f t="shared" si="5"/>
        <v>-1.4149832105</v>
      </c>
      <c r="AJ19" s="307">
        <f t="shared" si="8"/>
        <v>-3.8516335380638311E-2</v>
      </c>
      <c r="AK19" s="301"/>
      <c r="AL19" s="301"/>
      <c r="AM19" s="305">
        <v>38807</v>
      </c>
      <c r="AN19" s="303">
        <v>4.04</v>
      </c>
      <c r="AO19" s="303">
        <v>4.04</v>
      </c>
      <c r="AP19" s="303">
        <v>4.04</v>
      </c>
    </row>
    <row r="20" spans="1:42" ht="13.5" customHeight="1">
      <c r="A20" s="305">
        <v>38898</v>
      </c>
      <c r="B20" s="303">
        <v>4.2</v>
      </c>
      <c r="C20" s="301">
        <v>4.99</v>
      </c>
      <c r="D20" s="301">
        <v>40.200000000000003</v>
      </c>
      <c r="E20" s="306">
        <v>-3.7749999999999999</v>
      </c>
      <c r="F20" s="306">
        <v>2.9307E-2</v>
      </c>
      <c r="G20" s="306">
        <v>5.3147849650758001</v>
      </c>
      <c r="H20" s="301">
        <v>1</v>
      </c>
      <c r="I20" s="306"/>
      <c r="J20" s="307">
        <f t="shared" si="0"/>
        <v>6.2152599944999984</v>
      </c>
      <c r="K20" s="307">
        <f t="shared" si="1"/>
        <v>-2.0152599944999983</v>
      </c>
      <c r="L20" s="307">
        <f t="shared" si="6"/>
        <v>0.28834993886080623</v>
      </c>
      <c r="M20" s="301"/>
      <c r="N20" s="303">
        <v>4.2</v>
      </c>
      <c r="O20" s="301">
        <v>4.99</v>
      </c>
      <c r="P20" s="301">
        <v>40.200000000000003</v>
      </c>
      <c r="Q20" s="306">
        <v>-3.7749999999999999</v>
      </c>
      <c r="R20" s="306">
        <v>2.9307E-2</v>
      </c>
      <c r="S20" s="306">
        <v>5.3147849650758001</v>
      </c>
      <c r="T20" s="301">
        <v>1</v>
      </c>
      <c r="U20" s="306"/>
      <c r="V20" s="307">
        <f t="shared" si="2"/>
        <v>6.2152599944999984</v>
      </c>
      <c r="W20" s="307">
        <f t="shared" si="3"/>
        <v>-2.0152599944999983</v>
      </c>
      <c r="X20" s="307">
        <f t="shared" si="7"/>
        <v>0.28834993886080623</v>
      </c>
      <c r="Y20" s="301"/>
      <c r="Z20" s="303">
        <v>4.2</v>
      </c>
      <c r="AA20" s="301">
        <v>4.99</v>
      </c>
      <c r="AB20" s="301">
        <v>40.200000000000003</v>
      </c>
      <c r="AC20" s="306">
        <v>-3.7749999999999999</v>
      </c>
      <c r="AD20" s="306">
        <v>2.9307E-2</v>
      </c>
      <c r="AE20" s="306">
        <v>5.3147849650758001</v>
      </c>
      <c r="AF20" s="301">
        <v>1</v>
      </c>
      <c r="AG20" s="306"/>
      <c r="AH20" s="307">
        <f t="shared" si="4"/>
        <v>6.2152599944999984</v>
      </c>
      <c r="AI20" s="307">
        <f t="shared" si="5"/>
        <v>-2.0152599944999983</v>
      </c>
      <c r="AJ20" s="307">
        <f t="shared" si="8"/>
        <v>0.28834993886080623</v>
      </c>
      <c r="AK20" s="301"/>
      <c r="AL20" s="301"/>
      <c r="AM20" s="305">
        <v>38898</v>
      </c>
      <c r="AN20" s="303">
        <v>4.2</v>
      </c>
      <c r="AO20" s="303">
        <v>4.2</v>
      </c>
      <c r="AP20" s="303">
        <v>4.2</v>
      </c>
    </row>
    <row r="21" spans="1:42" ht="13.5" customHeight="1">
      <c r="A21" s="305">
        <v>38990</v>
      </c>
      <c r="B21" s="303">
        <v>4.6399999999999997</v>
      </c>
      <c r="C21" s="301">
        <v>5.0999999999999996</v>
      </c>
      <c r="D21" s="301">
        <v>39.9</v>
      </c>
      <c r="E21" s="306">
        <v>-4.5</v>
      </c>
      <c r="F21" s="306">
        <v>3.1452615384615398E-2</v>
      </c>
      <c r="G21" s="306">
        <v>4.9716949410176801</v>
      </c>
      <c r="H21" s="301">
        <v>1</v>
      </c>
      <c r="I21" s="306"/>
      <c r="J21" s="307">
        <f t="shared" si="0"/>
        <v>6.5571940399999988</v>
      </c>
      <c r="K21" s="307">
        <f t="shared" si="1"/>
        <v>-1.9171940399999992</v>
      </c>
      <c r="L21" s="307">
        <f t="shared" si="6"/>
        <v>0.17819002280841076</v>
      </c>
      <c r="M21" s="301"/>
      <c r="N21" s="303">
        <v>4.6399999999999997</v>
      </c>
      <c r="O21" s="301">
        <v>5.0999999999999996</v>
      </c>
      <c r="P21" s="301">
        <v>39.9</v>
      </c>
      <c r="Q21" s="306">
        <v>-4.5</v>
      </c>
      <c r="R21" s="306">
        <v>3.1452615384615398E-2</v>
      </c>
      <c r="S21" s="306">
        <v>4.9716949410176801</v>
      </c>
      <c r="T21" s="301">
        <v>1</v>
      </c>
      <c r="U21" s="306"/>
      <c r="V21" s="307">
        <f t="shared" si="2"/>
        <v>6.5571940399999988</v>
      </c>
      <c r="W21" s="307">
        <f t="shared" si="3"/>
        <v>-1.9171940399999992</v>
      </c>
      <c r="X21" s="307">
        <f t="shared" si="7"/>
        <v>0.17819002280841076</v>
      </c>
      <c r="Y21" s="301"/>
      <c r="Z21" s="303">
        <v>4.6399999999999997</v>
      </c>
      <c r="AA21" s="301">
        <v>5.0999999999999996</v>
      </c>
      <c r="AB21" s="301">
        <v>39.9</v>
      </c>
      <c r="AC21" s="306">
        <v>-4.5</v>
      </c>
      <c r="AD21" s="306">
        <v>3.1452615384615398E-2</v>
      </c>
      <c r="AE21" s="306">
        <v>4.9716949410176801</v>
      </c>
      <c r="AF21" s="301">
        <v>1</v>
      </c>
      <c r="AG21" s="306"/>
      <c r="AH21" s="307">
        <f t="shared" si="4"/>
        <v>6.5571940399999988</v>
      </c>
      <c r="AI21" s="307">
        <f t="shared" si="5"/>
        <v>-1.9171940399999992</v>
      </c>
      <c r="AJ21" s="307">
        <f t="shared" si="8"/>
        <v>0.17819002280841076</v>
      </c>
      <c r="AK21" s="301"/>
      <c r="AL21" s="301"/>
      <c r="AM21" s="305">
        <v>38990</v>
      </c>
      <c r="AN21" s="303">
        <v>4.6399999999999997</v>
      </c>
      <c r="AO21" s="303">
        <v>4.6399999999999997</v>
      </c>
      <c r="AP21" s="303">
        <v>4.6399999999999997</v>
      </c>
    </row>
    <row r="22" spans="1:42" ht="13.5" customHeight="1">
      <c r="A22" s="305">
        <v>39082</v>
      </c>
      <c r="B22" s="303">
        <v>4.75</v>
      </c>
      <c r="C22" s="301">
        <v>4.7300000000000004</v>
      </c>
      <c r="D22" s="301">
        <v>38.700000000000003</v>
      </c>
      <c r="E22" s="306">
        <v>-3.2</v>
      </c>
      <c r="F22" s="306">
        <v>2.3993076923076902E-2</v>
      </c>
      <c r="G22" s="306">
        <v>5.00092146187081</v>
      </c>
      <c r="H22" s="301">
        <v>1</v>
      </c>
      <c r="I22" s="306"/>
      <c r="J22" s="307">
        <f t="shared" si="0"/>
        <v>5.809374064</v>
      </c>
      <c r="K22" s="307">
        <f t="shared" si="1"/>
        <v>-1.059374064</v>
      </c>
      <c r="L22" s="307">
        <f t="shared" si="6"/>
        <v>-0.18494520733344005</v>
      </c>
      <c r="M22" s="301"/>
      <c r="N22" s="303">
        <v>4.75</v>
      </c>
      <c r="O22" s="301">
        <v>4.7300000000000004</v>
      </c>
      <c r="P22" s="301">
        <v>38.700000000000003</v>
      </c>
      <c r="Q22" s="306">
        <v>-3.2</v>
      </c>
      <c r="R22" s="306">
        <v>2.3993076923076902E-2</v>
      </c>
      <c r="S22" s="306">
        <v>5.00092146187081</v>
      </c>
      <c r="T22" s="301">
        <v>1</v>
      </c>
      <c r="U22" s="306"/>
      <c r="V22" s="307">
        <f t="shared" si="2"/>
        <v>5.809374064</v>
      </c>
      <c r="W22" s="307">
        <f t="shared" si="3"/>
        <v>-1.059374064</v>
      </c>
      <c r="X22" s="307">
        <f t="shared" si="7"/>
        <v>-0.18494520733344005</v>
      </c>
      <c r="Y22" s="301"/>
      <c r="Z22" s="303">
        <v>4.75</v>
      </c>
      <c r="AA22" s="301">
        <v>4.7300000000000004</v>
      </c>
      <c r="AB22" s="301">
        <v>38.700000000000003</v>
      </c>
      <c r="AC22" s="306">
        <v>-3.2</v>
      </c>
      <c r="AD22" s="306">
        <v>2.3993076923076902E-2</v>
      </c>
      <c r="AE22" s="306">
        <v>5.00092146187081</v>
      </c>
      <c r="AF22" s="301">
        <v>1</v>
      </c>
      <c r="AG22" s="306"/>
      <c r="AH22" s="307">
        <f t="shared" si="4"/>
        <v>5.809374064</v>
      </c>
      <c r="AI22" s="307">
        <f t="shared" si="5"/>
        <v>-1.059374064</v>
      </c>
      <c r="AJ22" s="307">
        <f t="shared" si="8"/>
        <v>-0.18494520733344005</v>
      </c>
      <c r="AK22" s="301"/>
      <c r="AL22" s="301"/>
      <c r="AM22" s="305">
        <v>39082</v>
      </c>
      <c r="AN22" s="303">
        <v>4.75</v>
      </c>
      <c r="AO22" s="303">
        <v>4.75</v>
      </c>
      <c r="AP22" s="303">
        <v>4.75</v>
      </c>
    </row>
    <row r="23" spans="1:42" ht="13.5" customHeight="1">
      <c r="A23" s="305">
        <v>39172</v>
      </c>
      <c r="B23" s="303">
        <v>4.75</v>
      </c>
      <c r="C23" s="301">
        <v>4.76</v>
      </c>
      <c r="D23" s="301">
        <v>38.9</v>
      </c>
      <c r="E23" s="306">
        <v>-3.2</v>
      </c>
      <c r="F23" s="306">
        <v>2.3561153846153801E-2</v>
      </c>
      <c r="G23" s="306">
        <v>4.9792884553311998</v>
      </c>
      <c r="H23" s="301">
        <v>1</v>
      </c>
      <c r="I23" s="306"/>
      <c r="J23" s="307">
        <f t="shared" si="0"/>
        <v>5.8346929779999996</v>
      </c>
      <c r="K23" s="307">
        <f t="shared" si="1"/>
        <v>-1.0846929779999996</v>
      </c>
      <c r="L23" s="307">
        <f t="shared" si="6"/>
        <v>-3.481988098173934E-2</v>
      </c>
      <c r="M23" s="301"/>
      <c r="N23" s="303">
        <v>4.75</v>
      </c>
      <c r="O23" s="301">
        <v>4.76</v>
      </c>
      <c r="P23" s="301">
        <v>38.9</v>
      </c>
      <c r="Q23" s="306">
        <v>-3.2</v>
      </c>
      <c r="R23" s="306">
        <v>2.3561153846153801E-2</v>
      </c>
      <c r="S23" s="306">
        <v>4.9792884553311998</v>
      </c>
      <c r="T23" s="301">
        <v>1</v>
      </c>
      <c r="U23" s="306"/>
      <c r="V23" s="307">
        <f t="shared" si="2"/>
        <v>5.8346929779999996</v>
      </c>
      <c r="W23" s="307">
        <f t="shared" si="3"/>
        <v>-1.0846929779999996</v>
      </c>
      <c r="X23" s="307">
        <f t="shared" si="7"/>
        <v>-3.481988098173934E-2</v>
      </c>
      <c r="Y23" s="301"/>
      <c r="Z23" s="303">
        <v>4.75</v>
      </c>
      <c r="AA23" s="301">
        <v>4.76</v>
      </c>
      <c r="AB23" s="301">
        <v>38.9</v>
      </c>
      <c r="AC23" s="306">
        <v>-3.2</v>
      </c>
      <c r="AD23" s="306">
        <v>2.3561153846153801E-2</v>
      </c>
      <c r="AE23" s="306">
        <v>4.9792884553311998</v>
      </c>
      <c r="AF23" s="301">
        <v>1</v>
      </c>
      <c r="AG23" s="306"/>
      <c r="AH23" s="307">
        <f t="shared" si="4"/>
        <v>5.8346929779999996</v>
      </c>
      <c r="AI23" s="307">
        <f t="shared" si="5"/>
        <v>-1.0846929779999996</v>
      </c>
      <c r="AJ23" s="307">
        <f t="shared" si="8"/>
        <v>-3.481988098173934E-2</v>
      </c>
      <c r="AK23" s="301"/>
      <c r="AL23" s="301"/>
      <c r="AM23" s="305">
        <v>39172</v>
      </c>
      <c r="AN23" s="303">
        <v>4.75</v>
      </c>
      <c r="AO23" s="303">
        <v>4.75</v>
      </c>
      <c r="AP23" s="303">
        <v>4.75</v>
      </c>
    </row>
    <row r="24" spans="1:42" ht="13.5" customHeight="1">
      <c r="A24" s="305">
        <v>39263</v>
      </c>
      <c r="B24" s="303">
        <v>4.47</v>
      </c>
      <c r="C24" s="301">
        <v>4.6900000000000004</v>
      </c>
      <c r="D24" s="301">
        <v>38.6</v>
      </c>
      <c r="E24" s="306">
        <v>-2.8250000000000002</v>
      </c>
      <c r="F24" s="306">
        <v>2.80880769230769E-2</v>
      </c>
      <c r="G24" s="306">
        <v>5.4152313224095696</v>
      </c>
      <c r="H24" s="301">
        <v>1</v>
      </c>
      <c r="I24" s="306"/>
      <c r="J24" s="307">
        <f t="shared" si="0"/>
        <v>5.6537396495000003</v>
      </c>
      <c r="K24" s="307">
        <f t="shared" si="1"/>
        <v>-1.1837396495000005</v>
      </c>
      <c r="L24" s="307">
        <f t="shared" si="6"/>
        <v>-6.795268975374226E-2</v>
      </c>
      <c r="M24" s="301"/>
      <c r="N24" s="303">
        <v>4.47</v>
      </c>
      <c r="O24" s="301">
        <v>4.6900000000000004</v>
      </c>
      <c r="P24" s="301">
        <v>38.6</v>
      </c>
      <c r="Q24" s="306">
        <v>-2.8250000000000002</v>
      </c>
      <c r="R24" s="306">
        <v>2.80880769230769E-2</v>
      </c>
      <c r="S24" s="306">
        <v>5.4152313224095696</v>
      </c>
      <c r="T24" s="301">
        <v>1</v>
      </c>
      <c r="U24" s="306"/>
      <c r="V24" s="307">
        <f t="shared" si="2"/>
        <v>5.6537396495000003</v>
      </c>
      <c r="W24" s="307">
        <f t="shared" si="3"/>
        <v>-1.1837396495000005</v>
      </c>
      <c r="X24" s="307">
        <f t="shared" si="7"/>
        <v>-6.795268975374226E-2</v>
      </c>
      <c r="Y24" s="301"/>
      <c r="Z24" s="303">
        <v>4.47</v>
      </c>
      <c r="AA24" s="301">
        <v>4.6900000000000004</v>
      </c>
      <c r="AB24" s="301">
        <v>38.6</v>
      </c>
      <c r="AC24" s="306">
        <v>-2.8250000000000002</v>
      </c>
      <c r="AD24" s="306">
        <v>2.80880769230769E-2</v>
      </c>
      <c r="AE24" s="306">
        <v>5.4152313224095696</v>
      </c>
      <c r="AF24" s="301">
        <v>1</v>
      </c>
      <c r="AG24" s="306"/>
      <c r="AH24" s="307">
        <f t="shared" si="4"/>
        <v>5.6537396495000003</v>
      </c>
      <c r="AI24" s="307">
        <f t="shared" si="5"/>
        <v>-1.1837396495000005</v>
      </c>
      <c r="AJ24" s="307">
        <f t="shared" si="8"/>
        <v>-6.795268975374226E-2</v>
      </c>
      <c r="AK24" s="301"/>
      <c r="AL24" s="301"/>
      <c r="AM24" s="305">
        <v>39263</v>
      </c>
      <c r="AN24" s="303">
        <v>4.47</v>
      </c>
      <c r="AO24" s="303">
        <v>4.47</v>
      </c>
      <c r="AP24" s="303">
        <v>4.47</v>
      </c>
    </row>
    <row r="25" spans="1:42" ht="13.5" customHeight="1">
      <c r="A25" s="305">
        <v>39355</v>
      </c>
      <c r="B25" s="303">
        <v>5.04</v>
      </c>
      <c r="C25" s="301">
        <v>5.01</v>
      </c>
      <c r="D25" s="301">
        <v>37.700000000000003</v>
      </c>
      <c r="E25" s="306">
        <v>-2.0249999999999999</v>
      </c>
      <c r="F25" s="306">
        <v>6.5119769230769203E-2</v>
      </c>
      <c r="G25" s="306">
        <v>5.5491075836194597</v>
      </c>
      <c r="H25" s="301">
        <v>1</v>
      </c>
      <c r="I25" s="306"/>
      <c r="J25" s="307">
        <f t="shared" si="0"/>
        <v>5.7280056754999986</v>
      </c>
      <c r="K25" s="307">
        <f t="shared" si="1"/>
        <v>-0.68800567549999858</v>
      </c>
      <c r="L25" s="307">
        <f t="shared" si="6"/>
        <v>0.28067451651743719</v>
      </c>
      <c r="M25" s="301"/>
      <c r="N25" s="303">
        <v>5.04</v>
      </c>
      <c r="O25" s="301">
        <v>5.01</v>
      </c>
      <c r="P25" s="301">
        <v>37.700000000000003</v>
      </c>
      <c r="Q25" s="306">
        <v>-2.0249999999999999</v>
      </c>
      <c r="R25" s="306">
        <v>6.5119769230769203E-2</v>
      </c>
      <c r="S25" s="306">
        <v>5.5491075836194597</v>
      </c>
      <c r="T25" s="301">
        <v>1</v>
      </c>
      <c r="U25" s="306"/>
      <c r="V25" s="307">
        <f t="shared" si="2"/>
        <v>5.7280056754999986</v>
      </c>
      <c r="W25" s="307">
        <f t="shared" si="3"/>
        <v>-0.68800567549999858</v>
      </c>
      <c r="X25" s="307">
        <f t="shared" si="7"/>
        <v>0.28067451651743719</v>
      </c>
      <c r="Y25" s="301"/>
      <c r="Z25" s="303">
        <v>5.04</v>
      </c>
      <c r="AA25" s="301">
        <v>5.01</v>
      </c>
      <c r="AB25" s="301">
        <v>37.700000000000003</v>
      </c>
      <c r="AC25" s="306">
        <v>-2.0249999999999999</v>
      </c>
      <c r="AD25" s="306">
        <v>6.5119769230769203E-2</v>
      </c>
      <c r="AE25" s="306">
        <v>5.5491075836194597</v>
      </c>
      <c r="AF25" s="301">
        <v>1</v>
      </c>
      <c r="AG25" s="306"/>
      <c r="AH25" s="307">
        <f t="shared" si="4"/>
        <v>5.7280056754999986</v>
      </c>
      <c r="AI25" s="307">
        <f t="shared" si="5"/>
        <v>-0.68800567549999858</v>
      </c>
      <c r="AJ25" s="307">
        <f t="shared" si="8"/>
        <v>0.28067451651743719</v>
      </c>
      <c r="AK25" s="301"/>
      <c r="AL25" s="301"/>
      <c r="AM25" s="305">
        <v>39355</v>
      </c>
      <c r="AN25" s="303">
        <v>5.04</v>
      </c>
      <c r="AO25" s="303">
        <v>5.04</v>
      </c>
      <c r="AP25" s="303">
        <v>5.04</v>
      </c>
    </row>
    <row r="26" spans="1:42" ht="13.5" customHeight="1">
      <c r="A26" s="305">
        <v>39447</v>
      </c>
      <c r="B26" s="303">
        <v>5.22</v>
      </c>
      <c r="C26" s="301">
        <v>4.5199999999999996</v>
      </c>
      <c r="D26" s="301">
        <v>37.4</v>
      </c>
      <c r="E26" s="306">
        <v>-2.35</v>
      </c>
      <c r="F26" s="306">
        <v>7.3685307692307703E-2</v>
      </c>
      <c r="G26" s="306">
        <v>5.2665336219580396</v>
      </c>
      <c r="H26" s="301">
        <v>1</v>
      </c>
      <c r="I26" s="306"/>
      <c r="J26" s="307">
        <f t="shared" si="0"/>
        <v>5.3611519609999991</v>
      </c>
      <c r="K26" s="307">
        <f t="shared" si="1"/>
        <v>-0.14115196099999938</v>
      </c>
      <c r="L26" s="307">
        <f t="shared" si="6"/>
        <v>-3.6105818051287986E-5</v>
      </c>
      <c r="M26" s="301"/>
      <c r="N26" s="303">
        <v>5.22</v>
      </c>
      <c r="O26" s="301">
        <v>4.5199999999999996</v>
      </c>
      <c r="P26" s="301">
        <v>37.4</v>
      </c>
      <c r="Q26" s="306">
        <v>-2.35</v>
      </c>
      <c r="R26" s="306">
        <v>7.3685307692307703E-2</v>
      </c>
      <c r="S26" s="306">
        <v>5.2665336219580396</v>
      </c>
      <c r="T26" s="301">
        <v>1</v>
      </c>
      <c r="U26" s="306"/>
      <c r="V26" s="307">
        <f t="shared" si="2"/>
        <v>5.3611519609999991</v>
      </c>
      <c r="W26" s="307">
        <f t="shared" si="3"/>
        <v>-0.14115196099999938</v>
      </c>
      <c r="X26" s="307">
        <f t="shared" si="7"/>
        <v>-3.6105818051287986E-5</v>
      </c>
      <c r="Y26" s="301"/>
      <c r="Z26" s="303">
        <v>5.22</v>
      </c>
      <c r="AA26" s="301">
        <v>4.5199999999999996</v>
      </c>
      <c r="AB26" s="301">
        <v>37.4</v>
      </c>
      <c r="AC26" s="306">
        <v>-2.35</v>
      </c>
      <c r="AD26" s="306">
        <v>7.3685307692307703E-2</v>
      </c>
      <c r="AE26" s="306">
        <v>5.2665336219580396</v>
      </c>
      <c r="AF26" s="301">
        <v>1</v>
      </c>
      <c r="AG26" s="306"/>
      <c r="AH26" s="307">
        <f t="shared" si="4"/>
        <v>5.3611519609999991</v>
      </c>
      <c r="AI26" s="307">
        <f t="shared" si="5"/>
        <v>-0.14115196099999938</v>
      </c>
      <c r="AJ26" s="307">
        <f t="shared" si="8"/>
        <v>-3.6105818051287986E-5</v>
      </c>
      <c r="AK26" s="301"/>
      <c r="AL26" s="301"/>
      <c r="AM26" s="305">
        <v>39447</v>
      </c>
      <c r="AN26" s="303">
        <v>5.22</v>
      </c>
      <c r="AO26" s="303">
        <v>5.22</v>
      </c>
      <c r="AP26" s="303">
        <v>5.22</v>
      </c>
    </row>
    <row r="27" spans="1:42" ht="13.5" customHeight="1">
      <c r="A27" s="305">
        <v>39538</v>
      </c>
      <c r="B27" s="303">
        <v>5.55</v>
      </c>
      <c r="C27" s="301">
        <v>3.73</v>
      </c>
      <c r="D27" s="301">
        <v>36.9</v>
      </c>
      <c r="E27" s="306">
        <v>-1.6</v>
      </c>
      <c r="F27" s="306">
        <v>0.102550153846154</v>
      </c>
      <c r="G27" s="306">
        <v>4.43436633912824</v>
      </c>
      <c r="H27" s="301">
        <v>1</v>
      </c>
      <c r="I27" s="306"/>
      <c r="J27" s="307">
        <f t="shared" si="0"/>
        <v>4.3666833240000003</v>
      </c>
      <c r="K27" s="307">
        <f t="shared" si="1"/>
        <v>1.1833166759999996</v>
      </c>
      <c r="L27" s="307">
        <f t="shared" si="6"/>
        <v>-9.3109685923910848E-2</v>
      </c>
      <c r="M27" s="301"/>
      <c r="N27" s="303">
        <v>5.55</v>
      </c>
      <c r="O27" s="301">
        <v>3.73</v>
      </c>
      <c r="P27" s="301">
        <v>36.9</v>
      </c>
      <c r="Q27" s="306">
        <v>-1.6</v>
      </c>
      <c r="R27" s="306">
        <v>0.102550153846154</v>
      </c>
      <c r="S27" s="306">
        <v>4.43436633912824</v>
      </c>
      <c r="T27" s="301">
        <v>1</v>
      </c>
      <c r="U27" s="306"/>
      <c r="V27" s="307">
        <f t="shared" si="2"/>
        <v>4.3666833240000003</v>
      </c>
      <c r="W27" s="307">
        <f t="shared" si="3"/>
        <v>1.1833166759999996</v>
      </c>
      <c r="X27" s="307">
        <f t="shared" si="7"/>
        <v>-9.3109685923910848E-2</v>
      </c>
      <c r="Y27" s="301"/>
      <c r="Z27" s="303">
        <v>5.55</v>
      </c>
      <c r="AA27" s="301">
        <v>3.73</v>
      </c>
      <c r="AB27" s="301">
        <v>36.9</v>
      </c>
      <c r="AC27" s="306">
        <v>-1.6</v>
      </c>
      <c r="AD27" s="306">
        <v>0.102550153846154</v>
      </c>
      <c r="AE27" s="306">
        <v>4.43436633912824</v>
      </c>
      <c r="AF27" s="301">
        <v>1</v>
      </c>
      <c r="AG27" s="306"/>
      <c r="AH27" s="307">
        <f t="shared" si="4"/>
        <v>4.3666833240000003</v>
      </c>
      <c r="AI27" s="307">
        <f t="shared" si="5"/>
        <v>1.1833166759999996</v>
      </c>
      <c r="AJ27" s="307">
        <f t="shared" si="8"/>
        <v>-9.3109685923910848E-2</v>
      </c>
      <c r="AK27" s="301"/>
      <c r="AL27" s="301"/>
      <c r="AM27" s="305">
        <v>39538</v>
      </c>
      <c r="AN27" s="303">
        <v>5.55</v>
      </c>
      <c r="AO27" s="303">
        <v>5.55</v>
      </c>
      <c r="AP27" s="303">
        <v>5.55</v>
      </c>
    </row>
    <row r="28" spans="1:42" ht="13.5" customHeight="1">
      <c r="A28" s="305">
        <v>39629</v>
      </c>
      <c r="B28" s="303">
        <v>5.79</v>
      </c>
      <c r="C28" s="301">
        <v>3.65</v>
      </c>
      <c r="D28" s="301">
        <v>36.6</v>
      </c>
      <c r="E28" s="306">
        <v>-1.125</v>
      </c>
      <c r="F28" s="306">
        <v>9.6031692307692304E-2</v>
      </c>
      <c r="G28" s="306">
        <v>3.72279761128202</v>
      </c>
      <c r="H28" s="301">
        <v>1</v>
      </c>
      <c r="I28" s="306"/>
      <c r="J28" s="307">
        <f t="shared" si="0"/>
        <v>4.1443691474999991</v>
      </c>
      <c r="K28" s="307">
        <f t="shared" si="1"/>
        <v>1.645630852500001</v>
      </c>
      <c r="L28" s="307">
        <f t="shared" si="6"/>
        <v>1.8423395512296582E-2</v>
      </c>
      <c r="M28" s="301"/>
      <c r="N28" s="303">
        <v>5.79</v>
      </c>
      <c r="O28" s="301">
        <v>3.65</v>
      </c>
      <c r="P28" s="301">
        <v>36.6</v>
      </c>
      <c r="Q28" s="306">
        <v>-1.125</v>
      </c>
      <c r="R28" s="306">
        <v>9.6031692307692304E-2</v>
      </c>
      <c r="S28" s="306">
        <v>3.72279761128202</v>
      </c>
      <c r="T28" s="301">
        <v>1</v>
      </c>
      <c r="U28" s="306"/>
      <c r="V28" s="307">
        <f t="shared" si="2"/>
        <v>4.1443691474999991</v>
      </c>
      <c r="W28" s="307">
        <f t="shared" si="3"/>
        <v>1.645630852500001</v>
      </c>
      <c r="X28" s="307">
        <f t="shared" si="7"/>
        <v>1.8423395512296582E-2</v>
      </c>
      <c r="Y28" s="301"/>
      <c r="Z28" s="303">
        <v>5.79</v>
      </c>
      <c r="AA28" s="301">
        <v>3.65</v>
      </c>
      <c r="AB28" s="301">
        <v>36.6</v>
      </c>
      <c r="AC28" s="306">
        <v>-1.125</v>
      </c>
      <c r="AD28" s="306">
        <v>9.6031692307692304E-2</v>
      </c>
      <c r="AE28" s="306">
        <v>3.72279761128202</v>
      </c>
      <c r="AF28" s="301">
        <v>1</v>
      </c>
      <c r="AG28" s="306"/>
      <c r="AH28" s="307">
        <f t="shared" si="4"/>
        <v>4.1443691474999991</v>
      </c>
      <c r="AI28" s="307">
        <f t="shared" si="5"/>
        <v>1.645630852500001</v>
      </c>
      <c r="AJ28" s="307">
        <f t="shared" si="8"/>
        <v>1.8423395512296582E-2</v>
      </c>
      <c r="AK28" s="301"/>
      <c r="AL28" s="301"/>
      <c r="AM28" s="305">
        <v>39629</v>
      </c>
      <c r="AN28" s="303">
        <v>5.79</v>
      </c>
      <c r="AO28" s="303">
        <v>5.79</v>
      </c>
      <c r="AP28" s="303">
        <v>5.79</v>
      </c>
    </row>
    <row r="29" spans="1:42" ht="13.5" customHeight="1">
      <c r="A29" s="305">
        <v>39721</v>
      </c>
      <c r="B29" s="303">
        <v>5.81</v>
      </c>
      <c r="C29" s="301">
        <v>3.98</v>
      </c>
      <c r="D29" s="301">
        <v>35.9</v>
      </c>
      <c r="E29" s="306">
        <v>-1.425</v>
      </c>
      <c r="F29" s="306">
        <v>0.103906</v>
      </c>
      <c r="G29" s="306">
        <v>2.91990679246774</v>
      </c>
      <c r="H29" s="301">
        <v>1</v>
      </c>
      <c r="I29" s="306"/>
      <c r="J29" s="307">
        <f t="shared" si="0"/>
        <v>4.5727899015000002</v>
      </c>
      <c r="K29" s="307">
        <f t="shared" si="1"/>
        <v>1.2372100984999994</v>
      </c>
      <c r="L29" s="307">
        <f t="shared" si="6"/>
        <v>0.19847537985883096</v>
      </c>
      <c r="M29" s="301"/>
      <c r="N29" s="303">
        <v>5.81</v>
      </c>
      <c r="O29" s="301">
        <v>3.98</v>
      </c>
      <c r="P29" s="301">
        <v>35.9</v>
      </c>
      <c r="Q29" s="306">
        <v>-1.425</v>
      </c>
      <c r="R29" s="306">
        <v>0.103906</v>
      </c>
      <c r="S29" s="306">
        <v>2.91990679246774</v>
      </c>
      <c r="T29" s="301">
        <v>1</v>
      </c>
      <c r="U29" s="306"/>
      <c r="V29" s="307">
        <f t="shared" si="2"/>
        <v>4.5727899015000002</v>
      </c>
      <c r="W29" s="307">
        <f t="shared" si="3"/>
        <v>1.2372100984999994</v>
      </c>
      <c r="X29" s="307">
        <f t="shared" si="7"/>
        <v>0.19847537985883096</v>
      </c>
      <c r="Y29" s="301"/>
      <c r="Z29" s="303">
        <v>5.81</v>
      </c>
      <c r="AA29" s="301">
        <v>3.98</v>
      </c>
      <c r="AB29" s="301">
        <v>35.9</v>
      </c>
      <c r="AC29" s="306">
        <v>-1.425</v>
      </c>
      <c r="AD29" s="306">
        <v>0.103906</v>
      </c>
      <c r="AE29" s="306">
        <v>2.91990679246774</v>
      </c>
      <c r="AF29" s="301">
        <v>1</v>
      </c>
      <c r="AG29" s="306"/>
      <c r="AH29" s="307">
        <f t="shared" si="4"/>
        <v>4.5727899015000002</v>
      </c>
      <c r="AI29" s="307">
        <f t="shared" si="5"/>
        <v>1.2372100984999994</v>
      </c>
      <c r="AJ29" s="307">
        <f t="shared" si="8"/>
        <v>0.19847537985883096</v>
      </c>
      <c r="AK29" s="301"/>
      <c r="AL29" s="301"/>
      <c r="AM29" s="305">
        <v>39721</v>
      </c>
      <c r="AN29" s="303">
        <v>5.81</v>
      </c>
      <c r="AO29" s="303">
        <v>5.81</v>
      </c>
      <c r="AP29" s="303">
        <v>5.81</v>
      </c>
    </row>
    <row r="30" spans="1:42" ht="13.5" customHeight="1">
      <c r="A30" s="305">
        <v>39813</v>
      </c>
      <c r="B30" s="303">
        <v>6.26</v>
      </c>
      <c r="C30" s="301">
        <v>3.79</v>
      </c>
      <c r="D30" s="301">
        <v>39.299999999999997</v>
      </c>
      <c r="E30" s="306">
        <v>-2.875</v>
      </c>
      <c r="F30" s="306">
        <v>0.12999792307692301</v>
      </c>
      <c r="G30" s="306">
        <v>1.75955735234785</v>
      </c>
      <c r="H30" s="301">
        <v>1</v>
      </c>
      <c r="I30" s="306"/>
      <c r="J30" s="307">
        <f t="shared" si="0"/>
        <v>4.7830758944999996</v>
      </c>
      <c r="K30" s="307">
        <f t="shared" si="1"/>
        <v>1.4769241055000002</v>
      </c>
      <c r="L30" s="307">
        <f t="shared" si="6"/>
        <v>0.28035102861313044</v>
      </c>
      <c r="M30" s="301"/>
      <c r="N30" s="303">
        <v>6.26</v>
      </c>
      <c r="O30" s="301">
        <v>3.79</v>
      </c>
      <c r="P30" s="301">
        <v>39.299999999999997</v>
      </c>
      <c r="Q30" s="306">
        <v>-2.875</v>
      </c>
      <c r="R30" s="306">
        <v>0.12999792307692301</v>
      </c>
      <c r="S30" s="306">
        <v>1.75955735234785</v>
      </c>
      <c r="T30" s="301">
        <v>1</v>
      </c>
      <c r="U30" s="306"/>
      <c r="V30" s="307">
        <f t="shared" si="2"/>
        <v>4.7830758944999996</v>
      </c>
      <c r="W30" s="307">
        <f t="shared" si="3"/>
        <v>1.4769241055000002</v>
      </c>
      <c r="X30" s="307">
        <f t="shared" si="7"/>
        <v>0.28035102861313044</v>
      </c>
      <c r="Y30" s="301"/>
      <c r="Z30" s="303">
        <v>6.26</v>
      </c>
      <c r="AA30" s="301">
        <v>3.79</v>
      </c>
      <c r="AB30" s="301">
        <v>39.299999999999997</v>
      </c>
      <c r="AC30" s="306">
        <v>-2.875</v>
      </c>
      <c r="AD30" s="306">
        <v>0.12999792307692301</v>
      </c>
      <c r="AE30" s="306">
        <v>1.75955735234785</v>
      </c>
      <c r="AF30" s="301">
        <v>1</v>
      </c>
      <c r="AG30" s="306"/>
      <c r="AH30" s="307">
        <f t="shared" si="4"/>
        <v>4.7830758944999996</v>
      </c>
      <c r="AI30" s="307">
        <f t="shared" si="5"/>
        <v>1.4769241055000002</v>
      </c>
      <c r="AJ30" s="307">
        <f t="shared" si="8"/>
        <v>0.28035102861313044</v>
      </c>
      <c r="AK30" s="301"/>
      <c r="AL30" s="301"/>
      <c r="AM30" s="305">
        <v>39813</v>
      </c>
      <c r="AN30" s="303">
        <v>6.26</v>
      </c>
      <c r="AO30" s="303">
        <v>6.26</v>
      </c>
      <c r="AP30" s="303">
        <v>6.26</v>
      </c>
    </row>
    <row r="31" spans="1:42" ht="13.5" customHeight="1">
      <c r="A31" s="305">
        <v>39903</v>
      </c>
      <c r="B31" s="303">
        <v>6.83</v>
      </c>
      <c r="C31" s="301">
        <v>2.4900000000000002</v>
      </c>
      <c r="D31" s="301">
        <v>41.8</v>
      </c>
      <c r="E31" s="306">
        <v>-3.9</v>
      </c>
      <c r="F31" s="306">
        <v>0.118797384615385</v>
      </c>
      <c r="G31" s="306">
        <v>-1.0416879638527099</v>
      </c>
      <c r="H31" s="301">
        <v>1</v>
      </c>
      <c r="I31" s="306"/>
      <c r="J31" s="307">
        <f t="shared" si="0"/>
        <v>3.7988777720000004</v>
      </c>
      <c r="K31" s="307">
        <f t="shared" si="1"/>
        <v>3.0311222279999996</v>
      </c>
      <c r="L31" s="307">
        <f t="shared" si="6"/>
        <v>-0.34010327575673238</v>
      </c>
      <c r="M31" s="301"/>
      <c r="N31" s="303">
        <v>6.83</v>
      </c>
      <c r="O31" s="301">
        <v>2.4900000000000002</v>
      </c>
      <c r="P31" s="301">
        <v>41.8</v>
      </c>
      <c r="Q31" s="306">
        <v>-3.9</v>
      </c>
      <c r="R31" s="306">
        <v>0.118797384615385</v>
      </c>
      <c r="S31" s="306">
        <v>-1.0416879638527099</v>
      </c>
      <c r="T31" s="301">
        <v>1</v>
      </c>
      <c r="U31" s="306"/>
      <c r="V31" s="307">
        <f t="shared" si="2"/>
        <v>3.7988777720000004</v>
      </c>
      <c r="W31" s="307">
        <f t="shared" si="3"/>
        <v>3.0311222279999996</v>
      </c>
      <c r="X31" s="307">
        <f t="shared" si="7"/>
        <v>-0.34010327575673238</v>
      </c>
      <c r="Y31" s="301"/>
      <c r="Z31" s="303">
        <v>6.83</v>
      </c>
      <c r="AA31" s="301">
        <v>2.4900000000000002</v>
      </c>
      <c r="AB31" s="301">
        <v>41.8</v>
      </c>
      <c r="AC31" s="306">
        <v>-3.9</v>
      </c>
      <c r="AD31" s="306">
        <v>0.118797384615385</v>
      </c>
      <c r="AE31" s="306">
        <v>-1.0416879638527099</v>
      </c>
      <c r="AF31" s="301">
        <v>1</v>
      </c>
      <c r="AG31" s="306"/>
      <c r="AH31" s="307">
        <f t="shared" si="4"/>
        <v>3.7988777720000004</v>
      </c>
      <c r="AI31" s="307">
        <f t="shared" si="5"/>
        <v>3.0311222279999996</v>
      </c>
      <c r="AJ31" s="307">
        <f t="shared" si="8"/>
        <v>-0.34010327575673238</v>
      </c>
      <c r="AK31" s="301"/>
      <c r="AL31" s="301"/>
      <c r="AM31" s="305">
        <v>39903</v>
      </c>
      <c r="AN31" s="303">
        <v>6.83</v>
      </c>
      <c r="AO31" s="303">
        <v>6.83</v>
      </c>
      <c r="AP31" s="303">
        <v>6.83</v>
      </c>
    </row>
    <row r="32" spans="1:42" ht="13.5" customHeight="1">
      <c r="A32" s="305">
        <v>39994</v>
      </c>
      <c r="B32" s="303">
        <v>8.4</v>
      </c>
      <c r="C32" s="301">
        <v>2.9</v>
      </c>
      <c r="D32" s="301">
        <v>43.5</v>
      </c>
      <c r="E32" s="306">
        <v>-5.4749999999999996</v>
      </c>
      <c r="F32" s="306">
        <v>8.9392769230769206E-2</v>
      </c>
      <c r="G32" s="306">
        <v>-4.0245391803232202</v>
      </c>
      <c r="H32" s="301">
        <v>1</v>
      </c>
      <c r="I32" s="306"/>
      <c r="J32" s="307">
        <f t="shared" si="0"/>
        <v>4.663096252499999</v>
      </c>
      <c r="K32" s="307">
        <f t="shared" si="1"/>
        <v>3.7369037475000013</v>
      </c>
      <c r="L32" s="307">
        <f t="shared" si="6"/>
        <v>-5.5437627384198607E-3</v>
      </c>
      <c r="M32" s="301"/>
      <c r="N32" s="303">
        <v>8.4</v>
      </c>
      <c r="O32" s="301">
        <v>2.9</v>
      </c>
      <c r="P32" s="301">
        <v>43.5</v>
      </c>
      <c r="Q32" s="306">
        <v>-5.4749999999999996</v>
      </c>
      <c r="R32" s="306">
        <v>8.9392769230769206E-2</v>
      </c>
      <c r="S32" s="306">
        <v>-4.0245391803232202</v>
      </c>
      <c r="T32" s="301">
        <v>1</v>
      </c>
      <c r="U32" s="306"/>
      <c r="V32" s="307">
        <f t="shared" si="2"/>
        <v>4.663096252499999</v>
      </c>
      <c r="W32" s="307">
        <f t="shared" si="3"/>
        <v>3.7369037475000013</v>
      </c>
      <c r="X32" s="307">
        <f t="shared" si="7"/>
        <v>-5.5437627384198607E-3</v>
      </c>
      <c r="Y32" s="301"/>
      <c r="Z32" s="303">
        <v>8.4</v>
      </c>
      <c r="AA32" s="301">
        <v>2.9</v>
      </c>
      <c r="AB32" s="301">
        <v>43.5</v>
      </c>
      <c r="AC32" s="306">
        <v>-5.4749999999999996</v>
      </c>
      <c r="AD32" s="306">
        <v>8.9392769230769206E-2</v>
      </c>
      <c r="AE32" s="306">
        <v>-4.0245391803232202</v>
      </c>
      <c r="AF32" s="301">
        <v>1</v>
      </c>
      <c r="AG32" s="306"/>
      <c r="AH32" s="307">
        <f t="shared" si="4"/>
        <v>4.663096252499999</v>
      </c>
      <c r="AI32" s="307">
        <f t="shared" si="5"/>
        <v>3.7369037475000013</v>
      </c>
      <c r="AJ32" s="307">
        <f t="shared" si="8"/>
        <v>-5.5437627384198607E-3</v>
      </c>
      <c r="AK32" s="301"/>
      <c r="AL32" s="301"/>
      <c r="AM32" s="305">
        <v>39994</v>
      </c>
      <c r="AN32" s="303">
        <v>8.4</v>
      </c>
      <c r="AO32" s="303">
        <v>8.4</v>
      </c>
      <c r="AP32" s="303">
        <v>8.4</v>
      </c>
    </row>
    <row r="33" spans="1:42" ht="13.5" customHeight="1">
      <c r="A33" s="305">
        <v>40086</v>
      </c>
      <c r="B33" s="303">
        <v>8.5299999999999994</v>
      </c>
      <c r="C33" s="301">
        <v>3.54</v>
      </c>
      <c r="D33" s="301">
        <v>46</v>
      </c>
      <c r="E33" s="306">
        <v>-6.375</v>
      </c>
      <c r="F33" s="306">
        <v>6.7365230769230802E-2</v>
      </c>
      <c r="G33" s="306">
        <v>-6.4682786534282304</v>
      </c>
      <c r="H33" s="301">
        <v>1</v>
      </c>
      <c r="I33" s="306"/>
      <c r="J33" s="307">
        <f t="shared" si="0"/>
        <v>5.5216254244999998</v>
      </c>
      <c r="K33" s="307">
        <f t="shared" si="1"/>
        <v>3.0083745754999995</v>
      </c>
      <c r="L33" s="307">
        <f t="shared" si="6"/>
        <v>-0.16919022521516419</v>
      </c>
      <c r="M33" s="301"/>
      <c r="N33" s="303">
        <v>8.5299999999999994</v>
      </c>
      <c r="O33" s="301">
        <v>3.54</v>
      </c>
      <c r="P33" s="301">
        <v>46</v>
      </c>
      <c r="Q33" s="306">
        <v>-6.375</v>
      </c>
      <c r="R33" s="306">
        <v>6.7365230769230802E-2</v>
      </c>
      <c r="S33" s="306">
        <v>-6.4682786534282304</v>
      </c>
      <c r="T33" s="301">
        <v>1</v>
      </c>
      <c r="U33" s="306"/>
      <c r="V33" s="307">
        <f t="shared" si="2"/>
        <v>5.5216254244999998</v>
      </c>
      <c r="W33" s="307">
        <f t="shared" si="3"/>
        <v>3.0083745754999995</v>
      </c>
      <c r="X33" s="307">
        <f t="shared" si="7"/>
        <v>-0.16919022521516419</v>
      </c>
      <c r="Y33" s="301"/>
      <c r="Z33" s="303">
        <v>8.5299999999999994</v>
      </c>
      <c r="AA33" s="301">
        <v>3.54</v>
      </c>
      <c r="AB33" s="301">
        <v>46</v>
      </c>
      <c r="AC33" s="306">
        <v>-6.375</v>
      </c>
      <c r="AD33" s="306">
        <v>6.7365230769230802E-2</v>
      </c>
      <c r="AE33" s="306">
        <v>-6.4682786534282304</v>
      </c>
      <c r="AF33" s="301">
        <v>1</v>
      </c>
      <c r="AG33" s="306"/>
      <c r="AH33" s="307">
        <f t="shared" si="4"/>
        <v>5.5216254244999998</v>
      </c>
      <c r="AI33" s="307">
        <f t="shared" si="5"/>
        <v>3.0083745754999995</v>
      </c>
      <c r="AJ33" s="307">
        <f t="shared" si="8"/>
        <v>-0.16919022521516419</v>
      </c>
      <c r="AK33" s="301"/>
      <c r="AL33" s="301"/>
      <c r="AM33" s="305">
        <v>40086</v>
      </c>
      <c r="AN33" s="303">
        <v>8.5299999999999994</v>
      </c>
      <c r="AO33" s="303">
        <v>8.5299999999999994</v>
      </c>
      <c r="AP33" s="303">
        <v>8.5299999999999994</v>
      </c>
    </row>
    <row r="34" spans="1:42" ht="13.5" customHeight="1">
      <c r="A34" s="305">
        <v>40178</v>
      </c>
      <c r="B34" s="303">
        <v>8.64</v>
      </c>
      <c r="C34" s="301">
        <v>3.37</v>
      </c>
      <c r="D34" s="301">
        <v>48.7</v>
      </c>
      <c r="E34" s="306">
        <v>-6.05</v>
      </c>
      <c r="F34" s="306">
        <v>5.6991153846153803E-2</v>
      </c>
      <c r="G34" s="306">
        <v>-7.3595332880214803</v>
      </c>
      <c r="H34" s="301">
        <v>1</v>
      </c>
      <c r="I34" s="306"/>
      <c r="J34" s="307">
        <f t="shared" si="0"/>
        <v>5.2026431509999984</v>
      </c>
      <c r="K34" s="307">
        <f t="shared" si="1"/>
        <v>3.4373568490000022</v>
      </c>
      <c r="L34" s="307">
        <f t="shared" si="6"/>
        <v>-0.54672120891948517</v>
      </c>
      <c r="M34" s="301"/>
      <c r="N34" s="303">
        <v>8.64</v>
      </c>
      <c r="O34" s="301">
        <v>3.37</v>
      </c>
      <c r="P34" s="301">
        <v>48.7</v>
      </c>
      <c r="Q34" s="306">
        <v>-6.05</v>
      </c>
      <c r="R34" s="306">
        <v>5.6991153846153803E-2</v>
      </c>
      <c r="S34" s="306">
        <v>-7.3595332880214803</v>
      </c>
      <c r="T34" s="301">
        <v>1</v>
      </c>
      <c r="U34" s="306"/>
      <c r="V34" s="307">
        <f t="shared" si="2"/>
        <v>5.2026431509999984</v>
      </c>
      <c r="W34" s="307">
        <f t="shared" si="3"/>
        <v>3.4373568490000022</v>
      </c>
      <c r="X34" s="307">
        <f t="shared" si="7"/>
        <v>-0.54672120891948517</v>
      </c>
      <c r="Y34" s="301"/>
      <c r="Z34" s="303">
        <v>8.64</v>
      </c>
      <c r="AA34" s="301">
        <v>3.37</v>
      </c>
      <c r="AB34" s="301">
        <v>48.7</v>
      </c>
      <c r="AC34" s="306">
        <v>-6.05</v>
      </c>
      <c r="AD34" s="306">
        <v>5.6991153846153803E-2</v>
      </c>
      <c r="AE34" s="306">
        <v>-7.3595332880214803</v>
      </c>
      <c r="AF34" s="301">
        <v>1</v>
      </c>
      <c r="AG34" s="306"/>
      <c r="AH34" s="307">
        <f t="shared" si="4"/>
        <v>5.2026431509999984</v>
      </c>
      <c r="AI34" s="307">
        <f t="shared" si="5"/>
        <v>3.4373568490000022</v>
      </c>
      <c r="AJ34" s="307">
        <f t="shared" si="8"/>
        <v>-0.54672120891948517</v>
      </c>
      <c r="AK34" s="301"/>
      <c r="AL34" s="301"/>
      <c r="AM34" s="305">
        <v>40178</v>
      </c>
      <c r="AN34" s="303">
        <v>8.64</v>
      </c>
      <c r="AO34" s="303">
        <v>8.64</v>
      </c>
      <c r="AP34" s="303">
        <v>8.64</v>
      </c>
    </row>
    <row r="35" spans="1:42" ht="13.5" customHeight="1">
      <c r="A35" s="305">
        <v>40268</v>
      </c>
      <c r="B35" s="303">
        <v>5.95</v>
      </c>
      <c r="C35" s="301">
        <v>3.71</v>
      </c>
      <c r="D35" s="301">
        <v>50.7</v>
      </c>
      <c r="E35" s="306">
        <v>-6.8250000000000002</v>
      </c>
      <c r="F35" s="306">
        <v>3.60092307692308E-2</v>
      </c>
      <c r="G35" s="306">
        <v>-5.9357664535190002</v>
      </c>
      <c r="H35" s="301">
        <v>1</v>
      </c>
      <c r="I35" s="306"/>
      <c r="J35" s="307">
        <f t="shared" si="0"/>
        <v>5.7399941954999996</v>
      </c>
      <c r="K35" s="307">
        <f t="shared" si="1"/>
        <v>0.21000580450000061</v>
      </c>
      <c r="L35" s="307">
        <f t="shared" si="6"/>
        <v>-0.43884879481762368</v>
      </c>
      <c r="M35" s="301"/>
      <c r="N35" s="303">
        <v>5.95</v>
      </c>
      <c r="O35" s="301">
        <v>3.71</v>
      </c>
      <c r="P35" s="301">
        <v>50.7</v>
      </c>
      <c r="Q35" s="306">
        <v>-6.8250000000000002</v>
      </c>
      <c r="R35" s="306">
        <v>3.60092307692308E-2</v>
      </c>
      <c r="S35" s="306">
        <v>-5.9357664535190002</v>
      </c>
      <c r="T35" s="301">
        <v>1</v>
      </c>
      <c r="U35" s="306"/>
      <c r="V35" s="307">
        <f t="shared" si="2"/>
        <v>5.7399941954999996</v>
      </c>
      <c r="W35" s="307">
        <f t="shared" si="3"/>
        <v>0.21000580450000061</v>
      </c>
      <c r="X35" s="307">
        <f t="shared" si="7"/>
        <v>-0.43884879481762368</v>
      </c>
      <c r="Y35" s="301"/>
      <c r="Z35" s="303">
        <v>5.95</v>
      </c>
      <c r="AA35" s="301">
        <v>3.71</v>
      </c>
      <c r="AB35" s="301">
        <v>50.7</v>
      </c>
      <c r="AC35" s="306">
        <v>-6.8250000000000002</v>
      </c>
      <c r="AD35" s="306">
        <v>3.60092307692308E-2</v>
      </c>
      <c r="AE35" s="306">
        <v>-5.9357664535190002</v>
      </c>
      <c r="AF35" s="301">
        <v>1</v>
      </c>
      <c r="AG35" s="306"/>
      <c r="AH35" s="307">
        <f t="shared" si="4"/>
        <v>5.7399941954999996</v>
      </c>
      <c r="AI35" s="307">
        <f t="shared" si="5"/>
        <v>0.21000580450000061</v>
      </c>
      <c r="AJ35" s="307">
        <f t="shared" si="8"/>
        <v>-0.43884879481762368</v>
      </c>
      <c r="AK35" s="301"/>
      <c r="AL35" s="301"/>
      <c r="AM35" s="305">
        <v>40268</v>
      </c>
      <c r="AN35" s="303">
        <v>5.95</v>
      </c>
      <c r="AO35" s="303">
        <v>5.95</v>
      </c>
      <c r="AP35" s="303">
        <v>5.95</v>
      </c>
    </row>
    <row r="36" spans="1:42" ht="13.5" customHeight="1">
      <c r="A36" s="305">
        <v>40359</v>
      </c>
      <c r="B36" s="303">
        <v>6.22</v>
      </c>
      <c r="C36" s="301">
        <v>3.82</v>
      </c>
      <c r="D36" s="301">
        <v>51.7</v>
      </c>
      <c r="E36" s="306">
        <v>-6.125</v>
      </c>
      <c r="F36" s="306">
        <v>5.9723230769230799E-2</v>
      </c>
      <c r="G36" s="306">
        <v>-4.48563480790044</v>
      </c>
      <c r="H36" s="301">
        <v>1</v>
      </c>
      <c r="I36" s="306"/>
      <c r="J36" s="307">
        <f t="shared" si="0"/>
        <v>5.6061705634999992</v>
      </c>
      <c r="K36" s="307">
        <f t="shared" si="1"/>
        <v>0.61382943650000055</v>
      </c>
      <c r="L36" s="307">
        <f t="shared" si="6"/>
        <v>-0.10269587585029832</v>
      </c>
      <c r="M36" s="301"/>
      <c r="N36" s="303">
        <v>6.22</v>
      </c>
      <c r="O36" s="301">
        <v>3.82</v>
      </c>
      <c r="P36" s="301">
        <v>51.7</v>
      </c>
      <c r="Q36" s="306">
        <v>-6.125</v>
      </c>
      <c r="R36" s="306">
        <v>5.9723230769230799E-2</v>
      </c>
      <c r="S36" s="306">
        <v>-4.48563480790044</v>
      </c>
      <c r="T36" s="301">
        <v>1</v>
      </c>
      <c r="U36" s="306"/>
      <c r="V36" s="307">
        <f t="shared" si="2"/>
        <v>5.6061705634999992</v>
      </c>
      <c r="W36" s="307">
        <f t="shared" si="3"/>
        <v>0.61382943650000055</v>
      </c>
      <c r="X36" s="307">
        <f t="shared" si="7"/>
        <v>-0.10269587585029832</v>
      </c>
      <c r="Y36" s="301"/>
      <c r="Z36" s="303">
        <v>6.22</v>
      </c>
      <c r="AA36" s="301">
        <v>3.82</v>
      </c>
      <c r="AB36" s="301">
        <v>51.7</v>
      </c>
      <c r="AC36" s="306">
        <v>-6.125</v>
      </c>
      <c r="AD36" s="306">
        <v>5.9723230769230799E-2</v>
      </c>
      <c r="AE36" s="306">
        <v>-4.48563480790044</v>
      </c>
      <c r="AF36" s="301">
        <v>1</v>
      </c>
      <c r="AG36" s="306"/>
      <c r="AH36" s="307">
        <f t="shared" si="4"/>
        <v>5.6061705634999992</v>
      </c>
      <c r="AI36" s="307">
        <f t="shared" si="5"/>
        <v>0.61382943650000055</v>
      </c>
      <c r="AJ36" s="307">
        <f t="shared" si="8"/>
        <v>-0.10269587585029832</v>
      </c>
      <c r="AK36" s="301"/>
      <c r="AL36" s="301"/>
      <c r="AM36" s="305">
        <v>40359</v>
      </c>
      <c r="AN36" s="303">
        <v>6.22</v>
      </c>
      <c r="AO36" s="303">
        <v>6.22</v>
      </c>
      <c r="AP36" s="303">
        <v>6.22</v>
      </c>
    </row>
    <row r="37" spans="1:42" ht="13.5" customHeight="1">
      <c r="A37" s="305">
        <v>40451</v>
      </c>
      <c r="B37" s="303">
        <v>6.56</v>
      </c>
      <c r="C37" s="301">
        <v>2.99</v>
      </c>
      <c r="D37" s="301">
        <v>55.3</v>
      </c>
      <c r="E37" s="306">
        <v>-5.6749999999999998</v>
      </c>
      <c r="F37" s="306">
        <v>6.5836692307692304E-2</v>
      </c>
      <c r="G37" s="306">
        <v>-2.1600179659596899</v>
      </c>
      <c r="H37" s="301">
        <v>1</v>
      </c>
      <c r="I37" s="306"/>
      <c r="J37" s="307">
        <f t="shared" si="0"/>
        <v>4.5901956144999989</v>
      </c>
      <c r="K37" s="307">
        <f t="shared" si="1"/>
        <v>1.9698043855000007</v>
      </c>
      <c r="L37" s="307">
        <f t="shared" si="6"/>
        <v>-0.41446262001001855</v>
      </c>
      <c r="M37" s="301"/>
      <c r="N37" s="303">
        <v>6.56</v>
      </c>
      <c r="O37" s="301">
        <v>2.99</v>
      </c>
      <c r="P37" s="301">
        <v>55.3</v>
      </c>
      <c r="Q37" s="306">
        <v>-5.6749999999999998</v>
      </c>
      <c r="R37" s="306">
        <v>6.5836692307692304E-2</v>
      </c>
      <c r="S37" s="306">
        <v>-2.1600179659596899</v>
      </c>
      <c r="T37" s="301">
        <v>1</v>
      </c>
      <c r="U37" s="306"/>
      <c r="V37" s="307">
        <f t="shared" si="2"/>
        <v>4.5901956144999989</v>
      </c>
      <c r="W37" s="307">
        <f t="shared" si="3"/>
        <v>1.9698043855000007</v>
      </c>
      <c r="X37" s="307">
        <f t="shared" si="7"/>
        <v>-0.41446262001001855</v>
      </c>
      <c r="Y37" s="301"/>
      <c r="Z37" s="303">
        <v>6.56</v>
      </c>
      <c r="AA37" s="301">
        <v>2.99</v>
      </c>
      <c r="AB37" s="301">
        <v>55.3</v>
      </c>
      <c r="AC37" s="306">
        <v>-5.6749999999999998</v>
      </c>
      <c r="AD37" s="306">
        <v>6.5836692307692304E-2</v>
      </c>
      <c r="AE37" s="306">
        <v>-2.1600179659596899</v>
      </c>
      <c r="AF37" s="301">
        <v>1</v>
      </c>
      <c r="AG37" s="306"/>
      <c r="AH37" s="307">
        <f t="shared" si="4"/>
        <v>4.5901956144999989</v>
      </c>
      <c r="AI37" s="307">
        <f t="shared" si="5"/>
        <v>1.9698043855000007</v>
      </c>
      <c r="AJ37" s="307">
        <f t="shared" si="8"/>
        <v>-0.41446262001001855</v>
      </c>
      <c r="AK37" s="301"/>
      <c r="AL37" s="301"/>
      <c r="AM37" s="305">
        <v>40451</v>
      </c>
      <c r="AN37" s="303">
        <v>6.56</v>
      </c>
      <c r="AO37" s="303">
        <v>6.56</v>
      </c>
      <c r="AP37" s="303">
        <v>6.56</v>
      </c>
    </row>
    <row r="38" spans="1:42" ht="13.5" customHeight="1">
      <c r="A38" s="305">
        <v>40543</v>
      </c>
      <c r="B38" s="303">
        <v>6.41</v>
      </c>
      <c r="C38" s="301">
        <v>2.52</v>
      </c>
      <c r="D38" s="301">
        <v>57.8</v>
      </c>
      <c r="E38" s="306">
        <v>-6.65</v>
      </c>
      <c r="F38" s="306">
        <v>6.4980785714285699E-2</v>
      </c>
      <c r="G38" s="306">
        <v>-1.49638622617203</v>
      </c>
      <c r="H38" s="301">
        <v>1</v>
      </c>
      <c r="I38" s="306"/>
      <c r="J38" s="307">
        <f t="shared" si="0"/>
        <v>4.3954823309999984</v>
      </c>
      <c r="K38" s="307">
        <f t="shared" si="1"/>
        <v>2.0145176690000017</v>
      </c>
      <c r="L38" s="307">
        <f t="shared" si="6"/>
        <v>-0.36288124257543009</v>
      </c>
      <c r="M38" s="301"/>
      <c r="N38" s="303">
        <v>6.41</v>
      </c>
      <c r="O38" s="301">
        <v>2.52</v>
      </c>
      <c r="P38" s="301">
        <v>57.8</v>
      </c>
      <c r="Q38" s="306">
        <v>-6.65</v>
      </c>
      <c r="R38" s="306">
        <v>6.4980785714285699E-2</v>
      </c>
      <c r="S38" s="306">
        <v>-1.49638622617203</v>
      </c>
      <c r="T38" s="301">
        <v>1</v>
      </c>
      <c r="U38" s="306"/>
      <c r="V38" s="307">
        <f t="shared" si="2"/>
        <v>4.3954823309999984</v>
      </c>
      <c r="W38" s="307">
        <f t="shared" si="3"/>
        <v>2.0145176690000017</v>
      </c>
      <c r="X38" s="307">
        <f t="shared" si="7"/>
        <v>-0.36288124257543009</v>
      </c>
      <c r="Y38" s="301"/>
      <c r="Z38" s="303">
        <v>6.41</v>
      </c>
      <c r="AA38" s="301">
        <v>2.52</v>
      </c>
      <c r="AB38" s="301">
        <v>57.8</v>
      </c>
      <c r="AC38" s="306">
        <v>-6.65</v>
      </c>
      <c r="AD38" s="306">
        <v>6.4980785714285699E-2</v>
      </c>
      <c r="AE38" s="306">
        <v>-1.49638622617203</v>
      </c>
      <c r="AF38" s="301">
        <v>1</v>
      </c>
      <c r="AG38" s="306"/>
      <c r="AH38" s="307">
        <f t="shared" si="4"/>
        <v>4.3954823309999984</v>
      </c>
      <c r="AI38" s="307">
        <f t="shared" si="5"/>
        <v>2.0145176690000017</v>
      </c>
      <c r="AJ38" s="307">
        <f t="shared" si="8"/>
        <v>-0.36288124257543009</v>
      </c>
      <c r="AK38" s="301"/>
      <c r="AL38" s="301"/>
      <c r="AM38" s="305">
        <v>40543</v>
      </c>
      <c r="AN38" s="303">
        <v>6.41</v>
      </c>
      <c r="AO38" s="303">
        <v>6.41</v>
      </c>
      <c r="AP38" s="303">
        <v>6.41</v>
      </c>
    </row>
    <row r="39" spans="1:42" ht="13.5" customHeight="1">
      <c r="A39" s="305">
        <v>40633</v>
      </c>
      <c r="B39" s="303">
        <v>6.55</v>
      </c>
      <c r="C39" s="301">
        <v>3.37</v>
      </c>
      <c r="D39" s="301">
        <v>62.6</v>
      </c>
      <c r="E39" s="306">
        <v>-7.125</v>
      </c>
      <c r="F39" s="306">
        <v>5.1850833333333297E-2</v>
      </c>
      <c r="G39" s="306">
        <v>-1.45271643036778</v>
      </c>
      <c r="H39" s="301">
        <v>1</v>
      </c>
      <c r="I39" s="306"/>
      <c r="J39" s="307">
        <f t="shared" si="0"/>
        <v>5.2796465635000001</v>
      </c>
      <c r="K39" s="307">
        <f t="shared" si="1"/>
        <v>1.2703534364999998</v>
      </c>
      <c r="L39" s="307">
        <f t="shared" si="6"/>
        <v>0.11337177838077669</v>
      </c>
      <c r="M39" s="301"/>
      <c r="N39" s="303">
        <v>6.55</v>
      </c>
      <c r="O39" s="301">
        <v>3.37</v>
      </c>
      <c r="P39" s="301">
        <v>62.6</v>
      </c>
      <c r="Q39" s="306">
        <v>-7.125</v>
      </c>
      <c r="R39" s="306">
        <v>5.1850833333333297E-2</v>
      </c>
      <c r="S39" s="306">
        <v>-1.45271643036778</v>
      </c>
      <c r="T39" s="301">
        <v>1</v>
      </c>
      <c r="U39" s="306"/>
      <c r="V39" s="307">
        <f t="shared" si="2"/>
        <v>5.2796465635000001</v>
      </c>
      <c r="W39" s="307">
        <f t="shared" si="3"/>
        <v>1.2703534364999998</v>
      </c>
      <c r="X39" s="307">
        <f t="shared" si="7"/>
        <v>0.11337177838077669</v>
      </c>
      <c r="Y39" s="301"/>
      <c r="Z39" s="303">
        <v>6.55</v>
      </c>
      <c r="AA39" s="301">
        <v>3.37</v>
      </c>
      <c r="AB39" s="301">
        <v>62.6</v>
      </c>
      <c r="AC39" s="306">
        <v>-7.125</v>
      </c>
      <c r="AD39" s="306">
        <v>5.1850833333333297E-2</v>
      </c>
      <c r="AE39" s="306">
        <v>-1.45271643036778</v>
      </c>
      <c r="AF39" s="301">
        <v>1</v>
      </c>
      <c r="AG39" s="306"/>
      <c r="AH39" s="307">
        <f t="shared" si="4"/>
        <v>5.2796465635000001</v>
      </c>
      <c r="AI39" s="307">
        <f t="shared" si="5"/>
        <v>1.2703534364999998</v>
      </c>
      <c r="AJ39" s="307">
        <f t="shared" si="8"/>
        <v>0.11337177838077669</v>
      </c>
      <c r="AK39" s="301"/>
      <c r="AL39" s="301"/>
      <c r="AM39" s="305">
        <v>40633</v>
      </c>
      <c r="AN39" s="303">
        <v>6.55</v>
      </c>
      <c r="AO39" s="303">
        <v>6.55</v>
      </c>
      <c r="AP39" s="303">
        <v>6.55</v>
      </c>
    </row>
    <row r="40" spans="1:42" ht="13.5" customHeight="1">
      <c r="A40" s="305">
        <v>40724</v>
      </c>
      <c r="B40" s="303">
        <v>6.1</v>
      </c>
      <c r="C40" s="301">
        <v>3.43</v>
      </c>
      <c r="D40" s="301">
        <v>61.6</v>
      </c>
      <c r="E40" s="306">
        <v>-7.7</v>
      </c>
      <c r="F40" s="306">
        <v>5.37500769230769E-2</v>
      </c>
      <c r="G40" s="306">
        <v>-0.42446117994897598</v>
      </c>
      <c r="H40" s="301">
        <v>1</v>
      </c>
      <c r="I40" s="306"/>
      <c r="J40" s="307">
        <f t="shared" si="0"/>
        <v>5.5388411839999989</v>
      </c>
      <c r="K40" s="307">
        <f t="shared" si="1"/>
        <v>0.56115881600000073</v>
      </c>
      <c r="L40" s="307">
        <f t="shared" si="6"/>
        <v>-0.18724851239939971</v>
      </c>
      <c r="M40" s="301"/>
      <c r="N40" s="303">
        <v>6.1</v>
      </c>
      <c r="O40" s="301">
        <v>3.43</v>
      </c>
      <c r="P40" s="301">
        <v>61.6</v>
      </c>
      <c r="Q40" s="306">
        <v>-7.7</v>
      </c>
      <c r="R40" s="306">
        <v>5.37500769230769E-2</v>
      </c>
      <c r="S40" s="306">
        <v>-0.42446117994897598</v>
      </c>
      <c r="T40" s="301">
        <v>1</v>
      </c>
      <c r="U40" s="306"/>
      <c r="V40" s="307">
        <f t="shared" si="2"/>
        <v>5.5388411839999989</v>
      </c>
      <c r="W40" s="307">
        <f t="shared" si="3"/>
        <v>0.56115881600000073</v>
      </c>
      <c r="X40" s="307">
        <f t="shared" si="7"/>
        <v>-0.18724851239939971</v>
      </c>
      <c r="Y40" s="301"/>
      <c r="Z40" s="303">
        <v>6.1</v>
      </c>
      <c r="AA40" s="301">
        <v>3.43</v>
      </c>
      <c r="AB40" s="301">
        <v>61.6</v>
      </c>
      <c r="AC40" s="306">
        <v>-7.7</v>
      </c>
      <c r="AD40" s="306">
        <v>5.37500769230769E-2</v>
      </c>
      <c r="AE40" s="306">
        <v>-0.42446117994897598</v>
      </c>
      <c r="AF40" s="301">
        <v>1</v>
      </c>
      <c r="AG40" s="306"/>
      <c r="AH40" s="307">
        <f t="shared" si="4"/>
        <v>5.5388411839999989</v>
      </c>
      <c r="AI40" s="307">
        <f t="shared" si="5"/>
        <v>0.56115881600000073</v>
      </c>
      <c r="AJ40" s="307">
        <f t="shared" si="8"/>
        <v>-0.18724851239939971</v>
      </c>
      <c r="AK40" s="301"/>
      <c r="AL40" s="301"/>
      <c r="AM40" s="305">
        <v>40724</v>
      </c>
      <c r="AN40" s="303">
        <v>6.1</v>
      </c>
      <c r="AO40" s="303">
        <v>6.1</v>
      </c>
      <c r="AP40" s="303">
        <v>6.1</v>
      </c>
    </row>
    <row r="41" spans="1:42" ht="13.5" customHeight="1">
      <c r="A41" s="305">
        <v>40816</v>
      </c>
      <c r="B41" s="303">
        <v>6.24</v>
      </c>
      <c r="C41" s="301">
        <v>2.98</v>
      </c>
      <c r="D41" s="301">
        <v>63.8</v>
      </c>
      <c r="E41" s="306">
        <v>-8.0749999999999993</v>
      </c>
      <c r="F41" s="306">
        <v>0.102603428571429</v>
      </c>
      <c r="G41" s="306">
        <v>-0.68859731402907098</v>
      </c>
      <c r="H41" s="301">
        <v>1</v>
      </c>
      <c r="I41" s="306"/>
      <c r="J41" s="307">
        <f t="shared" si="0"/>
        <v>5.1792666664999985</v>
      </c>
      <c r="K41" s="307">
        <f t="shared" si="1"/>
        <v>1.0607333335000018</v>
      </c>
      <c r="L41" s="307">
        <f t="shared" si="6"/>
        <v>-8.5063585235112434E-3</v>
      </c>
      <c r="M41" s="301"/>
      <c r="N41" s="303">
        <v>6.24</v>
      </c>
      <c r="O41" s="301">
        <v>2.98</v>
      </c>
      <c r="P41" s="301">
        <v>63.8</v>
      </c>
      <c r="Q41" s="306">
        <v>-8.0749999999999993</v>
      </c>
      <c r="R41" s="306">
        <v>0.102603428571429</v>
      </c>
      <c r="S41" s="306">
        <v>-0.68859731402907098</v>
      </c>
      <c r="T41" s="301">
        <v>1</v>
      </c>
      <c r="U41" s="306"/>
      <c r="V41" s="307">
        <f t="shared" si="2"/>
        <v>5.1792666664999985</v>
      </c>
      <c r="W41" s="307">
        <f t="shared" si="3"/>
        <v>1.0607333335000018</v>
      </c>
      <c r="X41" s="307">
        <f t="shared" si="7"/>
        <v>-8.5063585235112434E-3</v>
      </c>
      <c r="Y41" s="301"/>
      <c r="Z41" s="303">
        <v>6.24</v>
      </c>
      <c r="AA41" s="301">
        <v>2.98</v>
      </c>
      <c r="AB41" s="301">
        <v>63.8</v>
      </c>
      <c r="AC41" s="306">
        <v>-8.0749999999999993</v>
      </c>
      <c r="AD41" s="306">
        <v>0.102603428571429</v>
      </c>
      <c r="AE41" s="306">
        <v>-0.68859731402907098</v>
      </c>
      <c r="AF41" s="301">
        <v>1</v>
      </c>
      <c r="AG41" s="306"/>
      <c r="AH41" s="307">
        <f t="shared" si="4"/>
        <v>5.1792666664999985</v>
      </c>
      <c r="AI41" s="307">
        <f t="shared" si="5"/>
        <v>1.0607333335000018</v>
      </c>
      <c r="AJ41" s="307">
        <f t="shared" si="8"/>
        <v>-8.5063585235112434E-3</v>
      </c>
      <c r="AK41" s="301"/>
      <c r="AL41" s="301"/>
      <c r="AM41" s="305">
        <v>40816</v>
      </c>
      <c r="AN41" s="303">
        <v>6.24</v>
      </c>
      <c r="AO41" s="303">
        <v>6.24</v>
      </c>
      <c r="AP41" s="303">
        <v>6.24</v>
      </c>
    </row>
    <row r="42" spans="1:42" ht="13.5" customHeight="1">
      <c r="A42" s="305">
        <v>40908</v>
      </c>
      <c r="B42" s="303">
        <v>6.81</v>
      </c>
      <c r="C42" s="301">
        <v>2.13</v>
      </c>
      <c r="D42" s="301">
        <v>64.400000000000006</v>
      </c>
      <c r="E42" s="306">
        <v>-8.125</v>
      </c>
      <c r="F42" s="306">
        <v>0.102258384615385</v>
      </c>
      <c r="G42" s="306">
        <v>-0.309897432373407</v>
      </c>
      <c r="H42" s="301">
        <v>1</v>
      </c>
      <c r="I42" s="306"/>
      <c r="J42" s="307">
        <f t="shared" si="0"/>
        <v>4.3590102114999993</v>
      </c>
      <c r="K42" s="307">
        <f t="shared" si="1"/>
        <v>2.4509897885000003</v>
      </c>
      <c r="L42" s="307">
        <f t="shared" si="6"/>
        <v>-0.26711034865785616</v>
      </c>
      <c r="M42" s="301"/>
      <c r="N42" s="303">
        <v>6.81</v>
      </c>
      <c r="O42" s="301">
        <v>2.13</v>
      </c>
      <c r="P42" s="301">
        <v>64.400000000000006</v>
      </c>
      <c r="Q42" s="306">
        <v>-8.125</v>
      </c>
      <c r="R42" s="306">
        <v>0.102258384615385</v>
      </c>
      <c r="S42" s="306">
        <v>-0.309897432373407</v>
      </c>
      <c r="T42" s="301">
        <v>1</v>
      </c>
      <c r="U42" s="306"/>
      <c r="V42" s="307">
        <f t="shared" si="2"/>
        <v>4.3590102114999993</v>
      </c>
      <c r="W42" s="307">
        <f t="shared" si="3"/>
        <v>2.4509897885000003</v>
      </c>
      <c r="X42" s="307">
        <f t="shared" si="7"/>
        <v>-0.26711034865785616</v>
      </c>
      <c r="Y42" s="301"/>
      <c r="Z42" s="303">
        <v>6.81</v>
      </c>
      <c r="AA42" s="301">
        <v>2.13</v>
      </c>
      <c r="AB42" s="301">
        <v>64.400000000000006</v>
      </c>
      <c r="AC42" s="306">
        <v>-8.125</v>
      </c>
      <c r="AD42" s="306">
        <v>0.102258384615385</v>
      </c>
      <c r="AE42" s="306">
        <v>-0.309897432373407</v>
      </c>
      <c r="AF42" s="301">
        <v>1</v>
      </c>
      <c r="AG42" s="306"/>
      <c r="AH42" s="307">
        <f t="shared" si="4"/>
        <v>4.3590102114999993</v>
      </c>
      <c r="AI42" s="307">
        <f t="shared" si="5"/>
        <v>2.4509897885000003</v>
      </c>
      <c r="AJ42" s="307">
        <f t="shared" si="8"/>
        <v>-0.26711034865785616</v>
      </c>
      <c r="AK42" s="301"/>
      <c r="AL42" s="301"/>
      <c r="AM42" s="305">
        <v>40908</v>
      </c>
      <c r="AN42" s="303">
        <v>6.81</v>
      </c>
      <c r="AO42" s="303">
        <v>6.81</v>
      </c>
      <c r="AP42" s="303">
        <v>6.81</v>
      </c>
    </row>
    <row r="43" spans="1:42" ht="13.5" customHeight="1">
      <c r="A43" s="305">
        <v>40999</v>
      </c>
      <c r="B43" s="303">
        <v>7.54</v>
      </c>
      <c r="C43" s="301">
        <v>1.94</v>
      </c>
      <c r="D43" s="301">
        <v>66.7</v>
      </c>
      <c r="E43" s="306">
        <v>-6.9749999999999996</v>
      </c>
      <c r="F43" s="306">
        <v>7.6845846153846195E-2</v>
      </c>
      <c r="G43" s="306">
        <v>-3.9672722328854E-2</v>
      </c>
      <c r="H43" s="301">
        <v>1</v>
      </c>
      <c r="I43" s="306"/>
      <c r="J43" s="307">
        <f t="shared" si="0"/>
        <v>3.7670196945000005</v>
      </c>
      <c r="K43" s="307">
        <f t="shared" si="1"/>
        <v>3.7729803054999995</v>
      </c>
      <c r="L43" s="307">
        <f t="shared" si="6"/>
        <v>-0.32360658432749151</v>
      </c>
      <c r="M43" s="301"/>
      <c r="N43" s="303">
        <v>7.54</v>
      </c>
      <c r="O43" s="301">
        <v>1.94</v>
      </c>
      <c r="P43" s="301">
        <v>66.7</v>
      </c>
      <c r="Q43" s="306">
        <v>-6.9749999999999996</v>
      </c>
      <c r="R43" s="306">
        <v>7.6845846153846195E-2</v>
      </c>
      <c r="S43" s="306">
        <v>-3.9672722328854E-2</v>
      </c>
      <c r="T43" s="301">
        <v>1</v>
      </c>
      <c r="U43" s="306"/>
      <c r="V43" s="307">
        <f t="shared" si="2"/>
        <v>3.7670196945000005</v>
      </c>
      <c r="W43" s="307">
        <f t="shared" si="3"/>
        <v>3.7729803054999995</v>
      </c>
      <c r="X43" s="307">
        <f t="shared" si="7"/>
        <v>-0.32360658432749151</v>
      </c>
      <c r="Y43" s="301"/>
      <c r="Z43" s="303">
        <v>7.54</v>
      </c>
      <c r="AA43" s="301">
        <v>1.94</v>
      </c>
      <c r="AB43" s="301">
        <v>66.7</v>
      </c>
      <c r="AC43" s="306">
        <v>-6.9749999999999996</v>
      </c>
      <c r="AD43" s="306">
        <v>7.6845846153846195E-2</v>
      </c>
      <c r="AE43" s="306">
        <v>-3.9672722328854E-2</v>
      </c>
      <c r="AF43" s="301">
        <v>1</v>
      </c>
      <c r="AG43" s="306"/>
      <c r="AH43" s="307">
        <f t="shared" si="4"/>
        <v>3.7670196945000005</v>
      </c>
      <c r="AI43" s="307">
        <f t="shared" si="5"/>
        <v>3.7729803054999995</v>
      </c>
      <c r="AJ43" s="307">
        <f t="shared" si="8"/>
        <v>-0.32360658432749151</v>
      </c>
      <c r="AK43" s="301"/>
      <c r="AL43" s="301"/>
      <c r="AM43" s="305">
        <v>40999</v>
      </c>
      <c r="AN43" s="303">
        <v>7.54</v>
      </c>
      <c r="AO43" s="303">
        <v>7.54</v>
      </c>
      <c r="AP43" s="303">
        <v>7.54</v>
      </c>
    </row>
    <row r="44" spans="1:42" ht="13.5" customHeight="1">
      <c r="A44" s="305">
        <v>41090</v>
      </c>
      <c r="B44" s="303">
        <v>6.59</v>
      </c>
      <c r="C44" s="301">
        <v>2.0299999999999998</v>
      </c>
      <c r="D44" s="301">
        <v>68.599999999999994</v>
      </c>
      <c r="E44" s="306">
        <v>-6.65</v>
      </c>
      <c r="F44" s="306">
        <v>7.5941307692307697E-2</v>
      </c>
      <c r="G44" s="306">
        <v>-1.0832338776172299</v>
      </c>
      <c r="H44" s="301">
        <v>1</v>
      </c>
      <c r="I44" s="306"/>
      <c r="J44" s="307">
        <f t="shared" si="0"/>
        <v>3.7154597289999995</v>
      </c>
      <c r="K44" s="307">
        <f t="shared" si="1"/>
        <v>2.8745402710000003</v>
      </c>
      <c r="L44" s="307">
        <f t="shared" si="6"/>
        <v>-0.34430898892257022</v>
      </c>
      <c r="M44" s="301"/>
      <c r="N44" s="303">
        <v>6.59</v>
      </c>
      <c r="O44" s="301">
        <v>2.0299999999999998</v>
      </c>
      <c r="P44" s="301">
        <v>68.599999999999994</v>
      </c>
      <c r="Q44" s="306">
        <v>-6.65</v>
      </c>
      <c r="R44" s="306">
        <v>7.5941307692307697E-2</v>
      </c>
      <c r="S44" s="306">
        <v>-1.0832338776172299</v>
      </c>
      <c r="T44" s="301">
        <v>1</v>
      </c>
      <c r="U44" s="306"/>
      <c r="V44" s="307">
        <f t="shared" si="2"/>
        <v>3.7154597289999995</v>
      </c>
      <c r="W44" s="307">
        <f t="shared" si="3"/>
        <v>2.8745402710000003</v>
      </c>
      <c r="X44" s="307">
        <f t="shared" si="7"/>
        <v>-0.34430898892257022</v>
      </c>
      <c r="Y44" s="301"/>
      <c r="Z44" s="303">
        <v>6.59</v>
      </c>
      <c r="AA44" s="301">
        <v>2.0299999999999998</v>
      </c>
      <c r="AB44" s="301">
        <v>68.599999999999994</v>
      </c>
      <c r="AC44" s="306">
        <v>-6.65</v>
      </c>
      <c r="AD44" s="306">
        <v>7.5941307692307697E-2</v>
      </c>
      <c r="AE44" s="306">
        <v>-1.0832338776172299</v>
      </c>
      <c r="AF44" s="301">
        <v>1</v>
      </c>
      <c r="AG44" s="306"/>
      <c r="AH44" s="307">
        <f t="shared" si="4"/>
        <v>3.7154597289999995</v>
      </c>
      <c r="AI44" s="307">
        <f t="shared" si="5"/>
        <v>2.8745402710000003</v>
      </c>
      <c r="AJ44" s="307">
        <f t="shared" si="8"/>
        <v>-0.34430898892257022</v>
      </c>
      <c r="AK44" s="301"/>
      <c r="AL44" s="301"/>
      <c r="AM44" s="305">
        <v>41090</v>
      </c>
      <c r="AN44" s="303">
        <v>6.59</v>
      </c>
      <c r="AO44" s="303">
        <v>6.59</v>
      </c>
      <c r="AP44" s="303">
        <v>6.59</v>
      </c>
    </row>
    <row r="45" spans="1:42" ht="13.5" customHeight="1">
      <c r="A45" s="305">
        <v>41182</v>
      </c>
      <c r="B45" s="303">
        <v>6.43</v>
      </c>
      <c r="C45" s="301">
        <v>1.5</v>
      </c>
      <c r="D45" s="301">
        <v>68.400000000000006</v>
      </c>
      <c r="E45" s="306">
        <v>-6.15</v>
      </c>
      <c r="F45" s="306">
        <v>5.88265384615385E-2</v>
      </c>
      <c r="G45" s="306">
        <v>-1.5803100172232001</v>
      </c>
      <c r="H45" s="301">
        <v>1</v>
      </c>
      <c r="I45" s="306"/>
      <c r="J45" s="307">
        <f t="shared" si="0"/>
        <v>3.0467205649999998</v>
      </c>
      <c r="K45" s="307">
        <f t="shared" si="1"/>
        <v>3.3832794349999999</v>
      </c>
      <c r="L45" s="307">
        <f t="shared" si="6"/>
        <v>-0.6405713067256662</v>
      </c>
      <c r="M45" s="301"/>
      <c r="N45" s="303">
        <v>6.43</v>
      </c>
      <c r="O45" s="301">
        <v>1.5</v>
      </c>
      <c r="P45" s="301">
        <v>68.400000000000006</v>
      </c>
      <c r="Q45" s="306">
        <v>-6.15</v>
      </c>
      <c r="R45" s="306">
        <v>5.88265384615385E-2</v>
      </c>
      <c r="S45" s="306">
        <v>-1.5803100172232001</v>
      </c>
      <c r="T45" s="301">
        <v>1</v>
      </c>
      <c r="U45" s="306"/>
      <c r="V45" s="307">
        <f t="shared" si="2"/>
        <v>3.0467205649999998</v>
      </c>
      <c r="W45" s="307">
        <f t="shared" si="3"/>
        <v>3.3832794349999999</v>
      </c>
      <c r="X45" s="307">
        <f t="shared" si="7"/>
        <v>-0.6405713067256662</v>
      </c>
      <c r="Y45" s="301"/>
      <c r="Z45" s="303">
        <v>6.43</v>
      </c>
      <c r="AA45" s="301">
        <v>1.5</v>
      </c>
      <c r="AB45" s="301">
        <v>68.400000000000006</v>
      </c>
      <c r="AC45" s="306">
        <v>-6.15</v>
      </c>
      <c r="AD45" s="306">
        <v>5.88265384615385E-2</v>
      </c>
      <c r="AE45" s="306">
        <v>-1.5803100172232001</v>
      </c>
      <c r="AF45" s="301">
        <v>1</v>
      </c>
      <c r="AG45" s="306"/>
      <c r="AH45" s="307">
        <f t="shared" si="4"/>
        <v>3.0467205649999998</v>
      </c>
      <c r="AI45" s="307">
        <f t="shared" si="5"/>
        <v>3.3832794349999999</v>
      </c>
      <c r="AJ45" s="307">
        <f t="shared" si="8"/>
        <v>-0.6405713067256662</v>
      </c>
      <c r="AK45" s="301"/>
      <c r="AL45" s="301"/>
      <c r="AM45" s="305">
        <v>41182</v>
      </c>
      <c r="AN45" s="303">
        <v>6.43</v>
      </c>
      <c r="AO45" s="303">
        <v>6.43</v>
      </c>
      <c r="AP45" s="303">
        <v>6.43</v>
      </c>
    </row>
    <row r="46" spans="1:42" ht="13.5" customHeight="1">
      <c r="A46" s="305">
        <v>41274</v>
      </c>
      <c r="B46" s="303">
        <v>4.78</v>
      </c>
      <c r="C46" s="301">
        <v>1.72</v>
      </c>
      <c r="D46" s="301">
        <v>70.099999999999994</v>
      </c>
      <c r="E46" s="306">
        <v>-5.5</v>
      </c>
      <c r="F46" s="306">
        <v>3.1239538461538499E-2</v>
      </c>
      <c r="G46" s="306">
        <v>-2.23761949128233</v>
      </c>
      <c r="H46" s="301">
        <v>1</v>
      </c>
      <c r="I46" s="306"/>
      <c r="J46" s="307">
        <f t="shared" si="0"/>
        <v>3.0221935559999999</v>
      </c>
      <c r="K46" s="307">
        <f t="shared" si="1"/>
        <v>1.7578064440000003</v>
      </c>
      <c r="L46" s="307">
        <f t="shared" si="6"/>
        <v>-0.53047016454127027</v>
      </c>
      <c r="M46" s="301"/>
      <c r="N46" s="303">
        <v>4.78</v>
      </c>
      <c r="O46" s="301">
        <v>1.72</v>
      </c>
      <c r="P46" s="301">
        <v>70.099999999999994</v>
      </c>
      <c r="Q46" s="306">
        <v>-5.5</v>
      </c>
      <c r="R46" s="306">
        <v>3.1239538461538499E-2</v>
      </c>
      <c r="S46" s="306">
        <v>-2.23761949128233</v>
      </c>
      <c r="T46" s="301">
        <v>1</v>
      </c>
      <c r="U46" s="306"/>
      <c r="V46" s="307">
        <f t="shared" si="2"/>
        <v>3.0221935559999999</v>
      </c>
      <c r="W46" s="307">
        <f t="shared" si="3"/>
        <v>1.7578064440000003</v>
      </c>
      <c r="X46" s="307">
        <f t="shared" si="7"/>
        <v>-0.53047016454127027</v>
      </c>
      <c r="Y46" s="301"/>
      <c r="Z46" s="303">
        <v>4.78</v>
      </c>
      <c r="AA46" s="301">
        <v>1.72</v>
      </c>
      <c r="AB46" s="301">
        <v>70.099999999999994</v>
      </c>
      <c r="AC46" s="306">
        <v>-5.5</v>
      </c>
      <c r="AD46" s="306">
        <v>3.1239538461538499E-2</v>
      </c>
      <c r="AE46" s="306">
        <v>-2.23761949128233</v>
      </c>
      <c r="AF46" s="301">
        <v>1</v>
      </c>
      <c r="AG46" s="306"/>
      <c r="AH46" s="307">
        <f t="shared" si="4"/>
        <v>3.0221935559999999</v>
      </c>
      <c r="AI46" s="307">
        <f t="shared" si="5"/>
        <v>1.7578064440000003</v>
      </c>
      <c r="AJ46" s="307">
        <f t="shared" si="8"/>
        <v>-0.53047016454127027</v>
      </c>
      <c r="AK46" s="301"/>
      <c r="AL46" s="301"/>
      <c r="AM46" s="305">
        <v>41274</v>
      </c>
      <c r="AN46" s="303">
        <v>4.78</v>
      </c>
      <c r="AO46" s="303">
        <v>4.78</v>
      </c>
      <c r="AP46" s="303">
        <v>4.78</v>
      </c>
    </row>
    <row r="47" spans="1:42" ht="13.5" customHeight="1">
      <c r="A47" s="305">
        <v>41364</v>
      </c>
      <c r="B47" s="303">
        <v>4.29</v>
      </c>
      <c r="C47" s="301">
        <v>1.89</v>
      </c>
      <c r="D47" s="301">
        <v>71.900000000000006</v>
      </c>
      <c r="E47" s="306">
        <v>-5.6</v>
      </c>
      <c r="F47" s="306">
        <v>4.14683076923077E-2</v>
      </c>
      <c r="G47" s="306">
        <v>-2.2345945198698498</v>
      </c>
      <c r="H47" s="301">
        <v>0</v>
      </c>
      <c r="I47" s="306"/>
      <c r="J47" s="307">
        <f t="shared" si="0"/>
        <v>5.3024825719999988</v>
      </c>
      <c r="K47" s="307">
        <f t="shared" si="1"/>
        <v>-1.0124825719999988</v>
      </c>
      <c r="L47" s="307">
        <f t="shared" si="6"/>
        <v>0.31244496107329184</v>
      </c>
      <c r="M47" s="301"/>
      <c r="N47" s="303">
        <v>4.29</v>
      </c>
      <c r="O47" s="301">
        <v>1.89</v>
      </c>
      <c r="P47" s="301">
        <v>71.900000000000006</v>
      </c>
      <c r="Q47" s="306">
        <v>-5.6</v>
      </c>
      <c r="R47" s="306">
        <v>4.14683076923077E-2</v>
      </c>
      <c r="S47" s="306">
        <v>-2.2345945198698498</v>
      </c>
      <c r="T47" s="301">
        <v>0</v>
      </c>
      <c r="U47" s="306"/>
      <c r="V47" s="307">
        <f t="shared" si="2"/>
        <v>5.3024825719999988</v>
      </c>
      <c r="W47" s="307">
        <f t="shared" si="3"/>
        <v>-1.0124825719999988</v>
      </c>
      <c r="X47" s="307">
        <f t="shared" si="7"/>
        <v>0.31244496107329184</v>
      </c>
      <c r="Y47" s="301"/>
      <c r="Z47" s="303">
        <v>4.29</v>
      </c>
      <c r="AA47" s="301">
        <v>1.89</v>
      </c>
      <c r="AB47" s="301">
        <v>71.900000000000006</v>
      </c>
      <c r="AC47" s="306">
        <v>-5.6</v>
      </c>
      <c r="AD47" s="306">
        <v>4.14683076923077E-2</v>
      </c>
      <c r="AE47" s="306">
        <v>-2.2345945198698498</v>
      </c>
      <c r="AF47" s="301">
        <v>0</v>
      </c>
      <c r="AG47" s="306"/>
      <c r="AH47" s="307">
        <f t="shared" si="4"/>
        <v>5.3024825719999988</v>
      </c>
      <c r="AI47" s="307">
        <f t="shared" si="5"/>
        <v>-1.0124825719999988</v>
      </c>
      <c r="AJ47" s="307">
        <f t="shared" si="8"/>
        <v>0.31244496107329184</v>
      </c>
      <c r="AK47" s="301"/>
      <c r="AL47" s="301"/>
      <c r="AM47" s="305">
        <v>41364</v>
      </c>
      <c r="AN47" s="303">
        <v>4.29</v>
      </c>
      <c r="AO47" s="303">
        <v>4.29</v>
      </c>
      <c r="AP47" s="303">
        <v>4.29</v>
      </c>
    </row>
    <row r="48" spans="1:42" ht="13.5" customHeight="1">
      <c r="A48" s="305">
        <v>41455</v>
      </c>
      <c r="B48" s="303">
        <v>4.34</v>
      </c>
      <c r="C48" s="301">
        <v>1.73</v>
      </c>
      <c r="D48" s="301">
        <v>74</v>
      </c>
      <c r="E48" s="306">
        <v>-5.2249999999999996</v>
      </c>
      <c r="F48" s="306">
        <v>3.9991538461538502E-2</v>
      </c>
      <c r="G48" s="306">
        <v>-1.4646969611863201</v>
      </c>
      <c r="H48" s="301">
        <v>0</v>
      </c>
      <c r="I48" s="306"/>
      <c r="J48" s="307">
        <f t="shared" si="0"/>
        <v>4.9887402014999997</v>
      </c>
      <c r="K48" s="307">
        <f t="shared" si="1"/>
        <v>-0.64874020149999989</v>
      </c>
      <c r="L48" s="307">
        <f t="shared" si="6"/>
        <v>-0.10786806599428916</v>
      </c>
      <c r="M48" s="301"/>
      <c r="N48" s="303">
        <v>4.34</v>
      </c>
      <c r="O48" s="301">
        <v>1.73</v>
      </c>
      <c r="P48" s="301">
        <v>74</v>
      </c>
      <c r="Q48" s="306">
        <v>-5.2249999999999996</v>
      </c>
      <c r="R48" s="306">
        <v>3.9991538461538502E-2</v>
      </c>
      <c r="S48" s="306">
        <v>-1.4646969611863201</v>
      </c>
      <c r="T48" s="301">
        <v>0</v>
      </c>
      <c r="U48" s="306"/>
      <c r="V48" s="307">
        <f t="shared" si="2"/>
        <v>4.9887402014999997</v>
      </c>
      <c r="W48" s="307">
        <f t="shared" si="3"/>
        <v>-0.64874020149999989</v>
      </c>
      <c r="X48" s="307">
        <f t="shared" si="7"/>
        <v>-0.10786806599428916</v>
      </c>
      <c r="Y48" s="301"/>
      <c r="Z48" s="303">
        <v>4.34</v>
      </c>
      <c r="AA48" s="301">
        <v>1.73</v>
      </c>
      <c r="AB48" s="301">
        <v>74</v>
      </c>
      <c r="AC48" s="306">
        <v>-5.2249999999999996</v>
      </c>
      <c r="AD48" s="306">
        <v>3.9991538461538502E-2</v>
      </c>
      <c r="AE48" s="306">
        <v>-1.4646969611863201</v>
      </c>
      <c r="AF48" s="301">
        <v>0</v>
      </c>
      <c r="AG48" s="306"/>
      <c r="AH48" s="307">
        <f t="shared" si="4"/>
        <v>4.9887402014999997</v>
      </c>
      <c r="AI48" s="307">
        <f t="shared" si="5"/>
        <v>-0.64874020149999989</v>
      </c>
      <c r="AJ48" s="307">
        <f t="shared" si="8"/>
        <v>-0.10786806599428916</v>
      </c>
      <c r="AK48" s="301"/>
      <c r="AL48" s="301"/>
      <c r="AM48" s="305">
        <v>41455</v>
      </c>
      <c r="AN48" s="303">
        <v>4.34</v>
      </c>
      <c r="AO48" s="303">
        <v>4.34</v>
      </c>
      <c r="AP48" s="303">
        <v>4.34</v>
      </c>
    </row>
    <row r="49" spans="1:42" ht="13.5" customHeight="1">
      <c r="A49" s="305">
        <v>41547</v>
      </c>
      <c r="B49" s="303">
        <v>4.91</v>
      </c>
      <c r="C49" s="301">
        <v>2.56</v>
      </c>
      <c r="D49" s="301">
        <v>76.599999999999994</v>
      </c>
      <c r="E49" s="306">
        <v>-5.35</v>
      </c>
      <c r="F49" s="306">
        <v>3.4322461538461503E-2</v>
      </c>
      <c r="G49" s="306">
        <v>-1.17846562375807</v>
      </c>
      <c r="H49" s="301">
        <v>0</v>
      </c>
      <c r="I49" s="306"/>
      <c r="J49" s="307">
        <f t="shared" si="0"/>
        <v>5.7843723530000002</v>
      </c>
      <c r="K49" s="307">
        <f t="shared" si="1"/>
        <v>-0.87437235300000005</v>
      </c>
      <c r="L49" s="307">
        <f t="shared" si="6"/>
        <v>0.26256094513131834</v>
      </c>
      <c r="M49" s="301"/>
      <c r="N49" s="303">
        <v>4.91</v>
      </c>
      <c r="O49" s="301">
        <v>2.56</v>
      </c>
      <c r="P49" s="301">
        <v>76.599999999999994</v>
      </c>
      <c r="Q49" s="306">
        <v>-5.35</v>
      </c>
      <c r="R49" s="306">
        <v>3.4322461538461503E-2</v>
      </c>
      <c r="S49" s="306">
        <v>-1.17846562375807</v>
      </c>
      <c r="T49" s="301">
        <v>0</v>
      </c>
      <c r="U49" s="306"/>
      <c r="V49" s="307">
        <f t="shared" si="2"/>
        <v>5.7843723530000002</v>
      </c>
      <c r="W49" s="307">
        <f t="shared" si="3"/>
        <v>-0.87437235300000005</v>
      </c>
      <c r="X49" s="307">
        <f t="shared" si="7"/>
        <v>0.26256094513131834</v>
      </c>
      <c r="Y49" s="301"/>
      <c r="Z49" s="303">
        <v>4.91</v>
      </c>
      <c r="AA49" s="301">
        <v>2.56</v>
      </c>
      <c r="AB49" s="301">
        <v>76.599999999999994</v>
      </c>
      <c r="AC49" s="306">
        <v>-5.35</v>
      </c>
      <c r="AD49" s="306">
        <v>3.4322461538461503E-2</v>
      </c>
      <c r="AE49" s="306">
        <v>-1.17846562375807</v>
      </c>
      <c r="AF49" s="301">
        <v>0</v>
      </c>
      <c r="AG49" s="306"/>
      <c r="AH49" s="307">
        <f t="shared" si="4"/>
        <v>5.7843723530000002</v>
      </c>
      <c r="AI49" s="307">
        <f t="shared" si="5"/>
        <v>-0.87437235300000005</v>
      </c>
      <c r="AJ49" s="307">
        <f t="shared" si="8"/>
        <v>0.26256094513131834</v>
      </c>
      <c r="AK49" s="301"/>
      <c r="AL49" s="301"/>
      <c r="AM49" s="305">
        <v>41547</v>
      </c>
      <c r="AN49" s="303">
        <v>4.91</v>
      </c>
      <c r="AO49" s="303">
        <v>4.91</v>
      </c>
      <c r="AP49" s="303">
        <v>4.91</v>
      </c>
    </row>
    <row r="50" spans="1:42" ht="13.5" customHeight="1">
      <c r="A50" s="305">
        <v>41639</v>
      </c>
      <c r="B50" s="303">
        <v>4.99</v>
      </c>
      <c r="C50" s="301">
        <v>2.6</v>
      </c>
      <c r="D50" s="301">
        <v>81.2</v>
      </c>
      <c r="E50" s="306">
        <v>-5.4749999999999996</v>
      </c>
      <c r="F50" s="306">
        <v>2.4435153846153801E-2</v>
      </c>
      <c r="G50" s="306">
        <v>-0.54838328147461801</v>
      </c>
      <c r="H50" s="301">
        <v>0</v>
      </c>
      <c r="I50" s="306"/>
      <c r="J50" s="307">
        <f t="shared" si="0"/>
        <v>5.7756126424999996</v>
      </c>
      <c r="K50" s="307">
        <f t="shared" si="1"/>
        <v>-0.7856126424999994</v>
      </c>
      <c r="L50" s="307">
        <f t="shared" si="6"/>
        <v>-5.0890366366386434E-2</v>
      </c>
      <c r="M50" s="301"/>
      <c r="N50" s="303">
        <v>4.99</v>
      </c>
      <c r="O50" s="301">
        <v>2.6</v>
      </c>
      <c r="P50" s="301">
        <v>81.2</v>
      </c>
      <c r="Q50" s="306">
        <v>-5.4749999999999996</v>
      </c>
      <c r="R50" s="306">
        <v>2.4435153846153801E-2</v>
      </c>
      <c r="S50" s="306">
        <v>-0.54838328147461801</v>
      </c>
      <c r="T50" s="301">
        <v>0</v>
      </c>
      <c r="U50" s="306"/>
      <c r="V50" s="307">
        <f t="shared" si="2"/>
        <v>5.7756126424999996</v>
      </c>
      <c r="W50" s="307">
        <f t="shared" si="3"/>
        <v>-0.7856126424999994</v>
      </c>
      <c r="X50" s="307">
        <f t="shared" si="7"/>
        <v>-5.0890366366386434E-2</v>
      </c>
      <c r="Y50" s="301"/>
      <c r="Z50" s="303">
        <v>4.99</v>
      </c>
      <c r="AA50" s="301">
        <v>2.6</v>
      </c>
      <c r="AB50" s="301">
        <v>81.2</v>
      </c>
      <c r="AC50" s="306">
        <v>-5.4749999999999996</v>
      </c>
      <c r="AD50" s="306">
        <v>2.4435153846153801E-2</v>
      </c>
      <c r="AE50" s="306">
        <v>-0.54838328147461801</v>
      </c>
      <c r="AF50" s="301">
        <v>0</v>
      </c>
      <c r="AG50" s="306"/>
      <c r="AH50" s="307">
        <f t="shared" si="4"/>
        <v>5.7756126424999996</v>
      </c>
      <c r="AI50" s="307">
        <f t="shared" si="5"/>
        <v>-0.7856126424999994</v>
      </c>
      <c r="AJ50" s="307">
        <f t="shared" si="8"/>
        <v>-5.0890366366386434E-2</v>
      </c>
      <c r="AK50" s="301"/>
      <c r="AL50" s="301"/>
      <c r="AM50" s="305">
        <v>41639</v>
      </c>
      <c r="AN50" s="303">
        <v>4.99</v>
      </c>
      <c r="AO50" s="303">
        <v>4.99</v>
      </c>
      <c r="AP50" s="303">
        <v>4.99</v>
      </c>
    </row>
    <row r="51" spans="1:42" ht="13.5" customHeight="1">
      <c r="A51" s="305">
        <v>41729</v>
      </c>
      <c r="B51" s="303">
        <v>5.1100000000000003</v>
      </c>
      <c r="C51" s="301">
        <v>2.84</v>
      </c>
      <c r="D51" s="301">
        <v>81.900000000000006</v>
      </c>
      <c r="E51" s="306">
        <v>-6</v>
      </c>
      <c r="F51" s="306">
        <v>2.6643461538461501E-2</v>
      </c>
      <c r="G51" s="306">
        <v>-0.52386588850803495</v>
      </c>
      <c r="H51" s="301">
        <v>0</v>
      </c>
      <c r="I51" s="306"/>
      <c r="J51" s="307">
        <f t="shared" si="0"/>
        <v>6.1614195619999998</v>
      </c>
      <c r="K51" s="307">
        <f t="shared" si="1"/>
        <v>-1.0514195619999995</v>
      </c>
      <c r="L51" s="307">
        <f t="shared" si="6"/>
        <v>-7.5626099732664931E-3</v>
      </c>
      <c r="M51" s="301"/>
      <c r="N51" s="303">
        <v>5.1100000000000003</v>
      </c>
      <c r="O51" s="301">
        <v>2.84</v>
      </c>
      <c r="P51" s="301">
        <v>81.900000000000006</v>
      </c>
      <c r="Q51" s="306">
        <v>-6</v>
      </c>
      <c r="R51" s="306">
        <v>2.6643461538461501E-2</v>
      </c>
      <c r="S51" s="306">
        <v>-0.52386588850803495</v>
      </c>
      <c r="T51" s="301">
        <v>0</v>
      </c>
      <c r="U51" s="306"/>
      <c r="V51" s="307">
        <f t="shared" si="2"/>
        <v>6.1614195619999998</v>
      </c>
      <c r="W51" s="307">
        <f t="shared" si="3"/>
        <v>-1.0514195619999995</v>
      </c>
      <c r="X51" s="307">
        <f t="shared" si="7"/>
        <v>-7.5626099732664931E-3</v>
      </c>
      <c r="Y51" s="301"/>
      <c r="Z51" s="303">
        <v>5.1100000000000003</v>
      </c>
      <c r="AA51" s="301">
        <v>2.84</v>
      </c>
      <c r="AB51" s="301">
        <v>81.900000000000006</v>
      </c>
      <c r="AC51" s="306">
        <v>-6</v>
      </c>
      <c r="AD51" s="306">
        <v>2.6643461538461501E-2</v>
      </c>
      <c r="AE51" s="306">
        <v>-0.52386588850803495</v>
      </c>
      <c r="AF51" s="301">
        <v>0</v>
      </c>
      <c r="AG51" s="306"/>
      <c r="AH51" s="307">
        <f t="shared" si="4"/>
        <v>6.1614195619999998</v>
      </c>
      <c r="AI51" s="307">
        <f t="shared" si="5"/>
        <v>-1.0514195619999995</v>
      </c>
      <c r="AJ51" s="307">
        <f t="shared" si="8"/>
        <v>-7.5626099732664931E-3</v>
      </c>
      <c r="AK51" s="301"/>
      <c r="AL51" s="301"/>
      <c r="AM51" s="305">
        <v>41729</v>
      </c>
      <c r="AN51" s="303">
        <v>5.1100000000000003</v>
      </c>
      <c r="AO51" s="303">
        <v>5.1100000000000003</v>
      </c>
      <c r="AP51" s="303">
        <v>5.1100000000000003</v>
      </c>
    </row>
    <row r="52" spans="1:42" ht="13.5" customHeight="1">
      <c r="A52" s="305">
        <v>41820</v>
      </c>
      <c r="B52" s="303">
        <v>4.41</v>
      </c>
      <c r="C52" s="301">
        <v>2.69</v>
      </c>
      <c r="D52" s="301">
        <v>82</v>
      </c>
      <c r="E52" s="306">
        <v>-6.2249999999999996</v>
      </c>
      <c r="F52" s="306">
        <v>1.84907692307692E-2</v>
      </c>
      <c r="G52" s="306">
        <v>-0.63686279517324296</v>
      </c>
      <c r="H52" s="301">
        <v>0</v>
      </c>
      <c r="I52" s="306"/>
      <c r="J52" s="307">
        <f t="shared" si="0"/>
        <v>6.0852175894999991</v>
      </c>
      <c r="K52" s="307">
        <f t="shared" si="1"/>
        <v>-1.675217589499999</v>
      </c>
      <c r="L52" s="307">
        <f t="shared" si="6"/>
        <v>-0.20862259676015982</v>
      </c>
      <c r="M52" s="301"/>
      <c r="N52" s="303">
        <v>4.41</v>
      </c>
      <c r="O52" s="301">
        <v>2.69</v>
      </c>
      <c r="P52" s="301">
        <v>82</v>
      </c>
      <c r="Q52" s="306">
        <v>-6.2249999999999996</v>
      </c>
      <c r="R52" s="306">
        <v>1.84907692307692E-2</v>
      </c>
      <c r="S52" s="306">
        <v>-0.63686279517324296</v>
      </c>
      <c r="T52" s="301">
        <v>0</v>
      </c>
      <c r="U52" s="306"/>
      <c r="V52" s="307">
        <f t="shared" si="2"/>
        <v>6.0852175894999991</v>
      </c>
      <c r="W52" s="307">
        <f t="shared" si="3"/>
        <v>-1.675217589499999</v>
      </c>
      <c r="X52" s="307">
        <f t="shared" si="7"/>
        <v>-0.20862259676015982</v>
      </c>
      <c r="Y52" s="301"/>
      <c r="Z52" s="303">
        <v>4.41</v>
      </c>
      <c r="AA52" s="301">
        <v>2.69</v>
      </c>
      <c r="AB52" s="301">
        <v>82</v>
      </c>
      <c r="AC52" s="306">
        <v>-6.2249999999999996</v>
      </c>
      <c r="AD52" s="306">
        <v>1.84907692307692E-2</v>
      </c>
      <c r="AE52" s="306">
        <v>-0.63686279517324296</v>
      </c>
      <c r="AF52" s="301">
        <v>0</v>
      </c>
      <c r="AG52" s="306"/>
      <c r="AH52" s="307">
        <f t="shared" si="4"/>
        <v>6.0852175894999991</v>
      </c>
      <c r="AI52" s="307">
        <f t="shared" si="5"/>
        <v>-1.675217589499999</v>
      </c>
      <c r="AJ52" s="307">
        <f t="shared" si="8"/>
        <v>-0.20862259676015982</v>
      </c>
      <c r="AK52" s="301"/>
      <c r="AL52" s="301"/>
      <c r="AM52" s="305">
        <v>41820</v>
      </c>
      <c r="AN52" s="303">
        <v>4.41</v>
      </c>
      <c r="AO52" s="303">
        <v>4.41</v>
      </c>
      <c r="AP52" s="303">
        <v>4.41</v>
      </c>
    </row>
    <row r="53" spans="1:42" ht="13.5" customHeight="1">
      <c r="A53" s="305">
        <v>41912</v>
      </c>
      <c r="B53" s="303">
        <v>3.72</v>
      </c>
      <c r="C53" s="301">
        <v>2.5299999999999998</v>
      </c>
      <c r="D53" s="301">
        <v>82.4</v>
      </c>
      <c r="E53" s="306">
        <v>-5.7</v>
      </c>
      <c r="F53" s="306">
        <v>2.09212307692308E-2</v>
      </c>
      <c r="G53" s="306">
        <v>-0.379302859623665</v>
      </c>
      <c r="H53" s="301">
        <v>0</v>
      </c>
      <c r="I53" s="306"/>
      <c r="J53" s="307">
        <f t="shared" si="0"/>
        <v>5.7561927839999996</v>
      </c>
      <c r="K53" s="307">
        <f t="shared" si="1"/>
        <v>-2.0361927839999994</v>
      </c>
      <c r="L53" s="307">
        <f t="shared" si="6"/>
        <v>-0.15695043705993955</v>
      </c>
      <c r="M53" s="301"/>
      <c r="N53" s="303">
        <v>3.72</v>
      </c>
      <c r="O53" s="301">
        <v>2.5299999999999998</v>
      </c>
      <c r="P53" s="301">
        <v>82.4</v>
      </c>
      <c r="Q53" s="306">
        <v>-5.7</v>
      </c>
      <c r="R53" s="306">
        <v>2.09212307692308E-2</v>
      </c>
      <c r="S53" s="306">
        <v>-0.379302859623665</v>
      </c>
      <c r="T53" s="301">
        <v>0</v>
      </c>
      <c r="U53" s="306"/>
      <c r="V53" s="307">
        <f t="shared" si="2"/>
        <v>5.7561927839999996</v>
      </c>
      <c r="W53" s="307">
        <f t="shared" si="3"/>
        <v>-2.0361927839999994</v>
      </c>
      <c r="X53" s="307">
        <f t="shared" si="7"/>
        <v>-0.15695043705993955</v>
      </c>
      <c r="Y53" s="301"/>
      <c r="Z53" s="303">
        <v>3.72</v>
      </c>
      <c r="AA53" s="301">
        <v>2.5299999999999998</v>
      </c>
      <c r="AB53" s="301">
        <v>82.4</v>
      </c>
      <c r="AC53" s="306">
        <v>-5.7</v>
      </c>
      <c r="AD53" s="306">
        <v>2.09212307692308E-2</v>
      </c>
      <c r="AE53" s="306">
        <v>-0.379302859623665</v>
      </c>
      <c r="AF53" s="301">
        <v>0</v>
      </c>
      <c r="AG53" s="306"/>
      <c r="AH53" s="307">
        <f t="shared" si="4"/>
        <v>5.7561927839999996</v>
      </c>
      <c r="AI53" s="307">
        <f t="shared" si="5"/>
        <v>-2.0361927839999994</v>
      </c>
      <c r="AJ53" s="307">
        <f t="shared" si="8"/>
        <v>-0.15695043705993955</v>
      </c>
      <c r="AK53" s="301"/>
      <c r="AL53" s="301"/>
      <c r="AM53" s="305">
        <v>41912</v>
      </c>
      <c r="AN53" s="303">
        <v>3.72</v>
      </c>
      <c r="AO53" s="303">
        <v>3.72</v>
      </c>
      <c r="AP53" s="303">
        <v>3.72</v>
      </c>
    </row>
    <row r="54" spans="1:42" ht="13.5" customHeight="1">
      <c r="A54" s="305">
        <v>42004</v>
      </c>
      <c r="B54" s="303">
        <v>3.54</v>
      </c>
      <c r="C54" s="301">
        <v>2.29</v>
      </c>
      <c r="D54" s="301">
        <v>84.7</v>
      </c>
      <c r="E54" s="306">
        <v>-5.625</v>
      </c>
      <c r="F54" s="306">
        <v>2.4350307692307699E-2</v>
      </c>
      <c r="G54" s="306">
        <v>-0.103831947763855</v>
      </c>
      <c r="H54" s="301">
        <v>0</v>
      </c>
      <c r="I54" s="306"/>
      <c r="J54" s="307">
        <f t="shared" si="0"/>
        <v>5.4560157794999995</v>
      </c>
      <c r="K54" s="307">
        <f t="shared" si="1"/>
        <v>-1.9160157794999995</v>
      </c>
      <c r="L54" s="307">
        <f t="shared" si="6"/>
        <v>-7.3926356081004257E-2</v>
      </c>
      <c r="M54" s="301"/>
      <c r="N54" s="303">
        <v>3.54</v>
      </c>
      <c r="O54" s="301">
        <v>2.29</v>
      </c>
      <c r="P54" s="301">
        <v>84.7</v>
      </c>
      <c r="Q54" s="306">
        <v>-5.625</v>
      </c>
      <c r="R54" s="306">
        <v>2.4350307692307699E-2</v>
      </c>
      <c r="S54" s="306">
        <v>-0.103831947763855</v>
      </c>
      <c r="T54" s="301">
        <v>0</v>
      </c>
      <c r="U54" s="306"/>
      <c r="V54" s="307">
        <f t="shared" si="2"/>
        <v>5.4560157794999995</v>
      </c>
      <c r="W54" s="307">
        <f t="shared" si="3"/>
        <v>-1.9160157794999995</v>
      </c>
      <c r="X54" s="307">
        <f t="shared" si="7"/>
        <v>-7.3926356081004257E-2</v>
      </c>
      <c r="Y54" s="301"/>
      <c r="Z54" s="303">
        <v>3.54</v>
      </c>
      <c r="AA54" s="301">
        <v>2.29</v>
      </c>
      <c r="AB54" s="301">
        <v>84.7</v>
      </c>
      <c r="AC54" s="306">
        <v>-5.625</v>
      </c>
      <c r="AD54" s="306">
        <v>2.4350307692307699E-2</v>
      </c>
      <c r="AE54" s="306">
        <v>-0.103831947763855</v>
      </c>
      <c r="AF54" s="301">
        <v>0</v>
      </c>
      <c r="AG54" s="306"/>
      <c r="AH54" s="307">
        <f t="shared" si="4"/>
        <v>5.4560157794999995</v>
      </c>
      <c r="AI54" s="307">
        <f t="shared" si="5"/>
        <v>-1.9160157794999995</v>
      </c>
      <c r="AJ54" s="307">
        <f t="shared" si="8"/>
        <v>-7.3926356081004257E-2</v>
      </c>
      <c r="AK54" s="301"/>
      <c r="AL54" s="301"/>
      <c r="AM54" s="305">
        <v>42004</v>
      </c>
      <c r="AN54" s="303">
        <v>3.54</v>
      </c>
      <c r="AO54" s="303">
        <v>3.54</v>
      </c>
      <c r="AP54" s="303">
        <v>3.54</v>
      </c>
    </row>
    <row r="55" spans="1:42" ht="13.5" customHeight="1">
      <c r="A55" s="305">
        <v>42094</v>
      </c>
      <c r="B55" s="303">
        <v>3.32</v>
      </c>
      <c r="C55" s="301">
        <v>1.87</v>
      </c>
      <c r="D55" s="301">
        <v>86.9</v>
      </c>
      <c r="E55" s="306">
        <v>-5.35</v>
      </c>
      <c r="F55" s="306">
        <v>3.8966538461538497E-2</v>
      </c>
      <c r="G55" s="306">
        <v>0.45715700614892302</v>
      </c>
      <c r="H55" s="301">
        <v>0</v>
      </c>
      <c r="I55" s="306"/>
      <c r="J55" s="307">
        <f t="shared" si="0"/>
        <v>4.9197702410000002</v>
      </c>
      <c r="K55" s="307">
        <f t="shared" si="1"/>
        <v>-1.5997702410000003</v>
      </c>
      <c r="L55" s="307">
        <f t="shared" si="6"/>
        <v>-8.3762028890887949E-2</v>
      </c>
      <c r="M55" s="301"/>
      <c r="N55" s="303">
        <v>3.32</v>
      </c>
      <c r="O55" s="301">
        <v>1.87</v>
      </c>
      <c r="P55" s="301">
        <v>86.9</v>
      </c>
      <c r="Q55" s="306">
        <v>-5.35</v>
      </c>
      <c r="R55" s="306">
        <v>3.8966538461538497E-2</v>
      </c>
      <c r="S55" s="306">
        <v>0.45715700614892302</v>
      </c>
      <c r="T55" s="301">
        <v>0</v>
      </c>
      <c r="U55" s="306"/>
      <c r="V55" s="307">
        <f t="shared" si="2"/>
        <v>4.9197702410000002</v>
      </c>
      <c r="W55" s="307">
        <f t="shared" si="3"/>
        <v>-1.5997702410000003</v>
      </c>
      <c r="X55" s="307">
        <f t="shared" si="7"/>
        <v>-8.3762028890887949E-2</v>
      </c>
      <c r="Y55" s="301"/>
      <c r="Z55" s="303">
        <v>3.32</v>
      </c>
      <c r="AA55" s="301">
        <v>1.87</v>
      </c>
      <c r="AB55" s="301">
        <v>86.9</v>
      </c>
      <c r="AC55" s="306">
        <v>-5.35</v>
      </c>
      <c r="AD55" s="306">
        <v>3.8966538461538497E-2</v>
      </c>
      <c r="AE55" s="306">
        <v>0.45715700614892302</v>
      </c>
      <c r="AF55" s="301">
        <v>0</v>
      </c>
      <c r="AG55" s="306"/>
      <c r="AH55" s="307">
        <f t="shared" si="4"/>
        <v>4.9197702410000002</v>
      </c>
      <c r="AI55" s="307">
        <f t="shared" si="5"/>
        <v>-1.5997702410000003</v>
      </c>
      <c r="AJ55" s="307">
        <f t="shared" si="8"/>
        <v>-8.3762028890887949E-2</v>
      </c>
      <c r="AK55" s="301"/>
      <c r="AL55" s="301"/>
      <c r="AM55" s="305">
        <v>42094</v>
      </c>
      <c r="AN55" s="303">
        <v>3.32</v>
      </c>
      <c r="AO55" s="303">
        <v>3.32</v>
      </c>
      <c r="AP55" s="303">
        <v>3.32</v>
      </c>
    </row>
    <row r="56" spans="1:42" ht="13.5" customHeight="1">
      <c r="A56" s="305">
        <v>42185</v>
      </c>
      <c r="B56" s="303">
        <v>3.17</v>
      </c>
      <c r="C56" s="301">
        <v>1.92</v>
      </c>
      <c r="D56" s="301">
        <v>84.8</v>
      </c>
      <c r="E56" s="306">
        <v>-4.875</v>
      </c>
      <c r="F56" s="306">
        <v>4.5242230769230798E-2</v>
      </c>
      <c r="G56" s="306">
        <v>1.02096781966343</v>
      </c>
      <c r="H56" s="301">
        <v>0</v>
      </c>
      <c r="I56" s="306"/>
      <c r="J56" s="307">
        <f t="shared" si="0"/>
        <v>4.8576889585000007</v>
      </c>
      <c r="K56" s="307">
        <f t="shared" si="1"/>
        <v>-1.6876889585000008</v>
      </c>
      <c r="L56" s="307">
        <f t="shared" si="6"/>
        <v>3.9116737575364657E-2</v>
      </c>
      <c r="M56" s="301"/>
      <c r="N56" s="303">
        <v>3.17</v>
      </c>
      <c r="O56" s="301">
        <v>1.92</v>
      </c>
      <c r="P56" s="301">
        <v>84.8</v>
      </c>
      <c r="Q56" s="306">
        <v>-4.875</v>
      </c>
      <c r="R56" s="306">
        <v>4.5242230769230798E-2</v>
      </c>
      <c r="S56" s="306">
        <v>1.02096781966343</v>
      </c>
      <c r="T56" s="301">
        <v>0</v>
      </c>
      <c r="U56" s="306"/>
      <c r="V56" s="307">
        <f t="shared" si="2"/>
        <v>4.8576889585000007</v>
      </c>
      <c r="W56" s="307">
        <f t="shared" si="3"/>
        <v>-1.6876889585000008</v>
      </c>
      <c r="X56" s="307">
        <f t="shared" si="7"/>
        <v>3.9116737575364657E-2</v>
      </c>
      <c r="Y56" s="301"/>
      <c r="Z56" s="303">
        <v>3.17</v>
      </c>
      <c r="AA56" s="301">
        <v>1.92</v>
      </c>
      <c r="AB56" s="301">
        <v>84.8</v>
      </c>
      <c r="AC56" s="306">
        <v>-4.875</v>
      </c>
      <c r="AD56" s="306">
        <v>4.5242230769230798E-2</v>
      </c>
      <c r="AE56" s="306">
        <v>1.02096781966343</v>
      </c>
      <c r="AF56" s="301">
        <v>0</v>
      </c>
      <c r="AG56" s="306"/>
      <c r="AH56" s="307">
        <f t="shared" si="4"/>
        <v>4.8576889585000007</v>
      </c>
      <c r="AI56" s="307">
        <f t="shared" si="5"/>
        <v>-1.6876889585000008</v>
      </c>
      <c r="AJ56" s="307">
        <f t="shared" si="8"/>
        <v>3.9116737575364657E-2</v>
      </c>
      <c r="AK56" s="301"/>
      <c r="AL56" s="301"/>
      <c r="AM56" s="305">
        <v>42185</v>
      </c>
      <c r="AN56" s="303">
        <v>3.17</v>
      </c>
      <c r="AO56" s="303">
        <v>3.17</v>
      </c>
      <c r="AP56" s="303">
        <v>3.17</v>
      </c>
    </row>
    <row r="57" spans="1:42" ht="13.5" customHeight="1">
      <c r="A57" s="305">
        <v>42277</v>
      </c>
      <c r="B57" s="303">
        <v>4.2300000000000004</v>
      </c>
      <c r="C57" s="301">
        <v>2.3199999999999998</v>
      </c>
      <c r="D57" s="301">
        <v>85</v>
      </c>
      <c r="E57" s="306">
        <v>-4.125</v>
      </c>
      <c r="F57" s="306">
        <v>6.3085692307692301E-2</v>
      </c>
      <c r="G57" s="306">
        <v>2.0512173583953701</v>
      </c>
      <c r="H57" s="301">
        <v>0</v>
      </c>
      <c r="I57" s="306"/>
      <c r="J57" s="307">
        <f t="shared" si="0"/>
        <v>5.0045662334999994</v>
      </c>
      <c r="K57" s="307">
        <f t="shared" si="1"/>
        <v>-0.77456623349999898</v>
      </c>
      <c r="L57" s="307">
        <f t="shared" si="6"/>
        <v>0.32913324031996183</v>
      </c>
      <c r="M57" s="301"/>
      <c r="N57" s="303">
        <v>4.2300000000000004</v>
      </c>
      <c r="O57" s="301">
        <v>2.3199999999999998</v>
      </c>
      <c r="P57" s="301">
        <v>85</v>
      </c>
      <c r="Q57" s="306">
        <v>-4.125</v>
      </c>
      <c r="R57" s="306">
        <v>6.3085692307692301E-2</v>
      </c>
      <c r="S57" s="306">
        <v>2.0512173583953701</v>
      </c>
      <c r="T57" s="301">
        <v>0</v>
      </c>
      <c r="U57" s="306"/>
      <c r="V57" s="307">
        <f t="shared" si="2"/>
        <v>5.0045662334999994</v>
      </c>
      <c r="W57" s="307">
        <f t="shared" si="3"/>
        <v>-0.77456623349999898</v>
      </c>
      <c r="X57" s="307">
        <f t="shared" si="7"/>
        <v>0.32913324031996183</v>
      </c>
      <c r="Y57" s="301"/>
      <c r="Z57" s="303">
        <v>4.2300000000000004</v>
      </c>
      <c r="AA57" s="301">
        <v>2.3199999999999998</v>
      </c>
      <c r="AB57" s="301">
        <v>85</v>
      </c>
      <c r="AC57" s="306">
        <v>-4.125</v>
      </c>
      <c r="AD57" s="306">
        <v>6.3085692307692301E-2</v>
      </c>
      <c r="AE57" s="306">
        <v>2.0512173583953701</v>
      </c>
      <c r="AF57" s="301">
        <v>0</v>
      </c>
      <c r="AG57" s="306"/>
      <c r="AH57" s="307">
        <f t="shared" si="4"/>
        <v>5.0045662334999994</v>
      </c>
      <c r="AI57" s="307">
        <f t="shared" si="5"/>
        <v>-0.77456623349999898</v>
      </c>
      <c r="AJ57" s="307">
        <f t="shared" si="8"/>
        <v>0.32913324031996183</v>
      </c>
      <c r="AK57" s="301"/>
      <c r="AL57" s="301"/>
      <c r="AM57" s="305">
        <v>42277</v>
      </c>
      <c r="AN57" s="303">
        <v>4.2300000000000004</v>
      </c>
      <c r="AO57" s="303">
        <v>4.2300000000000004</v>
      </c>
      <c r="AP57" s="303">
        <v>4.2300000000000004</v>
      </c>
    </row>
    <row r="58" spans="1:42" ht="13.5" customHeight="1">
      <c r="A58" s="305">
        <v>42369</v>
      </c>
      <c r="B58" s="303">
        <v>3.93</v>
      </c>
      <c r="C58" s="301">
        <v>2.06</v>
      </c>
      <c r="D58" s="301">
        <v>84.3</v>
      </c>
      <c r="E58" s="306">
        <v>-3.625</v>
      </c>
      <c r="F58" s="306">
        <v>5.96612307692308E-2</v>
      </c>
      <c r="G58" s="306">
        <v>2.4368633969106699</v>
      </c>
      <c r="H58" s="301">
        <v>0</v>
      </c>
      <c r="I58" s="306"/>
      <c r="J58" s="307">
        <f t="shared" si="0"/>
        <v>4.6072687254999991</v>
      </c>
      <c r="K58" s="307">
        <f t="shared" si="1"/>
        <v>-0.67726872549999895</v>
      </c>
      <c r="L58" s="307">
        <f t="shared" si="6"/>
        <v>-6.0955645279072997E-2</v>
      </c>
      <c r="M58" s="301"/>
      <c r="N58" s="303">
        <v>3.93</v>
      </c>
      <c r="O58" s="301">
        <v>2.06</v>
      </c>
      <c r="P58" s="301">
        <v>84.3</v>
      </c>
      <c r="Q58" s="306">
        <v>-3.625</v>
      </c>
      <c r="R58" s="306">
        <v>5.96612307692308E-2</v>
      </c>
      <c r="S58" s="306">
        <v>2.4368633969106699</v>
      </c>
      <c r="T58" s="301">
        <v>0</v>
      </c>
      <c r="U58" s="306"/>
      <c r="V58" s="307">
        <f t="shared" si="2"/>
        <v>4.6072687254999991</v>
      </c>
      <c r="W58" s="307">
        <f t="shared" si="3"/>
        <v>-0.67726872549999895</v>
      </c>
      <c r="X58" s="307">
        <f t="shared" si="7"/>
        <v>-6.0955645279072997E-2</v>
      </c>
      <c r="Y58" s="301"/>
      <c r="Z58" s="303">
        <v>3.93</v>
      </c>
      <c r="AA58" s="301">
        <v>2.06</v>
      </c>
      <c r="AB58" s="301">
        <v>84.3</v>
      </c>
      <c r="AC58" s="306">
        <v>-3.625</v>
      </c>
      <c r="AD58" s="306">
        <v>5.96612307692308E-2</v>
      </c>
      <c r="AE58" s="306">
        <v>2.4368633969106699</v>
      </c>
      <c r="AF58" s="301">
        <v>0</v>
      </c>
      <c r="AG58" s="306"/>
      <c r="AH58" s="307">
        <f t="shared" si="4"/>
        <v>4.6072687254999991</v>
      </c>
      <c r="AI58" s="307">
        <f t="shared" si="5"/>
        <v>-0.67726872549999895</v>
      </c>
      <c r="AJ58" s="307">
        <f t="shared" si="8"/>
        <v>-6.0955645279072997E-2</v>
      </c>
      <c r="AK58" s="301"/>
      <c r="AL58" s="301"/>
      <c r="AM58" s="305">
        <v>42369</v>
      </c>
      <c r="AN58" s="303">
        <v>3.93</v>
      </c>
      <c r="AO58" s="303">
        <v>3.93</v>
      </c>
      <c r="AP58" s="303">
        <v>3.93</v>
      </c>
    </row>
    <row r="59" spans="1:42" ht="13.5" customHeight="1">
      <c r="A59" s="305">
        <v>42460</v>
      </c>
      <c r="B59" s="303">
        <v>3.84</v>
      </c>
      <c r="C59" s="301">
        <v>2.08</v>
      </c>
      <c r="D59" s="301">
        <v>82.9</v>
      </c>
      <c r="E59" s="306">
        <v>-3.1</v>
      </c>
      <c r="F59" s="306">
        <v>6.9239384615384605E-2</v>
      </c>
      <c r="G59" s="306">
        <v>2.8610030855744899</v>
      </c>
      <c r="H59" s="301">
        <v>0</v>
      </c>
      <c r="I59" s="306"/>
      <c r="J59" s="307">
        <f t="shared" si="0"/>
        <v>4.486989704</v>
      </c>
      <c r="K59" s="307">
        <f t="shared" si="1"/>
        <v>-0.64698970400000011</v>
      </c>
      <c r="L59" s="307">
        <f t="shared" si="6"/>
        <v>9.0061055847216659E-2</v>
      </c>
      <c r="M59" s="301"/>
      <c r="N59" s="303">
        <v>3.84</v>
      </c>
      <c r="O59" s="301">
        <v>2.08</v>
      </c>
      <c r="P59" s="301">
        <v>82.9</v>
      </c>
      <c r="Q59" s="306">
        <v>-3.1</v>
      </c>
      <c r="R59" s="306">
        <v>6.9239384615384605E-2</v>
      </c>
      <c r="S59" s="306">
        <v>2.8610030855744899</v>
      </c>
      <c r="T59" s="301">
        <v>0</v>
      </c>
      <c r="U59" s="306"/>
      <c r="V59" s="307">
        <f t="shared" si="2"/>
        <v>4.486989704</v>
      </c>
      <c r="W59" s="307">
        <f t="shared" si="3"/>
        <v>-0.64698970400000011</v>
      </c>
      <c r="X59" s="307">
        <f t="shared" si="7"/>
        <v>9.0061055847216659E-2</v>
      </c>
      <c r="Y59" s="301"/>
      <c r="Z59" s="303">
        <v>3.84</v>
      </c>
      <c r="AA59" s="301">
        <v>2.08</v>
      </c>
      <c r="AB59" s="301">
        <v>82.9</v>
      </c>
      <c r="AC59" s="306">
        <v>-3.1</v>
      </c>
      <c r="AD59" s="306">
        <v>6.9239384615384605E-2</v>
      </c>
      <c r="AE59" s="306">
        <v>2.8610030855744899</v>
      </c>
      <c r="AF59" s="301">
        <v>0</v>
      </c>
      <c r="AG59" s="306"/>
      <c r="AH59" s="307">
        <f t="shared" si="4"/>
        <v>4.486989704</v>
      </c>
      <c r="AI59" s="307">
        <f t="shared" si="5"/>
        <v>-0.64698970400000011</v>
      </c>
      <c r="AJ59" s="307">
        <f t="shared" si="8"/>
        <v>9.0061055847216659E-2</v>
      </c>
      <c r="AK59" s="301"/>
      <c r="AL59" s="301"/>
      <c r="AM59" s="305">
        <v>42460</v>
      </c>
      <c r="AN59" s="303">
        <v>3.84</v>
      </c>
      <c r="AO59" s="303">
        <v>3.84</v>
      </c>
      <c r="AP59" s="303">
        <v>3.84</v>
      </c>
    </row>
    <row r="60" spans="1:42" ht="13.5" customHeight="1">
      <c r="A60" s="305">
        <v>42551</v>
      </c>
      <c r="B60" s="303">
        <v>3.62</v>
      </c>
      <c r="C60" s="301">
        <v>1.8</v>
      </c>
      <c r="D60" s="301">
        <v>81.7</v>
      </c>
      <c r="E60" s="306">
        <v>-1.7</v>
      </c>
      <c r="F60" s="306">
        <v>6.08181538461538E-2</v>
      </c>
      <c r="G60" s="306">
        <v>3.1666560657137999</v>
      </c>
      <c r="H60" s="301">
        <v>0</v>
      </c>
      <c r="I60" s="306"/>
      <c r="J60" s="307">
        <f t="shared" si="0"/>
        <v>3.7948346600000002</v>
      </c>
      <c r="K60" s="307">
        <f t="shared" si="1"/>
        <v>-0.17483466000000014</v>
      </c>
      <c r="L60" s="307">
        <f t="shared" si="6"/>
        <v>-0.11895683839707674</v>
      </c>
      <c r="M60" s="301"/>
      <c r="N60" s="303">
        <v>3.62</v>
      </c>
      <c r="O60" s="301">
        <v>1.8</v>
      </c>
      <c r="P60" s="301">
        <v>81.7</v>
      </c>
      <c r="Q60" s="306">
        <v>-1.7</v>
      </c>
      <c r="R60" s="306">
        <v>6.08181538461538E-2</v>
      </c>
      <c r="S60" s="306">
        <v>3.1666560657137999</v>
      </c>
      <c r="T60" s="301">
        <v>0</v>
      </c>
      <c r="U60" s="306"/>
      <c r="V60" s="307">
        <f t="shared" si="2"/>
        <v>3.7948346600000002</v>
      </c>
      <c r="W60" s="307">
        <f t="shared" si="3"/>
        <v>-0.17483466000000014</v>
      </c>
      <c r="X60" s="307">
        <f t="shared" si="7"/>
        <v>-0.11895683839707674</v>
      </c>
      <c r="Y60" s="301"/>
      <c r="Z60" s="303">
        <v>3.62</v>
      </c>
      <c r="AA60" s="301">
        <v>1.8</v>
      </c>
      <c r="AB60" s="301">
        <v>81.7</v>
      </c>
      <c r="AC60" s="306">
        <v>-1.7</v>
      </c>
      <c r="AD60" s="306">
        <v>6.08181538461538E-2</v>
      </c>
      <c r="AE60" s="306">
        <v>3.1666560657137999</v>
      </c>
      <c r="AF60" s="301">
        <v>0</v>
      </c>
      <c r="AG60" s="306"/>
      <c r="AH60" s="307">
        <f t="shared" si="4"/>
        <v>3.7948346600000002</v>
      </c>
      <c r="AI60" s="307">
        <f t="shared" si="5"/>
        <v>-0.17483466000000014</v>
      </c>
      <c r="AJ60" s="307">
        <f t="shared" si="8"/>
        <v>-0.11895683839707674</v>
      </c>
      <c r="AK60" s="301"/>
      <c r="AL60" s="301"/>
      <c r="AM60" s="305">
        <v>42551</v>
      </c>
      <c r="AN60" s="303">
        <v>3.62</v>
      </c>
      <c r="AO60" s="303">
        <v>3.62</v>
      </c>
      <c r="AP60" s="303">
        <v>3.62</v>
      </c>
    </row>
    <row r="61" spans="1:42" ht="13.5" customHeight="1">
      <c r="A61" s="305">
        <v>42643</v>
      </c>
      <c r="B61" s="303">
        <v>3.75</v>
      </c>
      <c r="C61" s="301">
        <v>1.49</v>
      </c>
      <c r="D61" s="301">
        <v>81.599999999999994</v>
      </c>
      <c r="E61" s="306">
        <v>-1.2749999999999999</v>
      </c>
      <c r="F61" s="306">
        <v>5.6249571428571399E-2</v>
      </c>
      <c r="G61" s="306">
        <v>3.0717329545454599</v>
      </c>
      <c r="H61" s="301">
        <v>0</v>
      </c>
      <c r="I61" s="306"/>
      <c r="J61" s="307">
        <f t="shared" si="0"/>
        <v>3.3614015045000003</v>
      </c>
      <c r="K61" s="307">
        <f t="shared" si="1"/>
        <v>0.3885984954999997</v>
      </c>
      <c r="L61" s="307">
        <f t="shared" si="6"/>
        <v>-0.1463804311797251</v>
      </c>
      <c r="M61" s="301"/>
      <c r="N61" s="303">
        <v>3.75</v>
      </c>
      <c r="O61" s="301">
        <v>1.49</v>
      </c>
      <c r="P61" s="301">
        <v>81.599999999999994</v>
      </c>
      <c r="Q61" s="306">
        <v>-1.2749999999999999</v>
      </c>
      <c r="R61" s="306">
        <v>5.6249571428571399E-2</v>
      </c>
      <c r="S61" s="306">
        <v>3.0717329545454599</v>
      </c>
      <c r="T61" s="301">
        <v>0</v>
      </c>
      <c r="U61" s="306"/>
      <c r="V61" s="307">
        <f t="shared" si="2"/>
        <v>3.3614015045000003</v>
      </c>
      <c r="W61" s="307">
        <f t="shared" si="3"/>
        <v>0.3885984954999997</v>
      </c>
      <c r="X61" s="307">
        <f t="shared" si="7"/>
        <v>-0.1463804311797251</v>
      </c>
      <c r="Y61" s="301"/>
      <c r="Z61" s="303">
        <v>3.75</v>
      </c>
      <c r="AA61" s="301">
        <v>1.49</v>
      </c>
      <c r="AB61" s="301">
        <v>81.599999999999994</v>
      </c>
      <c r="AC61" s="306">
        <v>-1.2749999999999999</v>
      </c>
      <c r="AD61" s="306">
        <v>5.6249571428571399E-2</v>
      </c>
      <c r="AE61" s="306">
        <v>3.0717329545454599</v>
      </c>
      <c r="AF61" s="301">
        <v>0</v>
      </c>
      <c r="AG61" s="306"/>
      <c r="AH61" s="307">
        <f t="shared" si="4"/>
        <v>3.3614015045000003</v>
      </c>
      <c r="AI61" s="307">
        <f t="shared" si="5"/>
        <v>0.3885984954999997</v>
      </c>
      <c r="AJ61" s="307">
        <f t="shared" si="8"/>
        <v>-0.1463804311797251</v>
      </c>
      <c r="AK61" s="301"/>
      <c r="AL61" s="301"/>
      <c r="AM61" s="305">
        <v>42643</v>
      </c>
      <c r="AN61" s="303">
        <v>3.75</v>
      </c>
      <c r="AO61" s="303">
        <v>3.75</v>
      </c>
      <c r="AP61" s="303">
        <v>3.75</v>
      </c>
    </row>
    <row r="62" spans="1:42" ht="13.5" customHeight="1">
      <c r="A62" s="305">
        <v>42735</v>
      </c>
      <c r="B62" s="303">
        <v>3.07</v>
      </c>
      <c r="C62" s="301">
        <v>1.76</v>
      </c>
      <c r="D62" s="301">
        <v>80.8</v>
      </c>
      <c r="E62" s="306">
        <v>-1.2749999999999999</v>
      </c>
      <c r="F62" s="306">
        <v>5.8695076923076898E-2</v>
      </c>
      <c r="G62" s="306">
        <v>3.4836344943958402</v>
      </c>
      <c r="H62" s="301">
        <v>0</v>
      </c>
      <c r="I62" s="306"/>
      <c r="J62" s="307">
        <f t="shared" si="0"/>
        <v>3.6385263904999996</v>
      </c>
      <c r="K62" s="307">
        <f t="shared" si="1"/>
        <v>-0.56852639049999976</v>
      </c>
      <c r="L62" s="307">
        <f t="shared" si="6"/>
        <v>5.7318306759888242E-2</v>
      </c>
      <c r="M62" s="301"/>
      <c r="N62" s="303">
        <v>3.07</v>
      </c>
      <c r="O62" s="301">
        <v>1.76</v>
      </c>
      <c r="P62" s="301">
        <v>80.8</v>
      </c>
      <c r="Q62" s="306">
        <v>-1.2749999999999999</v>
      </c>
      <c r="R62" s="306">
        <v>5.8695076923076898E-2</v>
      </c>
      <c r="S62" s="306">
        <v>3.4836344943958402</v>
      </c>
      <c r="T62" s="301">
        <v>0</v>
      </c>
      <c r="U62" s="306"/>
      <c r="V62" s="307">
        <f t="shared" si="2"/>
        <v>3.6385263904999996</v>
      </c>
      <c r="W62" s="307">
        <f t="shared" si="3"/>
        <v>-0.56852639049999976</v>
      </c>
      <c r="X62" s="307">
        <f t="shared" si="7"/>
        <v>5.7318306759888242E-2</v>
      </c>
      <c r="Y62" s="301"/>
      <c r="Z62" s="303">
        <v>3.07</v>
      </c>
      <c r="AA62" s="301">
        <v>1.76</v>
      </c>
      <c r="AB62" s="301">
        <v>80.8</v>
      </c>
      <c r="AC62" s="306">
        <v>-1.2749999999999999</v>
      </c>
      <c r="AD62" s="306">
        <v>5.8695076923076898E-2</v>
      </c>
      <c r="AE62" s="306">
        <v>3.4836344943958402</v>
      </c>
      <c r="AF62" s="301">
        <v>0</v>
      </c>
      <c r="AG62" s="306"/>
      <c r="AH62" s="307">
        <f t="shared" si="4"/>
        <v>3.6385263904999996</v>
      </c>
      <c r="AI62" s="307">
        <f t="shared" si="5"/>
        <v>-0.56852639049999976</v>
      </c>
      <c r="AJ62" s="307">
        <f t="shared" si="8"/>
        <v>5.7318306759888242E-2</v>
      </c>
      <c r="AK62" s="301"/>
      <c r="AL62" s="301"/>
      <c r="AM62" s="305">
        <v>42735</v>
      </c>
      <c r="AN62" s="303">
        <v>3.07</v>
      </c>
      <c r="AO62" s="303">
        <v>3.07</v>
      </c>
      <c r="AP62" s="303">
        <v>3.07</v>
      </c>
    </row>
    <row r="63" spans="1:42" ht="13.5" customHeight="1">
      <c r="A63" s="305">
        <v>42825</v>
      </c>
      <c r="B63" s="303">
        <v>2.8</v>
      </c>
      <c r="C63" s="301">
        <v>2.4300000000000002</v>
      </c>
      <c r="D63" s="301">
        <v>83.3</v>
      </c>
      <c r="E63" s="306">
        <v>-0.52500000000000002</v>
      </c>
      <c r="F63" s="306">
        <v>5.7224846153846202E-2</v>
      </c>
      <c r="G63" s="306">
        <v>3.4230892115446201</v>
      </c>
      <c r="H63" s="301">
        <v>0</v>
      </c>
      <c r="I63" s="306"/>
      <c r="J63" s="307">
        <f t="shared" si="0"/>
        <v>4.0038018415000014</v>
      </c>
      <c r="K63" s="307">
        <f t="shared" si="1"/>
        <v>-1.2038018415000016</v>
      </c>
      <c r="L63" s="307">
        <f t="shared" si="6"/>
        <v>0.336026887458447</v>
      </c>
      <c r="M63" s="301"/>
      <c r="N63" s="303">
        <v>2.8</v>
      </c>
      <c r="O63" s="301">
        <v>2.4300000000000002</v>
      </c>
      <c r="P63" s="301">
        <v>83.3</v>
      </c>
      <c r="Q63" s="306">
        <v>-0.52500000000000002</v>
      </c>
      <c r="R63" s="306">
        <v>5.7224846153846202E-2</v>
      </c>
      <c r="S63" s="306">
        <v>3.4230892115446201</v>
      </c>
      <c r="T63" s="301">
        <v>0</v>
      </c>
      <c r="U63" s="306"/>
      <c r="V63" s="307">
        <f t="shared" si="2"/>
        <v>4.0038018415000014</v>
      </c>
      <c r="W63" s="307">
        <f t="shared" si="3"/>
        <v>-1.2038018415000016</v>
      </c>
      <c r="X63" s="307">
        <f t="shared" si="7"/>
        <v>0.336026887458447</v>
      </c>
      <c r="Y63" s="301"/>
      <c r="Z63" s="303">
        <v>2.8</v>
      </c>
      <c r="AA63" s="301">
        <v>2.4300000000000002</v>
      </c>
      <c r="AB63" s="301">
        <v>83.3</v>
      </c>
      <c r="AC63" s="306">
        <v>-0.52500000000000002</v>
      </c>
      <c r="AD63" s="306">
        <v>5.7224846153846202E-2</v>
      </c>
      <c r="AE63" s="306">
        <v>3.4230892115446201</v>
      </c>
      <c r="AF63" s="301">
        <v>0</v>
      </c>
      <c r="AG63" s="306"/>
      <c r="AH63" s="307">
        <f t="shared" si="4"/>
        <v>4.0038018415000014</v>
      </c>
      <c r="AI63" s="307">
        <f t="shared" si="5"/>
        <v>-1.2038018415000016</v>
      </c>
      <c r="AJ63" s="307">
        <f t="shared" si="8"/>
        <v>0.336026887458447</v>
      </c>
      <c r="AK63" s="301"/>
      <c r="AL63" s="301"/>
      <c r="AM63" s="305">
        <v>42825</v>
      </c>
      <c r="AN63" s="303">
        <v>2.8</v>
      </c>
      <c r="AO63" s="303">
        <v>2.8</v>
      </c>
      <c r="AP63" s="303">
        <v>2.8</v>
      </c>
    </row>
    <row r="64" spans="1:42" ht="13.5" customHeight="1">
      <c r="A64" s="305">
        <v>42916</v>
      </c>
      <c r="B64" s="303">
        <v>2.98</v>
      </c>
      <c r="C64" s="301">
        <v>2.29</v>
      </c>
      <c r="D64" s="301">
        <v>78.7</v>
      </c>
      <c r="E64" s="306">
        <v>-0.57499999999999996</v>
      </c>
      <c r="F64" s="306">
        <v>4.4886000000000002E-2</v>
      </c>
      <c r="G64" s="306">
        <v>3.50301220736671</v>
      </c>
      <c r="H64" s="301">
        <v>0</v>
      </c>
      <c r="I64" s="306"/>
      <c r="J64" s="307">
        <f t="shared" si="0"/>
        <v>3.9709377444999996</v>
      </c>
      <c r="K64" s="307">
        <f t="shared" si="1"/>
        <v>-0.99093774449999961</v>
      </c>
      <c r="L64" s="307">
        <f t="shared" si="6"/>
        <v>-6.3659790763512705E-2</v>
      </c>
      <c r="M64" s="301"/>
      <c r="N64" s="303">
        <v>2.98</v>
      </c>
      <c r="O64" s="301">
        <v>2.29</v>
      </c>
      <c r="P64" s="301">
        <v>78.7</v>
      </c>
      <c r="Q64" s="306">
        <v>-0.57499999999999996</v>
      </c>
      <c r="R64" s="306">
        <v>4.4886000000000002E-2</v>
      </c>
      <c r="S64" s="306">
        <v>3.50301220736671</v>
      </c>
      <c r="T64" s="301">
        <v>0</v>
      </c>
      <c r="U64" s="306"/>
      <c r="V64" s="307">
        <f t="shared" si="2"/>
        <v>3.9709377444999996</v>
      </c>
      <c r="W64" s="307">
        <f t="shared" si="3"/>
        <v>-0.99093774449999961</v>
      </c>
      <c r="X64" s="307">
        <f t="shared" si="7"/>
        <v>-6.3659790763512705E-2</v>
      </c>
      <c r="Y64" s="301"/>
      <c r="Z64" s="303">
        <v>2.98</v>
      </c>
      <c r="AA64" s="301">
        <v>2.29</v>
      </c>
      <c r="AB64" s="301">
        <v>78.7</v>
      </c>
      <c r="AC64" s="306">
        <v>-0.57499999999999996</v>
      </c>
      <c r="AD64" s="306">
        <v>4.4886000000000002E-2</v>
      </c>
      <c r="AE64" s="306">
        <v>3.50301220736671</v>
      </c>
      <c r="AF64" s="301">
        <v>0</v>
      </c>
      <c r="AG64" s="306"/>
      <c r="AH64" s="307">
        <f t="shared" si="4"/>
        <v>3.9709377444999996</v>
      </c>
      <c r="AI64" s="307">
        <f t="shared" si="5"/>
        <v>-0.99093774449999961</v>
      </c>
      <c r="AJ64" s="307">
        <f t="shared" si="8"/>
        <v>-6.3659790763512705E-2</v>
      </c>
      <c r="AK64" s="301"/>
      <c r="AL64" s="301"/>
      <c r="AM64" s="305">
        <v>42916</v>
      </c>
      <c r="AN64" s="303">
        <v>2.98</v>
      </c>
      <c r="AO64" s="303">
        <v>2.98</v>
      </c>
      <c r="AP64" s="303">
        <v>2.98</v>
      </c>
    </row>
    <row r="65" spans="1:43" ht="13.5" customHeight="1">
      <c r="A65" s="305">
        <v>43008</v>
      </c>
      <c r="B65" s="303">
        <v>2.78</v>
      </c>
      <c r="C65" s="301">
        <v>2.31</v>
      </c>
      <c r="D65" s="301">
        <v>78.8</v>
      </c>
      <c r="E65" s="306">
        <v>-0.47499999999999998</v>
      </c>
      <c r="F65" s="306">
        <v>3.8931153846153803E-2</v>
      </c>
      <c r="G65" s="306">
        <v>3.50287290528679</v>
      </c>
      <c r="H65" s="301">
        <v>0</v>
      </c>
      <c r="I65" s="306"/>
      <c r="J65" s="307">
        <f t="shared" si="0"/>
        <v>3.9567902205000007</v>
      </c>
      <c r="K65" s="307">
        <f t="shared" si="1"/>
        <v>-1.1767902205000009</v>
      </c>
      <c r="L65" s="307">
        <f t="shared" si="6"/>
        <v>1.1021292815082635E-2</v>
      </c>
      <c r="M65" s="301"/>
      <c r="N65" s="303">
        <v>2.78</v>
      </c>
      <c r="O65" s="301">
        <v>2.31</v>
      </c>
      <c r="P65" s="301">
        <v>78.8</v>
      </c>
      <c r="Q65" s="306">
        <v>-0.47499999999999998</v>
      </c>
      <c r="R65" s="306">
        <v>3.8931153846153803E-2</v>
      </c>
      <c r="S65" s="306">
        <v>3.50287290528679</v>
      </c>
      <c r="T65" s="301">
        <v>0</v>
      </c>
      <c r="U65" s="306"/>
      <c r="V65" s="307">
        <f t="shared" si="2"/>
        <v>3.9567902205000007</v>
      </c>
      <c r="W65" s="307">
        <f t="shared" si="3"/>
        <v>-1.1767902205000009</v>
      </c>
      <c r="X65" s="307">
        <f t="shared" si="7"/>
        <v>1.1021292815082635E-2</v>
      </c>
      <c r="Y65" s="301"/>
      <c r="Z65" s="303">
        <v>2.78</v>
      </c>
      <c r="AA65" s="301">
        <v>2.31</v>
      </c>
      <c r="AB65" s="301">
        <v>78.8</v>
      </c>
      <c r="AC65" s="306">
        <v>-0.47499999999999998</v>
      </c>
      <c r="AD65" s="306">
        <v>3.8931153846153803E-2</v>
      </c>
      <c r="AE65" s="306">
        <v>3.50287290528679</v>
      </c>
      <c r="AF65" s="301">
        <v>0</v>
      </c>
      <c r="AG65" s="306"/>
      <c r="AH65" s="307">
        <f t="shared" si="4"/>
        <v>3.9567902205000007</v>
      </c>
      <c r="AI65" s="307">
        <f t="shared" si="5"/>
        <v>-1.1767902205000009</v>
      </c>
      <c r="AJ65" s="307">
        <f t="shared" si="8"/>
        <v>1.1021292815082635E-2</v>
      </c>
      <c r="AK65" s="301"/>
      <c r="AL65" s="301"/>
      <c r="AM65" s="305">
        <v>43008</v>
      </c>
      <c r="AN65" s="303">
        <v>2.78</v>
      </c>
      <c r="AO65" s="303">
        <v>2.78</v>
      </c>
      <c r="AP65" s="303">
        <v>2.78</v>
      </c>
    </row>
    <row r="66" spans="1:43" ht="13.5" customHeight="1">
      <c r="A66" s="305">
        <v>43100</v>
      </c>
      <c r="B66" s="303">
        <v>2.66</v>
      </c>
      <c r="C66" s="301">
        <v>2.36</v>
      </c>
      <c r="D66" s="301">
        <v>77.8</v>
      </c>
      <c r="E66" s="306">
        <v>0.52500000000000002</v>
      </c>
      <c r="F66" s="306">
        <v>3.3940538461538501E-2</v>
      </c>
      <c r="G66" s="306">
        <v>3.13915969435579</v>
      </c>
      <c r="H66" s="301">
        <v>0</v>
      </c>
      <c r="I66" s="306"/>
      <c r="J66" s="307">
        <f t="shared" si="0"/>
        <v>3.7076645104999999</v>
      </c>
      <c r="K66" s="307">
        <f t="shared" si="1"/>
        <v>-1.0476645104999998</v>
      </c>
      <c r="L66" s="307">
        <f t="shared" si="6"/>
        <v>-5.0007267487331093E-2</v>
      </c>
      <c r="M66" s="301"/>
      <c r="N66" s="303">
        <v>2.66</v>
      </c>
      <c r="O66" s="301">
        <v>2.36</v>
      </c>
      <c r="P66" s="301">
        <v>77.8</v>
      </c>
      <c r="Q66" s="306">
        <v>0.52500000000000002</v>
      </c>
      <c r="R66" s="306">
        <v>3.3940538461538501E-2</v>
      </c>
      <c r="S66" s="306">
        <v>3.13915969435579</v>
      </c>
      <c r="T66" s="301">
        <v>0</v>
      </c>
      <c r="U66" s="306"/>
      <c r="V66" s="307">
        <f t="shared" si="2"/>
        <v>3.7076645104999999</v>
      </c>
      <c r="W66" s="307">
        <f t="shared" si="3"/>
        <v>-1.0476645104999998</v>
      </c>
      <c r="X66" s="307">
        <f t="shared" si="7"/>
        <v>-5.0007267487331093E-2</v>
      </c>
      <c r="Y66" s="301"/>
      <c r="Z66" s="303">
        <v>2.66</v>
      </c>
      <c r="AA66" s="301">
        <v>2.36</v>
      </c>
      <c r="AB66" s="301">
        <v>77.8</v>
      </c>
      <c r="AC66" s="306">
        <v>0.52500000000000002</v>
      </c>
      <c r="AD66" s="306">
        <v>3.3940538461538501E-2</v>
      </c>
      <c r="AE66" s="306">
        <v>3.13915969435579</v>
      </c>
      <c r="AF66" s="301">
        <v>0</v>
      </c>
      <c r="AG66" s="306"/>
      <c r="AH66" s="307">
        <f t="shared" si="4"/>
        <v>3.7076645104999999</v>
      </c>
      <c r="AI66" s="307">
        <f t="shared" si="5"/>
        <v>-1.0476645104999998</v>
      </c>
      <c r="AJ66" s="307">
        <f t="shared" si="8"/>
        <v>-5.0007267487331093E-2</v>
      </c>
      <c r="AK66" s="301"/>
      <c r="AL66" s="301"/>
      <c r="AM66" s="305">
        <v>43100</v>
      </c>
      <c r="AN66" s="303">
        <v>2.66</v>
      </c>
      <c r="AO66" s="303">
        <v>2.66</v>
      </c>
      <c r="AP66" s="303">
        <v>2.66</v>
      </c>
    </row>
    <row r="67" spans="1:43" ht="13.5" customHeight="1">
      <c r="A67" s="305">
        <v>43190</v>
      </c>
      <c r="B67" s="303">
        <v>2.35</v>
      </c>
      <c r="C67" s="301">
        <v>2.58</v>
      </c>
      <c r="D67" s="301">
        <v>76.599999999999994</v>
      </c>
      <c r="E67" s="306">
        <v>0.85</v>
      </c>
      <c r="F67" s="306">
        <v>3.3842076923076898E-2</v>
      </c>
      <c r="G67" s="306">
        <v>2.9620365046810502</v>
      </c>
      <c r="H67" s="301">
        <v>0</v>
      </c>
      <c r="I67" s="306"/>
      <c r="J67" s="307">
        <f t="shared" si="0"/>
        <v>3.8409647689999997</v>
      </c>
      <c r="K67" s="307">
        <f t="shared" si="1"/>
        <v>-1.4909647689999996</v>
      </c>
      <c r="L67" s="307">
        <f t="shared" si="6"/>
        <v>3.2194551432441494E-2</v>
      </c>
      <c r="M67" s="301"/>
      <c r="N67" s="303">
        <v>2.35</v>
      </c>
      <c r="O67" s="301">
        <v>2.58</v>
      </c>
      <c r="P67" s="301">
        <v>76.599999999999994</v>
      </c>
      <c r="Q67" s="306">
        <v>0.85</v>
      </c>
      <c r="R67" s="306">
        <v>3.3842076923076898E-2</v>
      </c>
      <c r="S67" s="306">
        <v>2.9620365046810502</v>
      </c>
      <c r="T67" s="301">
        <v>0</v>
      </c>
      <c r="U67" s="306"/>
      <c r="V67" s="307">
        <f t="shared" si="2"/>
        <v>3.8409647689999997</v>
      </c>
      <c r="W67" s="307">
        <f t="shared" si="3"/>
        <v>-1.4909647689999996</v>
      </c>
      <c r="X67" s="307">
        <f t="shared" si="7"/>
        <v>3.2194551432441494E-2</v>
      </c>
      <c r="Y67" s="301"/>
      <c r="Z67" s="303">
        <v>2.35</v>
      </c>
      <c r="AA67" s="301">
        <v>2.58</v>
      </c>
      <c r="AB67" s="301">
        <v>76.599999999999994</v>
      </c>
      <c r="AC67" s="306">
        <v>0.85</v>
      </c>
      <c r="AD67" s="306">
        <v>3.3842076923076898E-2</v>
      </c>
      <c r="AE67" s="306">
        <v>2.9620365046810502</v>
      </c>
      <c r="AF67" s="301">
        <v>0</v>
      </c>
      <c r="AG67" s="306"/>
      <c r="AH67" s="307">
        <f t="shared" si="4"/>
        <v>3.8409647689999997</v>
      </c>
      <c r="AI67" s="307">
        <f t="shared" si="5"/>
        <v>-1.4909647689999996</v>
      </c>
      <c r="AJ67" s="307">
        <f t="shared" si="8"/>
        <v>3.2194551432441494E-2</v>
      </c>
      <c r="AK67" s="301"/>
      <c r="AL67" s="301"/>
      <c r="AM67" s="305">
        <v>43190</v>
      </c>
      <c r="AN67" s="303">
        <v>2.35</v>
      </c>
      <c r="AO67" s="303">
        <v>2.35</v>
      </c>
      <c r="AP67" s="303">
        <v>2.35</v>
      </c>
    </row>
    <row r="68" spans="1:43" ht="13.5" customHeight="1">
      <c r="A68" s="305">
        <v>43281</v>
      </c>
      <c r="B68" s="303">
        <v>2.12</v>
      </c>
      <c r="C68" s="301">
        <v>2.87</v>
      </c>
      <c r="D68" s="301">
        <v>76.5</v>
      </c>
      <c r="E68" s="306">
        <v>1.125</v>
      </c>
      <c r="F68" s="306">
        <v>4.59947692307692E-2</v>
      </c>
      <c r="G68" s="306">
        <v>2.9160045185624699</v>
      </c>
      <c r="H68" s="301">
        <v>0</v>
      </c>
      <c r="I68" s="306"/>
      <c r="J68" s="307">
        <f t="shared" si="0"/>
        <v>4.0371736984999993</v>
      </c>
      <c r="K68" s="307">
        <f t="shared" si="1"/>
        <v>-1.9171736984999992</v>
      </c>
      <c r="L68" s="307">
        <f t="shared" si="6"/>
        <v>0.19779012860002029</v>
      </c>
      <c r="M68" s="301"/>
      <c r="N68" s="303">
        <v>2.12</v>
      </c>
      <c r="O68" s="301">
        <v>2.87</v>
      </c>
      <c r="P68" s="301">
        <v>76.5</v>
      </c>
      <c r="Q68" s="306">
        <v>1.125</v>
      </c>
      <c r="R68" s="306">
        <v>4.59947692307692E-2</v>
      </c>
      <c r="S68" s="306">
        <v>2.9160045185624699</v>
      </c>
      <c r="T68" s="301">
        <v>0</v>
      </c>
      <c r="U68" s="306"/>
      <c r="V68" s="307">
        <f t="shared" si="2"/>
        <v>4.0371736984999993</v>
      </c>
      <c r="W68" s="307">
        <f t="shared" si="3"/>
        <v>-1.9171736984999992</v>
      </c>
      <c r="X68" s="307">
        <f t="shared" si="7"/>
        <v>0.19779012860002029</v>
      </c>
      <c r="Y68" s="301"/>
      <c r="Z68" s="303">
        <v>2.12</v>
      </c>
      <c r="AA68" s="301">
        <v>2.87</v>
      </c>
      <c r="AB68" s="301">
        <v>76.5</v>
      </c>
      <c r="AC68" s="306">
        <v>1.125</v>
      </c>
      <c r="AD68" s="306">
        <v>4.59947692307692E-2</v>
      </c>
      <c r="AE68" s="306">
        <v>2.9160045185624699</v>
      </c>
      <c r="AF68" s="301">
        <v>0</v>
      </c>
      <c r="AG68" s="306"/>
      <c r="AH68" s="307">
        <f t="shared" si="4"/>
        <v>4.0371736984999993</v>
      </c>
      <c r="AI68" s="307">
        <f t="shared" si="5"/>
        <v>-1.9171736984999992</v>
      </c>
      <c r="AJ68" s="307">
        <f t="shared" si="8"/>
        <v>0.19779012860002029</v>
      </c>
      <c r="AK68" s="301"/>
      <c r="AL68" s="301"/>
      <c r="AM68" s="305">
        <v>43281</v>
      </c>
      <c r="AN68" s="303">
        <v>2.12</v>
      </c>
      <c r="AO68" s="303">
        <v>2.12</v>
      </c>
      <c r="AP68" s="303">
        <v>2.12</v>
      </c>
    </row>
    <row r="69" spans="1:43" ht="13.5" customHeight="1">
      <c r="A69" s="305">
        <v>43373</v>
      </c>
      <c r="B69" s="303">
        <v>2.2599999999999998</v>
      </c>
      <c r="C69" s="301">
        <v>2.89</v>
      </c>
      <c r="D69" s="301">
        <v>74.900000000000006</v>
      </c>
      <c r="E69" s="306">
        <v>1.25</v>
      </c>
      <c r="F69" s="306">
        <v>4.5364076923076903E-2</v>
      </c>
      <c r="G69" s="306">
        <v>2.7670390743670801</v>
      </c>
      <c r="H69" s="301">
        <v>0</v>
      </c>
      <c r="I69" s="306"/>
      <c r="J69" s="307">
        <f t="shared" si="0"/>
        <v>4.0473165769999992</v>
      </c>
      <c r="K69" s="307">
        <f t="shared" si="1"/>
        <v>-1.7873165769999995</v>
      </c>
      <c r="L69" s="307">
        <f t="shared" si="6"/>
        <v>0.11356011928057275</v>
      </c>
      <c r="M69" s="301"/>
      <c r="N69" s="303">
        <v>2.2599999999999998</v>
      </c>
      <c r="O69" s="301">
        <v>2.89</v>
      </c>
      <c r="P69" s="301">
        <v>74.900000000000006</v>
      </c>
      <c r="Q69" s="306">
        <v>1.25</v>
      </c>
      <c r="R69" s="306">
        <v>4.5364076923076903E-2</v>
      </c>
      <c r="S69" s="306">
        <v>2.7670390743670801</v>
      </c>
      <c r="T69" s="301">
        <v>0</v>
      </c>
      <c r="U69" s="306"/>
      <c r="V69" s="307">
        <f t="shared" si="2"/>
        <v>4.0473165769999992</v>
      </c>
      <c r="W69" s="307">
        <f t="shared" si="3"/>
        <v>-1.7873165769999995</v>
      </c>
      <c r="X69" s="307">
        <f t="shared" si="7"/>
        <v>0.11356011928057275</v>
      </c>
      <c r="Y69" s="301"/>
      <c r="Z69" s="303">
        <v>2.2599999999999998</v>
      </c>
      <c r="AA69" s="301">
        <v>2.89</v>
      </c>
      <c r="AB69" s="301">
        <v>74.900000000000006</v>
      </c>
      <c r="AC69" s="306">
        <v>1.25</v>
      </c>
      <c r="AD69" s="306">
        <v>4.5364076923076903E-2</v>
      </c>
      <c r="AE69" s="306">
        <v>2.7670390743670801</v>
      </c>
      <c r="AF69" s="301">
        <v>0</v>
      </c>
      <c r="AG69" s="306"/>
      <c r="AH69" s="307">
        <f t="shared" si="4"/>
        <v>4.0473165769999992</v>
      </c>
      <c r="AI69" s="307">
        <f t="shared" si="5"/>
        <v>-1.7873165769999995</v>
      </c>
      <c r="AJ69" s="307">
        <f t="shared" si="8"/>
        <v>0.11356011928057275</v>
      </c>
      <c r="AK69" s="301"/>
      <c r="AL69" s="301"/>
      <c r="AM69" s="305">
        <v>43373</v>
      </c>
      <c r="AN69" s="303">
        <v>2.2599999999999998</v>
      </c>
      <c r="AO69" s="303">
        <v>2.2599999999999998</v>
      </c>
      <c r="AP69" s="303">
        <v>2.2599999999999998</v>
      </c>
    </row>
    <row r="70" spans="1:43" ht="13.5" customHeight="1">
      <c r="A70" s="305">
        <v>43465</v>
      </c>
      <c r="B70" s="303">
        <v>2.09</v>
      </c>
      <c r="C70" s="301">
        <v>3.15</v>
      </c>
      <c r="D70" s="301">
        <v>74.7</v>
      </c>
      <c r="E70" s="306">
        <v>-7.4999999999999803E-2</v>
      </c>
      <c r="F70" s="306">
        <v>5.8940076923076901E-2</v>
      </c>
      <c r="G70" s="306">
        <v>2.6947568562496498</v>
      </c>
      <c r="H70" s="301">
        <v>0</v>
      </c>
      <c r="I70" s="306"/>
      <c r="J70" s="307">
        <f t="shared" si="0"/>
        <v>4.7228445025000001</v>
      </c>
      <c r="K70" s="307">
        <f t="shared" si="1"/>
        <v>-2.6328445025000002</v>
      </c>
      <c r="L70" s="307">
        <f t="shared" si="6"/>
        <v>0.36507129180559794</v>
      </c>
      <c r="M70" s="301"/>
      <c r="N70" s="303">
        <v>2.09</v>
      </c>
      <c r="O70" s="301">
        <v>3.15</v>
      </c>
      <c r="P70" s="301">
        <v>74.7</v>
      </c>
      <c r="Q70" s="306">
        <v>-7.4999999999999803E-2</v>
      </c>
      <c r="R70" s="306">
        <v>5.8940076923076901E-2</v>
      </c>
      <c r="S70" s="306">
        <v>2.6947568562496498</v>
      </c>
      <c r="T70" s="301">
        <v>0</v>
      </c>
      <c r="U70" s="306"/>
      <c r="V70" s="307">
        <f t="shared" si="2"/>
        <v>4.7228445025000001</v>
      </c>
      <c r="W70" s="307">
        <f t="shared" si="3"/>
        <v>-2.6328445025000002</v>
      </c>
      <c r="X70" s="307">
        <f t="shared" si="7"/>
        <v>0.36507129180559794</v>
      </c>
      <c r="Y70" s="301"/>
      <c r="Z70" s="303">
        <v>2.09</v>
      </c>
      <c r="AA70" s="301">
        <v>3.15</v>
      </c>
      <c r="AB70" s="301">
        <v>74.7</v>
      </c>
      <c r="AC70" s="306">
        <v>-7.4999999999999803E-2</v>
      </c>
      <c r="AD70" s="306">
        <v>5.8940076923076901E-2</v>
      </c>
      <c r="AE70" s="306">
        <v>2.6947568562496498</v>
      </c>
      <c r="AF70" s="301">
        <v>0</v>
      </c>
      <c r="AG70" s="306"/>
      <c r="AH70" s="307">
        <f t="shared" si="4"/>
        <v>4.7228445025000001</v>
      </c>
      <c r="AI70" s="307">
        <f t="shared" si="5"/>
        <v>-2.6328445025000002</v>
      </c>
      <c r="AJ70" s="307">
        <f t="shared" si="8"/>
        <v>0.36507129180559794</v>
      </c>
      <c r="AK70" s="301"/>
      <c r="AL70" s="301"/>
      <c r="AM70" s="305">
        <v>43465</v>
      </c>
      <c r="AN70" s="303">
        <v>2.09</v>
      </c>
      <c r="AO70" s="303">
        <v>2.09</v>
      </c>
      <c r="AP70" s="303">
        <v>2.09</v>
      </c>
    </row>
    <row r="71" spans="1:43" ht="13.5" customHeight="1">
      <c r="A71" s="305">
        <v>43555</v>
      </c>
      <c r="B71" s="303">
        <v>2.23</v>
      </c>
      <c r="C71" s="301">
        <v>2.71</v>
      </c>
      <c r="D71" s="301">
        <v>74.599999999999994</v>
      </c>
      <c r="E71" s="306">
        <v>0.1</v>
      </c>
      <c r="F71" s="306">
        <v>6.0284769230769197E-2</v>
      </c>
      <c r="G71" s="306">
        <v>3.1047695644654998</v>
      </c>
      <c r="H71" s="301">
        <v>0</v>
      </c>
      <c r="I71" s="306"/>
      <c r="J71" s="307">
        <f t="shared" si="0"/>
        <v>4.2424235079999999</v>
      </c>
      <c r="K71" s="307">
        <f t="shared" si="1"/>
        <v>-2.0124235079999999</v>
      </c>
      <c r="L71" s="307">
        <f t="shared" si="6"/>
        <v>0.11457373122410017</v>
      </c>
      <c r="M71" s="301"/>
      <c r="N71" s="303">
        <v>2.23</v>
      </c>
      <c r="O71" s="301">
        <v>2.71</v>
      </c>
      <c r="P71" s="301">
        <v>74.599999999999994</v>
      </c>
      <c r="Q71" s="306">
        <v>0.1</v>
      </c>
      <c r="R71" s="306">
        <v>6.0284769230769197E-2</v>
      </c>
      <c r="S71" s="306">
        <v>3.1047695644654998</v>
      </c>
      <c r="T71" s="301">
        <v>0</v>
      </c>
      <c r="U71" s="306"/>
      <c r="V71" s="307">
        <f t="shared" si="2"/>
        <v>4.2424235079999999</v>
      </c>
      <c r="W71" s="307">
        <f t="shared" si="3"/>
        <v>-2.0124235079999999</v>
      </c>
      <c r="X71" s="307">
        <f t="shared" si="7"/>
        <v>0.11457373122410017</v>
      </c>
      <c r="Y71" s="301"/>
      <c r="Z71" s="303">
        <v>2.23</v>
      </c>
      <c r="AA71" s="301">
        <v>2.71</v>
      </c>
      <c r="AB71" s="301">
        <v>74.599999999999994</v>
      </c>
      <c r="AC71" s="306">
        <v>0.1</v>
      </c>
      <c r="AD71" s="306">
        <v>6.0284769230769197E-2</v>
      </c>
      <c r="AE71" s="306">
        <v>3.1047695644654998</v>
      </c>
      <c r="AF71" s="301">
        <v>0</v>
      </c>
      <c r="AG71" s="306"/>
      <c r="AH71" s="307">
        <f t="shared" si="4"/>
        <v>4.2424235079999999</v>
      </c>
      <c r="AI71" s="307">
        <f t="shared" si="5"/>
        <v>-2.0124235079999999</v>
      </c>
      <c r="AJ71" s="307">
        <f t="shared" si="8"/>
        <v>0.11457373122410017</v>
      </c>
      <c r="AK71" s="301"/>
      <c r="AL71" s="301"/>
      <c r="AM71" s="305">
        <v>43555</v>
      </c>
      <c r="AN71" s="303">
        <v>2.23</v>
      </c>
      <c r="AO71" s="303">
        <v>2.23</v>
      </c>
      <c r="AP71" s="303">
        <v>2.23</v>
      </c>
    </row>
    <row r="72" spans="1:43" ht="13.5" customHeight="1">
      <c r="A72" s="305">
        <v>43646</v>
      </c>
      <c r="B72" s="303">
        <v>1.82</v>
      </c>
      <c r="C72" s="301">
        <v>2.5299999999999998</v>
      </c>
      <c r="D72" s="301">
        <v>75.900000000000006</v>
      </c>
      <c r="E72" s="306">
        <v>0.17499999999999999</v>
      </c>
      <c r="F72" s="306">
        <v>4.6494692307692299E-2</v>
      </c>
      <c r="G72" s="306">
        <v>2.9059383836880399</v>
      </c>
      <c r="H72" s="301">
        <v>1</v>
      </c>
      <c r="I72" s="306"/>
      <c r="J72" s="307">
        <f t="shared" si="0"/>
        <v>1.9016197714999996</v>
      </c>
      <c r="K72" s="307">
        <f t="shared" si="1"/>
        <v>-8.1619771499999549E-2</v>
      </c>
      <c r="L72" s="307">
        <f t="shared" si="6"/>
        <v>-0.48515270555836409</v>
      </c>
      <c r="M72" s="301"/>
      <c r="N72" s="303">
        <v>1.82</v>
      </c>
      <c r="O72" s="301">
        <v>2.5299999999999998</v>
      </c>
      <c r="P72" s="301">
        <v>75.900000000000006</v>
      </c>
      <c r="Q72" s="306">
        <v>0.17499999999999999</v>
      </c>
      <c r="R72" s="306">
        <v>4.6494692307692299E-2</v>
      </c>
      <c r="S72" s="306">
        <v>2.9059383836880399</v>
      </c>
      <c r="T72" s="301">
        <v>1</v>
      </c>
      <c r="U72" s="306"/>
      <c r="V72" s="307">
        <f t="shared" si="2"/>
        <v>1.9016197714999996</v>
      </c>
      <c r="W72" s="307">
        <f t="shared" si="3"/>
        <v>-8.1619771499999549E-2</v>
      </c>
      <c r="X72" s="307">
        <f t="shared" si="7"/>
        <v>-0.48515270555836409</v>
      </c>
      <c r="Y72" s="301"/>
      <c r="Z72" s="303">
        <v>1.82</v>
      </c>
      <c r="AA72" s="301">
        <v>2.5299999999999998</v>
      </c>
      <c r="AB72" s="301">
        <v>75.900000000000006</v>
      </c>
      <c r="AC72" s="306">
        <v>0.17499999999999999</v>
      </c>
      <c r="AD72" s="306">
        <v>4.6494692307692299E-2</v>
      </c>
      <c r="AE72" s="306">
        <v>2.9059383836880399</v>
      </c>
      <c r="AF72" s="301">
        <v>1</v>
      </c>
      <c r="AG72" s="306"/>
      <c r="AH72" s="307">
        <f t="shared" si="4"/>
        <v>1.9016197714999996</v>
      </c>
      <c r="AI72" s="307">
        <f t="shared" si="5"/>
        <v>-8.1619771499999549E-2</v>
      </c>
      <c r="AJ72" s="307">
        <f t="shared" si="8"/>
        <v>-0.48515270555836409</v>
      </c>
      <c r="AK72" s="301"/>
      <c r="AL72" s="301"/>
      <c r="AM72" s="305">
        <v>43646</v>
      </c>
      <c r="AN72" s="303">
        <v>1.82</v>
      </c>
      <c r="AO72" s="303">
        <v>1.82</v>
      </c>
      <c r="AP72" s="303">
        <v>1.82</v>
      </c>
    </row>
    <row r="73" spans="1:43" ht="13.5" customHeight="1">
      <c r="A73" s="305">
        <v>43738</v>
      </c>
      <c r="B73" s="303">
        <v>1.06</v>
      </c>
      <c r="C73" s="301">
        <v>2.06</v>
      </c>
      <c r="D73" s="301">
        <v>74.900000000000006</v>
      </c>
      <c r="E73" s="306">
        <v>-0.17499999999999999</v>
      </c>
      <c r="F73" s="306">
        <v>5.4876769230769201E-2</v>
      </c>
      <c r="G73" s="306">
        <v>2.8795001158278</v>
      </c>
      <c r="H73" s="301">
        <v>1</v>
      </c>
      <c r="I73" s="306"/>
      <c r="J73" s="307">
        <f t="shared" si="0"/>
        <v>1.5753466504999993</v>
      </c>
      <c r="K73" s="307">
        <f t="shared" si="1"/>
        <v>-0.51534665049999928</v>
      </c>
      <c r="L73" s="307">
        <f t="shared" si="6"/>
        <v>-0.20897941716235871</v>
      </c>
      <c r="M73" s="301"/>
      <c r="N73" s="303">
        <v>1.06</v>
      </c>
      <c r="O73" s="301">
        <v>2.06</v>
      </c>
      <c r="P73" s="301">
        <v>74.900000000000006</v>
      </c>
      <c r="Q73" s="306">
        <v>-0.17499999999999999</v>
      </c>
      <c r="R73" s="306">
        <v>5.4876769230769201E-2</v>
      </c>
      <c r="S73" s="306">
        <v>2.8795001158278</v>
      </c>
      <c r="T73" s="301">
        <v>1</v>
      </c>
      <c r="U73" s="306"/>
      <c r="V73" s="307">
        <f t="shared" si="2"/>
        <v>1.5753466504999993</v>
      </c>
      <c r="W73" s="307">
        <f t="shared" si="3"/>
        <v>-0.51534665049999928</v>
      </c>
      <c r="X73" s="307">
        <f t="shared" si="7"/>
        <v>-0.20897941716235871</v>
      </c>
      <c r="Y73" s="301"/>
      <c r="Z73" s="303">
        <v>1.06</v>
      </c>
      <c r="AA73" s="301">
        <v>2.06</v>
      </c>
      <c r="AB73" s="301">
        <v>74.900000000000006</v>
      </c>
      <c r="AC73" s="306">
        <v>-0.17499999999999999</v>
      </c>
      <c r="AD73" s="306">
        <v>5.4876769230769201E-2</v>
      </c>
      <c r="AE73" s="306">
        <v>2.8795001158278</v>
      </c>
      <c r="AF73" s="301">
        <v>1</v>
      </c>
      <c r="AG73" s="306"/>
      <c r="AH73" s="307">
        <f t="shared" si="4"/>
        <v>1.5753466504999993</v>
      </c>
      <c r="AI73" s="307">
        <f t="shared" si="5"/>
        <v>-0.51534665049999928</v>
      </c>
      <c r="AJ73" s="307">
        <f t="shared" si="8"/>
        <v>-0.20897941716235871</v>
      </c>
      <c r="AK73" s="301"/>
      <c r="AL73" s="301"/>
      <c r="AM73" s="305">
        <v>43738</v>
      </c>
      <c r="AN73" s="303">
        <v>1.06</v>
      </c>
      <c r="AO73" s="303">
        <v>1.06</v>
      </c>
      <c r="AP73" s="303">
        <v>1.06</v>
      </c>
    </row>
    <row r="74" spans="1:43" ht="13.5" customHeight="1">
      <c r="A74" s="305">
        <v>43830</v>
      </c>
      <c r="B74" s="303">
        <v>0.47</v>
      </c>
      <c r="C74" s="301">
        <v>1.7</v>
      </c>
      <c r="D74" s="301">
        <v>73.2</v>
      </c>
      <c r="E74" s="306">
        <v>0.22500000000000001</v>
      </c>
      <c r="F74" s="306">
        <v>4.4184384615384598E-2</v>
      </c>
      <c r="G74" s="306">
        <v>2.9360188896999699</v>
      </c>
      <c r="H74" s="301">
        <v>1</v>
      </c>
      <c r="I74" s="306"/>
      <c r="J74" s="307">
        <f t="shared" si="0"/>
        <v>1.1316257325000003</v>
      </c>
      <c r="K74" s="307">
        <f t="shared" si="1"/>
        <v>-0.66162573250000034</v>
      </c>
      <c r="L74" s="307">
        <f t="shared" si="6"/>
        <v>-0.2209874597924269</v>
      </c>
      <c r="M74" s="301"/>
      <c r="N74" s="303">
        <v>0.47</v>
      </c>
      <c r="O74" s="301">
        <v>1.7</v>
      </c>
      <c r="P74" s="301">
        <v>73.2</v>
      </c>
      <c r="Q74" s="306">
        <v>0.22500000000000001</v>
      </c>
      <c r="R74" s="306">
        <v>4.4184384615384598E-2</v>
      </c>
      <c r="S74" s="306">
        <v>2.9360188896999699</v>
      </c>
      <c r="T74" s="301">
        <v>1</v>
      </c>
      <c r="U74" s="306"/>
      <c r="V74" s="307">
        <f t="shared" si="2"/>
        <v>1.1316257325000003</v>
      </c>
      <c r="W74" s="307">
        <f t="shared" si="3"/>
        <v>-0.66162573250000034</v>
      </c>
      <c r="X74" s="307">
        <f t="shared" si="7"/>
        <v>-0.2209874597924269</v>
      </c>
      <c r="Y74" s="301"/>
      <c r="Z74" s="303">
        <v>0.47</v>
      </c>
      <c r="AA74" s="301">
        <v>1.7</v>
      </c>
      <c r="AB74" s="301">
        <v>73.2</v>
      </c>
      <c r="AC74" s="306">
        <v>0.22500000000000001</v>
      </c>
      <c r="AD74" s="306">
        <v>4.4184384615384598E-2</v>
      </c>
      <c r="AE74" s="306">
        <v>2.9360188896999699</v>
      </c>
      <c r="AF74" s="301">
        <v>1</v>
      </c>
      <c r="AG74" s="306"/>
      <c r="AH74" s="307">
        <f t="shared" si="4"/>
        <v>1.1316257325000003</v>
      </c>
      <c r="AI74" s="307">
        <f t="shared" si="5"/>
        <v>-0.66162573250000034</v>
      </c>
      <c r="AJ74" s="307">
        <f t="shared" si="8"/>
        <v>-0.2209874597924269</v>
      </c>
      <c r="AK74" s="301"/>
      <c r="AL74" s="301"/>
      <c r="AM74" s="305">
        <v>43830</v>
      </c>
      <c r="AN74" s="303">
        <v>0.47</v>
      </c>
      <c r="AO74" s="303">
        <v>0.47</v>
      </c>
      <c r="AP74" s="303">
        <v>0.47</v>
      </c>
    </row>
    <row r="75" spans="1:43" ht="13.5" customHeight="1" thickBot="1">
      <c r="A75" s="314">
        <v>43921</v>
      </c>
      <c r="B75" s="568">
        <v>1.24</v>
      </c>
      <c r="C75" s="301">
        <v>1.75</v>
      </c>
      <c r="D75" s="316">
        <f>D74+(D$78-D$74)*bdp!$AQ118</f>
        <v>78.783262232328099</v>
      </c>
      <c r="E75" s="317">
        <f>E$78*bdp!$AQ118</f>
        <v>-2.4102181929405733</v>
      </c>
      <c r="F75" s="306">
        <v>5.9538229999999998E-2</v>
      </c>
      <c r="G75" s="317">
        <f>bdp!BF109*100</f>
        <v>2.5974934635772273</v>
      </c>
      <c r="H75" s="318">
        <v>1</v>
      </c>
      <c r="I75" s="318"/>
      <c r="J75" s="319">
        <f t="shared" si="0"/>
        <v>1.908633235054801</v>
      </c>
      <c r="K75" s="319">
        <f t="shared" si="1"/>
        <v>-0.66863323505480099</v>
      </c>
      <c r="L75" s="319">
        <f t="shared" si="6"/>
        <v>0.30796712335195675</v>
      </c>
      <c r="M75" s="301"/>
      <c r="N75" s="568">
        <v>1.24</v>
      </c>
      <c r="O75" s="301">
        <v>1.75</v>
      </c>
      <c r="P75" s="316">
        <f>P74+(P$78-P$74)*bdp!$AQ118</f>
        <v>77.946730090756859</v>
      </c>
      <c r="Q75" s="317">
        <f>Q$78*bdp!$AQ118</f>
        <v>-2.238550435319258</v>
      </c>
      <c r="R75" s="306">
        <v>5.9538229999999998E-2</v>
      </c>
      <c r="S75" s="317">
        <f>bdp!BG109*100</f>
        <v>2.5974934635772273</v>
      </c>
      <c r="T75" s="318">
        <v>1</v>
      </c>
      <c r="U75" s="318"/>
      <c r="V75" s="319">
        <f t="shared" si="2"/>
        <v>1.8701335413872386</v>
      </c>
      <c r="W75" s="319">
        <f t="shared" si="3"/>
        <v>-0.63013354138723865</v>
      </c>
      <c r="X75" s="319">
        <f t="shared" si="7"/>
        <v>0.28641488074187949</v>
      </c>
      <c r="Y75" s="301"/>
      <c r="Z75" s="568">
        <v>1.24</v>
      </c>
      <c r="AA75" s="301">
        <v>1.75</v>
      </c>
      <c r="AB75" s="316">
        <f>AB74+(AB$78-AB$74)*bdp!$AQ118</f>
        <v>77.08904672034113</v>
      </c>
      <c r="AC75" s="317">
        <f>AC$78*bdp!$AQ118</f>
        <v>-2.0531824951200313</v>
      </c>
      <c r="AD75" s="306">
        <v>5.9538229999999998E-2</v>
      </c>
      <c r="AE75" s="317">
        <f>bdp!BH109*100</f>
        <v>2.5974934635772273</v>
      </c>
      <c r="AF75" s="318">
        <v>1</v>
      </c>
      <c r="AG75" s="318"/>
      <c r="AH75" s="319">
        <f t="shared" si="4"/>
        <v>1.8276972979230215</v>
      </c>
      <c r="AI75" s="319">
        <f t="shared" si="5"/>
        <v>-0.5876972979230215</v>
      </c>
      <c r="AJ75" s="319">
        <f t="shared" si="8"/>
        <v>0.26385669200013795</v>
      </c>
      <c r="AK75" s="301"/>
      <c r="AL75" s="301"/>
      <c r="AM75" s="314">
        <v>43921</v>
      </c>
      <c r="AN75" s="568">
        <v>1.24</v>
      </c>
      <c r="AO75" s="568">
        <v>1.24</v>
      </c>
      <c r="AP75" s="568">
        <v>1.24</v>
      </c>
      <c r="AQ75" s="354" t="s">
        <v>440</v>
      </c>
    </row>
    <row r="76" spans="1:43" ht="13.5" customHeight="1">
      <c r="A76" s="314">
        <v>44012</v>
      </c>
      <c r="B76" s="315">
        <f t="shared" ref="B75:B78" si="9">B75+L76</f>
        <v>1.7375888846624559</v>
      </c>
      <c r="C76" s="316">
        <f t="shared" ref="C76:C78" si="10">$C$75</f>
        <v>1.75</v>
      </c>
      <c r="D76" s="316">
        <f>D75+(D$78-D$74)*bdp!$AQ119</f>
        <v>93.238919622650712</v>
      </c>
      <c r="E76" s="317">
        <f>E$78*bdp!$AQ119+E75</f>
        <v>-8.6505284243558389</v>
      </c>
      <c r="F76" s="317">
        <f t="shared" ref="F76:F78" si="11">F75</f>
        <v>5.9538229999999998E-2</v>
      </c>
      <c r="G76" s="317">
        <f>bdp!BF110*100</f>
        <v>-4.8911827395474949</v>
      </c>
      <c r="H76" s="318">
        <v>1</v>
      </c>
      <c r="I76" s="318"/>
      <c r="J76" s="319">
        <f t="shared" si="0"/>
        <v>3.6103580777858597</v>
      </c>
      <c r="K76" s="319">
        <f t="shared" si="1"/>
        <v>-1.8727691931234038</v>
      </c>
      <c r="L76" s="319">
        <f t="shared" si="6"/>
        <v>0.49758888466245582</v>
      </c>
      <c r="M76" s="301"/>
      <c r="N76" s="315">
        <f t="shared" ref="N75:N78" si="12">N75+X76</f>
        <v>1.6774152811688936</v>
      </c>
      <c r="O76" s="316">
        <f t="shared" ref="O76:O78" si="13">$O$75</f>
        <v>1.75</v>
      </c>
      <c r="P76" s="316">
        <f>P75+(P$78-P$74)*bdp!$AQ119</f>
        <v>90.236517147329394</v>
      </c>
      <c r="Q76" s="317">
        <f>Q$78*bdp!$AQ119+Q75</f>
        <v>-8.0343946563848867</v>
      </c>
      <c r="R76" s="317">
        <f t="shared" ref="R76:R78" si="14">$R$75</f>
        <v>5.9538229999999998E-2</v>
      </c>
      <c r="S76" s="317">
        <f>bdp!BG110*100</f>
        <v>-4.8911827395474949</v>
      </c>
      <c r="T76" s="318">
        <v>1</v>
      </c>
      <c r="U76" s="318"/>
      <c r="V76" s="319">
        <f t="shared" si="2"/>
        <v>3.4721785986931768</v>
      </c>
      <c r="W76" s="319">
        <f t="shared" si="3"/>
        <v>-1.7947633175242832</v>
      </c>
      <c r="X76" s="319">
        <f t="shared" si="7"/>
        <v>0.43741528116889355</v>
      </c>
      <c r="Y76" s="301"/>
      <c r="Z76" s="315">
        <f t="shared" ref="Z75:Z78" si="15">Z75+AJ76</f>
        <v>1.6141900868675128</v>
      </c>
      <c r="AA76" s="316">
        <f t="shared" ref="AA76:AA78" si="16">$AA$75</f>
        <v>1.75</v>
      </c>
      <c r="AB76" s="316">
        <f>AB75+(AB$78-AB$74)*bdp!$AQ119</f>
        <v>87.158200670999705</v>
      </c>
      <c r="AC76" s="317">
        <f>AC$78*bdp!$AQ119+AC75</f>
        <v>-7.3690894817934822</v>
      </c>
      <c r="AD76" s="317">
        <f t="shared" ref="AD76:AD78" si="17">$AD$75</f>
        <v>5.9538229999999998E-2</v>
      </c>
      <c r="AE76" s="317">
        <f>bdp!BH110*100</f>
        <v>-4.8911827395474949</v>
      </c>
      <c r="AF76" s="318">
        <v>1</v>
      </c>
      <c r="AG76" s="318"/>
      <c r="AH76" s="319">
        <f t="shared" si="4"/>
        <v>3.3198704253562963</v>
      </c>
      <c r="AI76" s="319">
        <f t="shared" si="5"/>
        <v>-1.7056803384887835</v>
      </c>
      <c r="AJ76" s="319">
        <f t="shared" si="8"/>
        <v>0.37419008686751282</v>
      </c>
      <c r="AK76" s="301"/>
      <c r="AL76" s="301"/>
      <c r="AM76" s="314">
        <v>44012</v>
      </c>
      <c r="AN76" s="315">
        <f>B76</f>
        <v>1.7375888846624559</v>
      </c>
      <c r="AO76" s="315">
        <f>N76</f>
        <v>1.6774152811688936</v>
      </c>
      <c r="AP76" s="315">
        <f>Z76</f>
        <v>1.6141900868675128</v>
      </c>
    </row>
    <row r="77" spans="1:43" ht="13.5" customHeight="1">
      <c r="A77" s="314">
        <v>44104</v>
      </c>
      <c r="B77" s="315">
        <f t="shared" si="9"/>
        <v>1.8599678480529125</v>
      </c>
      <c r="C77" s="316">
        <f t="shared" si="10"/>
        <v>1.75</v>
      </c>
      <c r="D77" s="316">
        <f>D76+(D$78-D$74)*bdp!$AQ120</f>
        <v>96.492972140929993</v>
      </c>
      <c r="E77" s="317">
        <f>E$78*bdp!$AQ120+E76</f>
        <v>-10.055258536247873</v>
      </c>
      <c r="F77" s="317">
        <f t="shared" si="11"/>
        <v>5.9538229999999998E-2</v>
      </c>
      <c r="G77" s="317">
        <f>bdp!BF111*100</f>
        <v>-11.77223104478805</v>
      </c>
      <c r="H77" s="318">
        <v>1</v>
      </c>
      <c r="I77" s="318"/>
      <c r="J77" s="319">
        <f t="shared" si="0"/>
        <v>3.9934262330684072</v>
      </c>
      <c r="K77" s="319">
        <f t="shared" si="1"/>
        <v>-2.1334583850154947</v>
      </c>
      <c r="L77" s="319">
        <f t="shared" si="6"/>
        <v>0.12237896339045651</v>
      </c>
      <c r="M77" s="301"/>
      <c r="N77" s="315">
        <f t="shared" si="12"/>
        <v>1.8003839027776225</v>
      </c>
      <c r="O77" s="316">
        <f t="shared" si="13"/>
        <v>1.75</v>
      </c>
      <c r="P77" s="316">
        <f>P76+(P$78-P$74)*bdp!$AQ120</f>
        <v>93.003019661931631</v>
      </c>
      <c r="Q77" s="317">
        <f>Q$78*bdp!$AQ120+Q76</f>
        <v>-9.3390728853901539</v>
      </c>
      <c r="R77" s="317">
        <f t="shared" si="14"/>
        <v>5.9538229999999998E-2</v>
      </c>
      <c r="S77" s="317">
        <f>bdp!BG111*100</f>
        <v>-10.233376546939887</v>
      </c>
      <c r="T77" s="318">
        <v>1</v>
      </c>
      <c r="U77" s="318"/>
      <c r="V77" s="319">
        <f t="shared" si="2"/>
        <v>3.8328082547760061</v>
      </c>
      <c r="W77" s="319">
        <f t="shared" si="3"/>
        <v>-2.0324243519983836</v>
      </c>
      <c r="X77" s="319">
        <f t="shared" si="7"/>
        <v>0.12296862160872879</v>
      </c>
      <c r="Y77" s="301"/>
      <c r="Z77" s="315">
        <f t="shared" si="15"/>
        <v>1.7392074521645271</v>
      </c>
      <c r="AA77" s="316">
        <f t="shared" si="16"/>
        <v>1.75</v>
      </c>
      <c r="AB77" s="316">
        <f>AB76+(AB$78-AB$74)*bdp!$AQ120</f>
        <v>89.424825763540795</v>
      </c>
      <c r="AC77" s="317">
        <f>AC$78*bdp!$AQ120+AC76</f>
        <v>-8.5657310491637446</v>
      </c>
      <c r="AD77" s="317">
        <f t="shared" si="17"/>
        <v>5.9538229999999998E-2</v>
      </c>
      <c r="AE77" s="317">
        <f>bdp!BH111*100</f>
        <v>-8.4635603798501222</v>
      </c>
      <c r="AF77" s="318">
        <v>1</v>
      </c>
      <c r="AG77" s="318"/>
      <c r="AH77" s="319">
        <f t="shared" si="4"/>
        <v>3.6557672712709981</v>
      </c>
      <c r="AI77" s="319">
        <f t="shared" si="5"/>
        <v>-1.916559819106471</v>
      </c>
      <c r="AJ77" s="319">
        <f t="shared" si="8"/>
        <v>0.12501736529701435</v>
      </c>
      <c r="AK77" s="301"/>
      <c r="AL77" s="301"/>
      <c r="AM77" s="314">
        <v>44104</v>
      </c>
      <c r="AN77" s="315">
        <f t="shared" ref="AN77:AN78" si="18">B77</f>
        <v>1.8599678480529125</v>
      </c>
      <c r="AO77" s="315">
        <f t="shared" ref="AO77:AO78" si="19">N77</f>
        <v>1.8003839027776225</v>
      </c>
      <c r="AP77" s="315">
        <f t="shared" ref="AP77:AP78" si="20">Z77</f>
        <v>1.7392074521645271</v>
      </c>
    </row>
    <row r="78" spans="1:43" ht="13.5" customHeight="1">
      <c r="A78" s="314">
        <v>44196</v>
      </c>
      <c r="B78" s="315">
        <f t="shared" si="9"/>
        <v>1.8351895676384207</v>
      </c>
      <c r="C78" s="316">
        <f t="shared" si="10"/>
        <v>1.75</v>
      </c>
      <c r="D78" s="316">
        <f>javne_financije!AY31*100</f>
        <v>96.266303283904548</v>
      </c>
      <c r="E78" s="317">
        <f>javne_financije!AH24*100</f>
        <v>-9.9574086806898716</v>
      </c>
      <c r="F78" s="317">
        <f t="shared" si="11"/>
        <v>5.9538229999999998E-2</v>
      </c>
      <c r="G78" s="317">
        <f>bdp!BF112*100</f>
        <v>-15.146418833110664</v>
      </c>
      <c r="H78" s="318">
        <v>1</v>
      </c>
      <c r="I78" s="318"/>
      <c r="J78" s="319">
        <f t="shared" si="0"/>
        <v>3.9667426990956209</v>
      </c>
      <c r="K78" s="319">
        <f t="shared" si="1"/>
        <v>-2.1315531314572</v>
      </c>
      <c r="L78" s="319">
        <f t="shared" si="6"/>
        <v>-2.4778280414491788E-2</v>
      </c>
      <c r="M78" s="301"/>
      <c r="N78" s="315">
        <f t="shared" si="12"/>
        <v>1.8009247498428274</v>
      </c>
      <c r="O78" s="316">
        <f t="shared" si="13"/>
        <v>1.75</v>
      </c>
      <c r="P78" s="316">
        <f>javne_financije!AZ31*100</f>
        <v>92.810312273399845</v>
      </c>
      <c r="Q78" s="317">
        <f>javne_financije!AI24*100</f>
        <v>-9.2481923844476022</v>
      </c>
      <c r="R78" s="317">
        <f t="shared" si="14"/>
        <v>5.9538229999999998E-2</v>
      </c>
      <c r="S78" s="317">
        <f>bdp!BG112*100</f>
        <v>-12.635128164491405</v>
      </c>
      <c r="T78" s="318">
        <v>1</v>
      </c>
      <c r="U78" s="318"/>
      <c r="V78" s="319">
        <f t="shared" si="2"/>
        <v>3.8076877284493453</v>
      </c>
      <c r="W78" s="319">
        <f t="shared" si="3"/>
        <v>-2.0067629786065178</v>
      </c>
      <c r="X78" s="319">
        <f t="shared" si="7"/>
        <v>5.4084706520479697E-4</v>
      </c>
      <c r="Y78" s="301"/>
      <c r="Z78" s="315">
        <f t="shared" si="15"/>
        <v>1.766693970984194</v>
      </c>
      <c r="AA78" s="316">
        <f t="shared" si="16"/>
        <v>1.75</v>
      </c>
      <c r="AB78" s="316">
        <f>javne_financije!BA31*100</f>
        <v>89.266938539488521</v>
      </c>
      <c r="AC78" s="317">
        <f>javne_financije!AJ24*100</f>
        <v>-8.4823761018107824</v>
      </c>
      <c r="AD78" s="317">
        <f t="shared" si="17"/>
        <v>5.9538229999999998E-2</v>
      </c>
      <c r="AE78" s="317">
        <f>bdp!BH112*100</f>
        <v>-9.8952096455805609</v>
      </c>
      <c r="AF78" s="318">
        <v>1</v>
      </c>
      <c r="AG78" s="318"/>
      <c r="AH78" s="319">
        <f t="shared" si="4"/>
        <v>3.6323695683408084</v>
      </c>
      <c r="AI78" s="319">
        <f t="shared" si="5"/>
        <v>-1.8656755973566144</v>
      </c>
      <c r="AJ78" s="319">
        <f t="shared" si="8"/>
        <v>2.7486518819666989E-2</v>
      </c>
      <c r="AK78" s="301"/>
      <c r="AL78" s="301"/>
      <c r="AM78" s="314">
        <v>44196</v>
      </c>
      <c r="AN78" s="315">
        <f t="shared" si="18"/>
        <v>1.8351895676384207</v>
      </c>
      <c r="AO78" s="315">
        <f t="shared" si="19"/>
        <v>1.8009247498428274</v>
      </c>
      <c r="AP78" s="315">
        <f t="shared" si="20"/>
        <v>1.766693970984194</v>
      </c>
    </row>
    <row r="79" spans="1:43" ht="13.5" customHeight="1">
      <c r="A79" s="259"/>
      <c r="B79" s="259"/>
      <c r="C79" s="259"/>
      <c r="D79" s="259"/>
      <c r="E79" s="259"/>
      <c r="F79" s="259"/>
      <c r="G79" s="259"/>
      <c r="H79" s="259"/>
      <c r="I79" s="259"/>
      <c r="J79" s="301"/>
      <c r="K79" s="301"/>
      <c r="L79" s="301"/>
      <c r="M79" s="301"/>
      <c r="N79" s="301"/>
      <c r="O79" s="301"/>
      <c r="P79" s="301"/>
      <c r="Q79" s="301"/>
      <c r="R79" s="301"/>
      <c r="S79" s="301"/>
      <c r="T79" s="301"/>
      <c r="U79" s="301"/>
      <c r="V79" s="301"/>
      <c r="W79" s="301"/>
      <c r="X79" s="301"/>
      <c r="Y79" s="301"/>
      <c r="Z79" s="301"/>
      <c r="AA79" s="301"/>
      <c r="AB79" s="301"/>
      <c r="AC79" s="301"/>
      <c r="AD79" s="301"/>
      <c r="AE79" s="301"/>
      <c r="AF79" s="301"/>
      <c r="AG79" s="301"/>
      <c r="AH79" s="301"/>
      <c r="AI79" s="301"/>
      <c r="AJ79" s="301"/>
      <c r="AK79" s="301"/>
      <c r="AL79" s="301"/>
      <c r="AM79" s="301"/>
      <c r="AN79" s="301"/>
      <c r="AO79" s="301"/>
      <c r="AP79" s="301"/>
    </row>
    <row r="80" spans="1:43" ht="13.5" customHeight="1">
      <c r="A80" s="249" t="s">
        <v>1116</v>
      </c>
      <c r="B80" s="105" t="s">
        <v>1117</v>
      </c>
      <c r="C80" s="250">
        <v>3.0579130000000001</v>
      </c>
      <c r="J80" s="301"/>
      <c r="K80" s="301"/>
      <c r="L80" s="301"/>
      <c r="M80" s="301"/>
      <c r="N80" s="301"/>
      <c r="O80" s="301"/>
      <c r="P80" s="301"/>
      <c r="Q80" s="301"/>
      <c r="R80" s="301"/>
      <c r="S80" s="301"/>
      <c r="T80" s="301"/>
      <c r="U80" s="301"/>
      <c r="V80" s="301"/>
      <c r="W80" s="301"/>
      <c r="X80" s="301"/>
      <c r="Y80" s="301"/>
      <c r="Z80" s="301"/>
      <c r="AA80" s="301"/>
      <c r="AB80" s="301"/>
      <c r="AC80" s="301"/>
      <c r="AD80" s="301"/>
      <c r="AE80" s="301"/>
      <c r="AF80" s="301"/>
      <c r="AG80" s="301"/>
      <c r="AH80" s="301"/>
      <c r="AI80" s="301"/>
      <c r="AJ80" s="301"/>
      <c r="AK80" s="301"/>
      <c r="AL80" s="301"/>
      <c r="AM80" s="301"/>
      <c r="AN80" s="301"/>
      <c r="AO80" s="301"/>
      <c r="AP80" s="301"/>
    </row>
    <row r="81" spans="1:42" ht="13.5" customHeight="1">
      <c r="J81" s="301"/>
      <c r="K81" s="301"/>
      <c r="L81" s="301"/>
      <c r="M81" s="301"/>
      <c r="N81" s="301"/>
      <c r="O81" s="301"/>
      <c r="P81" s="301"/>
      <c r="Q81" s="301"/>
      <c r="R81" s="301"/>
      <c r="S81" s="301"/>
      <c r="T81" s="301"/>
      <c r="U81" s="301"/>
      <c r="V81" s="301"/>
      <c r="W81" s="301"/>
      <c r="X81" s="301"/>
      <c r="Y81" s="301"/>
      <c r="Z81" s="301"/>
      <c r="AA81" s="301"/>
      <c r="AB81" s="301"/>
      <c r="AC81" s="301"/>
      <c r="AD81" s="301"/>
      <c r="AE81" s="301"/>
      <c r="AF81" s="301"/>
      <c r="AG81" s="301"/>
      <c r="AH81" s="301"/>
      <c r="AI81" s="301"/>
      <c r="AJ81" s="301"/>
      <c r="AK81" s="301"/>
      <c r="AL81" s="301"/>
      <c r="AM81" s="301"/>
      <c r="AN81" s="301"/>
      <c r="AO81" s="301"/>
      <c r="AP81" s="301"/>
    </row>
    <row r="82" spans="1:42" ht="13.5" customHeight="1">
      <c r="A82" s="249" t="s">
        <v>1118</v>
      </c>
      <c r="B82" s="105" t="s">
        <v>189</v>
      </c>
      <c r="C82" s="105" t="s">
        <v>190</v>
      </c>
      <c r="D82" s="105" t="s">
        <v>1119</v>
      </c>
      <c r="E82" s="105" t="s">
        <v>192</v>
      </c>
      <c r="F82" s="105"/>
      <c r="J82" s="301"/>
      <c r="K82" s="301"/>
      <c r="L82" s="301"/>
      <c r="M82" s="301"/>
      <c r="N82" s="301"/>
      <c r="O82" s="301"/>
      <c r="P82" s="301"/>
      <c r="Q82" s="301"/>
      <c r="R82" s="301"/>
      <c r="S82" s="301"/>
      <c r="T82" s="301"/>
      <c r="U82" s="301"/>
      <c r="V82" s="301"/>
      <c r="W82" s="301"/>
      <c r="X82" s="301"/>
      <c r="Y82" s="301"/>
      <c r="Z82" s="301"/>
      <c r="AA82" s="301"/>
      <c r="AB82" s="301"/>
      <c r="AC82" s="301"/>
      <c r="AD82" s="301"/>
      <c r="AE82" s="301"/>
      <c r="AF82" s="301"/>
      <c r="AG82" s="301"/>
      <c r="AH82" s="301"/>
      <c r="AI82" s="301"/>
      <c r="AJ82" s="301"/>
      <c r="AK82" s="301"/>
      <c r="AL82" s="301"/>
      <c r="AM82" s="301"/>
      <c r="AN82" s="301"/>
      <c r="AO82" s="301"/>
      <c r="AP82" s="301"/>
    </row>
    <row r="83" spans="1:42" ht="13.5" customHeight="1">
      <c r="A83" s="105" t="s">
        <v>1093</v>
      </c>
      <c r="B83" s="250">
        <v>0.97025779999999995</v>
      </c>
      <c r="C83" s="250">
        <v>3.60544E-2</v>
      </c>
      <c r="D83" s="250">
        <v>26.911000000000001</v>
      </c>
      <c r="E83" s="250" t="s">
        <v>1121</v>
      </c>
      <c r="F83" s="250" t="s">
        <v>194</v>
      </c>
      <c r="J83" s="301"/>
      <c r="K83" s="301"/>
      <c r="L83" s="301"/>
      <c r="M83" s="301"/>
      <c r="N83" s="301"/>
      <c r="O83" s="301"/>
      <c r="P83" s="301"/>
      <c r="Q83" s="301"/>
      <c r="R83" s="301"/>
      <c r="S83" s="301"/>
      <c r="T83" s="301"/>
      <c r="U83" s="301"/>
      <c r="V83" s="301"/>
      <c r="W83" s="301"/>
      <c r="X83" s="301"/>
      <c r="Y83" s="301"/>
      <c r="Z83" s="301"/>
      <c r="AA83" s="301"/>
      <c r="AB83" s="301"/>
      <c r="AC83" s="301"/>
      <c r="AD83" s="301"/>
      <c r="AE83" s="301"/>
      <c r="AF83" s="301"/>
      <c r="AG83" s="301"/>
      <c r="AH83" s="301"/>
      <c r="AI83" s="301"/>
      <c r="AJ83" s="301"/>
      <c r="AK83" s="301"/>
      <c r="AL83" s="301"/>
      <c r="AM83" s="301"/>
      <c r="AN83" s="301"/>
      <c r="AO83" s="301"/>
      <c r="AP83" s="301"/>
    </row>
    <row r="84" spans="1:42" ht="13.5" customHeight="1">
      <c r="A84" s="105" t="s">
        <v>1094</v>
      </c>
      <c r="B84" s="250">
        <v>-1.8944099999999998E-2</v>
      </c>
      <c r="C84" s="250">
        <v>2.8914000000000001E-3</v>
      </c>
      <c r="D84" s="250">
        <v>-6.5519999999999996</v>
      </c>
      <c r="E84" s="250">
        <v>7.4630000000000005E-11</v>
      </c>
      <c r="F84" s="250" t="s">
        <v>194</v>
      </c>
      <c r="J84" s="301"/>
      <c r="K84" s="301"/>
      <c r="L84" s="301"/>
      <c r="M84" s="301"/>
      <c r="N84" s="301"/>
      <c r="O84" s="301"/>
      <c r="P84" s="301"/>
      <c r="Q84" s="301"/>
      <c r="R84" s="301"/>
      <c r="S84" s="301"/>
      <c r="T84" s="301"/>
      <c r="U84" s="301"/>
      <c r="V84" s="301"/>
      <c r="W84" s="301"/>
      <c r="X84" s="301"/>
      <c r="Y84" s="301"/>
      <c r="Z84" s="301"/>
      <c r="AA84" s="301"/>
      <c r="AB84" s="301"/>
      <c r="AC84" s="301"/>
      <c r="AD84" s="301"/>
      <c r="AE84" s="301"/>
      <c r="AF84" s="301"/>
      <c r="AG84" s="301"/>
      <c r="AH84" s="301"/>
      <c r="AI84" s="301"/>
      <c r="AJ84" s="301"/>
      <c r="AK84" s="301"/>
      <c r="AL84" s="301"/>
      <c r="AM84" s="301"/>
      <c r="AN84" s="301"/>
      <c r="AO84" s="301"/>
      <c r="AP84" s="301"/>
    </row>
    <row r="85" spans="1:42" ht="13.5" customHeight="1">
      <c r="A85" s="105" t="s">
        <v>1095</v>
      </c>
      <c r="B85" s="250">
        <v>-0.31658269999999999</v>
      </c>
      <c r="C85" s="250">
        <v>1.16563E-2</v>
      </c>
      <c r="D85" s="250">
        <v>-27.16</v>
      </c>
      <c r="E85" s="250" t="s">
        <v>1121</v>
      </c>
      <c r="F85" s="250" t="s">
        <v>194</v>
      </c>
      <c r="J85" s="301"/>
      <c r="K85" s="301"/>
      <c r="L85" s="301"/>
      <c r="M85" s="301"/>
      <c r="N85" s="301"/>
      <c r="O85" s="301"/>
      <c r="P85" s="301"/>
      <c r="Q85" s="301"/>
      <c r="R85" s="301"/>
      <c r="S85" s="301"/>
      <c r="T85" s="301"/>
      <c r="U85" s="301"/>
      <c r="V85" s="301"/>
      <c r="W85" s="301"/>
      <c r="X85" s="301"/>
      <c r="Y85" s="301"/>
      <c r="Z85" s="301"/>
      <c r="AA85" s="301"/>
      <c r="AB85" s="301"/>
      <c r="AC85" s="301"/>
      <c r="AD85" s="301"/>
      <c r="AE85" s="301"/>
      <c r="AF85" s="301"/>
      <c r="AG85" s="301"/>
      <c r="AH85" s="301"/>
      <c r="AI85" s="301"/>
      <c r="AJ85" s="301"/>
      <c r="AK85" s="301"/>
      <c r="AL85" s="301"/>
      <c r="AM85" s="301"/>
      <c r="AN85" s="301"/>
      <c r="AO85" s="301"/>
      <c r="AP85" s="301"/>
    </row>
    <row r="86" spans="1:42" ht="13.5" customHeight="1">
      <c r="A86" s="105" t="s">
        <v>1098</v>
      </c>
      <c r="B86" s="250">
        <v>-2.1177863000000001</v>
      </c>
      <c r="C86" s="250">
        <v>0.1610471</v>
      </c>
      <c r="D86" s="250">
        <v>-13.15</v>
      </c>
      <c r="E86" s="250" t="s">
        <v>1121</v>
      </c>
      <c r="F86" s="250" t="s">
        <v>194</v>
      </c>
      <c r="J86" s="301"/>
      <c r="K86" s="301"/>
      <c r="L86" s="301"/>
      <c r="M86" s="301"/>
      <c r="N86" s="301"/>
      <c r="O86" s="301"/>
      <c r="P86" s="301"/>
      <c r="Q86" s="301"/>
      <c r="R86" s="301"/>
      <c r="S86" s="301"/>
      <c r="T86" s="301"/>
      <c r="U86" s="301"/>
      <c r="V86" s="301"/>
      <c r="W86" s="301"/>
      <c r="X86" s="301"/>
      <c r="Y86" s="301"/>
      <c r="Z86" s="301"/>
      <c r="AA86" s="301"/>
      <c r="AB86" s="301"/>
      <c r="AC86" s="301"/>
      <c r="AD86" s="301"/>
      <c r="AE86" s="301"/>
      <c r="AF86" s="301"/>
      <c r="AG86" s="301"/>
      <c r="AH86" s="301"/>
      <c r="AI86" s="301"/>
      <c r="AJ86" s="301"/>
      <c r="AK86" s="301"/>
      <c r="AL86" s="301"/>
      <c r="AM86" s="301"/>
      <c r="AN86" s="301"/>
      <c r="AO86" s="301"/>
      <c r="AP86" s="301"/>
    </row>
    <row r="87" spans="1:42" ht="13.5" customHeight="1">
      <c r="F87" s="301"/>
      <c r="J87" s="301"/>
      <c r="K87" s="301"/>
      <c r="L87" s="301"/>
      <c r="M87" s="301"/>
      <c r="N87" s="301"/>
      <c r="O87" s="301"/>
      <c r="P87" s="301"/>
      <c r="Q87" s="301"/>
      <c r="R87" s="301"/>
      <c r="S87" s="301"/>
      <c r="T87" s="301"/>
      <c r="U87" s="301"/>
      <c r="V87" s="301"/>
      <c r="W87" s="301"/>
      <c r="X87" s="301"/>
      <c r="Y87" s="301"/>
      <c r="Z87" s="301"/>
      <c r="AA87" s="301"/>
      <c r="AB87" s="301"/>
      <c r="AC87" s="301"/>
      <c r="AD87" s="301"/>
      <c r="AE87" s="301"/>
      <c r="AF87" s="301"/>
      <c r="AG87" s="301"/>
      <c r="AH87" s="301"/>
      <c r="AI87" s="301"/>
      <c r="AJ87" s="301"/>
      <c r="AK87" s="301"/>
      <c r="AL87" s="301"/>
      <c r="AM87" s="301"/>
      <c r="AN87" s="301"/>
      <c r="AO87" s="301"/>
      <c r="AP87" s="301"/>
    </row>
    <row r="88" spans="1:42" ht="13.5" customHeight="1">
      <c r="A88" s="249" t="s">
        <v>1124</v>
      </c>
      <c r="B88" s="105" t="s">
        <v>189</v>
      </c>
      <c r="C88" s="105" t="s">
        <v>190</v>
      </c>
      <c r="D88" s="105" t="s">
        <v>191</v>
      </c>
      <c r="E88" s="105" t="s">
        <v>192</v>
      </c>
      <c r="F88" s="105"/>
      <c r="J88" s="301"/>
      <c r="K88" s="301"/>
      <c r="L88" s="301"/>
      <c r="M88" s="301"/>
      <c r="N88" s="301"/>
      <c r="O88" s="301"/>
      <c r="P88" s="301"/>
      <c r="Q88" s="301"/>
      <c r="R88" s="301"/>
      <c r="S88" s="301"/>
      <c r="T88" s="301"/>
      <c r="U88" s="301"/>
      <c r="V88" s="301"/>
      <c r="W88" s="301"/>
      <c r="X88" s="301"/>
      <c r="Y88" s="301"/>
      <c r="Z88" s="301"/>
      <c r="AA88" s="301"/>
      <c r="AB88" s="301"/>
      <c r="AC88" s="301"/>
      <c r="AD88" s="301"/>
      <c r="AE88" s="301"/>
      <c r="AF88" s="301"/>
      <c r="AG88" s="301"/>
      <c r="AH88" s="301"/>
      <c r="AI88" s="301"/>
      <c r="AJ88" s="301"/>
      <c r="AK88" s="301"/>
      <c r="AL88" s="301"/>
      <c r="AM88" s="301"/>
      <c r="AN88" s="301"/>
      <c r="AO88" s="301"/>
      <c r="AP88" s="301"/>
    </row>
    <row r="89" spans="1:42" ht="13.5" customHeight="1">
      <c r="A89" s="105" t="s">
        <v>193</v>
      </c>
      <c r="B89" s="250">
        <v>-0.37261499999999997</v>
      </c>
      <c r="C89" s="250">
        <v>3.0293E-2</v>
      </c>
      <c r="D89" s="250">
        <v>-12.3</v>
      </c>
      <c r="E89" s="250" t="s">
        <v>972</v>
      </c>
      <c r="F89" s="250" t="s">
        <v>194</v>
      </c>
      <c r="J89" s="301"/>
      <c r="K89" s="301"/>
      <c r="L89" s="301"/>
      <c r="M89" s="301"/>
      <c r="N89" s="301"/>
      <c r="O89" s="301"/>
      <c r="P89" s="301"/>
      <c r="Q89" s="301"/>
      <c r="R89" s="301"/>
      <c r="S89" s="301"/>
      <c r="T89" s="301"/>
      <c r="U89" s="301"/>
      <c r="V89" s="301"/>
      <c r="W89" s="301"/>
      <c r="X89" s="301"/>
      <c r="Y89" s="301"/>
      <c r="Z89" s="301"/>
      <c r="AA89" s="301"/>
      <c r="AB89" s="301"/>
      <c r="AC89" s="301"/>
      <c r="AD89" s="301"/>
      <c r="AE89" s="301"/>
      <c r="AF89" s="301"/>
      <c r="AG89" s="301"/>
      <c r="AH89" s="301"/>
      <c r="AI89" s="301"/>
      <c r="AJ89" s="301"/>
      <c r="AK89" s="301"/>
      <c r="AL89" s="301"/>
      <c r="AM89" s="301"/>
      <c r="AN89" s="301"/>
      <c r="AO89" s="301"/>
      <c r="AP89" s="301"/>
    </row>
    <row r="90" spans="1:42" ht="13.5" customHeight="1">
      <c r="A90" s="105" t="s">
        <v>1125</v>
      </c>
      <c r="B90" s="250">
        <v>-0.11357399999999999</v>
      </c>
      <c r="C90" s="250">
        <v>1.0109999999999999E-2</v>
      </c>
      <c r="D90" s="250">
        <v>-11.234</v>
      </c>
      <c r="E90" s="250" t="s">
        <v>972</v>
      </c>
      <c r="F90" s="250" t="s">
        <v>194</v>
      </c>
      <c r="J90" s="301"/>
      <c r="K90" s="301"/>
      <c r="L90" s="301"/>
      <c r="M90" s="301"/>
      <c r="N90" s="301"/>
      <c r="O90" s="301"/>
      <c r="P90" s="301"/>
      <c r="Q90" s="301"/>
      <c r="R90" s="301"/>
      <c r="S90" s="301"/>
      <c r="T90" s="301"/>
      <c r="U90" s="301"/>
      <c r="V90" s="301"/>
      <c r="W90" s="301"/>
      <c r="X90" s="301"/>
      <c r="Y90" s="301"/>
      <c r="Z90" s="301"/>
      <c r="AA90" s="301"/>
      <c r="AB90" s="301"/>
      <c r="AC90" s="301"/>
      <c r="AD90" s="301"/>
      <c r="AE90" s="301"/>
      <c r="AF90" s="301"/>
      <c r="AG90" s="301"/>
      <c r="AH90" s="301"/>
      <c r="AI90" s="301"/>
      <c r="AJ90" s="301"/>
      <c r="AK90" s="301"/>
      <c r="AL90" s="301"/>
      <c r="AM90" s="301"/>
      <c r="AN90" s="301"/>
      <c r="AO90" s="301"/>
      <c r="AP90" s="301"/>
    </row>
    <row r="91" spans="1:42" ht="13.5" customHeight="1">
      <c r="A91" s="105" t="s">
        <v>1126</v>
      </c>
      <c r="B91" s="250">
        <v>0.41077200000000003</v>
      </c>
      <c r="C91" s="250">
        <v>3.313E-2</v>
      </c>
      <c r="D91" s="250">
        <v>12.398999999999999</v>
      </c>
      <c r="E91" s="250" t="s">
        <v>972</v>
      </c>
      <c r="F91" s="250" t="s">
        <v>194</v>
      </c>
      <c r="J91" s="301"/>
      <c r="K91" s="301"/>
      <c r="L91" s="301"/>
      <c r="M91" s="301"/>
      <c r="N91" s="301"/>
      <c r="O91" s="301"/>
      <c r="P91" s="301"/>
      <c r="Q91" s="301"/>
      <c r="R91" s="301"/>
      <c r="S91" s="301"/>
      <c r="T91" s="301"/>
      <c r="U91" s="301"/>
      <c r="V91" s="301"/>
      <c r="W91" s="301"/>
      <c r="X91" s="301"/>
      <c r="Y91" s="301"/>
      <c r="Z91" s="301"/>
      <c r="AA91" s="301"/>
      <c r="AB91" s="301"/>
      <c r="AC91" s="301"/>
      <c r="AD91" s="301"/>
      <c r="AE91" s="301"/>
      <c r="AF91" s="301"/>
      <c r="AG91" s="301"/>
      <c r="AH91" s="301"/>
      <c r="AI91" s="301"/>
      <c r="AJ91" s="301"/>
      <c r="AK91" s="301"/>
      <c r="AL91" s="301"/>
      <c r="AM91" s="301"/>
      <c r="AN91" s="301"/>
      <c r="AO91" s="301"/>
      <c r="AP91" s="301"/>
    </row>
    <row r="92" spans="1:42" ht="13.5" customHeight="1">
      <c r="A92" s="105" t="s">
        <v>1127</v>
      </c>
      <c r="B92" s="250">
        <v>1.5656E-2</v>
      </c>
      <c r="C92" s="250">
        <v>6.2899999999999996E-3</v>
      </c>
      <c r="D92" s="250">
        <v>2.4889999999999999</v>
      </c>
      <c r="E92" s="250">
        <v>1.2895E-2</v>
      </c>
      <c r="F92" s="250" t="s">
        <v>963</v>
      </c>
      <c r="J92" s="301"/>
      <c r="K92" s="301"/>
      <c r="L92" s="301"/>
      <c r="M92" s="301"/>
      <c r="N92" s="301"/>
      <c r="O92" s="301"/>
      <c r="P92" s="301"/>
      <c r="Q92" s="301"/>
      <c r="R92" s="301"/>
      <c r="S92" s="301"/>
      <c r="T92" s="301"/>
      <c r="U92" s="301"/>
      <c r="V92" s="301"/>
      <c r="W92" s="301"/>
      <c r="X92" s="301"/>
      <c r="Y92" s="301"/>
      <c r="Z92" s="301"/>
      <c r="AA92" s="301"/>
      <c r="AB92" s="301"/>
      <c r="AC92" s="301"/>
      <c r="AD92" s="301"/>
      <c r="AE92" s="301"/>
      <c r="AF92" s="301"/>
      <c r="AG92" s="301"/>
      <c r="AH92" s="301"/>
      <c r="AI92" s="301"/>
      <c r="AJ92" s="301"/>
      <c r="AK92" s="301"/>
      <c r="AL92" s="301"/>
      <c r="AM92" s="301"/>
      <c r="AN92" s="301"/>
      <c r="AO92" s="301"/>
      <c r="AP92" s="301"/>
    </row>
    <row r="93" spans="1:42" ht="13.5" customHeight="1">
      <c r="A93" s="105" t="s">
        <v>1128</v>
      </c>
      <c r="B93" s="250">
        <v>-4.9255E-2</v>
      </c>
      <c r="C93" s="250">
        <v>1.4029E-2</v>
      </c>
      <c r="D93" s="250">
        <v>-3.5110000000000001</v>
      </c>
      <c r="E93" s="250">
        <v>4.5800000000000002E-4</v>
      </c>
      <c r="F93" s="250" t="s">
        <v>194</v>
      </c>
      <c r="J93" s="301"/>
      <c r="K93" s="301"/>
      <c r="L93" s="301"/>
      <c r="M93" s="301"/>
      <c r="N93" s="301"/>
      <c r="O93" s="301"/>
      <c r="P93" s="301"/>
      <c r="Q93" s="301"/>
      <c r="R93" s="301"/>
      <c r="S93" s="301"/>
      <c r="T93" s="301"/>
      <c r="U93" s="301"/>
      <c r="V93" s="301"/>
      <c r="W93" s="301"/>
      <c r="X93" s="301"/>
      <c r="Y93" s="301"/>
      <c r="Z93" s="301"/>
      <c r="AA93" s="301"/>
      <c r="AB93" s="301"/>
      <c r="AC93" s="301"/>
      <c r="AD93" s="301"/>
      <c r="AE93" s="301"/>
      <c r="AF93" s="301"/>
      <c r="AG93" s="301"/>
      <c r="AH93" s="301"/>
      <c r="AI93" s="301"/>
      <c r="AJ93" s="301"/>
      <c r="AK93" s="301"/>
      <c r="AL93" s="301"/>
      <c r="AM93" s="301"/>
      <c r="AN93" s="301"/>
      <c r="AO93" s="301"/>
      <c r="AP93" s="301"/>
    </row>
    <row r="94" spans="1:42" ht="13.5" customHeight="1">
      <c r="A94" s="105" t="s">
        <v>1129</v>
      </c>
      <c r="B94" s="250">
        <v>-0.58350500000000005</v>
      </c>
      <c r="C94" s="250">
        <v>0.13388800000000001</v>
      </c>
      <c r="D94" s="250">
        <v>-4.3579999999999997</v>
      </c>
      <c r="E94" s="250">
        <v>1.3900000000000001E-5</v>
      </c>
      <c r="F94" s="250" t="s">
        <v>194</v>
      </c>
      <c r="J94" s="301"/>
      <c r="K94" s="301"/>
      <c r="L94" s="301"/>
      <c r="M94" s="301"/>
      <c r="N94" s="301"/>
      <c r="O94" s="301"/>
      <c r="P94" s="301"/>
      <c r="Q94" s="301"/>
      <c r="R94" s="301"/>
      <c r="S94" s="301"/>
      <c r="T94" s="301"/>
      <c r="U94" s="301"/>
      <c r="V94" s="301"/>
      <c r="W94" s="301"/>
      <c r="X94" s="301"/>
      <c r="Y94" s="301"/>
      <c r="Z94" s="301"/>
      <c r="AA94" s="301"/>
      <c r="AB94" s="301"/>
      <c r="AC94" s="301"/>
      <c r="AD94" s="301"/>
      <c r="AE94" s="301"/>
      <c r="AF94" s="301"/>
      <c r="AG94" s="301"/>
      <c r="AH94" s="301"/>
      <c r="AI94" s="301"/>
      <c r="AJ94" s="301"/>
      <c r="AK94" s="301"/>
      <c r="AL94" s="301"/>
      <c r="AM94" s="301"/>
      <c r="AN94" s="301"/>
      <c r="AO94" s="301"/>
      <c r="AP94" s="301"/>
    </row>
    <row r="95" spans="1:42" ht="13.5" customHeight="1">
      <c r="A95" s="105" t="s">
        <v>1096</v>
      </c>
      <c r="B95" s="250">
        <v>5.5517079999999996</v>
      </c>
      <c r="C95" s="250">
        <v>0.52125299999999997</v>
      </c>
      <c r="D95" s="250">
        <v>10.651</v>
      </c>
      <c r="E95" s="250" t="s">
        <v>972</v>
      </c>
      <c r="F95" s="250" t="s">
        <v>194</v>
      </c>
      <c r="J95" s="301"/>
      <c r="K95" s="301"/>
      <c r="L95" s="301"/>
      <c r="M95" s="301"/>
      <c r="N95" s="301"/>
      <c r="O95" s="301"/>
      <c r="P95" s="301"/>
      <c r="Q95" s="301"/>
      <c r="R95" s="301"/>
      <c r="S95" s="301"/>
      <c r="T95" s="301"/>
      <c r="U95" s="301"/>
      <c r="V95" s="301"/>
      <c r="W95" s="301"/>
      <c r="X95" s="301"/>
      <c r="Y95" s="301"/>
      <c r="Z95" s="301"/>
      <c r="AA95" s="301"/>
      <c r="AB95" s="301"/>
      <c r="AC95" s="301"/>
      <c r="AD95" s="301"/>
      <c r="AE95" s="301"/>
      <c r="AF95" s="301"/>
      <c r="AG95" s="301"/>
      <c r="AH95" s="301"/>
      <c r="AI95" s="301"/>
      <c r="AJ95" s="301"/>
      <c r="AK95" s="301"/>
      <c r="AL95" s="301"/>
      <c r="AM95" s="301"/>
      <c r="AN95" s="301"/>
      <c r="AO95" s="301"/>
      <c r="AP95" s="301"/>
    </row>
    <row r="96" spans="1:42" ht="13.5" customHeight="1">
      <c r="A96" s="105" t="s">
        <v>1097</v>
      </c>
      <c r="B96" s="250">
        <v>1.4303E-2</v>
      </c>
      <c r="C96" s="250">
        <v>4.2560000000000002E-3</v>
      </c>
      <c r="D96" s="250">
        <v>3.3610000000000002</v>
      </c>
      <c r="E96" s="250">
        <v>7.9299999999999998E-4</v>
      </c>
      <c r="F96" s="250" t="s">
        <v>194</v>
      </c>
      <c r="J96" s="301"/>
      <c r="K96" s="301"/>
      <c r="L96" s="301"/>
      <c r="M96" s="301"/>
      <c r="N96" s="301"/>
      <c r="O96" s="301"/>
      <c r="P96" s="301"/>
      <c r="Q96" s="301"/>
      <c r="R96" s="301"/>
      <c r="S96" s="301"/>
      <c r="T96" s="301"/>
      <c r="U96" s="301"/>
      <c r="V96" s="301"/>
      <c r="W96" s="301"/>
      <c r="X96" s="301"/>
      <c r="Y96" s="301"/>
      <c r="Z96" s="301"/>
      <c r="AA96" s="301"/>
      <c r="AB96" s="301"/>
      <c r="AC96" s="301"/>
      <c r="AD96" s="301"/>
      <c r="AE96" s="301"/>
      <c r="AF96" s="301"/>
      <c r="AG96" s="301"/>
      <c r="AH96" s="301"/>
      <c r="AI96" s="301"/>
      <c r="AJ96" s="301"/>
      <c r="AK96" s="301"/>
      <c r="AL96" s="301"/>
      <c r="AM96" s="301"/>
      <c r="AN96" s="301"/>
      <c r="AO96" s="301"/>
      <c r="AP96" s="301"/>
    </row>
    <row r="97" spans="10:42" ht="13.5" customHeight="1">
      <c r="J97" s="301"/>
      <c r="K97" s="301"/>
      <c r="L97" s="301"/>
      <c r="M97" s="301"/>
      <c r="N97" s="301"/>
      <c r="O97" s="301"/>
      <c r="P97" s="301"/>
      <c r="Q97" s="301"/>
      <c r="R97" s="301"/>
      <c r="S97" s="301"/>
      <c r="T97" s="301"/>
      <c r="U97" s="301"/>
      <c r="V97" s="301"/>
      <c r="W97" s="301"/>
      <c r="X97" s="301"/>
      <c r="Y97" s="301"/>
      <c r="Z97" s="301"/>
      <c r="AA97" s="301"/>
      <c r="AB97" s="301"/>
      <c r="AC97" s="301"/>
      <c r="AD97" s="301"/>
      <c r="AE97" s="301"/>
      <c r="AF97" s="301"/>
      <c r="AG97" s="301"/>
      <c r="AH97" s="301"/>
      <c r="AI97" s="301"/>
      <c r="AJ97" s="301"/>
      <c r="AK97" s="301"/>
      <c r="AL97" s="301"/>
      <c r="AM97" s="301"/>
      <c r="AN97" s="301"/>
      <c r="AO97" s="301"/>
      <c r="AP97" s="301"/>
    </row>
    <row r="98" spans="10:42" ht="13.5" customHeight="1">
      <c r="J98" s="301"/>
      <c r="K98" s="301"/>
      <c r="L98" s="301"/>
      <c r="M98" s="301"/>
      <c r="N98" s="301"/>
      <c r="O98" s="301"/>
      <c r="P98" s="301"/>
      <c r="Q98" s="301"/>
      <c r="R98" s="301"/>
      <c r="S98" s="301"/>
      <c r="T98" s="301"/>
      <c r="U98" s="301"/>
      <c r="V98" s="301"/>
      <c r="W98" s="301"/>
      <c r="X98" s="301"/>
      <c r="Y98" s="301"/>
      <c r="Z98" s="301"/>
      <c r="AA98" s="301"/>
      <c r="AB98" s="301"/>
      <c r="AC98" s="301"/>
      <c r="AD98" s="301"/>
      <c r="AE98" s="301"/>
      <c r="AF98" s="301"/>
      <c r="AG98" s="301"/>
      <c r="AH98" s="301"/>
      <c r="AI98" s="301"/>
      <c r="AJ98" s="301"/>
      <c r="AK98" s="301"/>
      <c r="AL98" s="301"/>
      <c r="AM98" s="301"/>
      <c r="AN98" s="301"/>
      <c r="AO98" s="301"/>
      <c r="AP98" s="301"/>
    </row>
    <row r="99" spans="10:42" ht="13.5" customHeight="1">
      <c r="J99" s="301"/>
      <c r="K99" s="301"/>
      <c r="L99" s="301"/>
      <c r="M99" s="301"/>
      <c r="N99" s="301"/>
      <c r="O99" s="301"/>
      <c r="P99" s="301"/>
      <c r="Q99" s="301"/>
      <c r="R99" s="301"/>
      <c r="S99" s="301"/>
      <c r="T99" s="301"/>
      <c r="U99" s="301"/>
      <c r="V99" s="301"/>
      <c r="W99" s="301"/>
      <c r="X99" s="301"/>
      <c r="Y99" s="301"/>
      <c r="Z99" s="301"/>
      <c r="AA99" s="301"/>
      <c r="AB99" s="301"/>
      <c r="AC99" s="301"/>
      <c r="AD99" s="301"/>
      <c r="AE99" s="301"/>
      <c r="AF99" s="301"/>
      <c r="AG99" s="301"/>
      <c r="AH99" s="301"/>
      <c r="AI99" s="301"/>
      <c r="AJ99" s="301"/>
      <c r="AK99" s="301"/>
      <c r="AL99" s="301"/>
      <c r="AM99" s="301"/>
      <c r="AN99" s="301"/>
      <c r="AO99" s="301"/>
      <c r="AP99" s="301"/>
    </row>
    <row r="100" spans="10:42" ht="13.5" customHeight="1">
      <c r="J100" s="301"/>
      <c r="K100" s="301"/>
      <c r="L100" s="301"/>
      <c r="M100" s="301"/>
      <c r="N100" s="301"/>
      <c r="O100" s="301"/>
      <c r="P100" s="301"/>
      <c r="Q100" s="301"/>
      <c r="R100" s="301"/>
      <c r="S100" s="301"/>
      <c r="T100" s="301"/>
      <c r="U100" s="301"/>
      <c r="V100" s="301"/>
      <c r="W100" s="301"/>
      <c r="X100" s="301"/>
      <c r="Y100" s="301"/>
      <c r="Z100" s="301"/>
      <c r="AA100" s="301"/>
      <c r="AB100" s="301"/>
      <c r="AC100" s="301"/>
      <c r="AD100" s="301"/>
      <c r="AE100" s="301"/>
      <c r="AF100" s="301"/>
      <c r="AG100" s="301"/>
      <c r="AH100" s="301"/>
      <c r="AI100" s="301"/>
      <c r="AJ100" s="301"/>
      <c r="AK100" s="301"/>
      <c r="AL100" s="301"/>
      <c r="AM100" s="301"/>
      <c r="AN100" s="301"/>
      <c r="AO100" s="301"/>
      <c r="AP100" s="301"/>
    </row>
    <row r="101" spans="10:42" ht="13.5" customHeight="1">
      <c r="J101" s="301"/>
      <c r="K101" s="301"/>
      <c r="L101" s="301"/>
      <c r="M101" s="301"/>
      <c r="N101" s="301"/>
      <c r="O101" s="301"/>
      <c r="P101" s="301"/>
      <c r="Q101" s="301"/>
      <c r="R101" s="301"/>
      <c r="S101" s="301"/>
      <c r="T101" s="301"/>
      <c r="U101" s="301"/>
      <c r="V101" s="301"/>
      <c r="W101" s="301"/>
      <c r="X101" s="301"/>
      <c r="Y101" s="301"/>
      <c r="Z101" s="301"/>
      <c r="AA101" s="301"/>
      <c r="AB101" s="301"/>
      <c r="AC101" s="301"/>
      <c r="AD101" s="301"/>
      <c r="AE101" s="301"/>
      <c r="AF101" s="301"/>
      <c r="AG101" s="301"/>
      <c r="AH101" s="301"/>
      <c r="AI101" s="301"/>
      <c r="AJ101" s="301"/>
      <c r="AK101" s="301"/>
      <c r="AL101" s="301"/>
      <c r="AM101" s="301"/>
      <c r="AN101" s="301"/>
      <c r="AO101" s="301"/>
      <c r="AP101" s="301"/>
    </row>
    <row r="102" spans="10:42" ht="13.5" customHeight="1">
      <c r="J102" s="301"/>
      <c r="K102" s="301"/>
      <c r="L102" s="301"/>
      <c r="M102" s="301"/>
      <c r="N102" s="301"/>
      <c r="O102" s="301"/>
      <c r="P102" s="301"/>
      <c r="Q102" s="301"/>
      <c r="R102" s="301"/>
      <c r="S102" s="301"/>
      <c r="T102" s="301"/>
      <c r="U102" s="301"/>
      <c r="V102" s="301"/>
      <c r="W102" s="301"/>
      <c r="X102" s="301"/>
      <c r="Y102" s="301"/>
      <c r="Z102" s="301"/>
      <c r="AA102" s="301"/>
      <c r="AB102" s="301"/>
      <c r="AC102" s="301"/>
      <c r="AD102" s="301"/>
      <c r="AE102" s="301"/>
      <c r="AF102" s="301"/>
      <c r="AG102" s="301"/>
      <c r="AH102" s="301"/>
      <c r="AI102" s="301"/>
      <c r="AJ102" s="301"/>
      <c r="AK102" s="301"/>
      <c r="AL102" s="301"/>
      <c r="AM102" s="301"/>
      <c r="AN102" s="301"/>
      <c r="AO102" s="301"/>
      <c r="AP102" s="301"/>
    </row>
    <row r="103" spans="10:42" ht="13.5" customHeight="1">
      <c r="J103" s="301"/>
      <c r="K103" s="301"/>
      <c r="L103" s="301"/>
      <c r="M103" s="301"/>
      <c r="N103" s="301"/>
      <c r="O103" s="301"/>
      <c r="P103" s="301"/>
      <c r="Q103" s="301"/>
      <c r="R103" s="301"/>
      <c r="S103" s="301"/>
      <c r="T103" s="301"/>
      <c r="U103" s="301"/>
      <c r="V103" s="301"/>
      <c r="W103" s="301"/>
      <c r="X103" s="301"/>
      <c r="Y103" s="301"/>
      <c r="Z103" s="301"/>
      <c r="AA103" s="301"/>
      <c r="AB103" s="301"/>
      <c r="AC103" s="301"/>
      <c r="AD103" s="301"/>
      <c r="AE103" s="301"/>
      <c r="AF103" s="301"/>
      <c r="AG103" s="301"/>
      <c r="AH103" s="301"/>
      <c r="AI103" s="301"/>
      <c r="AJ103" s="301"/>
      <c r="AK103" s="301"/>
      <c r="AL103" s="301"/>
      <c r="AM103" s="301"/>
      <c r="AN103" s="301"/>
      <c r="AO103" s="301"/>
      <c r="AP103" s="301"/>
    </row>
    <row r="104" spans="10:42" ht="13.5" customHeight="1">
      <c r="J104" s="301"/>
      <c r="K104" s="301"/>
      <c r="L104" s="301"/>
      <c r="M104" s="301"/>
      <c r="N104" s="301"/>
      <c r="O104" s="301"/>
      <c r="P104" s="301"/>
      <c r="Q104" s="301"/>
      <c r="R104" s="301"/>
      <c r="S104" s="301"/>
      <c r="T104" s="301"/>
      <c r="U104" s="301"/>
      <c r="V104" s="301"/>
      <c r="W104" s="301"/>
      <c r="X104" s="301"/>
      <c r="Y104" s="301"/>
      <c r="Z104" s="301"/>
      <c r="AA104" s="301"/>
      <c r="AB104" s="301"/>
      <c r="AC104" s="301"/>
      <c r="AD104" s="301"/>
      <c r="AE104" s="301"/>
      <c r="AF104" s="301"/>
      <c r="AG104" s="301"/>
      <c r="AH104" s="301"/>
      <c r="AI104" s="301"/>
      <c r="AJ104" s="301"/>
      <c r="AK104" s="301"/>
      <c r="AL104" s="301"/>
      <c r="AM104" s="301"/>
      <c r="AN104" s="301"/>
      <c r="AO104" s="301"/>
      <c r="AP104" s="301"/>
    </row>
    <row r="105" spans="10:42" ht="13.5" customHeight="1">
      <c r="J105" s="301"/>
      <c r="K105" s="301"/>
      <c r="L105" s="301"/>
      <c r="M105" s="301"/>
      <c r="N105" s="301"/>
      <c r="O105" s="301"/>
      <c r="P105" s="301"/>
      <c r="Q105" s="301"/>
      <c r="R105" s="301"/>
      <c r="S105" s="301"/>
      <c r="T105" s="301"/>
      <c r="U105" s="301"/>
      <c r="V105" s="301"/>
      <c r="W105" s="301"/>
      <c r="X105" s="301"/>
      <c r="Y105" s="301"/>
      <c r="Z105" s="301"/>
      <c r="AA105" s="301"/>
      <c r="AB105" s="301"/>
      <c r="AC105" s="301"/>
      <c r="AD105" s="301"/>
      <c r="AE105" s="301"/>
      <c r="AF105" s="301"/>
      <c r="AG105" s="301"/>
      <c r="AH105" s="301"/>
      <c r="AI105" s="301"/>
      <c r="AJ105" s="301"/>
      <c r="AK105" s="301"/>
      <c r="AL105" s="301"/>
      <c r="AM105" s="301"/>
      <c r="AN105" s="301"/>
      <c r="AO105" s="301"/>
      <c r="AP105" s="301"/>
    </row>
    <row r="106" spans="10:42" ht="13.5" customHeight="1">
      <c r="J106" s="301"/>
      <c r="K106" s="301"/>
      <c r="L106" s="301"/>
      <c r="M106" s="301"/>
      <c r="N106" s="301"/>
      <c r="O106" s="301"/>
      <c r="P106" s="301"/>
      <c r="Q106" s="301"/>
      <c r="R106" s="301"/>
      <c r="S106" s="301"/>
      <c r="T106" s="301"/>
      <c r="U106" s="301"/>
      <c r="V106" s="301"/>
      <c r="W106" s="301"/>
      <c r="X106" s="301"/>
      <c r="Y106" s="301"/>
      <c r="Z106" s="301"/>
      <c r="AA106" s="301"/>
      <c r="AB106" s="301"/>
      <c r="AC106" s="301"/>
      <c r="AD106" s="301"/>
      <c r="AE106" s="301"/>
      <c r="AF106" s="301"/>
      <c r="AG106" s="301"/>
      <c r="AH106" s="301"/>
      <c r="AI106" s="301"/>
      <c r="AJ106" s="301"/>
      <c r="AK106" s="301"/>
      <c r="AL106" s="301"/>
      <c r="AM106" s="301"/>
      <c r="AN106" s="301"/>
      <c r="AO106" s="301"/>
      <c r="AP106" s="301"/>
    </row>
    <row r="107" spans="10:42" ht="13.5" customHeight="1">
      <c r="J107" s="301"/>
      <c r="K107" s="301"/>
      <c r="L107" s="301"/>
      <c r="M107" s="301"/>
      <c r="N107" s="301"/>
      <c r="O107" s="301"/>
      <c r="P107" s="301"/>
      <c r="Q107" s="301"/>
      <c r="R107" s="301"/>
      <c r="S107" s="301"/>
      <c r="T107" s="301"/>
      <c r="U107" s="301"/>
      <c r="V107" s="301"/>
      <c r="W107" s="301"/>
      <c r="X107" s="301"/>
      <c r="Y107" s="301"/>
      <c r="Z107" s="301"/>
      <c r="AA107" s="301"/>
      <c r="AB107" s="301"/>
      <c r="AC107" s="301"/>
      <c r="AD107" s="301"/>
      <c r="AE107" s="301"/>
      <c r="AF107" s="301"/>
      <c r="AG107" s="301"/>
      <c r="AH107" s="301"/>
      <c r="AI107" s="301"/>
      <c r="AJ107" s="301"/>
      <c r="AK107" s="301"/>
      <c r="AL107" s="301"/>
      <c r="AM107" s="301"/>
      <c r="AN107" s="301"/>
      <c r="AO107" s="301"/>
      <c r="AP107" s="301"/>
    </row>
    <row r="108" spans="10:42" ht="13.5" customHeight="1">
      <c r="J108" s="301"/>
      <c r="K108" s="301"/>
      <c r="L108" s="301"/>
      <c r="M108" s="301"/>
      <c r="N108" s="301"/>
      <c r="O108" s="301"/>
      <c r="P108" s="301"/>
      <c r="Q108" s="301"/>
      <c r="R108" s="301"/>
      <c r="S108" s="301"/>
      <c r="T108" s="301"/>
      <c r="U108" s="301"/>
      <c r="V108" s="301"/>
      <c r="W108" s="301"/>
      <c r="X108" s="301"/>
      <c r="Y108" s="301"/>
      <c r="Z108" s="301"/>
      <c r="AA108" s="301"/>
      <c r="AB108" s="301"/>
      <c r="AC108" s="301"/>
      <c r="AD108" s="301"/>
      <c r="AE108" s="301"/>
      <c r="AF108" s="301"/>
      <c r="AG108" s="301"/>
      <c r="AH108" s="301"/>
      <c r="AI108" s="301"/>
      <c r="AJ108" s="301"/>
      <c r="AK108" s="301"/>
      <c r="AL108" s="301"/>
      <c r="AM108" s="301"/>
      <c r="AN108" s="301"/>
      <c r="AO108" s="301"/>
      <c r="AP108" s="301"/>
    </row>
    <row r="109" spans="10:42" ht="13.5" customHeight="1">
      <c r="J109" s="301"/>
      <c r="K109" s="301"/>
      <c r="L109" s="301"/>
      <c r="M109" s="301"/>
      <c r="N109" s="301"/>
      <c r="O109" s="301"/>
      <c r="P109" s="301"/>
      <c r="Q109" s="301"/>
      <c r="R109" s="301"/>
      <c r="S109" s="301"/>
      <c r="T109" s="301"/>
      <c r="U109" s="301"/>
      <c r="V109" s="301"/>
      <c r="W109" s="301"/>
      <c r="X109" s="301"/>
      <c r="Y109" s="301"/>
      <c r="Z109" s="301"/>
      <c r="AA109" s="301"/>
      <c r="AB109" s="301"/>
      <c r="AC109" s="301"/>
      <c r="AD109" s="301"/>
      <c r="AE109" s="301"/>
      <c r="AF109" s="301"/>
      <c r="AG109" s="301"/>
      <c r="AH109" s="301"/>
      <c r="AI109" s="301"/>
      <c r="AJ109" s="301"/>
      <c r="AK109" s="301"/>
      <c r="AL109" s="301"/>
      <c r="AM109" s="301"/>
      <c r="AN109" s="301"/>
      <c r="AO109" s="301"/>
      <c r="AP109" s="301"/>
    </row>
    <row r="110" spans="10:42" ht="13.5" customHeight="1">
      <c r="J110" s="301"/>
      <c r="K110" s="301"/>
      <c r="L110" s="301"/>
      <c r="M110" s="301"/>
      <c r="N110" s="301"/>
      <c r="O110" s="301"/>
      <c r="P110" s="301"/>
      <c r="Q110" s="301"/>
      <c r="R110" s="301"/>
      <c r="S110" s="301"/>
      <c r="T110" s="301"/>
      <c r="U110" s="301"/>
      <c r="V110" s="301"/>
      <c r="W110" s="301"/>
      <c r="X110" s="301"/>
      <c r="Y110" s="301"/>
      <c r="Z110" s="301"/>
      <c r="AA110" s="301"/>
      <c r="AB110" s="301"/>
      <c r="AC110" s="301"/>
      <c r="AD110" s="301"/>
      <c r="AE110" s="301"/>
      <c r="AF110" s="301"/>
      <c r="AG110" s="301"/>
      <c r="AH110" s="301"/>
      <c r="AI110" s="301"/>
      <c r="AJ110" s="301"/>
      <c r="AK110" s="301"/>
      <c r="AL110" s="301"/>
      <c r="AM110" s="301"/>
      <c r="AN110" s="301"/>
      <c r="AO110" s="301"/>
      <c r="AP110" s="301"/>
    </row>
    <row r="111" spans="10:42" ht="13.5" customHeight="1">
      <c r="J111" s="301"/>
      <c r="K111" s="301"/>
      <c r="L111" s="301"/>
      <c r="M111" s="301"/>
      <c r="N111" s="301"/>
      <c r="O111" s="301"/>
      <c r="P111" s="301"/>
      <c r="Q111" s="301"/>
      <c r="R111" s="301"/>
      <c r="S111" s="301"/>
      <c r="T111" s="301"/>
      <c r="U111" s="301"/>
      <c r="V111" s="301"/>
      <c r="W111" s="301"/>
      <c r="X111" s="301"/>
      <c r="Y111" s="301"/>
      <c r="Z111" s="301"/>
      <c r="AA111" s="301"/>
      <c r="AB111" s="301"/>
      <c r="AC111" s="301"/>
      <c r="AD111" s="301"/>
      <c r="AE111" s="301"/>
      <c r="AF111" s="301"/>
      <c r="AG111" s="301"/>
      <c r="AH111" s="301"/>
      <c r="AI111" s="301"/>
      <c r="AJ111" s="301"/>
      <c r="AK111" s="301"/>
      <c r="AL111" s="301"/>
      <c r="AM111" s="301"/>
      <c r="AN111" s="301"/>
      <c r="AO111" s="301"/>
      <c r="AP111" s="301"/>
    </row>
    <row r="112" spans="10:42" ht="13.5" customHeight="1">
      <c r="J112" s="301"/>
      <c r="K112" s="301"/>
      <c r="L112" s="301"/>
      <c r="M112" s="301"/>
      <c r="N112" s="301"/>
      <c r="O112" s="301"/>
      <c r="P112" s="301"/>
      <c r="Q112" s="301"/>
      <c r="R112" s="301"/>
      <c r="S112" s="301"/>
      <c r="T112" s="301"/>
      <c r="U112" s="301"/>
      <c r="V112" s="301"/>
      <c r="W112" s="301"/>
      <c r="X112" s="301"/>
      <c r="Y112" s="301"/>
      <c r="Z112" s="301"/>
      <c r="AA112" s="301"/>
      <c r="AB112" s="301"/>
      <c r="AC112" s="301"/>
      <c r="AD112" s="301"/>
      <c r="AE112" s="301"/>
      <c r="AF112" s="301"/>
      <c r="AG112" s="301"/>
      <c r="AH112" s="301"/>
      <c r="AI112" s="301"/>
      <c r="AJ112" s="301"/>
      <c r="AK112" s="301"/>
      <c r="AL112" s="301"/>
      <c r="AM112" s="301"/>
      <c r="AN112" s="301"/>
      <c r="AO112" s="301"/>
      <c r="AP112" s="301"/>
    </row>
    <row r="113" spans="10:42" ht="13.5" customHeight="1">
      <c r="J113" s="301"/>
      <c r="K113" s="301"/>
      <c r="L113" s="301"/>
      <c r="M113" s="301"/>
      <c r="N113" s="301"/>
      <c r="O113" s="301"/>
      <c r="P113" s="301"/>
      <c r="Q113" s="301"/>
      <c r="R113" s="301"/>
      <c r="S113" s="301"/>
      <c r="T113" s="301"/>
      <c r="U113" s="301"/>
      <c r="V113" s="301"/>
      <c r="W113" s="301"/>
      <c r="X113" s="301"/>
      <c r="Y113" s="301"/>
      <c r="Z113" s="301"/>
      <c r="AA113" s="301"/>
      <c r="AB113" s="301"/>
      <c r="AC113" s="301"/>
      <c r="AD113" s="301"/>
      <c r="AE113" s="301"/>
      <c r="AF113" s="301"/>
      <c r="AG113" s="301"/>
      <c r="AH113" s="301"/>
      <c r="AI113" s="301"/>
      <c r="AJ113" s="301"/>
      <c r="AK113" s="301"/>
      <c r="AL113" s="301"/>
      <c r="AM113" s="301"/>
      <c r="AN113" s="301"/>
      <c r="AO113" s="301"/>
      <c r="AP113" s="301"/>
    </row>
    <row r="114" spans="10:42" ht="13.5" customHeight="1">
      <c r="J114" s="301"/>
      <c r="K114" s="301"/>
      <c r="L114" s="301"/>
      <c r="M114" s="301"/>
      <c r="N114" s="301"/>
      <c r="O114" s="301"/>
      <c r="P114" s="301"/>
      <c r="Q114" s="301"/>
      <c r="R114" s="301"/>
      <c r="S114" s="301"/>
      <c r="T114" s="301"/>
      <c r="U114" s="301"/>
      <c r="V114" s="301"/>
      <c r="W114" s="301"/>
      <c r="X114" s="301"/>
      <c r="Y114" s="301"/>
      <c r="Z114" s="301"/>
      <c r="AA114" s="301"/>
      <c r="AB114" s="301"/>
      <c r="AC114" s="301"/>
      <c r="AD114" s="301"/>
      <c r="AE114" s="301"/>
      <c r="AF114" s="301"/>
      <c r="AG114" s="301"/>
      <c r="AH114" s="301"/>
      <c r="AI114" s="301"/>
      <c r="AJ114" s="301"/>
      <c r="AK114" s="301"/>
      <c r="AL114" s="301"/>
      <c r="AM114" s="301"/>
      <c r="AN114" s="301"/>
      <c r="AO114" s="301"/>
      <c r="AP114" s="301"/>
    </row>
    <row r="115" spans="10:42" ht="13.5" customHeight="1">
      <c r="J115" s="301"/>
      <c r="K115" s="301"/>
      <c r="L115" s="301"/>
      <c r="M115" s="301"/>
      <c r="N115" s="301"/>
      <c r="O115" s="301"/>
      <c r="P115" s="301"/>
      <c r="Q115" s="301"/>
      <c r="R115" s="301"/>
      <c r="S115" s="301"/>
      <c r="T115" s="301"/>
      <c r="U115" s="301"/>
      <c r="V115" s="301"/>
      <c r="W115" s="301"/>
      <c r="X115" s="301"/>
      <c r="Y115" s="301"/>
      <c r="Z115" s="301"/>
      <c r="AA115" s="301"/>
      <c r="AB115" s="301"/>
      <c r="AC115" s="301"/>
      <c r="AD115" s="301"/>
      <c r="AE115" s="301"/>
      <c r="AF115" s="301"/>
      <c r="AG115" s="301"/>
      <c r="AH115" s="301"/>
      <c r="AI115" s="301"/>
      <c r="AJ115" s="301"/>
      <c r="AK115" s="301"/>
      <c r="AL115" s="301"/>
      <c r="AM115" s="301"/>
      <c r="AN115" s="301"/>
      <c r="AO115" s="301"/>
      <c r="AP115" s="301"/>
    </row>
    <row r="116" spans="10:42" ht="13.5" customHeight="1">
      <c r="J116" s="301"/>
      <c r="K116" s="301"/>
      <c r="L116" s="301"/>
      <c r="M116" s="301"/>
      <c r="N116" s="301"/>
      <c r="O116" s="301"/>
      <c r="P116" s="301"/>
      <c r="Q116" s="301"/>
      <c r="R116" s="301"/>
      <c r="S116" s="301"/>
      <c r="T116" s="301"/>
      <c r="U116" s="301"/>
      <c r="V116" s="301"/>
      <c r="W116" s="301"/>
      <c r="X116" s="301"/>
      <c r="Y116" s="301"/>
      <c r="Z116" s="301"/>
      <c r="AA116" s="301"/>
      <c r="AB116" s="301"/>
      <c r="AC116" s="301"/>
      <c r="AD116" s="301"/>
      <c r="AE116" s="301"/>
      <c r="AF116" s="301"/>
      <c r="AG116" s="301"/>
      <c r="AH116" s="301"/>
      <c r="AI116" s="301"/>
      <c r="AJ116" s="301"/>
      <c r="AK116" s="301"/>
      <c r="AL116" s="301"/>
      <c r="AM116" s="301"/>
      <c r="AN116" s="301"/>
      <c r="AO116" s="301"/>
      <c r="AP116" s="301"/>
    </row>
    <row r="117" spans="10:42" ht="13.5" customHeight="1">
      <c r="J117" s="301"/>
      <c r="K117" s="301"/>
      <c r="L117" s="301"/>
      <c r="M117" s="301"/>
      <c r="N117" s="301"/>
      <c r="O117" s="301"/>
      <c r="P117" s="301"/>
      <c r="Q117" s="301"/>
      <c r="R117" s="301"/>
      <c r="S117" s="301"/>
      <c r="T117" s="301"/>
      <c r="U117" s="301"/>
      <c r="V117" s="301"/>
      <c r="W117" s="301"/>
      <c r="X117" s="301"/>
      <c r="Y117" s="301"/>
      <c r="Z117" s="301"/>
      <c r="AA117" s="301"/>
      <c r="AB117" s="301"/>
      <c r="AC117" s="301"/>
      <c r="AD117" s="301"/>
      <c r="AE117" s="301"/>
      <c r="AF117" s="301"/>
      <c r="AG117" s="301"/>
      <c r="AH117" s="301"/>
      <c r="AI117" s="301"/>
      <c r="AJ117" s="301"/>
      <c r="AK117" s="301"/>
      <c r="AL117" s="301"/>
      <c r="AM117" s="301"/>
      <c r="AN117" s="301"/>
      <c r="AO117" s="301"/>
      <c r="AP117" s="301"/>
    </row>
    <row r="118" spans="10:42" ht="13.5" customHeight="1">
      <c r="J118" s="301"/>
      <c r="K118" s="301"/>
      <c r="L118" s="301"/>
      <c r="M118" s="301"/>
      <c r="N118" s="301"/>
      <c r="O118" s="301"/>
      <c r="P118" s="301"/>
      <c r="Q118" s="301"/>
      <c r="R118" s="301"/>
      <c r="S118" s="301"/>
      <c r="T118" s="301"/>
      <c r="U118" s="301"/>
      <c r="V118" s="301"/>
      <c r="W118" s="301"/>
      <c r="X118" s="301"/>
      <c r="Y118" s="301"/>
      <c r="Z118" s="301"/>
      <c r="AA118" s="301"/>
      <c r="AB118" s="301"/>
      <c r="AC118" s="301"/>
      <c r="AD118" s="301"/>
      <c r="AE118" s="301"/>
      <c r="AF118" s="301"/>
      <c r="AG118" s="301"/>
      <c r="AH118" s="301"/>
      <c r="AI118" s="301"/>
      <c r="AJ118" s="301"/>
      <c r="AK118" s="301"/>
      <c r="AL118" s="301"/>
      <c r="AM118" s="301"/>
      <c r="AN118" s="301"/>
      <c r="AO118" s="301"/>
      <c r="AP118" s="301"/>
    </row>
    <row r="119" spans="10:42" ht="13.5" customHeight="1">
      <c r="J119" s="301"/>
      <c r="K119" s="301"/>
      <c r="L119" s="301"/>
      <c r="M119" s="301"/>
      <c r="N119" s="301"/>
      <c r="O119" s="301"/>
      <c r="P119" s="301"/>
      <c r="Q119" s="301"/>
      <c r="R119" s="301"/>
      <c r="S119" s="301"/>
      <c r="T119" s="301"/>
      <c r="U119" s="301"/>
      <c r="V119" s="301"/>
      <c r="W119" s="301"/>
      <c r="X119" s="301"/>
      <c r="Y119" s="301"/>
      <c r="Z119" s="301"/>
      <c r="AA119" s="301"/>
      <c r="AB119" s="301"/>
      <c r="AC119" s="301"/>
      <c r="AD119" s="301"/>
      <c r="AE119" s="301"/>
      <c r="AF119" s="301"/>
      <c r="AG119" s="301"/>
      <c r="AH119" s="301"/>
      <c r="AI119" s="301"/>
      <c r="AJ119" s="301"/>
      <c r="AK119" s="301"/>
      <c r="AL119" s="301"/>
      <c r="AM119" s="301"/>
      <c r="AN119" s="301"/>
      <c r="AO119" s="301"/>
      <c r="AP119" s="301"/>
    </row>
    <row r="120" spans="10:42" ht="13.5" customHeight="1">
      <c r="J120" s="301"/>
      <c r="K120" s="301"/>
      <c r="L120" s="301"/>
      <c r="M120" s="301"/>
      <c r="N120" s="301"/>
      <c r="O120" s="301"/>
      <c r="P120" s="301"/>
      <c r="Q120" s="301"/>
      <c r="R120" s="301"/>
      <c r="S120" s="301"/>
      <c r="T120" s="301"/>
      <c r="U120" s="301"/>
      <c r="V120" s="301"/>
      <c r="W120" s="301"/>
      <c r="X120" s="301"/>
      <c r="Y120" s="301"/>
      <c r="Z120" s="301"/>
      <c r="AA120" s="301"/>
      <c r="AB120" s="301"/>
      <c r="AC120" s="301"/>
      <c r="AD120" s="301"/>
      <c r="AE120" s="301"/>
      <c r="AF120" s="301"/>
      <c r="AG120" s="301"/>
      <c r="AH120" s="301"/>
      <c r="AI120" s="301"/>
      <c r="AJ120" s="301"/>
      <c r="AK120" s="301"/>
      <c r="AL120" s="301"/>
      <c r="AM120" s="301"/>
      <c r="AN120" s="301"/>
      <c r="AO120" s="301"/>
      <c r="AP120" s="301"/>
    </row>
    <row r="121" spans="10:42" ht="13.5" customHeight="1">
      <c r="J121" s="301"/>
      <c r="K121" s="301"/>
      <c r="L121" s="301"/>
      <c r="M121" s="301"/>
      <c r="N121" s="301"/>
      <c r="O121" s="301"/>
      <c r="P121" s="301"/>
      <c r="Q121" s="301"/>
      <c r="R121" s="301"/>
      <c r="S121" s="301"/>
      <c r="T121" s="301"/>
      <c r="U121" s="301"/>
      <c r="V121" s="301"/>
      <c r="W121" s="301"/>
      <c r="X121" s="301"/>
      <c r="Y121" s="301"/>
      <c r="Z121" s="301"/>
      <c r="AA121" s="301"/>
      <c r="AB121" s="301"/>
      <c r="AC121" s="301"/>
      <c r="AD121" s="301"/>
      <c r="AE121" s="301"/>
      <c r="AF121" s="301"/>
      <c r="AG121" s="301"/>
      <c r="AH121" s="301"/>
      <c r="AI121" s="301"/>
      <c r="AJ121" s="301"/>
      <c r="AK121" s="301"/>
      <c r="AL121" s="301"/>
      <c r="AM121" s="301"/>
      <c r="AN121" s="301"/>
      <c r="AO121" s="301"/>
      <c r="AP121" s="301"/>
    </row>
    <row r="122" spans="10:42" ht="13.5" customHeight="1">
      <c r="J122" s="301"/>
      <c r="K122" s="301"/>
      <c r="L122" s="301"/>
      <c r="M122" s="301"/>
      <c r="N122" s="301"/>
      <c r="O122" s="301"/>
      <c r="P122" s="301"/>
      <c r="Q122" s="301"/>
      <c r="R122" s="301"/>
      <c r="S122" s="301"/>
      <c r="T122" s="301"/>
      <c r="U122" s="301"/>
      <c r="V122" s="301"/>
      <c r="W122" s="301"/>
      <c r="X122" s="301"/>
      <c r="Y122" s="301"/>
      <c r="Z122" s="301"/>
      <c r="AA122" s="301"/>
      <c r="AB122" s="301"/>
      <c r="AC122" s="301"/>
      <c r="AD122" s="301"/>
      <c r="AE122" s="301"/>
      <c r="AF122" s="301"/>
      <c r="AG122" s="301"/>
      <c r="AH122" s="301"/>
      <c r="AI122" s="301"/>
      <c r="AJ122" s="301"/>
      <c r="AK122" s="301"/>
      <c r="AL122" s="301"/>
      <c r="AM122" s="301"/>
      <c r="AN122" s="301"/>
      <c r="AO122" s="301"/>
      <c r="AP122" s="301"/>
    </row>
    <row r="123" spans="10:42" ht="13.5" customHeight="1">
      <c r="J123" s="301"/>
      <c r="K123" s="301"/>
      <c r="L123" s="301"/>
      <c r="M123" s="301"/>
      <c r="N123" s="301"/>
      <c r="O123" s="301"/>
      <c r="P123" s="301"/>
      <c r="Q123" s="301"/>
      <c r="R123" s="301"/>
      <c r="S123" s="301"/>
      <c r="T123" s="301"/>
      <c r="U123" s="301"/>
      <c r="V123" s="301"/>
      <c r="W123" s="301"/>
      <c r="X123" s="301"/>
      <c r="Y123" s="301"/>
      <c r="Z123" s="301"/>
      <c r="AA123" s="301"/>
      <c r="AB123" s="301"/>
      <c r="AC123" s="301"/>
      <c r="AD123" s="301"/>
      <c r="AE123" s="301"/>
      <c r="AF123" s="301"/>
      <c r="AG123" s="301"/>
      <c r="AH123" s="301"/>
      <c r="AI123" s="301"/>
      <c r="AJ123" s="301"/>
      <c r="AK123" s="301"/>
      <c r="AL123" s="301"/>
      <c r="AM123" s="301"/>
      <c r="AN123" s="301"/>
      <c r="AO123" s="301"/>
      <c r="AP123" s="301"/>
    </row>
    <row r="124" spans="10:42" ht="13.5" customHeight="1">
      <c r="J124" s="301"/>
      <c r="K124" s="301"/>
      <c r="L124" s="301"/>
      <c r="M124" s="301"/>
      <c r="N124" s="301"/>
      <c r="O124" s="301"/>
      <c r="P124" s="301"/>
      <c r="Q124" s="301"/>
      <c r="R124" s="301"/>
      <c r="S124" s="301"/>
      <c r="T124" s="301"/>
      <c r="U124" s="301"/>
      <c r="V124" s="301"/>
      <c r="W124" s="301"/>
      <c r="X124" s="301"/>
      <c r="Y124" s="301"/>
      <c r="Z124" s="301"/>
      <c r="AA124" s="301"/>
      <c r="AB124" s="301"/>
      <c r="AC124" s="301"/>
      <c r="AD124" s="301"/>
      <c r="AE124" s="301"/>
      <c r="AF124" s="301"/>
      <c r="AG124" s="301"/>
      <c r="AH124" s="301"/>
      <c r="AI124" s="301"/>
      <c r="AJ124" s="301"/>
      <c r="AK124" s="301"/>
      <c r="AL124" s="301"/>
      <c r="AM124" s="301"/>
      <c r="AN124" s="301"/>
      <c r="AO124" s="301"/>
      <c r="AP124" s="301"/>
    </row>
    <row r="125" spans="10:42" ht="13.5" customHeight="1">
      <c r="J125" s="301"/>
      <c r="K125" s="301"/>
      <c r="L125" s="301"/>
      <c r="M125" s="301"/>
      <c r="N125" s="301"/>
      <c r="O125" s="301"/>
      <c r="P125" s="301"/>
      <c r="Q125" s="301"/>
      <c r="R125" s="301"/>
      <c r="S125" s="301"/>
      <c r="T125" s="301"/>
      <c r="U125" s="301"/>
      <c r="V125" s="301"/>
      <c r="W125" s="301"/>
      <c r="X125" s="301"/>
      <c r="Y125" s="301"/>
      <c r="Z125" s="301"/>
      <c r="AA125" s="301"/>
      <c r="AB125" s="301"/>
      <c r="AC125" s="301"/>
      <c r="AD125" s="301"/>
      <c r="AE125" s="301"/>
      <c r="AF125" s="301"/>
      <c r="AG125" s="301"/>
      <c r="AH125" s="301"/>
      <c r="AI125" s="301"/>
      <c r="AJ125" s="301"/>
      <c r="AK125" s="301"/>
      <c r="AL125" s="301"/>
      <c r="AM125" s="301"/>
      <c r="AN125" s="301"/>
      <c r="AO125" s="301"/>
      <c r="AP125" s="301"/>
    </row>
    <row r="126" spans="10:42" ht="13.5" customHeight="1">
      <c r="J126" s="301"/>
      <c r="K126" s="301"/>
      <c r="L126" s="301"/>
      <c r="M126" s="301"/>
      <c r="N126" s="301"/>
      <c r="O126" s="301"/>
      <c r="P126" s="301"/>
      <c r="Q126" s="301"/>
      <c r="R126" s="301"/>
      <c r="S126" s="301"/>
      <c r="T126" s="301"/>
      <c r="U126" s="301"/>
      <c r="V126" s="301"/>
      <c r="W126" s="301"/>
      <c r="X126" s="301"/>
      <c r="Y126" s="301"/>
      <c r="Z126" s="301"/>
      <c r="AA126" s="301"/>
      <c r="AB126" s="301"/>
      <c r="AC126" s="301"/>
      <c r="AD126" s="301"/>
      <c r="AE126" s="301"/>
      <c r="AF126" s="301"/>
      <c r="AG126" s="301"/>
      <c r="AH126" s="301"/>
      <c r="AI126" s="301"/>
      <c r="AJ126" s="301"/>
      <c r="AK126" s="301"/>
      <c r="AL126" s="301"/>
      <c r="AM126" s="301"/>
      <c r="AN126" s="301"/>
      <c r="AO126" s="301"/>
      <c r="AP126" s="301"/>
    </row>
    <row r="127" spans="10:42" ht="13.5" customHeight="1">
      <c r="J127" s="301"/>
      <c r="K127" s="301"/>
      <c r="L127" s="301"/>
      <c r="M127" s="301"/>
      <c r="N127" s="301"/>
      <c r="O127" s="301"/>
      <c r="P127" s="301"/>
      <c r="Q127" s="301"/>
      <c r="R127" s="301"/>
      <c r="S127" s="301"/>
      <c r="T127" s="301"/>
      <c r="U127" s="301"/>
      <c r="V127" s="301"/>
      <c r="W127" s="301"/>
      <c r="X127" s="301"/>
      <c r="Y127" s="301"/>
      <c r="Z127" s="301"/>
      <c r="AA127" s="301"/>
      <c r="AB127" s="301"/>
      <c r="AC127" s="301"/>
      <c r="AD127" s="301"/>
      <c r="AE127" s="301"/>
      <c r="AF127" s="301"/>
      <c r="AG127" s="301"/>
      <c r="AH127" s="301"/>
      <c r="AI127" s="301"/>
      <c r="AJ127" s="301"/>
      <c r="AK127" s="301"/>
      <c r="AL127" s="301"/>
      <c r="AM127" s="301"/>
      <c r="AN127" s="301"/>
      <c r="AO127" s="301"/>
      <c r="AP127" s="301"/>
    </row>
    <row r="128" spans="10:42" ht="13.5" customHeight="1">
      <c r="J128" s="301"/>
      <c r="K128" s="301"/>
      <c r="L128" s="301"/>
      <c r="M128" s="301"/>
      <c r="N128" s="301"/>
      <c r="O128" s="301"/>
      <c r="P128" s="301"/>
      <c r="Q128" s="301"/>
      <c r="R128" s="301"/>
      <c r="S128" s="301"/>
      <c r="T128" s="301"/>
      <c r="U128" s="301"/>
      <c r="V128" s="301"/>
      <c r="W128" s="301"/>
      <c r="X128" s="301"/>
      <c r="Y128" s="301"/>
      <c r="Z128" s="301"/>
      <c r="AA128" s="301"/>
      <c r="AB128" s="301"/>
      <c r="AC128" s="301"/>
      <c r="AD128" s="301"/>
      <c r="AE128" s="301"/>
      <c r="AF128" s="301"/>
      <c r="AG128" s="301"/>
      <c r="AH128" s="301"/>
      <c r="AI128" s="301"/>
      <c r="AJ128" s="301"/>
      <c r="AK128" s="301"/>
      <c r="AL128" s="301"/>
      <c r="AM128" s="301"/>
      <c r="AN128" s="301"/>
      <c r="AO128" s="301"/>
      <c r="AP128" s="301"/>
    </row>
    <row r="129" spans="10:42" ht="13.5" customHeight="1">
      <c r="J129" s="301"/>
      <c r="K129" s="301"/>
      <c r="L129" s="301"/>
      <c r="M129" s="301"/>
      <c r="N129" s="301"/>
      <c r="O129" s="301"/>
      <c r="P129" s="301"/>
      <c r="Q129" s="301"/>
      <c r="R129" s="301"/>
      <c r="S129" s="301"/>
      <c r="T129" s="301"/>
      <c r="U129" s="301"/>
      <c r="V129" s="301"/>
      <c r="W129" s="301"/>
      <c r="X129" s="301"/>
      <c r="Y129" s="301"/>
      <c r="Z129" s="301"/>
      <c r="AA129" s="301"/>
      <c r="AB129" s="301"/>
      <c r="AC129" s="301"/>
      <c r="AD129" s="301"/>
      <c r="AE129" s="301"/>
      <c r="AF129" s="301"/>
      <c r="AG129" s="301"/>
      <c r="AH129" s="301"/>
      <c r="AI129" s="301"/>
      <c r="AJ129" s="301"/>
      <c r="AK129" s="301"/>
      <c r="AL129" s="301"/>
      <c r="AM129" s="301"/>
      <c r="AN129" s="301"/>
      <c r="AO129" s="301"/>
      <c r="AP129" s="301"/>
    </row>
    <row r="130" spans="10:42" ht="13.5" customHeight="1">
      <c r="J130" s="301"/>
      <c r="K130" s="301"/>
      <c r="L130" s="301"/>
      <c r="M130" s="301"/>
      <c r="N130" s="301"/>
      <c r="O130" s="301"/>
      <c r="P130" s="301"/>
      <c r="Q130" s="301"/>
      <c r="R130" s="301"/>
      <c r="S130" s="301"/>
      <c r="T130" s="301"/>
      <c r="U130" s="301"/>
      <c r="V130" s="301"/>
      <c r="W130" s="301"/>
      <c r="X130" s="301"/>
      <c r="Y130" s="301"/>
      <c r="Z130" s="301"/>
      <c r="AA130" s="301"/>
      <c r="AB130" s="301"/>
      <c r="AC130" s="301"/>
      <c r="AD130" s="301"/>
      <c r="AE130" s="301"/>
      <c r="AF130" s="301"/>
      <c r="AG130" s="301"/>
      <c r="AH130" s="301"/>
      <c r="AI130" s="301"/>
      <c r="AJ130" s="301"/>
      <c r="AK130" s="301"/>
      <c r="AL130" s="301"/>
      <c r="AM130" s="301"/>
      <c r="AN130" s="301"/>
      <c r="AO130" s="301"/>
      <c r="AP130" s="301"/>
    </row>
    <row r="131" spans="10:42" ht="13.5" customHeight="1">
      <c r="J131" s="301"/>
      <c r="K131" s="301"/>
      <c r="L131" s="301"/>
      <c r="M131" s="301"/>
      <c r="N131" s="301"/>
      <c r="O131" s="301"/>
      <c r="P131" s="301"/>
      <c r="Q131" s="301"/>
      <c r="R131" s="301"/>
      <c r="S131" s="301"/>
      <c r="T131" s="301"/>
      <c r="U131" s="301"/>
      <c r="V131" s="301"/>
      <c r="W131" s="301"/>
      <c r="X131" s="301"/>
      <c r="Y131" s="301"/>
      <c r="Z131" s="301"/>
      <c r="AA131" s="301"/>
      <c r="AB131" s="301"/>
      <c r="AC131" s="301"/>
      <c r="AD131" s="301"/>
      <c r="AE131" s="301"/>
      <c r="AF131" s="301"/>
      <c r="AG131" s="301"/>
      <c r="AH131" s="301"/>
      <c r="AI131" s="301"/>
      <c r="AJ131" s="301"/>
      <c r="AK131" s="301"/>
      <c r="AL131" s="301"/>
      <c r="AM131" s="301"/>
      <c r="AN131" s="301"/>
      <c r="AO131" s="301"/>
      <c r="AP131" s="301"/>
    </row>
    <row r="132" spans="10:42" ht="13.5" customHeight="1">
      <c r="J132" s="301"/>
      <c r="K132" s="301"/>
      <c r="L132" s="301"/>
      <c r="M132" s="301"/>
      <c r="N132" s="301"/>
      <c r="O132" s="301"/>
      <c r="P132" s="301"/>
      <c r="Q132" s="301"/>
      <c r="R132" s="301"/>
      <c r="S132" s="301"/>
      <c r="T132" s="301"/>
      <c r="U132" s="301"/>
      <c r="V132" s="301"/>
      <c r="W132" s="301"/>
      <c r="X132" s="301"/>
      <c r="Y132" s="301"/>
      <c r="Z132" s="301"/>
      <c r="AA132" s="301"/>
      <c r="AB132" s="301"/>
      <c r="AC132" s="301"/>
      <c r="AD132" s="301"/>
      <c r="AE132" s="301"/>
      <c r="AF132" s="301"/>
      <c r="AG132" s="301"/>
      <c r="AH132" s="301"/>
      <c r="AI132" s="301"/>
      <c r="AJ132" s="301"/>
      <c r="AK132" s="301"/>
      <c r="AL132" s="301"/>
      <c r="AM132" s="301"/>
      <c r="AN132" s="301"/>
      <c r="AO132" s="301"/>
      <c r="AP132" s="301"/>
    </row>
    <row r="133" spans="10:42" ht="13.5" customHeight="1">
      <c r="J133" s="301"/>
      <c r="K133" s="301"/>
      <c r="L133" s="301"/>
      <c r="M133" s="301"/>
      <c r="N133" s="301"/>
      <c r="O133" s="301"/>
      <c r="P133" s="301"/>
      <c r="Q133" s="301"/>
      <c r="R133" s="301"/>
      <c r="S133" s="301"/>
      <c r="T133" s="301"/>
      <c r="U133" s="301"/>
      <c r="V133" s="301"/>
      <c r="W133" s="301"/>
      <c r="X133" s="301"/>
      <c r="Y133" s="301"/>
      <c r="Z133" s="301"/>
      <c r="AA133" s="301"/>
      <c r="AB133" s="301"/>
      <c r="AC133" s="301"/>
      <c r="AD133" s="301"/>
      <c r="AE133" s="301"/>
      <c r="AF133" s="301"/>
      <c r="AG133" s="301"/>
      <c r="AH133" s="301"/>
      <c r="AI133" s="301"/>
      <c r="AJ133" s="301"/>
      <c r="AK133" s="301"/>
      <c r="AL133" s="301"/>
      <c r="AM133" s="301"/>
      <c r="AN133" s="301"/>
      <c r="AO133" s="301"/>
      <c r="AP133" s="301"/>
    </row>
    <row r="134" spans="10:42" ht="13.5" customHeight="1">
      <c r="J134" s="301"/>
      <c r="K134" s="301"/>
      <c r="L134" s="301"/>
      <c r="M134" s="301"/>
      <c r="N134" s="301"/>
      <c r="O134" s="301"/>
      <c r="P134" s="301"/>
      <c r="Q134" s="301"/>
      <c r="R134" s="301"/>
      <c r="S134" s="301"/>
      <c r="T134" s="301"/>
      <c r="U134" s="301"/>
      <c r="V134" s="301"/>
      <c r="W134" s="301"/>
      <c r="X134" s="301"/>
      <c r="Y134" s="301"/>
      <c r="Z134" s="301"/>
      <c r="AA134" s="301"/>
      <c r="AB134" s="301"/>
      <c r="AC134" s="301"/>
      <c r="AD134" s="301"/>
      <c r="AE134" s="301"/>
      <c r="AF134" s="301"/>
      <c r="AG134" s="301"/>
      <c r="AH134" s="301"/>
      <c r="AI134" s="301"/>
      <c r="AJ134" s="301"/>
      <c r="AK134" s="301"/>
      <c r="AL134" s="301"/>
      <c r="AM134" s="301"/>
      <c r="AN134" s="301"/>
      <c r="AO134" s="301"/>
      <c r="AP134" s="301"/>
    </row>
    <row r="135" spans="10:42" ht="13.5" customHeight="1">
      <c r="J135" s="301"/>
      <c r="K135" s="301"/>
      <c r="L135" s="301"/>
      <c r="M135" s="301"/>
      <c r="N135" s="301"/>
      <c r="O135" s="301"/>
      <c r="P135" s="301"/>
      <c r="Q135" s="301"/>
      <c r="R135" s="301"/>
      <c r="S135" s="301"/>
      <c r="T135" s="301"/>
      <c r="U135" s="301"/>
      <c r="V135" s="301"/>
      <c r="W135" s="301"/>
      <c r="X135" s="301"/>
      <c r="Y135" s="301"/>
      <c r="Z135" s="301"/>
      <c r="AA135" s="301"/>
      <c r="AB135" s="301"/>
      <c r="AC135" s="301"/>
      <c r="AD135" s="301"/>
      <c r="AE135" s="301"/>
      <c r="AF135" s="301"/>
      <c r="AG135" s="301"/>
      <c r="AH135" s="301"/>
      <c r="AI135" s="301"/>
      <c r="AJ135" s="301"/>
      <c r="AK135" s="301"/>
      <c r="AL135" s="301"/>
      <c r="AM135" s="301"/>
      <c r="AN135" s="301"/>
      <c r="AO135" s="301"/>
      <c r="AP135" s="301"/>
    </row>
    <row r="136" spans="10:42" ht="13.5" customHeight="1">
      <c r="J136" s="301"/>
      <c r="K136" s="301"/>
      <c r="L136" s="301"/>
      <c r="M136" s="301"/>
      <c r="N136" s="301"/>
      <c r="O136" s="301"/>
      <c r="P136" s="301"/>
      <c r="Q136" s="301"/>
      <c r="R136" s="301"/>
      <c r="S136" s="301"/>
      <c r="T136" s="301"/>
      <c r="U136" s="301"/>
      <c r="V136" s="301"/>
      <c r="W136" s="301"/>
      <c r="X136" s="301"/>
      <c r="Y136" s="301"/>
      <c r="Z136" s="301"/>
      <c r="AA136" s="301"/>
      <c r="AB136" s="301"/>
      <c r="AC136" s="301"/>
      <c r="AD136" s="301"/>
      <c r="AE136" s="301"/>
      <c r="AF136" s="301"/>
      <c r="AG136" s="301"/>
      <c r="AH136" s="301"/>
      <c r="AI136" s="301"/>
      <c r="AJ136" s="301"/>
      <c r="AK136" s="301"/>
      <c r="AL136" s="301"/>
      <c r="AM136" s="301"/>
      <c r="AN136" s="301"/>
      <c r="AO136" s="301"/>
      <c r="AP136" s="301"/>
    </row>
    <row r="137" spans="10:42" ht="13.5" customHeight="1">
      <c r="J137" s="301"/>
      <c r="K137" s="301"/>
      <c r="L137" s="301"/>
      <c r="M137" s="301"/>
      <c r="N137" s="301"/>
      <c r="O137" s="301"/>
      <c r="P137" s="301"/>
      <c r="Q137" s="301"/>
      <c r="R137" s="301"/>
      <c r="S137" s="301"/>
      <c r="T137" s="301"/>
      <c r="U137" s="301"/>
      <c r="V137" s="301"/>
      <c r="W137" s="301"/>
      <c r="X137" s="301"/>
      <c r="Y137" s="301"/>
      <c r="Z137" s="301"/>
      <c r="AA137" s="301"/>
      <c r="AB137" s="301"/>
      <c r="AC137" s="301"/>
      <c r="AD137" s="301"/>
      <c r="AE137" s="301"/>
      <c r="AF137" s="301"/>
      <c r="AG137" s="301"/>
      <c r="AH137" s="301"/>
      <c r="AI137" s="301"/>
      <c r="AJ137" s="301"/>
      <c r="AK137" s="301"/>
      <c r="AL137" s="301"/>
      <c r="AM137" s="301"/>
      <c r="AN137" s="301"/>
      <c r="AO137" s="301"/>
      <c r="AP137" s="301"/>
    </row>
    <row r="138" spans="10:42" ht="13.5" customHeight="1">
      <c r="J138" s="301"/>
      <c r="K138" s="301"/>
      <c r="L138" s="301"/>
      <c r="M138" s="301"/>
      <c r="N138" s="301"/>
      <c r="O138" s="301"/>
      <c r="P138" s="301"/>
      <c r="Q138" s="301"/>
      <c r="R138" s="301"/>
      <c r="S138" s="301"/>
      <c r="T138" s="301"/>
      <c r="U138" s="301"/>
      <c r="V138" s="301"/>
      <c r="W138" s="301"/>
      <c r="X138" s="301"/>
      <c r="Y138" s="301"/>
      <c r="Z138" s="301"/>
      <c r="AA138" s="301"/>
      <c r="AB138" s="301"/>
      <c r="AC138" s="301"/>
      <c r="AD138" s="301"/>
      <c r="AE138" s="301"/>
      <c r="AF138" s="301"/>
      <c r="AG138" s="301"/>
      <c r="AH138" s="301"/>
      <c r="AI138" s="301"/>
      <c r="AJ138" s="301"/>
      <c r="AK138" s="301"/>
      <c r="AL138" s="301"/>
      <c r="AM138" s="301"/>
      <c r="AN138" s="301"/>
      <c r="AO138" s="301"/>
      <c r="AP138" s="301"/>
    </row>
    <row r="139" spans="10:42" ht="13.5" customHeight="1">
      <c r="J139" s="301"/>
      <c r="K139" s="301"/>
      <c r="L139" s="301"/>
      <c r="M139" s="301"/>
      <c r="N139" s="301"/>
      <c r="O139" s="301"/>
      <c r="P139" s="301"/>
      <c r="Q139" s="301"/>
      <c r="R139" s="301"/>
      <c r="S139" s="301"/>
      <c r="T139" s="301"/>
      <c r="U139" s="301"/>
      <c r="V139" s="301"/>
      <c r="W139" s="301"/>
      <c r="X139" s="301"/>
      <c r="Y139" s="301"/>
      <c r="Z139" s="301"/>
      <c r="AA139" s="301"/>
      <c r="AB139" s="301"/>
      <c r="AC139" s="301"/>
      <c r="AD139" s="301"/>
      <c r="AE139" s="301"/>
      <c r="AF139" s="301"/>
      <c r="AG139" s="301"/>
      <c r="AH139" s="301"/>
      <c r="AI139" s="301"/>
      <c r="AJ139" s="301"/>
      <c r="AK139" s="301"/>
      <c r="AL139" s="301"/>
      <c r="AM139" s="301"/>
      <c r="AN139" s="301"/>
      <c r="AO139" s="301"/>
      <c r="AP139" s="301"/>
    </row>
    <row r="140" spans="10:42" ht="13.5" customHeight="1">
      <c r="J140" s="301"/>
      <c r="K140" s="301"/>
      <c r="L140" s="301"/>
      <c r="M140" s="301"/>
      <c r="N140" s="301"/>
      <c r="O140" s="301"/>
      <c r="P140" s="301"/>
      <c r="Q140" s="301"/>
      <c r="R140" s="301"/>
      <c r="S140" s="301"/>
      <c r="T140" s="301"/>
      <c r="U140" s="301"/>
      <c r="V140" s="301"/>
      <c r="W140" s="301"/>
      <c r="X140" s="301"/>
      <c r="Y140" s="301"/>
      <c r="Z140" s="301"/>
      <c r="AA140" s="301"/>
      <c r="AB140" s="301"/>
      <c r="AC140" s="301"/>
      <c r="AD140" s="301"/>
      <c r="AE140" s="301"/>
      <c r="AF140" s="301"/>
      <c r="AG140" s="301"/>
      <c r="AH140" s="301"/>
      <c r="AI140" s="301"/>
      <c r="AJ140" s="301"/>
      <c r="AK140" s="301"/>
      <c r="AL140" s="301"/>
      <c r="AM140" s="301"/>
      <c r="AN140" s="301"/>
      <c r="AO140" s="301"/>
      <c r="AP140" s="301"/>
    </row>
    <row r="141" spans="10:42" ht="13.5" customHeight="1">
      <c r="J141" s="301"/>
      <c r="K141" s="301"/>
      <c r="L141" s="301"/>
      <c r="M141" s="301"/>
      <c r="N141" s="301"/>
      <c r="O141" s="301"/>
      <c r="P141" s="301"/>
      <c r="Q141" s="301"/>
      <c r="R141" s="301"/>
      <c r="S141" s="301"/>
      <c r="T141" s="301"/>
      <c r="U141" s="301"/>
      <c r="V141" s="301"/>
      <c r="W141" s="301"/>
      <c r="X141" s="301"/>
      <c r="Y141" s="301"/>
      <c r="Z141" s="301"/>
      <c r="AA141" s="301"/>
      <c r="AB141" s="301"/>
      <c r="AC141" s="301"/>
      <c r="AD141" s="301"/>
      <c r="AE141" s="301"/>
      <c r="AF141" s="301"/>
      <c r="AG141" s="301"/>
      <c r="AH141" s="301"/>
      <c r="AI141" s="301"/>
      <c r="AJ141" s="301"/>
      <c r="AK141" s="301"/>
      <c r="AL141" s="301"/>
      <c r="AM141" s="301"/>
      <c r="AN141" s="301"/>
      <c r="AO141" s="301"/>
      <c r="AP141" s="301"/>
    </row>
    <row r="142" spans="10:42" ht="13.5" customHeight="1">
      <c r="J142" s="301"/>
      <c r="K142" s="301"/>
      <c r="L142" s="301"/>
      <c r="M142" s="301"/>
      <c r="N142" s="301"/>
      <c r="O142" s="301"/>
      <c r="P142" s="301"/>
      <c r="Q142" s="301"/>
      <c r="R142" s="301"/>
      <c r="S142" s="301"/>
      <c r="T142" s="301"/>
      <c r="U142" s="301"/>
      <c r="V142" s="301"/>
      <c r="W142" s="301"/>
      <c r="X142" s="301"/>
      <c r="Y142" s="301"/>
      <c r="Z142" s="301"/>
      <c r="AA142" s="301"/>
      <c r="AB142" s="301"/>
      <c r="AC142" s="301"/>
      <c r="AD142" s="301"/>
      <c r="AE142" s="301"/>
      <c r="AF142" s="301"/>
      <c r="AG142" s="301"/>
      <c r="AH142" s="301"/>
      <c r="AI142" s="301"/>
      <c r="AJ142" s="301"/>
      <c r="AK142" s="301"/>
      <c r="AL142" s="301"/>
      <c r="AM142" s="301"/>
      <c r="AN142" s="301"/>
      <c r="AO142" s="301"/>
      <c r="AP142" s="301"/>
    </row>
    <row r="143" spans="10:42" ht="13.5" customHeight="1">
      <c r="J143" s="301"/>
      <c r="K143" s="301"/>
      <c r="L143" s="301"/>
      <c r="M143" s="301"/>
      <c r="N143" s="301"/>
      <c r="O143" s="301"/>
      <c r="P143" s="301"/>
      <c r="Q143" s="301"/>
      <c r="R143" s="301"/>
      <c r="S143" s="301"/>
      <c r="T143" s="301"/>
      <c r="U143" s="301"/>
      <c r="V143" s="301"/>
      <c r="W143" s="301"/>
      <c r="X143" s="301"/>
      <c r="Y143" s="301"/>
      <c r="Z143" s="301"/>
      <c r="AA143" s="301"/>
      <c r="AB143" s="301"/>
      <c r="AC143" s="301"/>
      <c r="AD143" s="301"/>
      <c r="AE143" s="301"/>
      <c r="AF143" s="301"/>
      <c r="AG143" s="301"/>
      <c r="AH143" s="301"/>
      <c r="AI143" s="301"/>
      <c r="AJ143" s="301"/>
      <c r="AK143" s="301"/>
      <c r="AL143" s="301"/>
      <c r="AM143" s="301"/>
      <c r="AN143" s="301"/>
      <c r="AO143" s="301"/>
      <c r="AP143" s="301"/>
    </row>
    <row r="144" spans="10:42" ht="13.5" customHeight="1">
      <c r="J144" s="301"/>
      <c r="K144" s="301"/>
      <c r="L144" s="301"/>
      <c r="M144" s="301"/>
      <c r="N144" s="301"/>
      <c r="O144" s="301"/>
      <c r="P144" s="301"/>
      <c r="Q144" s="301"/>
      <c r="R144" s="301"/>
      <c r="S144" s="301"/>
      <c r="T144" s="301"/>
      <c r="U144" s="301"/>
      <c r="V144" s="301"/>
      <c r="W144" s="301"/>
      <c r="X144" s="301"/>
      <c r="Y144" s="301"/>
      <c r="Z144" s="301"/>
      <c r="AA144" s="301"/>
      <c r="AB144" s="301"/>
      <c r="AC144" s="301"/>
      <c r="AD144" s="301"/>
      <c r="AE144" s="301"/>
      <c r="AF144" s="301"/>
      <c r="AG144" s="301"/>
      <c r="AH144" s="301"/>
      <c r="AI144" s="301"/>
      <c r="AJ144" s="301"/>
      <c r="AK144" s="301"/>
      <c r="AL144" s="301"/>
      <c r="AM144" s="301"/>
      <c r="AN144" s="301"/>
      <c r="AO144" s="301"/>
      <c r="AP144" s="301"/>
    </row>
    <row r="145" spans="10:42" ht="13.5" customHeight="1">
      <c r="J145" s="301"/>
      <c r="K145" s="301"/>
      <c r="L145" s="301"/>
      <c r="M145" s="301"/>
      <c r="N145" s="301"/>
      <c r="O145" s="301"/>
      <c r="P145" s="301"/>
      <c r="Q145" s="301"/>
      <c r="R145" s="301"/>
      <c r="S145" s="301"/>
      <c r="T145" s="301"/>
      <c r="U145" s="301"/>
      <c r="V145" s="301"/>
      <c r="W145" s="301"/>
      <c r="X145" s="301"/>
      <c r="Y145" s="301"/>
      <c r="Z145" s="301"/>
      <c r="AA145" s="301"/>
      <c r="AB145" s="301"/>
      <c r="AC145" s="301"/>
      <c r="AD145" s="301"/>
      <c r="AE145" s="301"/>
      <c r="AF145" s="301"/>
      <c r="AG145" s="301"/>
      <c r="AH145" s="301"/>
      <c r="AI145" s="301"/>
      <c r="AJ145" s="301"/>
      <c r="AK145" s="301"/>
      <c r="AL145" s="301"/>
      <c r="AM145" s="301"/>
      <c r="AN145" s="301"/>
      <c r="AO145" s="301"/>
      <c r="AP145" s="301"/>
    </row>
    <row r="146" spans="10:42" ht="13.5" customHeight="1">
      <c r="J146" s="301"/>
      <c r="K146" s="301"/>
      <c r="L146" s="301"/>
      <c r="M146" s="301"/>
      <c r="N146" s="301"/>
      <c r="O146" s="301"/>
      <c r="P146" s="301"/>
      <c r="Q146" s="301"/>
      <c r="R146" s="301"/>
      <c r="S146" s="301"/>
      <c r="T146" s="301"/>
      <c r="U146" s="301"/>
      <c r="V146" s="301"/>
      <c r="W146" s="301"/>
      <c r="X146" s="301"/>
      <c r="Y146" s="301"/>
      <c r="Z146" s="301"/>
      <c r="AA146" s="301"/>
      <c r="AB146" s="301"/>
      <c r="AC146" s="301"/>
      <c r="AD146" s="301"/>
      <c r="AE146" s="301"/>
      <c r="AF146" s="301"/>
      <c r="AG146" s="301"/>
      <c r="AH146" s="301"/>
      <c r="AI146" s="301"/>
      <c r="AJ146" s="301"/>
      <c r="AK146" s="301"/>
      <c r="AL146" s="301"/>
      <c r="AM146" s="301"/>
      <c r="AN146" s="301"/>
      <c r="AO146" s="301"/>
      <c r="AP146" s="301"/>
    </row>
    <row r="147" spans="10:42" ht="13.5" customHeight="1">
      <c r="J147" s="301"/>
      <c r="K147" s="301"/>
      <c r="L147" s="301"/>
      <c r="M147" s="301"/>
      <c r="N147" s="301"/>
      <c r="O147" s="301"/>
      <c r="P147" s="301"/>
      <c r="Q147" s="301"/>
      <c r="R147" s="301"/>
      <c r="S147" s="301"/>
      <c r="T147" s="301"/>
      <c r="U147" s="301"/>
      <c r="V147" s="301"/>
      <c r="W147" s="301"/>
      <c r="X147" s="301"/>
      <c r="Y147" s="301"/>
      <c r="Z147" s="301"/>
      <c r="AA147" s="301"/>
      <c r="AB147" s="301"/>
      <c r="AC147" s="301"/>
      <c r="AD147" s="301"/>
      <c r="AE147" s="301"/>
      <c r="AF147" s="301"/>
      <c r="AG147" s="301"/>
      <c r="AH147" s="301"/>
      <c r="AI147" s="301"/>
      <c r="AJ147" s="301"/>
      <c r="AK147" s="301"/>
      <c r="AL147" s="301"/>
      <c r="AM147" s="301"/>
      <c r="AN147" s="301"/>
      <c r="AO147" s="301"/>
      <c r="AP147" s="301"/>
    </row>
    <row r="148" spans="10:42" ht="13.5" customHeight="1">
      <c r="J148" s="301"/>
      <c r="K148" s="301"/>
      <c r="L148" s="301"/>
      <c r="M148" s="301"/>
      <c r="N148" s="301"/>
      <c r="O148" s="301"/>
      <c r="P148" s="301"/>
      <c r="Q148" s="301"/>
      <c r="R148" s="301"/>
      <c r="S148" s="301"/>
      <c r="T148" s="301"/>
      <c r="U148" s="301"/>
      <c r="V148" s="301"/>
      <c r="W148" s="301"/>
      <c r="X148" s="301"/>
      <c r="Y148" s="301"/>
      <c r="Z148" s="301"/>
      <c r="AA148" s="301"/>
      <c r="AB148" s="301"/>
      <c r="AC148" s="301"/>
      <c r="AD148" s="301"/>
      <c r="AE148" s="301"/>
      <c r="AF148" s="301"/>
      <c r="AG148" s="301"/>
      <c r="AH148" s="301"/>
      <c r="AI148" s="301"/>
      <c r="AJ148" s="301"/>
      <c r="AK148" s="301"/>
      <c r="AL148" s="301"/>
      <c r="AM148" s="301"/>
      <c r="AN148" s="301"/>
      <c r="AO148" s="301"/>
      <c r="AP148" s="301"/>
    </row>
    <row r="149" spans="10:42" ht="13.5" customHeight="1">
      <c r="J149" s="301"/>
      <c r="K149" s="301"/>
      <c r="L149" s="301"/>
      <c r="M149" s="301"/>
      <c r="N149" s="301"/>
      <c r="O149" s="301"/>
      <c r="P149" s="301"/>
      <c r="Q149" s="301"/>
      <c r="R149" s="301"/>
      <c r="S149" s="301"/>
      <c r="T149" s="301"/>
      <c r="U149" s="301"/>
      <c r="V149" s="301"/>
      <c r="W149" s="301"/>
      <c r="X149" s="301"/>
      <c r="Y149" s="301"/>
      <c r="Z149" s="301"/>
      <c r="AA149" s="301"/>
      <c r="AB149" s="301"/>
      <c r="AC149" s="301"/>
      <c r="AD149" s="301"/>
      <c r="AE149" s="301"/>
      <c r="AF149" s="301"/>
      <c r="AG149" s="301"/>
      <c r="AH149" s="301"/>
      <c r="AI149" s="301"/>
      <c r="AJ149" s="301"/>
      <c r="AK149" s="301"/>
      <c r="AL149" s="301"/>
      <c r="AM149" s="301"/>
      <c r="AN149" s="301"/>
      <c r="AO149" s="301"/>
      <c r="AP149" s="301"/>
    </row>
    <row r="150" spans="10:42" ht="13.5" customHeight="1">
      <c r="J150" s="301"/>
      <c r="K150" s="301"/>
      <c r="L150" s="301"/>
      <c r="M150" s="301"/>
      <c r="N150" s="301"/>
      <c r="O150" s="301"/>
      <c r="P150" s="301"/>
      <c r="Q150" s="301"/>
      <c r="R150" s="301"/>
      <c r="S150" s="301"/>
      <c r="T150" s="301"/>
      <c r="U150" s="301"/>
      <c r="V150" s="301"/>
      <c r="W150" s="301"/>
      <c r="X150" s="301"/>
      <c r="Y150" s="301"/>
      <c r="Z150" s="301"/>
      <c r="AA150" s="301"/>
      <c r="AB150" s="301"/>
      <c r="AC150" s="301"/>
      <c r="AD150" s="301"/>
      <c r="AE150" s="301"/>
      <c r="AF150" s="301"/>
      <c r="AG150" s="301"/>
      <c r="AH150" s="301"/>
      <c r="AI150" s="301"/>
      <c r="AJ150" s="301"/>
      <c r="AK150" s="301"/>
      <c r="AL150" s="301"/>
      <c r="AM150" s="301"/>
      <c r="AN150" s="301"/>
      <c r="AO150" s="301"/>
      <c r="AP150" s="301"/>
    </row>
    <row r="151" spans="10:42" ht="13.5" customHeight="1">
      <c r="J151" s="301"/>
      <c r="K151" s="301"/>
      <c r="L151" s="301"/>
      <c r="M151" s="301"/>
      <c r="N151" s="301"/>
      <c r="O151" s="301"/>
      <c r="P151" s="301"/>
      <c r="Q151" s="301"/>
      <c r="R151" s="301"/>
      <c r="S151" s="301"/>
      <c r="T151" s="301"/>
      <c r="U151" s="301"/>
      <c r="V151" s="301"/>
      <c r="W151" s="301"/>
      <c r="X151" s="301"/>
      <c r="Y151" s="301"/>
      <c r="Z151" s="301"/>
      <c r="AA151" s="301"/>
      <c r="AB151" s="301"/>
      <c r="AC151" s="301"/>
      <c r="AD151" s="301"/>
      <c r="AE151" s="301"/>
      <c r="AF151" s="301"/>
      <c r="AG151" s="301"/>
      <c r="AH151" s="301"/>
      <c r="AI151" s="301"/>
      <c r="AJ151" s="301"/>
      <c r="AK151" s="301"/>
      <c r="AL151" s="301"/>
      <c r="AM151" s="301"/>
      <c r="AN151" s="301"/>
      <c r="AO151" s="301"/>
      <c r="AP151" s="301"/>
    </row>
    <row r="152" spans="10:42" ht="13.5" customHeight="1">
      <c r="J152" s="301"/>
      <c r="K152" s="301"/>
      <c r="L152" s="301"/>
      <c r="M152" s="301"/>
      <c r="N152" s="301"/>
      <c r="O152" s="301"/>
      <c r="P152" s="301"/>
      <c r="Q152" s="301"/>
      <c r="R152" s="301"/>
      <c r="S152" s="301"/>
      <c r="T152" s="301"/>
      <c r="U152" s="301"/>
      <c r="V152" s="301"/>
      <c r="W152" s="301"/>
      <c r="X152" s="301"/>
      <c r="Y152" s="301"/>
      <c r="Z152" s="301"/>
      <c r="AA152" s="301"/>
      <c r="AB152" s="301"/>
      <c r="AC152" s="301"/>
      <c r="AD152" s="301"/>
      <c r="AE152" s="301"/>
      <c r="AF152" s="301"/>
      <c r="AG152" s="301"/>
      <c r="AH152" s="301"/>
      <c r="AI152" s="301"/>
      <c r="AJ152" s="301"/>
      <c r="AK152" s="301"/>
      <c r="AL152" s="301"/>
      <c r="AM152" s="301"/>
      <c r="AN152" s="301"/>
      <c r="AO152" s="301"/>
      <c r="AP152" s="301"/>
    </row>
    <row r="153" spans="10:42" ht="13.5" customHeight="1">
      <c r="J153" s="301"/>
      <c r="K153" s="301"/>
      <c r="L153" s="301"/>
      <c r="M153" s="301"/>
      <c r="N153" s="301"/>
      <c r="O153" s="301"/>
      <c r="P153" s="301"/>
      <c r="Q153" s="301"/>
      <c r="R153" s="301"/>
      <c r="S153" s="301"/>
      <c r="T153" s="301"/>
      <c r="U153" s="301"/>
      <c r="V153" s="301"/>
      <c r="W153" s="301"/>
      <c r="X153" s="301"/>
      <c r="Y153" s="301"/>
      <c r="Z153" s="301"/>
      <c r="AA153" s="301"/>
      <c r="AB153" s="301"/>
      <c r="AC153" s="301"/>
      <c r="AD153" s="301"/>
      <c r="AE153" s="301"/>
      <c r="AF153" s="301"/>
      <c r="AG153" s="301"/>
      <c r="AH153" s="301"/>
      <c r="AI153" s="301"/>
      <c r="AJ153" s="301"/>
      <c r="AK153" s="301"/>
      <c r="AL153" s="301"/>
      <c r="AM153" s="301"/>
      <c r="AN153" s="301"/>
      <c r="AO153" s="301"/>
      <c r="AP153" s="301"/>
    </row>
    <row r="154" spans="10:42" ht="13.5" customHeight="1">
      <c r="J154" s="301"/>
      <c r="K154" s="301"/>
      <c r="L154" s="301"/>
      <c r="M154" s="301"/>
      <c r="N154" s="301"/>
      <c r="O154" s="301"/>
      <c r="P154" s="301"/>
      <c r="Q154" s="301"/>
      <c r="R154" s="301"/>
      <c r="S154" s="301"/>
      <c r="T154" s="301"/>
      <c r="U154" s="301"/>
      <c r="V154" s="301"/>
      <c r="W154" s="301"/>
      <c r="X154" s="301"/>
      <c r="Y154" s="301"/>
      <c r="Z154" s="301"/>
      <c r="AA154" s="301"/>
      <c r="AB154" s="301"/>
      <c r="AC154" s="301"/>
      <c r="AD154" s="301"/>
      <c r="AE154" s="301"/>
      <c r="AF154" s="301"/>
      <c r="AG154" s="301"/>
      <c r="AH154" s="301"/>
      <c r="AI154" s="301"/>
      <c r="AJ154" s="301"/>
      <c r="AK154" s="301"/>
      <c r="AL154" s="301"/>
      <c r="AM154" s="301"/>
      <c r="AN154" s="301"/>
      <c r="AO154" s="301"/>
      <c r="AP154" s="301"/>
    </row>
    <row r="155" spans="10:42" ht="13.5" customHeight="1">
      <c r="J155" s="301"/>
      <c r="K155" s="301"/>
      <c r="L155" s="301"/>
      <c r="M155" s="301"/>
      <c r="N155" s="301"/>
      <c r="O155" s="301"/>
      <c r="P155" s="301"/>
      <c r="Q155" s="301"/>
      <c r="R155" s="301"/>
      <c r="S155" s="301"/>
      <c r="T155" s="301"/>
      <c r="U155" s="301"/>
      <c r="V155" s="301"/>
      <c r="W155" s="301"/>
      <c r="X155" s="301"/>
      <c r="Y155" s="301"/>
      <c r="Z155" s="301"/>
      <c r="AA155" s="301"/>
      <c r="AB155" s="301"/>
      <c r="AC155" s="301"/>
      <c r="AD155" s="301"/>
      <c r="AE155" s="301"/>
      <c r="AF155" s="301"/>
      <c r="AG155" s="301"/>
      <c r="AH155" s="301"/>
      <c r="AI155" s="301"/>
      <c r="AJ155" s="301"/>
      <c r="AK155" s="301"/>
      <c r="AL155" s="301"/>
      <c r="AM155" s="301"/>
      <c r="AN155" s="301"/>
      <c r="AO155" s="301"/>
      <c r="AP155" s="301"/>
    </row>
    <row r="156" spans="10:42" ht="13.5" customHeight="1">
      <c r="J156" s="301"/>
      <c r="K156" s="301"/>
      <c r="L156" s="301"/>
      <c r="M156" s="301"/>
      <c r="N156" s="301"/>
      <c r="O156" s="301"/>
      <c r="P156" s="301"/>
      <c r="Q156" s="301"/>
      <c r="R156" s="301"/>
      <c r="S156" s="301"/>
      <c r="T156" s="301"/>
      <c r="U156" s="301"/>
      <c r="V156" s="301"/>
      <c r="W156" s="301"/>
      <c r="X156" s="301"/>
      <c r="Y156" s="301"/>
      <c r="Z156" s="301"/>
      <c r="AA156" s="301"/>
      <c r="AB156" s="301"/>
      <c r="AC156" s="301"/>
      <c r="AD156" s="301"/>
      <c r="AE156" s="301"/>
      <c r="AF156" s="301"/>
      <c r="AG156" s="301"/>
      <c r="AH156" s="301"/>
      <c r="AI156" s="301"/>
      <c r="AJ156" s="301"/>
      <c r="AK156" s="301"/>
      <c r="AL156" s="301"/>
      <c r="AM156" s="301"/>
      <c r="AN156" s="301"/>
      <c r="AO156" s="301"/>
      <c r="AP156" s="301"/>
    </row>
    <row r="157" spans="10:42" ht="13.5" customHeight="1">
      <c r="J157" s="301"/>
      <c r="K157" s="301"/>
      <c r="L157" s="301"/>
      <c r="M157" s="301"/>
      <c r="N157" s="301"/>
      <c r="O157" s="301"/>
      <c r="P157" s="301"/>
      <c r="Q157" s="301"/>
      <c r="R157" s="301"/>
      <c r="S157" s="301"/>
      <c r="T157" s="301"/>
      <c r="U157" s="301"/>
      <c r="V157" s="301"/>
      <c r="W157" s="301"/>
      <c r="X157" s="301"/>
      <c r="Y157" s="301"/>
      <c r="Z157" s="301"/>
      <c r="AA157" s="301"/>
      <c r="AB157" s="301"/>
      <c r="AC157" s="301"/>
      <c r="AD157" s="301"/>
      <c r="AE157" s="301"/>
      <c r="AF157" s="301"/>
      <c r="AG157" s="301"/>
      <c r="AH157" s="301"/>
      <c r="AI157" s="301"/>
      <c r="AJ157" s="301"/>
      <c r="AK157" s="301"/>
      <c r="AL157" s="301"/>
      <c r="AM157" s="301"/>
      <c r="AN157" s="301"/>
      <c r="AO157" s="301"/>
      <c r="AP157" s="301"/>
    </row>
    <row r="158" spans="10:42" ht="13.5" customHeight="1">
      <c r="J158" s="301"/>
      <c r="K158" s="301"/>
      <c r="L158" s="301"/>
      <c r="M158" s="301"/>
      <c r="N158" s="301"/>
      <c r="O158" s="301"/>
      <c r="P158" s="301"/>
      <c r="Q158" s="301"/>
      <c r="R158" s="301"/>
      <c r="S158" s="301"/>
      <c r="T158" s="301"/>
      <c r="U158" s="301"/>
      <c r="V158" s="301"/>
      <c r="W158" s="301"/>
      <c r="X158" s="301"/>
      <c r="Y158" s="301"/>
      <c r="Z158" s="301"/>
      <c r="AA158" s="301"/>
      <c r="AB158" s="301"/>
      <c r="AC158" s="301"/>
      <c r="AD158" s="301"/>
      <c r="AE158" s="301"/>
      <c r="AF158" s="301"/>
      <c r="AG158" s="301"/>
      <c r="AH158" s="301"/>
      <c r="AI158" s="301"/>
      <c r="AJ158" s="301"/>
      <c r="AK158" s="301"/>
      <c r="AL158" s="301"/>
      <c r="AM158" s="301"/>
      <c r="AN158" s="301"/>
      <c r="AO158" s="301"/>
      <c r="AP158" s="301"/>
    </row>
    <row r="159" spans="10:42" ht="13.5" customHeight="1">
      <c r="J159" s="301"/>
      <c r="K159" s="301"/>
      <c r="L159" s="301"/>
      <c r="M159" s="301"/>
      <c r="N159" s="301"/>
      <c r="O159" s="301"/>
      <c r="P159" s="301"/>
      <c r="Q159" s="301"/>
      <c r="R159" s="301"/>
      <c r="S159" s="301"/>
      <c r="T159" s="301"/>
      <c r="U159" s="301"/>
      <c r="V159" s="301"/>
      <c r="W159" s="301"/>
      <c r="X159" s="301"/>
      <c r="Y159" s="301"/>
      <c r="Z159" s="301"/>
      <c r="AA159" s="301"/>
      <c r="AB159" s="301"/>
      <c r="AC159" s="301"/>
      <c r="AD159" s="301"/>
      <c r="AE159" s="301"/>
      <c r="AF159" s="301"/>
      <c r="AG159" s="301"/>
      <c r="AH159" s="301"/>
      <c r="AI159" s="301"/>
      <c r="AJ159" s="301"/>
      <c r="AK159" s="301"/>
      <c r="AL159" s="301"/>
      <c r="AM159" s="301"/>
      <c r="AN159" s="301"/>
      <c r="AO159" s="301"/>
      <c r="AP159" s="301"/>
    </row>
    <row r="160" spans="10:42" ht="13.5" customHeight="1">
      <c r="J160" s="301"/>
      <c r="K160" s="301"/>
      <c r="L160" s="301"/>
      <c r="M160" s="301"/>
      <c r="N160" s="301"/>
      <c r="O160" s="301"/>
      <c r="P160" s="301"/>
      <c r="Q160" s="301"/>
      <c r="R160" s="301"/>
      <c r="S160" s="301"/>
      <c r="T160" s="301"/>
      <c r="U160" s="301"/>
      <c r="V160" s="301"/>
      <c r="W160" s="301"/>
      <c r="X160" s="301"/>
      <c r="Y160" s="301"/>
      <c r="Z160" s="301"/>
      <c r="AA160" s="301"/>
      <c r="AB160" s="301"/>
      <c r="AC160" s="301"/>
      <c r="AD160" s="301"/>
      <c r="AE160" s="301"/>
      <c r="AF160" s="301"/>
      <c r="AG160" s="301"/>
      <c r="AH160" s="301"/>
      <c r="AI160" s="301"/>
      <c r="AJ160" s="301"/>
      <c r="AK160" s="301"/>
      <c r="AL160" s="301"/>
      <c r="AM160" s="301"/>
      <c r="AN160" s="301"/>
      <c r="AO160" s="301"/>
      <c r="AP160" s="301"/>
    </row>
    <row r="161" spans="10:42" ht="13.5" customHeight="1">
      <c r="J161" s="301"/>
      <c r="K161" s="301"/>
      <c r="L161" s="301"/>
      <c r="M161" s="301"/>
      <c r="N161" s="301"/>
      <c r="O161" s="301"/>
      <c r="P161" s="301"/>
      <c r="Q161" s="301"/>
      <c r="R161" s="301"/>
      <c r="S161" s="301"/>
      <c r="T161" s="301"/>
      <c r="U161" s="301"/>
      <c r="V161" s="301"/>
      <c r="W161" s="301"/>
      <c r="X161" s="301"/>
      <c r="Y161" s="301"/>
      <c r="Z161" s="301"/>
      <c r="AA161" s="301"/>
      <c r="AB161" s="301"/>
      <c r="AC161" s="301"/>
      <c r="AD161" s="301"/>
      <c r="AE161" s="301"/>
      <c r="AF161" s="301"/>
      <c r="AG161" s="301"/>
      <c r="AH161" s="301"/>
      <c r="AI161" s="301"/>
      <c r="AJ161" s="301"/>
      <c r="AK161" s="301"/>
      <c r="AL161" s="301"/>
      <c r="AM161" s="301"/>
      <c r="AN161" s="301"/>
      <c r="AO161" s="301"/>
      <c r="AP161" s="301"/>
    </row>
    <row r="162" spans="10:42" ht="13.5" customHeight="1">
      <c r="J162" s="301"/>
      <c r="K162" s="301"/>
      <c r="L162" s="301"/>
      <c r="M162" s="301"/>
      <c r="N162" s="301"/>
      <c r="O162" s="301"/>
      <c r="P162" s="301"/>
      <c r="Q162" s="301"/>
      <c r="R162" s="301"/>
      <c r="S162" s="301"/>
      <c r="T162" s="301"/>
      <c r="U162" s="301"/>
      <c r="V162" s="301"/>
      <c r="W162" s="301"/>
      <c r="X162" s="301"/>
      <c r="Y162" s="301"/>
      <c r="Z162" s="301"/>
      <c r="AA162" s="301"/>
      <c r="AB162" s="301"/>
      <c r="AC162" s="301"/>
      <c r="AD162" s="301"/>
      <c r="AE162" s="301"/>
      <c r="AF162" s="301"/>
      <c r="AG162" s="301"/>
      <c r="AH162" s="301"/>
      <c r="AI162" s="301"/>
      <c r="AJ162" s="301"/>
      <c r="AK162" s="301"/>
      <c r="AL162" s="301"/>
      <c r="AM162" s="301"/>
      <c r="AN162" s="301"/>
      <c r="AO162" s="301"/>
      <c r="AP162" s="301"/>
    </row>
    <row r="163" spans="10:42" ht="13.5" customHeight="1">
      <c r="J163" s="301"/>
      <c r="K163" s="301"/>
      <c r="L163" s="301"/>
      <c r="M163" s="301"/>
      <c r="N163" s="301"/>
      <c r="O163" s="301"/>
      <c r="P163" s="301"/>
      <c r="Q163" s="301"/>
      <c r="R163" s="301"/>
      <c r="S163" s="301"/>
      <c r="T163" s="301"/>
      <c r="U163" s="301"/>
      <c r="V163" s="301"/>
      <c r="W163" s="301"/>
      <c r="X163" s="301"/>
      <c r="Y163" s="301"/>
      <c r="Z163" s="301"/>
      <c r="AA163" s="301"/>
      <c r="AB163" s="301"/>
      <c r="AC163" s="301"/>
      <c r="AD163" s="301"/>
      <c r="AE163" s="301"/>
      <c r="AF163" s="301"/>
      <c r="AG163" s="301"/>
      <c r="AH163" s="301"/>
      <c r="AI163" s="301"/>
      <c r="AJ163" s="301"/>
      <c r="AK163" s="301"/>
      <c r="AL163" s="301"/>
      <c r="AM163" s="301"/>
      <c r="AN163" s="301"/>
      <c r="AO163" s="301"/>
      <c r="AP163" s="301"/>
    </row>
    <row r="164" spans="10:42" ht="13.5" customHeight="1">
      <c r="J164" s="301"/>
      <c r="K164" s="301"/>
      <c r="L164" s="301"/>
      <c r="M164" s="301"/>
      <c r="N164" s="301"/>
      <c r="O164" s="301"/>
      <c r="P164" s="301"/>
      <c r="Q164" s="301"/>
      <c r="R164" s="301"/>
      <c r="S164" s="301"/>
      <c r="T164" s="301"/>
      <c r="U164" s="301"/>
      <c r="V164" s="301"/>
      <c r="W164" s="301"/>
      <c r="X164" s="301"/>
      <c r="Y164" s="301"/>
      <c r="Z164" s="301"/>
      <c r="AA164" s="301"/>
      <c r="AB164" s="301"/>
      <c r="AC164" s="301"/>
      <c r="AD164" s="301"/>
      <c r="AE164" s="301"/>
      <c r="AF164" s="301"/>
      <c r="AG164" s="301"/>
      <c r="AH164" s="301"/>
      <c r="AI164" s="301"/>
      <c r="AJ164" s="301"/>
      <c r="AK164" s="301"/>
      <c r="AL164" s="301"/>
      <c r="AM164" s="301"/>
      <c r="AN164" s="301"/>
      <c r="AO164" s="301"/>
      <c r="AP164" s="301"/>
    </row>
    <row r="165" spans="10:42" ht="13.5" customHeight="1">
      <c r="J165" s="301"/>
      <c r="K165" s="301"/>
      <c r="L165" s="301"/>
      <c r="M165" s="301"/>
      <c r="N165" s="301"/>
      <c r="O165" s="301"/>
      <c r="P165" s="301"/>
      <c r="Q165" s="301"/>
      <c r="R165" s="301"/>
      <c r="S165" s="301"/>
      <c r="T165" s="301"/>
      <c r="U165" s="301"/>
      <c r="V165" s="301"/>
      <c r="W165" s="301"/>
      <c r="X165" s="301"/>
      <c r="Y165" s="301"/>
      <c r="Z165" s="301"/>
      <c r="AA165" s="301"/>
      <c r="AB165" s="301"/>
      <c r="AC165" s="301"/>
      <c r="AD165" s="301"/>
      <c r="AE165" s="301"/>
      <c r="AF165" s="301"/>
      <c r="AG165" s="301"/>
      <c r="AH165" s="301"/>
      <c r="AI165" s="301"/>
      <c r="AJ165" s="301"/>
      <c r="AK165" s="301"/>
      <c r="AL165" s="301"/>
      <c r="AM165" s="301"/>
      <c r="AN165" s="301"/>
      <c r="AO165" s="301"/>
      <c r="AP165" s="301"/>
    </row>
    <row r="166" spans="10:42" ht="13.5" customHeight="1">
      <c r="J166" s="301"/>
      <c r="K166" s="301"/>
      <c r="L166" s="301"/>
      <c r="M166" s="301"/>
      <c r="N166" s="301"/>
      <c r="O166" s="301"/>
      <c r="P166" s="301"/>
      <c r="Q166" s="301"/>
      <c r="R166" s="301"/>
      <c r="S166" s="301"/>
      <c r="T166" s="301"/>
      <c r="U166" s="301"/>
      <c r="V166" s="301"/>
      <c r="W166" s="301"/>
      <c r="X166" s="301"/>
      <c r="Y166" s="301"/>
      <c r="Z166" s="301"/>
      <c r="AA166" s="301"/>
      <c r="AB166" s="301"/>
      <c r="AC166" s="301"/>
      <c r="AD166" s="301"/>
      <c r="AE166" s="301"/>
      <c r="AF166" s="301"/>
      <c r="AG166" s="301"/>
      <c r="AH166" s="301"/>
      <c r="AI166" s="301"/>
      <c r="AJ166" s="301"/>
      <c r="AK166" s="301"/>
      <c r="AL166" s="301"/>
      <c r="AM166" s="301"/>
      <c r="AN166" s="301"/>
      <c r="AO166" s="301"/>
      <c r="AP166" s="301"/>
    </row>
    <row r="167" spans="10:42" ht="13.5" customHeight="1">
      <c r="J167" s="301"/>
      <c r="K167" s="301"/>
      <c r="L167" s="301"/>
      <c r="M167" s="301"/>
      <c r="N167" s="301"/>
      <c r="O167" s="301"/>
      <c r="P167" s="301"/>
      <c r="Q167" s="301"/>
      <c r="R167" s="301"/>
      <c r="S167" s="301"/>
      <c r="T167" s="301"/>
      <c r="U167" s="301"/>
      <c r="V167" s="301"/>
      <c r="W167" s="301"/>
      <c r="X167" s="301"/>
      <c r="Y167" s="301"/>
      <c r="Z167" s="301"/>
      <c r="AA167" s="301"/>
      <c r="AB167" s="301"/>
      <c r="AC167" s="301"/>
      <c r="AD167" s="301"/>
      <c r="AE167" s="301"/>
      <c r="AF167" s="301"/>
      <c r="AG167" s="301"/>
      <c r="AH167" s="301"/>
      <c r="AI167" s="301"/>
      <c r="AJ167" s="301"/>
      <c r="AK167" s="301"/>
      <c r="AL167" s="301"/>
      <c r="AM167" s="301"/>
      <c r="AN167" s="301"/>
      <c r="AO167" s="301"/>
      <c r="AP167" s="301"/>
    </row>
    <row r="168" spans="10:42" ht="13.5" customHeight="1">
      <c r="J168" s="301"/>
      <c r="K168" s="301"/>
      <c r="L168" s="301"/>
      <c r="M168" s="301"/>
      <c r="N168" s="301"/>
      <c r="O168" s="301"/>
      <c r="P168" s="301"/>
      <c r="Q168" s="301"/>
      <c r="R168" s="301"/>
      <c r="S168" s="301"/>
      <c r="T168" s="301"/>
      <c r="U168" s="301"/>
      <c r="V168" s="301"/>
      <c r="W168" s="301"/>
      <c r="X168" s="301"/>
      <c r="Y168" s="301"/>
      <c r="Z168" s="301"/>
      <c r="AA168" s="301"/>
      <c r="AB168" s="301"/>
      <c r="AC168" s="301"/>
      <c r="AD168" s="301"/>
      <c r="AE168" s="301"/>
      <c r="AF168" s="301"/>
      <c r="AG168" s="301"/>
      <c r="AH168" s="301"/>
      <c r="AI168" s="301"/>
      <c r="AJ168" s="301"/>
      <c r="AK168" s="301"/>
      <c r="AL168" s="301"/>
      <c r="AM168" s="301"/>
      <c r="AN168" s="301"/>
      <c r="AO168" s="301"/>
      <c r="AP168" s="301"/>
    </row>
    <row r="169" spans="10:42" ht="13.5" customHeight="1">
      <c r="J169" s="301"/>
      <c r="K169" s="301"/>
      <c r="L169" s="301"/>
      <c r="M169" s="301"/>
      <c r="N169" s="301"/>
      <c r="O169" s="301"/>
      <c r="P169" s="301"/>
      <c r="Q169" s="301"/>
      <c r="R169" s="301"/>
      <c r="S169" s="301"/>
      <c r="T169" s="301"/>
      <c r="U169" s="301"/>
      <c r="V169" s="301"/>
      <c r="W169" s="301"/>
      <c r="X169" s="301"/>
      <c r="Y169" s="301"/>
      <c r="Z169" s="301"/>
      <c r="AA169" s="301"/>
      <c r="AB169" s="301"/>
      <c r="AC169" s="301"/>
      <c r="AD169" s="301"/>
      <c r="AE169" s="301"/>
      <c r="AF169" s="301"/>
      <c r="AG169" s="301"/>
      <c r="AH169" s="301"/>
      <c r="AI169" s="301"/>
      <c r="AJ169" s="301"/>
      <c r="AK169" s="301"/>
      <c r="AL169" s="301"/>
      <c r="AM169" s="301"/>
      <c r="AN169" s="301"/>
      <c r="AO169" s="301"/>
      <c r="AP169" s="301"/>
    </row>
    <row r="170" spans="10:42" ht="13.5" customHeight="1">
      <c r="J170" s="301"/>
      <c r="K170" s="301"/>
      <c r="L170" s="301"/>
      <c r="M170" s="301"/>
      <c r="N170" s="301"/>
      <c r="O170" s="301"/>
      <c r="P170" s="301"/>
      <c r="Q170" s="301"/>
      <c r="R170" s="301"/>
      <c r="S170" s="301"/>
      <c r="T170" s="301"/>
      <c r="U170" s="301"/>
      <c r="V170" s="301"/>
      <c r="W170" s="301"/>
      <c r="X170" s="301"/>
      <c r="Y170" s="301"/>
      <c r="Z170" s="301"/>
      <c r="AA170" s="301"/>
      <c r="AB170" s="301"/>
      <c r="AC170" s="301"/>
      <c r="AD170" s="301"/>
      <c r="AE170" s="301"/>
      <c r="AF170" s="301"/>
      <c r="AG170" s="301"/>
      <c r="AH170" s="301"/>
      <c r="AI170" s="301"/>
      <c r="AJ170" s="301"/>
      <c r="AK170" s="301"/>
      <c r="AL170" s="301"/>
      <c r="AM170" s="301"/>
      <c r="AN170" s="301"/>
      <c r="AO170" s="301"/>
      <c r="AP170" s="301"/>
    </row>
    <row r="171" spans="10:42" ht="13.5" customHeight="1">
      <c r="J171" s="301"/>
      <c r="K171" s="301"/>
      <c r="L171" s="301"/>
      <c r="M171" s="301"/>
      <c r="N171" s="301"/>
      <c r="O171" s="301"/>
      <c r="P171" s="301"/>
      <c r="Q171" s="301"/>
      <c r="R171" s="301"/>
      <c r="S171" s="301"/>
      <c r="T171" s="301"/>
      <c r="U171" s="301"/>
      <c r="V171" s="301"/>
      <c r="W171" s="301"/>
      <c r="X171" s="301"/>
      <c r="Y171" s="301"/>
      <c r="Z171" s="301"/>
      <c r="AA171" s="301"/>
      <c r="AB171" s="301"/>
      <c r="AC171" s="301"/>
      <c r="AD171" s="301"/>
      <c r="AE171" s="301"/>
      <c r="AF171" s="301"/>
      <c r="AG171" s="301"/>
      <c r="AH171" s="301"/>
      <c r="AI171" s="301"/>
      <c r="AJ171" s="301"/>
      <c r="AK171" s="301"/>
      <c r="AL171" s="301"/>
      <c r="AM171" s="301"/>
      <c r="AN171" s="301"/>
      <c r="AO171" s="301"/>
      <c r="AP171" s="301"/>
    </row>
    <row r="172" spans="10:42" ht="13.5" customHeight="1">
      <c r="J172" s="301"/>
      <c r="K172" s="301"/>
      <c r="L172" s="301"/>
      <c r="M172" s="301"/>
      <c r="N172" s="301"/>
      <c r="O172" s="301"/>
      <c r="P172" s="301"/>
      <c r="Q172" s="301"/>
      <c r="R172" s="301"/>
      <c r="S172" s="301"/>
      <c r="T172" s="301"/>
      <c r="U172" s="301"/>
      <c r="V172" s="301"/>
      <c r="W172" s="301"/>
      <c r="X172" s="301"/>
      <c r="Y172" s="301"/>
      <c r="Z172" s="301"/>
      <c r="AA172" s="301"/>
      <c r="AB172" s="301"/>
      <c r="AC172" s="301"/>
      <c r="AD172" s="301"/>
      <c r="AE172" s="301"/>
      <c r="AF172" s="301"/>
      <c r="AG172" s="301"/>
      <c r="AH172" s="301"/>
      <c r="AI172" s="301"/>
      <c r="AJ172" s="301"/>
      <c r="AK172" s="301"/>
      <c r="AL172" s="301"/>
      <c r="AM172" s="301"/>
      <c r="AN172" s="301"/>
      <c r="AO172" s="301"/>
      <c r="AP172" s="301"/>
    </row>
    <row r="173" spans="10:42" ht="13.5" customHeight="1">
      <c r="J173" s="301"/>
      <c r="K173" s="301"/>
      <c r="L173" s="301"/>
      <c r="M173" s="301"/>
      <c r="N173" s="301"/>
      <c r="O173" s="301"/>
      <c r="P173" s="301"/>
      <c r="Q173" s="301"/>
      <c r="R173" s="301"/>
      <c r="S173" s="301"/>
      <c r="T173" s="301"/>
      <c r="U173" s="301"/>
      <c r="V173" s="301"/>
      <c r="W173" s="301"/>
      <c r="X173" s="301"/>
      <c r="Y173" s="301"/>
      <c r="Z173" s="301"/>
      <c r="AA173" s="301"/>
      <c r="AB173" s="301"/>
      <c r="AC173" s="301"/>
      <c r="AD173" s="301"/>
      <c r="AE173" s="301"/>
      <c r="AF173" s="301"/>
      <c r="AG173" s="301"/>
      <c r="AH173" s="301"/>
      <c r="AI173" s="301"/>
      <c r="AJ173" s="301"/>
      <c r="AK173" s="301"/>
      <c r="AL173" s="301"/>
      <c r="AM173" s="301"/>
      <c r="AN173" s="301"/>
      <c r="AO173" s="301"/>
      <c r="AP173" s="301"/>
    </row>
    <row r="174" spans="10:42" ht="13.5" customHeight="1">
      <c r="J174" s="301"/>
      <c r="K174" s="301"/>
      <c r="L174" s="301"/>
      <c r="M174" s="301"/>
      <c r="N174" s="301"/>
      <c r="O174" s="301"/>
      <c r="P174" s="301"/>
      <c r="Q174" s="301"/>
      <c r="R174" s="301"/>
      <c r="S174" s="301"/>
      <c r="T174" s="301"/>
      <c r="U174" s="301"/>
      <c r="V174" s="301"/>
      <c r="W174" s="301"/>
      <c r="X174" s="301"/>
      <c r="Y174" s="301"/>
      <c r="Z174" s="301"/>
      <c r="AA174" s="301"/>
      <c r="AB174" s="301"/>
      <c r="AC174" s="301"/>
      <c r="AD174" s="301"/>
      <c r="AE174" s="301"/>
      <c r="AF174" s="301"/>
      <c r="AG174" s="301"/>
      <c r="AH174" s="301"/>
      <c r="AI174" s="301"/>
      <c r="AJ174" s="301"/>
      <c r="AK174" s="301"/>
      <c r="AL174" s="301"/>
      <c r="AM174" s="301"/>
      <c r="AN174" s="301"/>
      <c r="AO174" s="301"/>
      <c r="AP174" s="301"/>
    </row>
    <row r="175" spans="10:42" ht="13.5" customHeight="1">
      <c r="J175" s="301"/>
      <c r="K175" s="301"/>
      <c r="L175" s="301"/>
      <c r="M175" s="301"/>
      <c r="N175" s="301"/>
      <c r="O175" s="301"/>
      <c r="P175" s="301"/>
      <c r="Q175" s="301"/>
      <c r="R175" s="301"/>
      <c r="S175" s="301"/>
      <c r="T175" s="301"/>
      <c r="U175" s="301"/>
      <c r="V175" s="301"/>
      <c r="W175" s="301"/>
      <c r="X175" s="301"/>
      <c r="Y175" s="301"/>
      <c r="Z175" s="301"/>
      <c r="AA175" s="301"/>
      <c r="AB175" s="301"/>
      <c r="AC175" s="301"/>
      <c r="AD175" s="301"/>
      <c r="AE175" s="301"/>
      <c r="AF175" s="301"/>
      <c r="AG175" s="301"/>
      <c r="AH175" s="301"/>
      <c r="AI175" s="301"/>
      <c r="AJ175" s="301"/>
      <c r="AK175" s="301"/>
      <c r="AL175" s="301"/>
      <c r="AM175" s="301"/>
      <c r="AN175" s="301"/>
      <c r="AO175" s="301"/>
      <c r="AP175" s="301"/>
    </row>
    <row r="176" spans="10:42" ht="13.5" customHeight="1">
      <c r="J176" s="301"/>
      <c r="K176" s="301"/>
      <c r="L176" s="301"/>
      <c r="M176" s="301"/>
      <c r="N176" s="301"/>
      <c r="O176" s="301"/>
      <c r="P176" s="301"/>
      <c r="Q176" s="301"/>
      <c r="R176" s="301"/>
      <c r="S176" s="301"/>
      <c r="T176" s="301"/>
      <c r="U176" s="301"/>
      <c r="V176" s="301"/>
      <c r="W176" s="301"/>
      <c r="X176" s="301"/>
      <c r="Y176" s="301"/>
      <c r="Z176" s="301"/>
      <c r="AA176" s="301"/>
      <c r="AB176" s="301"/>
      <c r="AC176" s="301"/>
      <c r="AD176" s="301"/>
      <c r="AE176" s="301"/>
      <c r="AF176" s="301"/>
      <c r="AG176" s="301"/>
      <c r="AH176" s="301"/>
      <c r="AI176" s="301"/>
      <c r="AJ176" s="301"/>
      <c r="AK176" s="301"/>
      <c r="AL176" s="301"/>
      <c r="AM176" s="301"/>
      <c r="AN176" s="301"/>
      <c r="AO176" s="301"/>
      <c r="AP176" s="301"/>
    </row>
    <row r="177" spans="10:42" ht="13.5" customHeight="1">
      <c r="J177" s="301"/>
      <c r="K177" s="301"/>
      <c r="L177" s="301"/>
      <c r="M177" s="301"/>
      <c r="N177" s="301"/>
      <c r="O177" s="301"/>
      <c r="P177" s="301"/>
      <c r="Q177" s="301"/>
      <c r="R177" s="301"/>
      <c r="S177" s="301"/>
      <c r="T177" s="301"/>
      <c r="U177" s="301"/>
      <c r="V177" s="301"/>
      <c r="W177" s="301"/>
      <c r="X177" s="301"/>
      <c r="Y177" s="301"/>
      <c r="Z177" s="301"/>
      <c r="AA177" s="301"/>
      <c r="AB177" s="301"/>
      <c r="AC177" s="301"/>
      <c r="AD177" s="301"/>
      <c r="AE177" s="301"/>
      <c r="AF177" s="301"/>
      <c r="AG177" s="301"/>
      <c r="AH177" s="301"/>
      <c r="AI177" s="301"/>
      <c r="AJ177" s="301"/>
      <c r="AK177" s="301"/>
      <c r="AL177" s="301"/>
      <c r="AM177" s="301"/>
      <c r="AN177" s="301"/>
      <c r="AO177" s="301"/>
      <c r="AP177" s="301"/>
    </row>
    <row r="178" spans="10:42" ht="13.5" customHeight="1">
      <c r="J178" s="301"/>
      <c r="K178" s="301"/>
      <c r="L178" s="301"/>
      <c r="M178" s="301"/>
      <c r="N178" s="301"/>
      <c r="O178" s="301"/>
      <c r="P178" s="301"/>
      <c r="Q178" s="301"/>
      <c r="R178" s="301"/>
      <c r="S178" s="301"/>
      <c r="T178" s="301"/>
      <c r="U178" s="301"/>
      <c r="V178" s="301"/>
      <c r="W178" s="301"/>
      <c r="X178" s="301"/>
      <c r="Y178" s="301"/>
      <c r="Z178" s="301"/>
      <c r="AA178" s="301"/>
      <c r="AB178" s="301"/>
      <c r="AC178" s="301"/>
      <c r="AD178" s="301"/>
      <c r="AE178" s="301"/>
      <c r="AF178" s="301"/>
      <c r="AG178" s="301"/>
      <c r="AH178" s="301"/>
      <c r="AI178" s="301"/>
      <c r="AJ178" s="301"/>
      <c r="AK178" s="301"/>
      <c r="AL178" s="301"/>
      <c r="AM178" s="301"/>
      <c r="AN178" s="301"/>
      <c r="AO178" s="301"/>
      <c r="AP178" s="301"/>
    </row>
    <row r="179" spans="10:42" ht="13.5" customHeight="1">
      <c r="J179" s="301"/>
      <c r="K179" s="301"/>
      <c r="L179" s="301"/>
      <c r="M179" s="301"/>
      <c r="N179" s="301"/>
      <c r="O179" s="301"/>
      <c r="P179" s="301"/>
      <c r="Q179" s="301"/>
      <c r="R179" s="301"/>
      <c r="S179" s="301"/>
      <c r="T179" s="301"/>
      <c r="U179" s="301"/>
      <c r="V179" s="301"/>
      <c r="W179" s="301"/>
      <c r="X179" s="301"/>
      <c r="Y179" s="301"/>
      <c r="Z179" s="301"/>
      <c r="AA179" s="301"/>
      <c r="AB179" s="301"/>
      <c r="AC179" s="301"/>
      <c r="AD179" s="301"/>
      <c r="AE179" s="301"/>
      <c r="AF179" s="301"/>
      <c r="AG179" s="301"/>
      <c r="AH179" s="301"/>
      <c r="AI179" s="301"/>
      <c r="AJ179" s="301"/>
      <c r="AK179" s="301"/>
      <c r="AL179" s="301"/>
      <c r="AM179" s="301"/>
      <c r="AN179" s="301"/>
      <c r="AO179" s="301"/>
      <c r="AP179" s="301"/>
    </row>
    <row r="180" spans="10:42" ht="13.5" customHeight="1">
      <c r="J180" s="301"/>
      <c r="K180" s="301"/>
      <c r="L180" s="301"/>
      <c r="M180" s="301"/>
      <c r="N180" s="301"/>
      <c r="O180" s="301"/>
      <c r="P180" s="301"/>
      <c r="Q180" s="301"/>
      <c r="R180" s="301"/>
      <c r="S180" s="301"/>
      <c r="T180" s="301"/>
      <c r="U180" s="301"/>
      <c r="V180" s="301"/>
      <c r="W180" s="301"/>
      <c r="X180" s="301"/>
      <c r="Y180" s="301"/>
      <c r="Z180" s="301"/>
      <c r="AA180" s="301"/>
      <c r="AB180" s="301"/>
      <c r="AC180" s="301"/>
      <c r="AD180" s="301"/>
      <c r="AE180" s="301"/>
      <c r="AF180" s="301"/>
      <c r="AG180" s="301"/>
      <c r="AH180" s="301"/>
      <c r="AI180" s="301"/>
      <c r="AJ180" s="301"/>
      <c r="AK180" s="301"/>
      <c r="AL180" s="301"/>
      <c r="AM180" s="301"/>
      <c r="AN180" s="301"/>
      <c r="AO180" s="301"/>
      <c r="AP180" s="301"/>
    </row>
    <row r="181" spans="10:42" ht="13.5" customHeight="1">
      <c r="J181" s="301"/>
      <c r="K181" s="301"/>
      <c r="L181" s="301"/>
      <c r="M181" s="301"/>
      <c r="N181" s="301"/>
      <c r="O181" s="301"/>
      <c r="P181" s="301"/>
      <c r="Q181" s="301"/>
      <c r="R181" s="301"/>
      <c r="S181" s="301"/>
      <c r="T181" s="301"/>
      <c r="U181" s="301"/>
      <c r="V181" s="301"/>
      <c r="W181" s="301"/>
      <c r="X181" s="301"/>
      <c r="Y181" s="301"/>
      <c r="Z181" s="301"/>
      <c r="AA181" s="301"/>
      <c r="AB181" s="301"/>
      <c r="AC181" s="301"/>
      <c r="AD181" s="301"/>
      <c r="AE181" s="301"/>
      <c r="AF181" s="301"/>
      <c r="AG181" s="301"/>
      <c r="AH181" s="301"/>
      <c r="AI181" s="301"/>
      <c r="AJ181" s="301"/>
      <c r="AK181" s="301"/>
      <c r="AL181" s="301"/>
      <c r="AM181" s="301"/>
      <c r="AN181" s="301"/>
      <c r="AO181" s="301"/>
      <c r="AP181" s="301"/>
    </row>
    <row r="182" spans="10:42" ht="13.5" customHeight="1">
      <c r="J182" s="301"/>
      <c r="K182" s="301"/>
      <c r="L182" s="301"/>
      <c r="M182" s="301"/>
      <c r="N182" s="301"/>
      <c r="O182" s="301"/>
      <c r="P182" s="301"/>
      <c r="Q182" s="301"/>
      <c r="R182" s="301"/>
      <c r="S182" s="301"/>
      <c r="T182" s="301"/>
      <c r="U182" s="301"/>
      <c r="V182" s="301"/>
      <c r="W182" s="301"/>
      <c r="X182" s="301"/>
      <c r="Y182" s="301"/>
      <c r="Z182" s="301"/>
      <c r="AA182" s="301"/>
      <c r="AB182" s="301"/>
      <c r="AC182" s="301"/>
      <c r="AD182" s="301"/>
      <c r="AE182" s="301"/>
      <c r="AF182" s="301"/>
      <c r="AG182" s="301"/>
      <c r="AH182" s="301"/>
      <c r="AI182" s="301"/>
      <c r="AJ182" s="301"/>
      <c r="AK182" s="301"/>
      <c r="AL182" s="301"/>
      <c r="AM182" s="301"/>
      <c r="AN182" s="301"/>
      <c r="AO182" s="301"/>
      <c r="AP182" s="301"/>
    </row>
    <row r="183" spans="10:42" ht="13.5" customHeight="1">
      <c r="J183" s="301"/>
      <c r="K183" s="301"/>
      <c r="L183" s="301"/>
      <c r="M183" s="301"/>
      <c r="N183" s="301"/>
      <c r="O183" s="301"/>
      <c r="P183" s="301"/>
      <c r="Q183" s="301"/>
      <c r="R183" s="301"/>
      <c r="S183" s="301"/>
      <c r="T183" s="301"/>
      <c r="U183" s="301"/>
      <c r="V183" s="301"/>
      <c r="W183" s="301"/>
      <c r="X183" s="301"/>
      <c r="Y183" s="301"/>
      <c r="Z183" s="301"/>
      <c r="AA183" s="301"/>
      <c r="AB183" s="301"/>
      <c r="AC183" s="301"/>
      <c r="AD183" s="301"/>
      <c r="AE183" s="301"/>
      <c r="AF183" s="301"/>
      <c r="AG183" s="301"/>
      <c r="AH183" s="301"/>
      <c r="AI183" s="301"/>
      <c r="AJ183" s="301"/>
      <c r="AK183" s="301"/>
      <c r="AL183" s="301"/>
      <c r="AM183" s="301"/>
      <c r="AN183" s="301"/>
      <c r="AO183" s="301"/>
      <c r="AP183" s="301"/>
    </row>
    <row r="184" spans="10:42" ht="13.5" customHeight="1">
      <c r="J184" s="301"/>
      <c r="K184" s="301"/>
      <c r="L184" s="301"/>
      <c r="M184" s="301"/>
      <c r="N184" s="301"/>
      <c r="O184" s="301"/>
      <c r="P184" s="301"/>
      <c r="Q184" s="301"/>
      <c r="R184" s="301"/>
      <c r="S184" s="301"/>
      <c r="T184" s="301"/>
      <c r="U184" s="301"/>
      <c r="V184" s="301"/>
      <c r="W184" s="301"/>
      <c r="X184" s="301"/>
      <c r="Y184" s="301"/>
      <c r="Z184" s="301"/>
      <c r="AA184" s="301"/>
      <c r="AB184" s="301"/>
      <c r="AC184" s="301"/>
      <c r="AD184" s="301"/>
      <c r="AE184" s="301"/>
      <c r="AF184" s="301"/>
      <c r="AG184" s="301"/>
      <c r="AH184" s="301"/>
      <c r="AI184" s="301"/>
      <c r="AJ184" s="301"/>
      <c r="AK184" s="301"/>
      <c r="AL184" s="301"/>
      <c r="AM184" s="301"/>
      <c r="AN184" s="301"/>
      <c r="AO184" s="301"/>
      <c r="AP184" s="301"/>
    </row>
    <row r="185" spans="10:42" ht="13.5" customHeight="1">
      <c r="J185" s="301"/>
      <c r="K185" s="301"/>
      <c r="L185" s="301"/>
      <c r="M185" s="301"/>
      <c r="N185" s="301"/>
      <c r="O185" s="301"/>
      <c r="P185" s="301"/>
      <c r="Q185" s="301"/>
      <c r="R185" s="301"/>
      <c r="S185" s="301"/>
      <c r="T185" s="301"/>
      <c r="U185" s="301"/>
      <c r="V185" s="301"/>
      <c r="W185" s="301"/>
      <c r="X185" s="301"/>
      <c r="Y185" s="301"/>
      <c r="Z185" s="301"/>
      <c r="AA185" s="301"/>
      <c r="AB185" s="301"/>
      <c r="AC185" s="301"/>
      <c r="AD185" s="301"/>
      <c r="AE185" s="301"/>
      <c r="AF185" s="301"/>
      <c r="AG185" s="301"/>
      <c r="AH185" s="301"/>
      <c r="AI185" s="301"/>
      <c r="AJ185" s="301"/>
      <c r="AK185" s="301"/>
      <c r="AL185" s="301"/>
      <c r="AM185" s="301"/>
      <c r="AN185" s="301"/>
      <c r="AO185" s="301"/>
      <c r="AP185" s="301"/>
    </row>
    <row r="186" spans="10:42" ht="13.5" customHeight="1">
      <c r="J186" s="301"/>
      <c r="K186" s="301"/>
      <c r="L186" s="301"/>
      <c r="M186" s="301"/>
      <c r="N186" s="301"/>
      <c r="O186" s="301"/>
      <c r="P186" s="301"/>
      <c r="Q186" s="301"/>
      <c r="R186" s="301"/>
      <c r="S186" s="301"/>
      <c r="T186" s="301"/>
      <c r="U186" s="301"/>
      <c r="V186" s="301"/>
      <c r="W186" s="301"/>
      <c r="X186" s="301"/>
      <c r="Y186" s="301"/>
      <c r="Z186" s="301"/>
      <c r="AA186" s="301"/>
      <c r="AB186" s="301"/>
      <c r="AC186" s="301"/>
      <c r="AD186" s="301"/>
      <c r="AE186" s="301"/>
      <c r="AF186" s="301"/>
      <c r="AG186" s="301"/>
      <c r="AH186" s="301"/>
      <c r="AI186" s="301"/>
      <c r="AJ186" s="301"/>
      <c r="AK186" s="301"/>
      <c r="AL186" s="301"/>
      <c r="AM186" s="301"/>
      <c r="AN186" s="301"/>
      <c r="AO186" s="301"/>
      <c r="AP186" s="301"/>
    </row>
    <row r="187" spans="10:42" ht="13.5" customHeight="1">
      <c r="J187" s="301"/>
      <c r="K187" s="301"/>
      <c r="L187" s="301"/>
      <c r="M187" s="301"/>
      <c r="N187" s="301"/>
      <c r="O187" s="301"/>
      <c r="P187" s="301"/>
      <c r="Q187" s="301"/>
      <c r="R187" s="301"/>
      <c r="S187" s="301"/>
      <c r="T187" s="301"/>
      <c r="U187" s="301"/>
      <c r="V187" s="301"/>
      <c r="W187" s="301"/>
      <c r="X187" s="301"/>
      <c r="Y187" s="301"/>
      <c r="Z187" s="301"/>
      <c r="AA187" s="301"/>
      <c r="AB187" s="301"/>
      <c r="AC187" s="301"/>
      <c r="AD187" s="301"/>
      <c r="AE187" s="301"/>
      <c r="AF187" s="301"/>
      <c r="AG187" s="301"/>
      <c r="AH187" s="301"/>
      <c r="AI187" s="301"/>
      <c r="AJ187" s="301"/>
      <c r="AK187" s="301"/>
      <c r="AL187" s="301"/>
      <c r="AM187" s="301"/>
      <c r="AN187" s="301"/>
      <c r="AO187" s="301"/>
      <c r="AP187" s="301"/>
    </row>
    <row r="188" spans="10:42" ht="13.5" customHeight="1">
      <c r="J188" s="301"/>
      <c r="K188" s="301"/>
      <c r="L188" s="301"/>
      <c r="M188" s="301"/>
      <c r="N188" s="301"/>
      <c r="O188" s="301"/>
      <c r="P188" s="301"/>
      <c r="Q188" s="301"/>
      <c r="R188" s="301"/>
      <c r="S188" s="301"/>
      <c r="T188" s="301"/>
      <c r="U188" s="301"/>
      <c r="V188" s="301"/>
      <c r="W188" s="301"/>
      <c r="X188" s="301"/>
      <c r="Y188" s="301"/>
      <c r="Z188" s="301"/>
      <c r="AA188" s="301"/>
      <c r="AB188" s="301"/>
      <c r="AC188" s="301"/>
      <c r="AD188" s="301"/>
      <c r="AE188" s="301"/>
      <c r="AF188" s="301"/>
      <c r="AG188" s="301"/>
      <c r="AH188" s="301"/>
      <c r="AI188" s="301"/>
      <c r="AJ188" s="301"/>
      <c r="AK188" s="301"/>
      <c r="AL188" s="301"/>
      <c r="AM188" s="301"/>
      <c r="AN188" s="301"/>
      <c r="AO188" s="301"/>
      <c r="AP188" s="301"/>
    </row>
    <row r="189" spans="10:42" ht="13.5" customHeight="1">
      <c r="J189" s="301"/>
      <c r="K189" s="301"/>
      <c r="L189" s="301"/>
      <c r="M189" s="301"/>
      <c r="N189" s="301"/>
      <c r="O189" s="301"/>
      <c r="P189" s="301"/>
      <c r="Q189" s="301"/>
      <c r="R189" s="301"/>
      <c r="S189" s="301"/>
      <c r="T189" s="301"/>
      <c r="U189" s="301"/>
      <c r="V189" s="301"/>
      <c r="W189" s="301"/>
      <c r="X189" s="301"/>
      <c r="Y189" s="301"/>
      <c r="Z189" s="301"/>
      <c r="AA189" s="301"/>
      <c r="AB189" s="301"/>
      <c r="AC189" s="301"/>
      <c r="AD189" s="301"/>
      <c r="AE189" s="301"/>
      <c r="AF189" s="301"/>
      <c r="AG189" s="301"/>
      <c r="AH189" s="301"/>
      <c r="AI189" s="301"/>
      <c r="AJ189" s="301"/>
      <c r="AK189" s="301"/>
      <c r="AL189" s="301"/>
      <c r="AM189" s="301"/>
      <c r="AN189" s="301"/>
      <c r="AO189" s="301"/>
      <c r="AP189" s="301"/>
    </row>
    <row r="190" spans="10:42" ht="13.5" customHeight="1">
      <c r="J190" s="301"/>
      <c r="K190" s="301"/>
      <c r="L190" s="301"/>
      <c r="M190" s="301"/>
      <c r="N190" s="301"/>
      <c r="O190" s="301"/>
      <c r="P190" s="301"/>
      <c r="Q190" s="301"/>
      <c r="R190" s="301"/>
      <c r="S190" s="301"/>
      <c r="T190" s="301"/>
      <c r="U190" s="301"/>
      <c r="V190" s="301"/>
      <c r="W190" s="301"/>
      <c r="X190" s="301"/>
      <c r="Y190" s="301"/>
      <c r="Z190" s="301"/>
      <c r="AA190" s="301"/>
      <c r="AB190" s="301"/>
      <c r="AC190" s="301"/>
      <c r="AD190" s="301"/>
      <c r="AE190" s="301"/>
      <c r="AF190" s="301"/>
      <c r="AG190" s="301"/>
      <c r="AH190" s="301"/>
      <c r="AI190" s="301"/>
      <c r="AJ190" s="301"/>
      <c r="AK190" s="301"/>
      <c r="AL190" s="301"/>
      <c r="AM190" s="301"/>
      <c r="AN190" s="301"/>
      <c r="AO190" s="301"/>
      <c r="AP190" s="301"/>
    </row>
    <row r="191" spans="10:42" ht="13.5" customHeight="1">
      <c r="J191" s="301"/>
      <c r="K191" s="301"/>
      <c r="L191" s="301"/>
      <c r="M191" s="301"/>
      <c r="N191" s="301"/>
      <c r="O191" s="301"/>
      <c r="P191" s="301"/>
      <c r="Q191" s="301"/>
      <c r="R191" s="301"/>
      <c r="S191" s="301"/>
      <c r="T191" s="301"/>
      <c r="U191" s="301"/>
      <c r="V191" s="301"/>
      <c r="W191" s="301"/>
      <c r="X191" s="301"/>
      <c r="Y191" s="301"/>
      <c r="Z191" s="301"/>
      <c r="AA191" s="301"/>
      <c r="AB191" s="301"/>
      <c r="AC191" s="301"/>
      <c r="AD191" s="301"/>
      <c r="AE191" s="301"/>
      <c r="AF191" s="301"/>
      <c r="AG191" s="301"/>
      <c r="AH191" s="301"/>
      <c r="AI191" s="301"/>
      <c r="AJ191" s="301"/>
      <c r="AK191" s="301"/>
      <c r="AL191" s="301"/>
      <c r="AM191" s="301"/>
      <c r="AN191" s="301"/>
      <c r="AO191" s="301"/>
      <c r="AP191" s="301"/>
    </row>
    <row r="192" spans="10:42" ht="13.5" customHeight="1">
      <c r="J192" s="301"/>
      <c r="K192" s="301"/>
      <c r="L192" s="301"/>
      <c r="M192" s="301"/>
      <c r="N192" s="301"/>
      <c r="O192" s="301"/>
      <c r="P192" s="301"/>
      <c r="Q192" s="301"/>
      <c r="R192" s="301"/>
      <c r="S192" s="301"/>
      <c r="T192" s="301"/>
      <c r="U192" s="301"/>
      <c r="V192" s="301"/>
      <c r="W192" s="301"/>
      <c r="X192" s="301"/>
      <c r="Y192" s="301"/>
      <c r="Z192" s="301"/>
      <c r="AA192" s="301"/>
      <c r="AB192" s="301"/>
      <c r="AC192" s="301"/>
      <c r="AD192" s="301"/>
      <c r="AE192" s="301"/>
      <c r="AF192" s="301"/>
      <c r="AG192" s="301"/>
      <c r="AH192" s="301"/>
      <c r="AI192" s="301"/>
      <c r="AJ192" s="301"/>
      <c r="AK192" s="301"/>
      <c r="AL192" s="301"/>
      <c r="AM192" s="301"/>
      <c r="AN192" s="301"/>
      <c r="AO192" s="301"/>
      <c r="AP192" s="301"/>
    </row>
    <row r="193" spans="10:42" ht="13.5" customHeight="1">
      <c r="J193" s="301"/>
      <c r="K193" s="301"/>
      <c r="L193" s="301"/>
      <c r="M193" s="301"/>
      <c r="N193" s="301"/>
      <c r="O193" s="301"/>
      <c r="P193" s="301"/>
      <c r="Q193" s="301"/>
      <c r="R193" s="301"/>
      <c r="S193" s="301"/>
      <c r="T193" s="301"/>
      <c r="U193" s="301"/>
      <c r="V193" s="301"/>
      <c r="W193" s="301"/>
      <c r="X193" s="301"/>
      <c r="Y193" s="301"/>
      <c r="Z193" s="301"/>
      <c r="AA193" s="301"/>
      <c r="AB193" s="301"/>
      <c r="AC193" s="301"/>
      <c r="AD193" s="301"/>
      <c r="AE193" s="301"/>
      <c r="AF193" s="301"/>
      <c r="AG193" s="301"/>
      <c r="AH193" s="301"/>
      <c r="AI193" s="301"/>
      <c r="AJ193" s="301"/>
      <c r="AK193" s="301"/>
      <c r="AL193" s="301"/>
      <c r="AM193" s="301"/>
      <c r="AN193" s="301"/>
      <c r="AO193" s="301"/>
      <c r="AP193" s="301"/>
    </row>
    <row r="194" spans="10:42" ht="13.5" customHeight="1">
      <c r="J194" s="301"/>
      <c r="K194" s="301"/>
      <c r="L194" s="301"/>
      <c r="M194" s="301"/>
      <c r="N194" s="301"/>
      <c r="O194" s="301"/>
      <c r="P194" s="301"/>
      <c r="Q194" s="301"/>
      <c r="R194" s="301"/>
      <c r="S194" s="301"/>
      <c r="T194" s="301"/>
      <c r="U194" s="301"/>
      <c r="V194" s="301"/>
      <c r="W194" s="301"/>
      <c r="X194" s="301"/>
      <c r="Y194" s="301"/>
      <c r="Z194" s="301"/>
      <c r="AA194" s="301"/>
      <c r="AB194" s="301"/>
      <c r="AC194" s="301"/>
      <c r="AD194" s="301"/>
      <c r="AE194" s="301"/>
      <c r="AF194" s="301"/>
      <c r="AG194" s="301"/>
      <c r="AH194" s="301"/>
      <c r="AI194" s="301"/>
      <c r="AJ194" s="301"/>
      <c r="AK194" s="301"/>
      <c r="AL194" s="301"/>
      <c r="AM194" s="301"/>
      <c r="AN194" s="301"/>
      <c r="AO194" s="301"/>
      <c r="AP194" s="301"/>
    </row>
    <row r="195" spans="10:42" ht="13.5" customHeight="1">
      <c r="J195" s="301"/>
      <c r="K195" s="301"/>
      <c r="L195" s="301"/>
      <c r="M195" s="301"/>
      <c r="N195" s="301"/>
      <c r="O195" s="301"/>
      <c r="P195" s="301"/>
      <c r="Q195" s="301"/>
      <c r="R195" s="301"/>
      <c r="S195" s="301"/>
      <c r="T195" s="301"/>
      <c r="U195" s="301"/>
      <c r="V195" s="301"/>
      <c r="W195" s="301"/>
      <c r="X195" s="301"/>
      <c r="Y195" s="301"/>
      <c r="Z195" s="301"/>
      <c r="AA195" s="301"/>
      <c r="AB195" s="301"/>
      <c r="AC195" s="301"/>
      <c r="AD195" s="301"/>
      <c r="AE195" s="301"/>
      <c r="AF195" s="301"/>
      <c r="AG195" s="301"/>
      <c r="AH195" s="301"/>
      <c r="AI195" s="301"/>
      <c r="AJ195" s="301"/>
      <c r="AK195" s="301"/>
      <c r="AL195" s="301"/>
      <c r="AM195" s="301"/>
      <c r="AN195" s="301"/>
      <c r="AO195" s="301"/>
      <c r="AP195" s="301"/>
    </row>
    <row r="196" spans="10:42" ht="13.5" customHeight="1">
      <c r="J196" s="301"/>
      <c r="K196" s="301"/>
      <c r="L196" s="301"/>
      <c r="M196" s="301"/>
      <c r="N196" s="301"/>
      <c r="O196" s="301"/>
      <c r="P196" s="301"/>
      <c r="Q196" s="301"/>
      <c r="R196" s="301"/>
      <c r="S196" s="301"/>
      <c r="T196" s="301"/>
      <c r="U196" s="301"/>
      <c r="V196" s="301"/>
      <c r="W196" s="301"/>
      <c r="X196" s="301"/>
      <c r="Y196" s="301"/>
      <c r="Z196" s="301"/>
      <c r="AA196" s="301"/>
      <c r="AB196" s="301"/>
      <c r="AC196" s="301"/>
      <c r="AD196" s="301"/>
      <c r="AE196" s="301"/>
      <c r="AF196" s="301"/>
      <c r="AG196" s="301"/>
      <c r="AH196" s="301"/>
      <c r="AI196" s="301"/>
      <c r="AJ196" s="301"/>
      <c r="AK196" s="301"/>
      <c r="AL196" s="301"/>
      <c r="AM196" s="301"/>
      <c r="AN196" s="301"/>
      <c r="AO196" s="301"/>
      <c r="AP196" s="301"/>
    </row>
    <row r="197" spans="10:42" ht="13.5" customHeight="1">
      <c r="J197" s="301"/>
      <c r="K197" s="301"/>
      <c r="L197" s="301"/>
      <c r="M197" s="301"/>
      <c r="N197" s="301"/>
      <c r="O197" s="301"/>
      <c r="P197" s="301"/>
      <c r="Q197" s="301"/>
      <c r="R197" s="301"/>
      <c r="S197" s="301"/>
      <c r="T197" s="301"/>
      <c r="U197" s="301"/>
      <c r="V197" s="301"/>
      <c r="W197" s="301"/>
      <c r="X197" s="301"/>
      <c r="Y197" s="301"/>
      <c r="Z197" s="301"/>
      <c r="AA197" s="301"/>
      <c r="AB197" s="301"/>
      <c r="AC197" s="301"/>
      <c r="AD197" s="301"/>
      <c r="AE197" s="301"/>
      <c r="AF197" s="301"/>
      <c r="AG197" s="301"/>
      <c r="AH197" s="301"/>
      <c r="AI197" s="301"/>
      <c r="AJ197" s="301"/>
      <c r="AK197" s="301"/>
      <c r="AL197" s="301"/>
      <c r="AM197" s="301"/>
      <c r="AN197" s="301"/>
      <c r="AO197" s="301"/>
      <c r="AP197" s="301"/>
    </row>
    <row r="198" spans="10:42" ht="13.5" customHeight="1">
      <c r="J198" s="301"/>
      <c r="K198" s="301"/>
      <c r="L198" s="301"/>
      <c r="M198" s="301"/>
      <c r="N198" s="301"/>
      <c r="O198" s="301"/>
      <c r="P198" s="301"/>
      <c r="Q198" s="301"/>
      <c r="R198" s="301"/>
      <c r="S198" s="301"/>
      <c r="T198" s="301"/>
      <c r="U198" s="301"/>
      <c r="V198" s="301"/>
      <c r="W198" s="301"/>
      <c r="X198" s="301"/>
      <c r="Y198" s="301"/>
      <c r="Z198" s="301"/>
      <c r="AA198" s="301"/>
      <c r="AB198" s="301"/>
      <c r="AC198" s="301"/>
      <c r="AD198" s="301"/>
      <c r="AE198" s="301"/>
      <c r="AF198" s="301"/>
      <c r="AG198" s="301"/>
      <c r="AH198" s="301"/>
      <c r="AI198" s="301"/>
      <c r="AJ198" s="301"/>
      <c r="AK198" s="301"/>
      <c r="AL198" s="301"/>
      <c r="AM198" s="301"/>
      <c r="AN198" s="301"/>
      <c r="AO198" s="301"/>
      <c r="AP198" s="301"/>
    </row>
    <row r="199" spans="10:42" ht="13.5" customHeight="1">
      <c r="J199" s="301"/>
      <c r="K199" s="301"/>
      <c r="L199" s="301"/>
      <c r="M199" s="301"/>
      <c r="N199" s="301"/>
      <c r="O199" s="301"/>
      <c r="P199" s="301"/>
      <c r="Q199" s="301"/>
      <c r="R199" s="301"/>
      <c r="S199" s="301"/>
      <c r="T199" s="301"/>
      <c r="U199" s="301"/>
      <c r="V199" s="301"/>
      <c r="W199" s="301"/>
      <c r="X199" s="301"/>
      <c r="Y199" s="301"/>
      <c r="Z199" s="301"/>
      <c r="AA199" s="301"/>
      <c r="AB199" s="301"/>
      <c r="AC199" s="301"/>
      <c r="AD199" s="301"/>
      <c r="AE199" s="301"/>
      <c r="AF199" s="301"/>
      <c r="AG199" s="301"/>
      <c r="AH199" s="301"/>
      <c r="AI199" s="301"/>
      <c r="AJ199" s="301"/>
      <c r="AK199" s="301"/>
      <c r="AL199" s="301"/>
      <c r="AM199" s="301"/>
      <c r="AN199" s="301"/>
      <c r="AO199" s="301"/>
      <c r="AP199" s="301"/>
    </row>
    <row r="200" spans="10:42" ht="13.5" customHeight="1">
      <c r="J200" s="301"/>
      <c r="K200" s="301"/>
      <c r="L200" s="301"/>
      <c r="M200" s="301"/>
      <c r="N200" s="301"/>
      <c r="O200" s="301"/>
      <c r="P200" s="301"/>
      <c r="Q200" s="301"/>
      <c r="R200" s="301"/>
      <c r="S200" s="301"/>
      <c r="T200" s="301"/>
      <c r="U200" s="301"/>
      <c r="V200" s="301"/>
      <c r="W200" s="301"/>
      <c r="X200" s="301"/>
      <c r="Y200" s="301"/>
      <c r="Z200" s="301"/>
      <c r="AA200" s="301"/>
      <c r="AB200" s="301"/>
      <c r="AC200" s="301"/>
      <c r="AD200" s="301"/>
      <c r="AE200" s="301"/>
      <c r="AF200" s="301"/>
      <c r="AG200" s="301"/>
      <c r="AH200" s="301"/>
      <c r="AI200" s="301"/>
      <c r="AJ200" s="301"/>
      <c r="AK200" s="301"/>
      <c r="AL200" s="301"/>
      <c r="AM200" s="301"/>
      <c r="AN200" s="301"/>
      <c r="AO200" s="301"/>
      <c r="AP200" s="301"/>
    </row>
    <row r="201" spans="10:42" ht="13.5" customHeight="1">
      <c r="J201" s="301"/>
      <c r="K201" s="301"/>
      <c r="L201" s="301"/>
      <c r="M201" s="301"/>
      <c r="N201" s="301"/>
      <c r="O201" s="301"/>
      <c r="P201" s="301"/>
      <c r="Q201" s="301"/>
      <c r="R201" s="301"/>
      <c r="S201" s="301"/>
      <c r="T201" s="301"/>
      <c r="U201" s="301"/>
      <c r="V201" s="301"/>
      <c r="W201" s="301"/>
      <c r="X201" s="301"/>
      <c r="Y201" s="301"/>
      <c r="Z201" s="301"/>
      <c r="AA201" s="301"/>
      <c r="AB201" s="301"/>
      <c r="AC201" s="301"/>
      <c r="AD201" s="301"/>
      <c r="AE201" s="301"/>
      <c r="AF201" s="301"/>
      <c r="AG201" s="301"/>
      <c r="AH201" s="301"/>
      <c r="AI201" s="301"/>
      <c r="AJ201" s="301"/>
      <c r="AK201" s="301"/>
      <c r="AL201" s="301"/>
      <c r="AM201" s="301"/>
      <c r="AN201" s="301"/>
      <c r="AO201" s="301"/>
      <c r="AP201" s="301"/>
    </row>
    <row r="202" spans="10:42" ht="13.5" customHeight="1">
      <c r="J202" s="301"/>
      <c r="K202" s="301"/>
      <c r="L202" s="301"/>
      <c r="M202" s="301"/>
      <c r="N202" s="301"/>
      <c r="O202" s="301"/>
      <c r="P202" s="301"/>
      <c r="Q202" s="301"/>
      <c r="R202" s="301"/>
      <c r="S202" s="301"/>
      <c r="T202" s="301"/>
      <c r="U202" s="301"/>
      <c r="V202" s="301"/>
      <c r="W202" s="301"/>
      <c r="X202" s="301"/>
      <c r="Y202" s="301"/>
      <c r="Z202" s="301"/>
      <c r="AA202" s="301"/>
      <c r="AB202" s="301"/>
      <c r="AC202" s="301"/>
      <c r="AD202" s="301"/>
      <c r="AE202" s="301"/>
      <c r="AF202" s="301"/>
      <c r="AG202" s="301"/>
      <c r="AH202" s="301"/>
      <c r="AI202" s="301"/>
      <c r="AJ202" s="301"/>
      <c r="AK202" s="301"/>
      <c r="AL202" s="301"/>
      <c r="AM202" s="301"/>
      <c r="AN202" s="301"/>
      <c r="AO202" s="301"/>
      <c r="AP202" s="301"/>
    </row>
    <row r="203" spans="10:42" ht="13.5" customHeight="1">
      <c r="J203" s="301"/>
      <c r="K203" s="301"/>
      <c r="L203" s="301"/>
      <c r="M203" s="301"/>
      <c r="N203" s="301"/>
      <c r="O203" s="301"/>
      <c r="P203" s="301"/>
      <c r="Q203" s="301"/>
      <c r="R203" s="301"/>
      <c r="S203" s="301"/>
      <c r="T203" s="301"/>
      <c r="U203" s="301"/>
      <c r="V203" s="301"/>
      <c r="W203" s="301"/>
      <c r="X203" s="301"/>
      <c r="Y203" s="301"/>
      <c r="Z203" s="301"/>
      <c r="AA203" s="301"/>
      <c r="AB203" s="301"/>
      <c r="AC203" s="301"/>
      <c r="AD203" s="301"/>
      <c r="AE203" s="301"/>
      <c r="AF203" s="301"/>
      <c r="AG203" s="301"/>
      <c r="AH203" s="301"/>
      <c r="AI203" s="301"/>
      <c r="AJ203" s="301"/>
      <c r="AK203" s="301"/>
      <c r="AL203" s="301"/>
      <c r="AM203" s="301"/>
      <c r="AN203" s="301"/>
      <c r="AO203" s="301"/>
      <c r="AP203" s="301"/>
    </row>
    <row r="204" spans="10:42" ht="13.5" customHeight="1">
      <c r="J204" s="301"/>
      <c r="K204" s="301"/>
      <c r="L204" s="301"/>
      <c r="M204" s="301"/>
      <c r="N204" s="301"/>
      <c r="O204" s="301"/>
      <c r="P204" s="301"/>
      <c r="Q204" s="301"/>
      <c r="R204" s="301"/>
      <c r="S204" s="301"/>
      <c r="T204" s="301"/>
      <c r="U204" s="301"/>
      <c r="V204" s="301"/>
      <c r="W204" s="301"/>
      <c r="X204" s="301"/>
      <c r="Y204" s="301"/>
      <c r="Z204" s="301"/>
      <c r="AA204" s="301"/>
      <c r="AB204" s="301"/>
      <c r="AC204" s="301"/>
      <c r="AD204" s="301"/>
      <c r="AE204" s="301"/>
      <c r="AF204" s="301"/>
      <c r="AG204" s="301"/>
      <c r="AH204" s="301"/>
      <c r="AI204" s="301"/>
      <c r="AJ204" s="301"/>
      <c r="AK204" s="301"/>
      <c r="AL204" s="301"/>
      <c r="AM204" s="301"/>
      <c r="AN204" s="301"/>
      <c r="AO204" s="301"/>
      <c r="AP204" s="301"/>
    </row>
    <row r="205" spans="10:42" ht="13.5" customHeight="1">
      <c r="J205" s="301"/>
      <c r="K205" s="301"/>
      <c r="L205" s="301"/>
      <c r="M205" s="301"/>
      <c r="N205" s="301"/>
      <c r="O205" s="301"/>
      <c r="P205" s="301"/>
      <c r="Q205" s="301"/>
      <c r="R205" s="301"/>
      <c r="S205" s="301"/>
      <c r="T205" s="301"/>
      <c r="U205" s="301"/>
      <c r="V205" s="301"/>
      <c r="W205" s="301"/>
      <c r="X205" s="301"/>
      <c r="Y205" s="301"/>
      <c r="Z205" s="301"/>
      <c r="AA205" s="301"/>
      <c r="AB205" s="301"/>
      <c r="AC205" s="301"/>
      <c r="AD205" s="301"/>
      <c r="AE205" s="301"/>
      <c r="AF205" s="301"/>
      <c r="AG205" s="301"/>
      <c r="AH205" s="301"/>
      <c r="AI205" s="301"/>
      <c r="AJ205" s="301"/>
      <c r="AK205" s="301"/>
      <c r="AL205" s="301"/>
      <c r="AM205" s="301"/>
      <c r="AN205" s="301"/>
      <c r="AO205" s="301"/>
      <c r="AP205" s="301"/>
    </row>
    <row r="206" spans="10:42" ht="13.5" customHeight="1">
      <c r="J206" s="301"/>
      <c r="K206" s="301"/>
      <c r="L206" s="301"/>
      <c r="M206" s="301"/>
      <c r="N206" s="301"/>
      <c r="O206" s="301"/>
      <c r="P206" s="301"/>
      <c r="Q206" s="301"/>
      <c r="R206" s="301"/>
      <c r="S206" s="301"/>
      <c r="T206" s="301"/>
      <c r="U206" s="301"/>
      <c r="V206" s="301"/>
      <c r="W206" s="301"/>
      <c r="X206" s="301"/>
      <c r="Y206" s="301"/>
      <c r="Z206" s="301"/>
      <c r="AA206" s="301"/>
      <c r="AB206" s="301"/>
      <c r="AC206" s="301"/>
      <c r="AD206" s="301"/>
      <c r="AE206" s="301"/>
      <c r="AF206" s="301"/>
      <c r="AG206" s="301"/>
      <c r="AH206" s="301"/>
      <c r="AI206" s="301"/>
      <c r="AJ206" s="301"/>
      <c r="AK206" s="301"/>
      <c r="AL206" s="301"/>
      <c r="AM206" s="301"/>
      <c r="AN206" s="301"/>
      <c r="AO206" s="301"/>
      <c r="AP206" s="301"/>
    </row>
    <row r="207" spans="10:42" ht="13.5" customHeight="1">
      <c r="J207" s="301"/>
      <c r="K207" s="301"/>
      <c r="L207" s="301"/>
      <c r="M207" s="301"/>
      <c r="N207" s="301"/>
      <c r="O207" s="301"/>
      <c r="P207" s="301"/>
      <c r="Q207" s="301"/>
      <c r="R207" s="301"/>
      <c r="S207" s="301"/>
      <c r="T207" s="301"/>
      <c r="U207" s="301"/>
      <c r="V207" s="301"/>
      <c r="W207" s="301"/>
      <c r="X207" s="301"/>
      <c r="Y207" s="301"/>
      <c r="Z207" s="301"/>
      <c r="AA207" s="301"/>
      <c r="AB207" s="301"/>
      <c r="AC207" s="301"/>
      <c r="AD207" s="301"/>
      <c r="AE207" s="301"/>
      <c r="AF207" s="301"/>
      <c r="AG207" s="301"/>
      <c r="AH207" s="301"/>
      <c r="AI207" s="301"/>
      <c r="AJ207" s="301"/>
      <c r="AK207" s="301"/>
      <c r="AL207" s="301"/>
      <c r="AM207" s="301"/>
      <c r="AN207" s="301"/>
      <c r="AO207" s="301"/>
      <c r="AP207" s="301"/>
    </row>
    <row r="208" spans="10:42" ht="13.5" customHeight="1">
      <c r="J208" s="301"/>
      <c r="K208" s="301"/>
      <c r="L208" s="301"/>
      <c r="M208" s="301"/>
      <c r="N208" s="301"/>
      <c r="O208" s="301"/>
      <c r="P208" s="301"/>
      <c r="Q208" s="301"/>
      <c r="R208" s="301"/>
      <c r="S208" s="301"/>
      <c r="T208" s="301"/>
      <c r="U208" s="301"/>
      <c r="V208" s="301"/>
      <c r="W208" s="301"/>
      <c r="X208" s="301"/>
      <c r="Y208" s="301"/>
      <c r="Z208" s="301"/>
      <c r="AA208" s="301"/>
      <c r="AB208" s="301"/>
      <c r="AC208" s="301"/>
      <c r="AD208" s="301"/>
      <c r="AE208" s="301"/>
      <c r="AF208" s="301"/>
      <c r="AG208" s="301"/>
      <c r="AH208" s="301"/>
      <c r="AI208" s="301"/>
      <c r="AJ208" s="301"/>
      <c r="AK208" s="301"/>
      <c r="AL208" s="301"/>
      <c r="AM208" s="301"/>
      <c r="AN208" s="301"/>
      <c r="AO208" s="301"/>
      <c r="AP208" s="301"/>
    </row>
    <row r="209" spans="10:42" ht="13.5" customHeight="1">
      <c r="J209" s="301"/>
      <c r="K209" s="301"/>
      <c r="L209" s="301"/>
      <c r="M209" s="301"/>
      <c r="N209" s="301"/>
      <c r="O209" s="301"/>
      <c r="P209" s="301"/>
      <c r="Q209" s="301"/>
      <c r="R209" s="301"/>
      <c r="S209" s="301"/>
      <c r="T209" s="301"/>
      <c r="U209" s="301"/>
      <c r="V209" s="301"/>
      <c r="W209" s="301"/>
      <c r="X209" s="301"/>
      <c r="Y209" s="301"/>
      <c r="Z209" s="301"/>
      <c r="AA209" s="301"/>
      <c r="AB209" s="301"/>
      <c r="AC209" s="301"/>
      <c r="AD209" s="301"/>
      <c r="AE209" s="301"/>
      <c r="AF209" s="301"/>
      <c r="AG209" s="301"/>
      <c r="AH209" s="301"/>
      <c r="AI209" s="301"/>
      <c r="AJ209" s="301"/>
      <c r="AK209" s="301"/>
      <c r="AL209" s="301"/>
      <c r="AM209" s="301"/>
      <c r="AN209" s="301"/>
      <c r="AO209" s="301"/>
      <c r="AP209" s="301"/>
    </row>
    <row r="210" spans="10:42" ht="13.5" customHeight="1">
      <c r="J210" s="301"/>
      <c r="K210" s="301"/>
      <c r="L210" s="301"/>
      <c r="M210" s="301"/>
      <c r="N210" s="301"/>
      <c r="O210" s="301"/>
      <c r="P210" s="301"/>
      <c r="Q210" s="301"/>
      <c r="R210" s="301"/>
      <c r="S210" s="301"/>
      <c r="T210" s="301"/>
      <c r="U210" s="301"/>
      <c r="V210" s="301"/>
      <c r="W210" s="301"/>
      <c r="X210" s="301"/>
      <c r="Y210" s="301"/>
      <c r="Z210" s="301"/>
      <c r="AA210" s="301"/>
      <c r="AB210" s="301"/>
      <c r="AC210" s="301"/>
      <c r="AD210" s="301"/>
      <c r="AE210" s="301"/>
      <c r="AF210" s="301"/>
      <c r="AG210" s="301"/>
      <c r="AH210" s="301"/>
      <c r="AI210" s="301"/>
      <c r="AJ210" s="301"/>
      <c r="AK210" s="301"/>
      <c r="AL210" s="301"/>
      <c r="AM210" s="301"/>
      <c r="AN210" s="301"/>
      <c r="AO210" s="301"/>
      <c r="AP210" s="301"/>
    </row>
    <row r="211" spans="10:42" ht="13.5" customHeight="1">
      <c r="J211" s="301"/>
      <c r="K211" s="301"/>
      <c r="L211" s="301"/>
      <c r="M211" s="301"/>
      <c r="N211" s="301"/>
      <c r="O211" s="301"/>
      <c r="P211" s="301"/>
      <c r="Q211" s="301"/>
      <c r="R211" s="301"/>
      <c r="S211" s="301"/>
      <c r="T211" s="301"/>
      <c r="U211" s="301"/>
      <c r="V211" s="301"/>
      <c r="W211" s="301"/>
      <c r="X211" s="301"/>
      <c r="Y211" s="301"/>
      <c r="Z211" s="301"/>
      <c r="AA211" s="301"/>
      <c r="AB211" s="301"/>
      <c r="AC211" s="301"/>
      <c r="AD211" s="301"/>
      <c r="AE211" s="301"/>
      <c r="AF211" s="301"/>
      <c r="AG211" s="301"/>
      <c r="AH211" s="301"/>
      <c r="AI211" s="301"/>
      <c r="AJ211" s="301"/>
      <c r="AK211" s="301"/>
      <c r="AL211" s="301"/>
      <c r="AM211" s="301"/>
      <c r="AN211" s="301"/>
      <c r="AO211" s="301"/>
      <c r="AP211" s="301"/>
    </row>
    <row r="212" spans="10:42" ht="13.5" customHeight="1">
      <c r="J212" s="301"/>
      <c r="K212" s="301"/>
      <c r="L212" s="301"/>
      <c r="M212" s="301"/>
      <c r="N212" s="301"/>
      <c r="O212" s="301"/>
      <c r="P212" s="301"/>
      <c r="Q212" s="301"/>
      <c r="R212" s="301"/>
      <c r="S212" s="301"/>
      <c r="T212" s="301"/>
      <c r="U212" s="301"/>
      <c r="V212" s="301"/>
      <c r="W212" s="301"/>
      <c r="X212" s="301"/>
      <c r="Y212" s="301"/>
      <c r="Z212" s="301"/>
      <c r="AA212" s="301"/>
      <c r="AB212" s="301"/>
      <c r="AC212" s="301"/>
      <c r="AD212" s="301"/>
      <c r="AE212" s="301"/>
      <c r="AF212" s="301"/>
      <c r="AG212" s="301"/>
      <c r="AH212" s="301"/>
      <c r="AI212" s="301"/>
      <c r="AJ212" s="301"/>
      <c r="AK212" s="301"/>
      <c r="AL212" s="301"/>
      <c r="AM212" s="301"/>
      <c r="AN212" s="301"/>
      <c r="AO212" s="301"/>
      <c r="AP212" s="301"/>
    </row>
    <row r="213" spans="10:42" ht="13.5" customHeight="1">
      <c r="J213" s="301"/>
      <c r="K213" s="301"/>
      <c r="L213" s="301"/>
      <c r="M213" s="301"/>
      <c r="N213" s="301"/>
      <c r="O213" s="301"/>
      <c r="P213" s="301"/>
      <c r="Q213" s="301"/>
      <c r="R213" s="301"/>
      <c r="S213" s="301"/>
      <c r="T213" s="301"/>
      <c r="U213" s="301"/>
      <c r="V213" s="301"/>
      <c r="W213" s="301"/>
      <c r="X213" s="301"/>
      <c r="Y213" s="301"/>
      <c r="Z213" s="301"/>
      <c r="AA213" s="301"/>
      <c r="AB213" s="301"/>
      <c r="AC213" s="301"/>
      <c r="AD213" s="301"/>
      <c r="AE213" s="301"/>
      <c r="AF213" s="301"/>
      <c r="AG213" s="301"/>
      <c r="AH213" s="301"/>
      <c r="AI213" s="301"/>
      <c r="AJ213" s="301"/>
      <c r="AK213" s="301"/>
      <c r="AL213" s="301"/>
      <c r="AM213" s="301"/>
      <c r="AN213" s="301"/>
      <c r="AO213" s="301"/>
      <c r="AP213" s="301"/>
    </row>
    <row r="214" spans="10:42" ht="13.5" customHeight="1">
      <c r="J214" s="301"/>
      <c r="K214" s="301"/>
      <c r="L214" s="301"/>
      <c r="M214" s="301"/>
      <c r="N214" s="301"/>
      <c r="O214" s="301"/>
      <c r="P214" s="301"/>
      <c r="Q214" s="301"/>
      <c r="R214" s="301"/>
      <c r="S214" s="301"/>
      <c r="T214" s="301"/>
      <c r="U214" s="301"/>
      <c r="V214" s="301"/>
      <c r="W214" s="301"/>
      <c r="X214" s="301"/>
      <c r="Y214" s="301"/>
      <c r="Z214" s="301"/>
      <c r="AA214" s="301"/>
      <c r="AB214" s="301"/>
      <c r="AC214" s="301"/>
      <c r="AD214" s="301"/>
      <c r="AE214" s="301"/>
      <c r="AF214" s="301"/>
      <c r="AG214" s="301"/>
      <c r="AH214" s="301"/>
      <c r="AI214" s="301"/>
      <c r="AJ214" s="301"/>
      <c r="AK214" s="301"/>
      <c r="AL214" s="301"/>
      <c r="AM214" s="301"/>
      <c r="AN214" s="301"/>
      <c r="AO214" s="301"/>
      <c r="AP214" s="301"/>
    </row>
    <row r="215" spans="10:42" ht="13.5" customHeight="1">
      <c r="J215" s="301"/>
      <c r="K215" s="301"/>
      <c r="L215" s="301"/>
      <c r="M215" s="301"/>
      <c r="N215" s="301"/>
      <c r="O215" s="301"/>
      <c r="P215" s="301"/>
      <c r="Q215" s="301"/>
      <c r="R215" s="301"/>
      <c r="S215" s="301"/>
      <c r="T215" s="301"/>
      <c r="U215" s="301"/>
      <c r="V215" s="301"/>
      <c r="W215" s="301"/>
      <c r="X215" s="301"/>
      <c r="Y215" s="301"/>
      <c r="Z215" s="301"/>
      <c r="AA215" s="301"/>
      <c r="AB215" s="301"/>
      <c r="AC215" s="301"/>
      <c r="AD215" s="301"/>
      <c r="AE215" s="301"/>
      <c r="AF215" s="301"/>
      <c r="AG215" s="301"/>
      <c r="AH215" s="301"/>
      <c r="AI215" s="301"/>
      <c r="AJ215" s="301"/>
      <c r="AK215" s="301"/>
      <c r="AL215" s="301"/>
      <c r="AM215" s="301"/>
      <c r="AN215" s="301"/>
      <c r="AO215" s="301"/>
      <c r="AP215" s="301"/>
    </row>
    <row r="216" spans="10:42" ht="13.5" customHeight="1">
      <c r="J216" s="301"/>
      <c r="K216" s="301"/>
      <c r="L216" s="301"/>
      <c r="M216" s="301"/>
      <c r="N216" s="301"/>
      <c r="O216" s="301"/>
      <c r="P216" s="301"/>
      <c r="Q216" s="301"/>
      <c r="R216" s="301"/>
      <c r="S216" s="301"/>
      <c r="T216" s="301"/>
      <c r="U216" s="301"/>
      <c r="V216" s="301"/>
      <c r="W216" s="301"/>
      <c r="X216" s="301"/>
      <c r="Y216" s="301"/>
      <c r="Z216" s="301"/>
      <c r="AA216" s="301"/>
      <c r="AB216" s="301"/>
      <c r="AC216" s="301"/>
      <c r="AD216" s="301"/>
      <c r="AE216" s="301"/>
      <c r="AF216" s="301"/>
      <c r="AG216" s="301"/>
      <c r="AH216" s="301"/>
      <c r="AI216" s="301"/>
      <c r="AJ216" s="301"/>
      <c r="AK216" s="301"/>
      <c r="AL216" s="301"/>
      <c r="AM216" s="301"/>
      <c r="AN216" s="301"/>
      <c r="AO216" s="301"/>
      <c r="AP216" s="301"/>
    </row>
    <row r="217" spans="10:42" ht="13.5" customHeight="1">
      <c r="J217" s="301"/>
      <c r="K217" s="301"/>
      <c r="L217" s="301"/>
      <c r="M217" s="301"/>
      <c r="N217" s="301"/>
      <c r="O217" s="301"/>
      <c r="P217" s="301"/>
      <c r="Q217" s="301"/>
      <c r="R217" s="301"/>
      <c r="S217" s="301"/>
      <c r="T217" s="301"/>
      <c r="U217" s="301"/>
      <c r="V217" s="301"/>
      <c r="W217" s="301"/>
      <c r="X217" s="301"/>
      <c r="Y217" s="301"/>
      <c r="Z217" s="301"/>
      <c r="AA217" s="301"/>
      <c r="AB217" s="301"/>
      <c r="AC217" s="301"/>
      <c r="AD217" s="301"/>
      <c r="AE217" s="301"/>
      <c r="AF217" s="301"/>
      <c r="AG217" s="301"/>
      <c r="AH217" s="301"/>
      <c r="AI217" s="301"/>
      <c r="AJ217" s="301"/>
      <c r="AK217" s="301"/>
      <c r="AL217" s="301"/>
      <c r="AM217" s="301"/>
      <c r="AN217" s="301"/>
      <c r="AO217" s="301"/>
      <c r="AP217" s="301"/>
    </row>
    <row r="218" spans="10:42" ht="13.5" customHeight="1">
      <c r="J218" s="301"/>
      <c r="K218" s="301"/>
      <c r="L218" s="301"/>
      <c r="M218" s="301"/>
      <c r="N218" s="301"/>
      <c r="O218" s="301"/>
      <c r="P218" s="301"/>
      <c r="Q218" s="301"/>
      <c r="R218" s="301"/>
      <c r="S218" s="301"/>
      <c r="T218" s="301"/>
      <c r="U218" s="301"/>
      <c r="V218" s="301"/>
      <c r="W218" s="301"/>
      <c r="X218" s="301"/>
      <c r="Y218" s="301"/>
      <c r="Z218" s="301"/>
      <c r="AA218" s="301"/>
      <c r="AB218" s="301"/>
      <c r="AC218" s="301"/>
      <c r="AD218" s="301"/>
      <c r="AE218" s="301"/>
      <c r="AF218" s="301"/>
      <c r="AG218" s="301"/>
      <c r="AH218" s="301"/>
      <c r="AI218" s="301"/>
      <c r="AJ218" s="301"/>
      <c r="AK218" s="301"/>
      <c r="AL218" s="301"/>
      <c r="AM218" s="301"/>
      <c r="AN218" s="301"/>
      <c r="AO218" s="301"/>
      <c r="AP218" s="301"/>
    </row>
    <row r="219" spans="10:42" ht="13.5" customHeight="1">
      <c r="J219" s="301"/>
      <c r="K219" s="301"/>
      <c r="L219" s="301"/>
      <c r="M219" s="301"/>
      <c r="N219" s="301"/>
      <c r="O219" s="301"/>
      <c r="P219" s="301"/>
      <c r="Q219" s="301"/>
      <c r="R219" s="301"/>
      <c r="S219" s="301"/>
      <c r="T219" s="301"/>
      <c r="U219" s="301"/>
      <c r="V219" s="301"/>
      <c r="W219" s="301"/>
      <c r="X219" s="301"/>
      <c r="Y219" s="301"/>
      <c r="Z219" s="301"/>
      <c r="AA219" s="301"/>
      <c r="AB219" s="301"/>
      <c r="AC219" s="301"/>
      <c r="AD219" s="301"/>
      <c r="AE219" s="301"/>
      <c r="AF219" s="301"/>
      <c r="AG219" s="301"/>
      <c r="AH219" s="301"/>
      <c r="AI219" s="301"/>
      <c r="AJ219" s="301"/>
      <c r="AK219" s="301"/>
      <c r="AL219" s="301"/>
      <c r="AM219" s="301"/>
      <c r="AN219" s="301"/>
      <c r="AO219" s="301"/>
      <c r="AP219" s="301"/>
    </row>
    <row r="220" spans="10:42" ht="13.5" customHeight="1">
      <c r="J220" s="301"/>
      <c r="K220" s="301"/>
      <c r="L220" s="301"/>
      <c r="M220" s="301"/>
      <c r="N220" s="301"/>
      <c r="O220" s="301"/>
      <c r="P220" s="301"/>
      <c r="Q220" s="301"/>
      <c r="R220" s="301"/>
      <c r="S220" s="301"/>
      <c r="T220" s="301"/>
      <c r="U220" s="301"/>
      <c r="V220" s="301"/>
      <c r="W220" s="301"/>
      <c r="X220" s="301"/>
      <c r="Y220" s="301"/>
      <c r="Z220" s="301"/>
      <c r="AA220" s="301"/>
      <c r="AB220" s="301"/>
      <c r="AC220" s="301"/>
      <c r="AD220" s="301"/>
      <c r="AE220" s="301"/>
      <c r="AF220" s="301"/>
      <c r="AG220" s="301"/>
      <c r="AH220" s="301"/>
      <c r="AI220" s="301"/>
      <c r="AJ220" s="301"/>
      <c r="AK220" s="301"/>
      <c r="AL220" s="301"/>
      <c r="AM220" s="301"/>
      <c r="AN220" s="301"/>
      <c r="AO220" s="301"/>
      <c r="AP220" s="301"/>
    </row>
    <row r="221" spans="10:42" ht="13.5" customHeight="1">
      <c r="J221" s="301"/>
      <c r="K221" s="301"/>
      <c r="L221" s="301"/>
      <c r="M221" s="301"/>
      <c r="N221" s="301"/>
      <c r="O221" s="301"/>
      <c r="P221" s="301"/>
      <c r="Q221" s="301"/>
      <c r="R221" s="301"/>
      <c r="S221" s="301"/>
      <c r="T221" s="301"/>
      <c r="U221" s="301"/>
      <c r="V221" s="301"/>
      <c r="W221" s="301"/>
      <c r="X221" s="301"/>
      <c r="Y221" s="301"/>
      <c r="Z221" s="301"/>
      <c r="AA221" s="301"/>
      <c r="AB221" s="301"/>
      <c r="AC221" s="301"/>
      <c r="AD221" s="301"/>
      <c r="AE221" s="301"/>
      <c r="AF221" s="301"/>
      <c r="AG221" s="301"/>
      <c r="AH221" s="301"/>
      <c r="AI221" s="301"/>
      <c r="AJ221" s="301"/>
      <c r="AK221" s="301"/>
      <c r="AL221" s="301"/>
      <c r="AM221" s="301"/>
      <c r="AN221" s="301"/>
      <c r="AO221" s="301"/>
      <c r="AP221" s="301"/>
    </row>
    <row r="222" spans="10:42" ht="13.5" customHeight="1">
      <c r="J222" s="301"/>
      <c r="K222" s="301"/>
      <c r="L222" s="301"/>
      <c r="M222" s="301"/>
      <c r="N222" s="301"/>
      <c r="O222" s="301"/>
      <c r="P222" s="301"/>
      <c r="Q222" s="301"/>
      <c r="R222" s="301"/>
      <c r="S222" s="301"/>
      <c r="T222" s="301"/>
      <c r="U222" s="301"/>
      <c r="V222" s="301"/>
      <c r="W222" s="301"/>
      <c r="X222" s="301"/>
      <c r="Y222" s="301"/>
      <c r="Z222" s="301"/>
      <c r="AA222" s="301"/>
      <c r="AB222" s="301"/>
      <c r="AC222" s="301"/>
      <c r="AD222" s="301"/>
      <c r="AE222" s="301"/>
      <c r="AF222" s="301"/>
      <c r="AG222" s="301"/>
      <c r="AH222" s="301"/>
      <c r="AI222" s="301"/>
      <c r="AJ222" s="301"/>
      <c r="AK222" s="301"/>
      <c r="AL222" s="301"/>
      <c r="AM222" s="301"/>
      <c r="AN222" s="301"/>
      <c r="AO222" s="301"/>
      <c r="AP222" s="301"/>
    </row>
    <row r="223" spans="10:42" ht="13.5" customHeight="1">
      <c r="J223" s="301"/>
      <c r="K223" s="301"/>
      <c r="L223" s="301"/>
      <c r="M223" s="301"/>
      <c r="N223" s="301"/>
      <c r="O223" s="301"/>
      <c r="P223" s="301"/>
      <c r="Q223" s="301"/>
      <c r="R223" s="301"/>
      <c r="S223" s="301"/>
      <c r="T223" s="301"/>
      <c r="U223" s="301"/>
      <c r="V223" s="301"/>
      <c r="W223" s="301"/>
      <c r="X223" s="301"/>
      <c r="Y223" s="301"/>
      <c r="Z223" s="301"/>
      <c r="AA223" s="301"/>
      <c r="AB223" s="301"/>
      <c r="AC223" s="301"/>
      <c r="AD223" s="301"/>
      <c r="AE223" s="301"/>
      <c r="AF223" s="301"/>
      <c r="AG223" s="301"/>
      <c r="AH223" s="301"/>
      <c r="AI223" s="301"/>
      <c r="AJ223" s="301"/>
      <c r="AK223" s="301"/>
      <c r="AL223" s="301"/>
      <c r="AM223" s="301"/>
      <c r="AN223" s="301"/>
      <c r="AO223" s="301"/>
      <c r="AP223" s="301"/>
    </row>
    <row r="224" spans="10:42" ht="13.5" customHeight="1">
      <c r="J224" s="301"/>
      <c r="K224" s="301"/>
      <c r="L224" s="301"/>
      <c r="M224" s="301"/>
      <c r="N224" s="301"/>
      <c r="O224" s="301"/>
      <c r="P224" s="301"/>
      <c r="Q224" s="301"/>
      <c r="R224" s="301"/>
      <c r="S224" s="301"/>
      <c r="T224" s="301"/>
      <c r="U224" s="301"/>
      <c r="V224" s="301"/>
      <c r="W224" s="301"/>
      <c r="X224" s="301"/>
      <c r="Y224" s="301"/>
      <c r="Z224" s="301"/>
      <c r="AA224" s="301"/>
      <c r="AB224" s="301"/>
      <c r="AC224" s="301"/>
      <c r="AD224" s="301"/>
      <c r="AE224" s="301"/>
      <c r="AF224" s="301"/>
      <c r="AG224" s="301"/>
      <c r="AH224" s="301"/>
      <c r="AI224" s="301"/>
      <c r="AJ224" s="301"/>
      <c r="AK224" s="301"/>
      <c r="AL224" s="301"/>
      <c r="AM224" s="301"/>
      <c r="AN224" s="301"/>
      <c r="AO224" s="301"/>
      <c r="AP224" s="301"/>
    </row>
    <row r="225" spans="10:42" ht="13.5" customHeight="1">
      <c r="J225" s="301"/>
      <c r="K225" s="301"/>
      <c r="L225" s="301"/>
      <c r="M225" s="301"/>
      <c r="N225" s="301"/>
      <c r="O225" s="301"/>
      <c r="P225" s="301"/>
      <c r="Q225" s="301"/>
      <c r="R225" s="301"/>
      <c r="S225" s="301"/>
      <c r="T225" s="301"/>
      <c r="U225" s="301"/>
      <c r="V225" s="301"/>
      <c r="W225" s="301"/>
      <c r="X225" s="301"/>
      <c r="Y225" s="301"/>
      <c r="Z225" s="301"/>
      <c r="AA225" s="301"/>
      <c r="AB225" s="301"/>
      <c r="AC225" s="301"/>
      <c r="AD225" s="301"/>
      <c r="AE225" s="301"/>
      <c r="AF225" s="301"/>
      <c r="AG225" s="301"/>
      <c r="AH225" s="301"/>
      <c r="AI225" s="301"/>
      <c r="AJ225" s="301"/>
      <c r="AK225" s="301"/>
      <c r="AL225" s="301"/>
      <c r="AM225" s="301"/>
      <c r="AN225" s="301"/>
      <c r="AO225" s="301"/>
      <c r="AP225" s="301"/>
    </row>
    <row r="226" spans="10:42" ht="13.5" customHeight="1">
      <c r="J226" s="301"/>
      <c r="K226" s="301"/>
      <c r="L226" s="301"/>
      <c r="M226" s="301"/>
      <c r="N226" s="301"/>
      <c r="O226" s="301"/>
      <c r="P226" s="301"/>
      <c r="Q226" s="301"/>
      <c r="R226" s="301"/>
      <c r="S226" s="301"/>
      <c r="T226" s="301"/>
      <c r="U226" s="301"/>
      <c r="V226" s="301"/>
      <c r="W226" s="301"/>
      <c r="X226" s="301"/>
      <c r="Y226" s="301"/>
      <c r="Z226" s="301"/>
      <c r="AA226" s="301"/>
      <c r="AB226" s="301"/>
      <c r="AC226" s="301"/>
      <c r="AD226" s="301"/>
      <c r="AE226" s="301"/>
      <c r="AF226" s="301"/>
      <c r="AG226" s="301"/>
      <c r="AH226" s="301"/>
      <c r="AI226" s="301"/>
      <c r="AJ226" s="301"/>
      <c r="AK226" s="301"/>
      <c r="AL226" s="301"/>
      <c r="AM226" s="301"/>
      <c r="AN226" s="301"/>
      <c r="AO226" s="301"/>
      <c r="AP226" s="301"/>
    </row>
    <row r="227" spans="10:42" ht="13.5" customHeight="1">
      <c r="J227" s="301"/>
      <c r="K227" s="301"/>
      <c r="L227" s="301"/>
      <c r="M227" s="301"/>
      <c r="N227" s="301"/>
      <c r="O227" s="301"/>
      <c r="P227" s="301"/>
      <c r="Q227" s="301"/>
      <c r="R227" s="301"/>
      <c r="S227" s="301"/>
      <c r="T227" s="301"/>
      <c r="U227" s="301"/>
      <c r="V227" s="301"/>
      <c r="W227" s="301"/>
      <c r="X227" s="301"/>
      <c r="Y227" s="301"/>
      <c r="Z227" s="301"/>
      <c r="AA227" s="301"/>
      <c r="AB227" s="301"/>
      <c r="AC227" s="301"/>
      <c r="AD227" s="301"/>
      <c r="AE227" s="301"/>
      <c r="AF227" s="301"/>
      <c r="AG227" s="301"/>
      <c r="AH227" s="301"/>
      <c r="AI227" s="301"/>
      <c r="AJ227" s="301"/>
      <c r="AK227" s="301"/>
      <c r="AL227" s="301"/>
      <c r="AM227" s="301"/>
      <c r="AN227" s="301"/>
      <c r="AO227" s="301"/>
      <c r="AP227" s="301"/>
    </row>
    <row r="228" spans="10:42" ht="13.5" customHeight="1">
      <c r="J228" s="301"/>
      <c r="K228" s="301"/>
      <c r="L228" s="301"/>
      <c r="M228" s="301"/>
      <c r="N228" s="301"/>
      <c r="O228" s="301"/>
      <c r="P228" s="301"/>
      <c r="Q228" s="301"/>
      <c r="R228" s="301"/>
      <c r="S228" s="301"/>
      <c r="T228" s="301"/>
      <c r="U228" s="301"/>
      <c r="V228" s="301"/>
      <c r="W228" s="301"/>
      <c r="X228" s="301"/>
      <c r="Y228" s="301"/>
      <c r="Z228" s="301"/>
      <c r="AA228" s="301"/>
      <c r="AB228" s="301"/>
      <c r="AC228" s="301"/>
      <c r="AD228" s="301"/>
      <c r="AE228" s="301"/>
      <c r="AF228" s="301"/>
      <c r="AG228" s="301"/>
      <c r="AH228" s="301"/>
      <c r="AI228" s="301"/>
      <c r="AJ228" s="301"/>
      <c r="AK228" s="301"/>
      <c r="AL228" s="301"/>
      <c r="AM228" s="301"/>
      <c r="AN228" s="301"/>
      <c r="AO228" s="301"/>
      <c r="AP228" s="301"/>
    </row>
    <row r="229" spans="10:42" ht="13.5" customHeight="1">
      <c r="J229" s="301"/>
      <c r="K229" s="301"/>
      <c r="L229" s="301"/>
      <c r="M229" s="301"/>
      <c r="N229" s="301"/>
      <c r="O229" s="301"/>
      <c r="P229" s="301"/>
      <c r="Q229" s="301"/>
      <c r="R229" s="301"/>
      <c r="S229" s="301"/>
      <c r="T229" s="301"/>
      <c r="U229" s="301"/>
      <c r="V229" s="301"/>
      <c r="W229" s="301"/>
      <c r="X229" s="301"/>
      <c r="Y229" s="301"/>
      <c r="Z229" s="301"/>
      <c r="AA229" s="301"/>
      <c r="AB229" s="301"/>
      <c r="AC229" s="301"/>
      <c r="AD229" s="301"/>
      <c r="AE229" s="301"/>
      <c r="AF229" s="301"/>
      <c r="AG229" s="301"/>
      <c r="AH229" s="301"/>
      <c r="AI229" s="301"/>
      <c r="AJ229" s="301"/>
      <c r="AK229" s="301"/>
      <c r="AL229" s="301"/>
      <c r="AM229" s="301"/>
      <c r="AN229" s="301"/>
      <c r="AO229" s="301"/>
      <c r="AP229" s="301"/>
    </row>
    <row r="230" spans="10:42" ht="13.5" customHeight="1">
      <c r="J230" s="301"/>
      <c r="K230" s="301"/>
      <c r="L230" s="301"/>
      <c r="M230" s="301"/>
      <c r="N230" s="301"/>
      <c r="O230" s="301"/>
      <c r="P230" s="301"/>
      <c r="Q230" s="301"/>
      <c r="R230" s="301"/>
      <c r="S230" s="301"/>
      <c r="T230" s="301"/>
      <c r="U230" s="301"/>
      <c r="V230" s="301"/>
      <c r="W230" s="301"/>
      <c r="X230" s="301"/>
      <c r="Y230" s="301"/>
      <c r="Z230" s="301"/>
      <c r="AA230" s="301"/>
      <c r="AB230" s="301"/>
      <c r="AC230" s="301"/>
      <c r="AD230" s="301"/>
      <c r="AE230" s="301"/>
      <c r="AF230" s="301"/>
      <c r="AG230" s="301"/>
      <c r="AH230" s="301"/>
      <c r="AI230" s="301"/>
      <c r="AJ230" s="301"/>
      <c r="AK230" s="301"/>
      <c r="AL230" s="301"/>
      <c r="AM230" s="301"/>
      <c r="AN230" s="301"/>
      <c r="AO230" s="301"/>
      <c r="AP230" s="301"/>
    </row>
    <row r="231" spans="10:42" ht="13.5" customHeight="1">
      <c r="J231" s="301"/>
      <c r="K231" s="301"/>
      <c r="L231" s="301"/>
      <c r="M231" s="301"/>
      <c r="N231" s="301"/>
      <c r="O231" s="301"/>
      <c r="P231" s="301"/>
      <c r="Q231" s="301"/>
      <c r="R231" s="301"/>
      <c r="S231" s="301"/>
      <c r="T231" s="301"/>
      <c r="U231" s="301"/>
      <c r="V231" s="301"/>
      <c r="W231" s="301"/>
      <c r="X231" s="301"/>
      <c r="Y231" s="301"/>
      <c r="Z231" s="301"/>
      <c r="AA231" s="301"/>
      <c r="AB231" s="301"/>
      <c r="AC231" s="301"/>
      <c r="AD231" s="301"/>
      <c r="AE231" s="301"/>
      <c r="AF231" s="301"/>
      <c r="AG231" s="301"/>
      <c r="AH231" s="301"/>
      <c r="AI231" s="301"/>
      <c r="AJ231" s="301"/>
      <c r="AK231" s="301"/>
      <c r="AL231" s="301"/>
      <c r="AM231" s="301"/>
      <c r="AN231" s="301"/>
      <c r="AO231" s="301"/>
      <c r="AP231" s="301"/>
    </row>
    <row r="232" spans="10:42" ht="13.5" customHeight="1">
      <c r="J232" s="301"/>
      <c r="K232" s="301"/>
      <c r="L232" s="301"/>
      <c r="M232" s="301"/>
      <c r="N232" s="301"/>
      <c r="O232" s="301"/>
      <c r="P232" s="301"/>
      <c r="Q232" s="301"/>
      <c r="R232" s="301"/>
      <c r="S232" s="301"/>
      <c r="T232" s="301"/>
      <c r="U232" s="301"/>
      <c r="V232" s="301"/>
      <c r="W232" s="301"/>
      <c r="X232" s="301"/>
      <c r="Y232" s="301"/>
      <c r="Z232" s="301"/>
      <c r="AA232" s="301"/>
      <c r="AB232" s="301"/>
      <c r="AC232" s="301"/>
      <c r="AD232" s="301"/>
      <c r="AE232" s="301"/>
      <c r="AF232" s="301"/>
      <c r="AG232" s="301"/>
      <c r="AH232" s="301"/>
      <c r="AI232" s="301"/>
      <c r="AJ232" s="301"/>
      <c r="AK232" s="301"/>
      <c r="AL232" s="301"/>
      <c r="AM232" s="301"/>
      <c r="AN232" s="301"/>
      <c r="AO232" s="301"/>
      <c r="AP232" s="301"/>
    </row>
    <row r="233" spans="10:42" ht="13.5" customHeight="1">
      <c r="J233" s="301"/>
      <c r="K233" s="301"/>
      <c r="L233" s="301"/>
      <c r="M233" s="301"/>
      <c r="N233" s="301"/>
      <c r="O233" s="301"/>
      <c r="P233" s="301"/>
      <c r="Q233" s="301"/>
      <c r="R233" s="301"/>
      <c r="S233" s="301"/>
      <c r="T233" s="301"/>
      <c r="U233" s="301"/>
      <c r="V233" s="301"/>
      <c r="W233" s="301"/>
      <c r="X233" s="301"/>
      <c r="Y233" s="301"/>
      <c r="Z233" s="301"/>
      <c r="AA233" s="301"/>
      <c r="AB233" s="301"/>
      <c r="AC233" s="301"/>
      <c r="AD233" s="301"/>
      <c r="AE233" s="301"/>
      <c r="AF233" s="301"/>
      <c r="AG233" s="301"/>
      <c r="AH233" s="301"/>
      <c r="AI233" s="301"/>
      <c r="AJ233" s="301"/>
      <c r="AK233" s="301"/>
      <c r="AL233" s="301"/>
      <c r="AM233" s="301"/>
      <c r="AN233" s="301"/>
      <c r="AO233" s="301"/>
      <c r="AP233" s="301"/>
    </row>
    <row r="234" spans="10:42" ht="13.5" customHeight="1">
      <c r="J234" s="301"/>
      <c r="K234" s="301"/>
      <c r="L234" s="301"/>
      <c r="M234" s="301"/>
      <c r="N234" s="301"/>
      <c r="O234" s="301"/>
      <c r="P234" s="301"/>
      <c r="Q234" s="301"/>
      <c r="R234" s="301"/>
      <c r="S234" s="301"/>
      <c r="T234" s="301"/>
      <c r="U234" s="301"/>
      <c r="V234" s="301"/>
      <c r="W234" s="301"/>
      <c r="X234" s="301"/>
      <c r="Y234" s="301"/>
      <c r="Z234" s="301"/>
      <c r="AA234" s="301"/>
      <c r="AB234" s="301"/>
      <c r="AC234" s="301"/>
      <c r="AD234" s="301"/>
      <c r="AE234" s="301"/>
      <c r="AF234" s="301"/>
      <c r="AG234" s="301"/>
      <c r="AH234" s="301"/>
      <c r="AI234" s="301"/>
      <c r="AJ234" s="301"/>
      <c r="AK234" s="301"/>
      <c r="AL234" s="301"/>
      <c r="AM234" s="301"/>
      <c r="AN234" s="301"/>
      <c r="AO234" s="301"/>
      <c r="AP234" s="301"/>
    </row>
    <row r="235" spans="10:42" ht="13.5" customHeight="1">
      <c r="J235" s="301"/>
      <c r="K235" s="301"/>
      <c r="L235" s="301"/>
      <c r="M235" s="301"/>
      <c r="N235" s="301"/>
      <c r="O235" s="301"/>
      <c r="P235" s="301"/>
      <c r="Q235" s="301"/>
      <c r="R235" s="301"/>
      <c r="S235" s="301"/>
      <c r="T235" s="301"/>
      <c r="U235" s="301"/>
      <c r="V235" s="301"/>
      <c r="W235" s="301"/>
      <c r="X235" s="301"/>
      <c r="Y235" s="301"/>
      <c r="Z235" s="301"/>
      <c r="AA235" s="301"/>
      <c r="AB235" s="301"/>
      <c r="AC235" s="301"/>
      <c r="AD235" s="301"/>
      <c r="AE235" s="301"/>
      <c r="AF235" s="301"/>
      <c r="AG235" s="301"/>
      <c r="AH235" s="301"/>
      <c r="AI235" s="301"/>
      <c r="AJ235" s="301"/>
      <c r="AK235" s="301"/>
      <c r="AL235" s="301"/>
      <c r="AM235" s="301"/>
      <c r="AN235" s="301"/>
      <c r="AO235" s="301"/>
      <c r="AP235" s="301"/>
    </row>
    <row r="236" spans="10:42" ht="13.5" customHeight="1">
      <c r="J236" s="301"/>
      <c r="K236" s="301"/>
      <c r="L236" s="301"/>
      <c r="M236" s="301"/>
      <c r="N236" s="301"/>
      <c r="O236" s="301"/>
      <c r="P236" s="301"/>
      <c r="Q236" s="301"/>
      <c r="R236" s="301"/>
      <c r="S236" s="301"/>
      <c r="T236" s="301"/>
      <c r="U236" s="301"/>
      <c r="V236" s="301"/>
      <c r="W236" s="301"/>
      <c r="X236" s="301"/>
      <c r="Y236" s="301"/>
      <c r="Z236" s="301"/>
      <c r="AA236" s="301"/>
      <c r="AB236" s="301"/>
      <c r="AC236" s="301"/>
      <c r="AD236" s="301"/>
      <c r="AE236" s="301"/>
      <c r="AF236" s="301"/>
      <c r="AG236" s="301"/>
      <c r="AH236" s="301"/>
      <c r="AI236" s="301"/>
      <c r="AJ236" s="301"/>
      <c r="AK236" s="301"/>
      <c r="AL236" s="301"/>
      <c r="AM236" s="301"/>
      <c r="AN236" s="301"/>
      <c r="AO236" s="301"/>
      <c r="AP236" s="301"/>
    </row>
    <row r="237" spans="10:42" ht="13.5" customHeight="1">
      <c r="J237" s="301"/>
      <c r="K237" s="301"/>
      <c r="L237" s="301"/>
      <c r="M237" s="301"/>
      <c r="N237" s="301"/>
      <c r="O237" s="301"/>
      <c r="P237" s="301"/>
      <c r="Q237" s="301"/>
      <c r="R237" s="301"/>
      <c r="S237" s="301"/>
      <c r="T237" s="301"/>
      <c r="U237" s="301"/>
      <c r="V237" s="301"/>
      <c r="W237" s="301"/>
      <c r="X237" s="301"/>
      <c r="Y237" s="301"/>
      <c r="Z237" s="301"/>
      <c r="AA237" s="301"/>
      <c r="AB237" s="301"/>
      <c r="AC237" s="301"/>
      <c r="AD237" s="301"/>
      <c r="AE237" s="301"/>
      <c r="AF237" s="301"/>
      <c r="AG237" s="301"/>
      <c r="AH237" s="301"/>
      <c r="AI237" s="301"/>
      <c r="AJ237" s="301"/>
      <c r="AK237" s="301"/>
      <c r="AL237" s="301"/>
      <c r="AM237" s="301"/>
      <c r="AN237" s="301"/>
      <c r="AO237" s="301"/>
      <c r="AP237" s="301"/>
    </row>
    <row r="238" spans="10:42" ht="13.5" customHeight="1">
      <c r="J238" s="301"/>
      <c r="K238" s="301"/>
      <c r="L238" s="301"/>
      <c r="M238" s="301"/>
      <c r="N238" s="301"/>
      <c r="O238" s="301"/>
      <c r="P238" s="301"/>
      <c r="Q238" s="301"/>
      <c r="R238" s="301"/>
      <c r="S238" s="301"/>
      <c r="T238" s="301"/>
      <c r="U238" s="301"/>
      <c r="V238" s="301"/>
      <c r="W238" s="301"/>
      <c r="X238" s="301"/>
      <c r="Y238" s="301"/>
      <c r="Z238" s="301"/>
      <c r="AA238" s="301"/>
      <c r="AB238" s="301"/>
      <c r="AC238" s="301"/>
      <c r="AD238" s="301"/>
      <c r="AE238" s="301"/>
      <c r="AF238" s="301"/>
      <c r="AG238" s="301"/>
      <c r="AH238" s="301"/>
      <c r="AI238" s="301"/>
      <c r="AJ238" s="301"/>
      <c r="AK238" s="301"/>
      <c r="AL238" s="301"/>
      <c r="AM238" s="301"/>
      <c r="AN238" s="301"/>
      <c r="AO238" s="301"/>
      <c r="AP238" s="301"/>
    </row>
    <row r="239" spans="10:42" ht="13.5" customHeight="1">
      <c r="J239" s="301"/>
      <c r="K239" s="301"/>
      <c r="L239" s="301"/>
      <c r="M239" s="301"/>
      <c r="N239" s="301"/>
      <c r="O239" s="301"/>
      <c r="P239" s="301"/>
      <c r="Q239" s="301"/>
      <c r="R239" s="301"/>
      <c r="S239" s="301"/>
      <c r="T239" s="301"/>
      <c r="U239" s="301"/>
      <c r="V239" s="301"/>
      <c r="W239" s="301"/>
      <c r="X239" s="301"/>
      <c r="Y239" s="301"/>
      <c r="Z239" s="301"/>
      <c r="AA239" s="301"/>
      <c r="AB239" s="301"/>
      <c r="AC239" s="301"/>
      <c r="AD239" s="301"/>
      <c r="AE239" s="301"/>
      <c r="AF239" s="301"/>
      <c r="AG239" s="301"/>
      <c r="AH239" s="301"/>
      <c r="AI239" s="301"/>
      <c r="AJ239" s="301"/>
      <c r="AK239" s="301"/>
      <c r="AL239" s="301"/>
      <c r="AM239" s="301"/>
      <c r="AN239" s="301"/>
      <c r="AO239" s="301"/>
      <c r="AP239" s="301"/>
    </row>
    <row r="240" spans="10:42" ht="13.5" customHeight="1">
      <c r="J240" s="301"/>
      <c r="K240" s="301"/>
      <c r="L240" s="301"/>
      <c r="M240" s="301"/>
      <c r="N240" s="301"/>
      <c r="O240" s="301"/>
      <c r="P240" s="301"/>
      <c r="Q240" s="301"/>
      <c r="R240" s="301"/>
      <c r="S240" s="301"/>
      <c r="T240" s="301"/>
      <c r="U240" s="301"/>
      <c r="V240" s="301"/>
      <c r="W240" s="301"/>
      <c r="X240" s="301"/>
      <c r="Y240" s="301"/>
      <c r="Z240" s="301"/>
      <c r="AA240" s="301"/>
      <c r="AB240" s="301"/>
      <c r="AC240" s="301"/>
      <c r="AD240" s="301"/>
      <c r="AE240" s="301"/>
      <c r="AF240" s="301"/>
      <c r="AG240" s="301"/>
      <c r="AH240" s="301"/>
      <c r="AI240" s="301"/>
      <c r="AJ240" s="301"/>
      <c r="AK240" s="301"/>
      <c r="AL240" s="301"/>
      <c r="AM240" s="301"/>
      <c r="AN240" s="301"/>
      <c r="AO240" s="301"/>
      <c r="AP240" s="301"/>
    </row>
    <row r="241" spans="10:42" ht="13.5" customHeight="1">
      <c r="J241" s="301"/>
      <c r="K241" s="301"/>
      <c r="L241" s="301"/>
      <c r="M241" s="301"/>
      <c r="N241" s="301"/>
      <c r="O241" s="301"/>
      <c r="P241" s="301"/>
      <c r="Q241" s="301"/>
      <c r="R241" s="301"/>
      <c r="S241" s="301"/>
      <c r="T241" s="301"/>
      <c r="U241" s="301"/>
      <c r="V241" s="301"/>
      <c r="W241" s="301"/>
      <c r="X241" s="301"/>
      <c r="Y241" s="301"/>
      <c r="Z241" s="301"/>
      <c r="AA241" s="301"/>
      <c r="AB241" s="301"/>
      <c r="AC241" s="301"/>
      <c r="AD241" s="301"/>
      <c r="AE241" s="301"/>
      <c r="AF241" s="301"/>
      <c r="AG241" s="301"/>
      <c r="AH241" s="301"/>
      <c r="AI241" s="301"/>
      <c r="AJ241" s="301"/>
      <c r="AK241" s="301"/>
      <c r="AL241" s="301"/>
      <c r="AM241" s="301"/>
      <c r="AN241" s="301"/>
      <c r="AO241" s="301"/>
      <c r="AP241" s="301"/>
    </row>
    <row r="242" spans="10:42" ht="13.5" customHeight="1">
      <c r="J242" s="301"/>
      <c r="K242" s="301"/>
      <c r="L242" s="301"/>
      <c r="M242" s="301"/>
      <c r="N242" s="301"/>
      <c r="O242" s="301"/>
      <c r="P242" s="301"/>
      <c r="Q242" s="301"/>
      <c r="R242" s="301"/>
      <c r="S242" s="301"/>
      <c r="T242" s="301"/>
      <c r="U242" s="301"/>
      <c r="V242" s="301"/>
      <c r="W242" s="301"/>
      <c r="X242" s="301"/>
      <c r="Y242" s="301"/>
      <c r="Z242" s="301"/>
      <c r="AA242" s="301"/>
      <c r="AB242" s="301"/>
      <c r="AC242" s="301"/>
      <c r="AD242" s="301"/>
      <c r="AE242" s="301"/>
      <c r="AF242" s="301"/>
      <c r="AG242" s="301"/>
      <c r="AH242" s="301"/>
      <c r="AI242" s="301"/>
      <c r="AJ242" s="301"/>
      <c r="AK242" s="301"/>
      <c r="AL242" s="301"/>
      <c r="AM242" s="301"/>
      <c r="AN242" s="301"/>
      <c r="AO242" s="301"/>
      <c r="AP242" s="301"/>
    </row>
    <row r="243" spans="10:42" ht="13.5" customHeight="1">
      <c r="J243" s="301"/>
      <c r="K243" s="301"/>
      <c r="L243" s="301"/>
      <c r="M243" s="301"/>
      <c r="N243" s="301"/>
      <c r="O243" s="301"/>
      <c r="P243" s="301"/>
      <c r="Q243" s="301"/>
      <c r="R243" s="301"/>
      <c r="S243" s="301"/>
      <c r="T243" s="301"/>
      <c r="U243" s="301"/>
      <c r="V243" s="301"/>
      <c r="W243" s="301"/>
      <c r="X243" s="301"/>
      <c r="Y243" s="301"/>
      <c r="Z243" s="301"/>
      <c r="AA243" s="301"/>
      <c r="AB243" s="301"/>
      <c r="AC243" s="301"/>
      <c r="AD243" s="301"/>
      <c r="AE243" s="301"/>
      <c r="AF243" s="301"/>
      <c r="AG243" s="301"/>
      <c r="AH243" s="301"/>
      <c r="AI243" s="301"/>
      <c r="AJ243" s="301"/>
      <c r="AK243" s="301"/>
      <c r="AL243" s="301"/>
      <c r="AM243" s="301"/>
      <c r="AN243" s="301"/>
      <c r="AO243" s="301"/>
      <c r="AP243" s="301"/>
    </row>
    <row r="244" spans="10:42" ht="13.5" customHeight="1">
      <c r="J244" s="301"/>
      <c r="K244" s="301"/>
      <c r="L244" s="301"/>
      <c r="M244" s="301"/>
      <c r="N244" s="301"/>
      <c r="O244" s="301"/>
      <c r="P244" s="301"/>
      <c r="Q244" s="301"/>
      <c r="R244" s="301"/>
      <c r="S244" s="301"/>
      <c r="T244" s="301"/>
      <c r="U244" s="301"/>
      <c r="V244" s="301"/>
      <c r="W244" s="301"/>
      <c r="X244" s="301"/>
      <c r="Y244" s="301"/>
      <c r="Z244" s="301"/>
      <c r="AA244" s="301"/>
      <c r="AB244" s="301"/>
      <c r="AC244" s="301"/>
      <c r="AD244" s="301"/>
      <c r="AE244" s="301"/>
      <c r="AF244" s="301"/>
      <c r="AG244" s="301"/>
      <c r="AH244" s="301"/>
      <c r="AI244" s="301"/>
      <c r="AJ244" s="301"/>
      <c r="AK244" s="301"/>
      <c r="AL244" s="301"/>
      <c r="AM244" s="301"/>
      <c r="AN244" s="301"/>
      <c r="AO244" s="301"/>
      <c r="AP244" s="301"/>
    </row>
    <row r="245" spans="10:42" ht="13.5" customHeight="1">
      <c r="J245" s="301"/>
      <c r="K245" s="301"/>
      <c r="L245" s="301"/>
      <c r="M245" s="301"/>
      <c r="N245" s="301"/>
      <c r="O245" s="301"/>
      <c r="P245" s="301"/>
      <c r="Q245" s="301"/>
      <c r="R245" s="301"/>
      <c r="S245" s="301"/>
      <c r="T245" s="301"/>
      <c r="U245" s="301"/>
      <c r="V245" s="301"/>
      <c r="W245" s="301"/>
      <c r="X245" s="301"/>
      <c r="Y245" s="301"/>
      <c r="Z245" s="301"/>
      <c r="AA245" s="301"/>
      <c r="AB245" s="301"/>
      <c r="AC245" s="301"/>
      <c r="AD245" s="301"/>
      <c r="AE245" s="301"/>
      <c r="AF245" s="301"/>
      <c r="AG245" s="301"/>
      <c r="AH245" s="301"/>
      <c r="AI245" s="301"/>
      <c r="AJ245" s="301"/>
      <c r="AK245" s="301"/>
      <c r="AL245" s="301"/>
      <c r="AM245" s="301"/>
      <c r="AN245" s="301"/>
      <c r="AO245" s="301"/>
      <c r="AP245" s="301"/>
    </row>
    <row r="246" spans="10:42" ht="13.5" customHeight="1">
      <c r="J246" s="301"/>
      <c r="K246" s="301"/>
      <c r="L246" s="301"/>
      <c r="M246" s="301"/>
      <c r="N246" s="301"/>
      <c r="O246" s="301"/>
      <c r="P246" s="301"/>
      <c r="Q246" s="301"/>
      <c r="R246" s="301"/>
      <c r="S246" s="301"/>
      <c r="T246" s="301"/>
      <c r="U246" s="301"/>
      <c r="V246" s="301"/>
      <c r="W246" s="301"/>
      <c r="X246" s="301"/>
      <c r="Y246" s="301"/>
      <c r="Z246" s="301"/>
      <c r="AA246" s="301"/>
      <c r="AB246" s="301"/>
      <c r="AC246" s="301"/>
      <c r="AD246" s="301"/>
      <c r="AE246" s="301"/>
      <c r="AF246" s="301"/>
      <c r="AG246" s="301"/>
      <c r="AH246" s="301"/>
      <c r="AI246" s="301"/>
      <c r="AJ246" s="301"/>
      <c r="AK246" s="301"/>
      <c r="AL246" s="301"/>
      <c r="AM246" s="301"/>
      <c r="AN246" s="301"/>
      <c r="AO246" s="301"/>
      <c r="AP246" s="301"/>
    </row>
    <row r="247" spans="10:42" ht="13.5" customHeight="1">
      <c r="J247" s="301"/>
      <c r="K247" s="301"/>
      <c r="L247" s="301"/>
      <c r="M247" s="301"/>
      <c r="N247" s="301"/>
      <c r="O247" s="301"/>
      <c r="P247" s="301"/>
      <c r="Q247" s="301"/>
      <c r="R247" s="301"/>
      <c r="S247" s="301"/>
      <c r="T247" s="301"/>
      <c r="U247" s="301"/>
      <c r="V247" s="301"/>
      <c r="W247" s="301"/>
      <c r="X247" s="301"/>
      <c r="Y247" s="301"/>
      <c r="Z247" s="301"/>
      <c r="AA247" s="301"/>
      <c r="AB247" s="301"/>
      <c r="AC247" s="301"/>
      <c r="AD247" s="301"/>
      <c r="AE247" s="301"/>
      <c r="AF247" s="301"/>
      <c r="AG247" s="301"/>
      <c r="AH247" s="301"/>
      <c r="AI247" s="301"/>
      <c r="AJ247" s="301"/>
      <c r="AK247" s="301"/>
      <c r="AL247" s="301"/>
      <c r="AM247" s="301"/>
      <c r="AN247" s="301"/>
      <c r="AO247" s="301"/>
      <c r="AP247" s="301"/>
    </row>
    <row r="248" spans="10:42" ht="13.5" customHeight="1">
      <c r="J248" s="301"/>
      <c r="K248" s="301"/>
      <c r="L248" s="301"/>
      <c r="M248" s="301"/>
      <c r="N248" s="301"/>
      <c r="O248" s="301"/>
      <c r="P248" s="301"/>
      <c r="Q248" s="301"/>
      <c r="R248" s="301"/>
      <c r="S248" s="301"/>
      <c r="T248" s="301"/>
      <c r="U248" s="301"/>
      <c r="V248" s="301"/>
      <c r="W248" s="301"/>
      <c r="X248" s="301"/>
      <c r="Y248" s="301"/>
      <c r="Z248" s="301"/>
      <c r="AA248" s="301"/>
      <c r="AB248" s="301"/>
      <c r="AC248" s="301"/>
      <c r="AD248" s="301"/>
      <c r="AE248" s="301"/>
      <c r="AF248" s="301"/>
      <c r="AG248" s="301"/>
      <c r="AH248" s="301"/>
      <c r="AI248" s="301"/>
      <c r="AJ248" s="301"/>
      <c r="AK248" s="301"/>
      <c r="AL248" s="301"/>
      <c r="AM248" s="301"/>
      <c r="AN248" s="301"/>
      <c r="AO248" s="301"/>
      <c r="AP248" s="301"/>
    </row>
    <row r="249" spans="10:42" ht="13.5" customHeight="1">
      <c r="J249" s="301"/>
      <c r="K249" s="301"/>
      <c r="L249" s="301"/>
      <c r="M249" s="301"/>
      <c r="N249" s="301"/>
      <c r="O249" s="301"/>
      <c r="P249" s="301"/>
      <c r="Q249" s="301"/>
      <c r="R249" s="301"/>
      <c r="S249" s="301"/>
      <c r="T249" s="301"/>
      <c r="U249" s="301"/>
      <c r="V249" s="301"/>
      <c r="W249" s="301"/>
      <c r="X249" s="301"/>
      <c r="Y249" s="301"/>
      <c r="Z249" s="301"/>
      <c r="AA249" s="301"/>
      <c r="AB249" s="301"/>
      <c r="AC249" s="301"/>
      <c r="AD249" s="301"/>
      <c r="AE249" s="301"/>
      <c r="AF249" s="301"/>
      <c r="AG249" s="301"/>
      <c r="AH249" s="301"/>
      <c r="AI249" s="301"/>
      <c r="AJ249" s="301"/>
      <c r="AK249" s="301"/>
      <c r="AL249" s="301"/>
      <c r="AM249" s="301"/>
      <c r="AN249" s="301"/>
      <c r="AO249" s="301"/>
      <c r="AP249" s="301"/>
    </row>
    <row r="250" spans="10:42" ht="13.5" customHeight="1">
      <c r="J250" s="301"/>
      <c r="K250" s="301"/>
      <c r="L250" s="301"/>
      <c r="M250" s="301"/>
      <c r="N250" s="301"/>
      <c r="O250" s="301"/>
      <c r="P250" s="301"/>
      <c r="Q250" s="301"/>
      <c r="R250" s="301"/>
      <c r="S250" s="301"/>
      <c r="T250" s="301"/>
      <c r="U250" s="301"/>
      <c r="V250" s="301"/>
      <c r="W250" s="301"/>
      <c r="X250" s="301"/>
      <c r="Y250" s="301"/>
      <c r="Z250" s="301"/>
      <c r="AA250" s="301"/>
      <c r="AB250" s="301"/>
      <c r="AC250" s="301"/>
      <c r="AD250" s="301"/>
      <c r="AE250" s="301"/>
      <c r="AF250" s="301"/>
      <c r="AG250" s="301"/>
      <c r="AH250" s="301"/>
      <c r="AI250" s="301"/>
      <c r="AJ250" s="301"/>
      <c r="AK250" s="301"/>
      <c r="AL250" s="301"/>
      <c r="AM250" s="301"/>
      <c r="AN250" s="301"/>
      <c r="AO250" s="301"/>
      <c r="AP250" s="301"/>
    </row>
    <row r="251" spans="10:42" ht="13.5" customHeight="1">
      <c r="J251" s="301"/>
      <c r="K251" s="301"/>
      <c r="L251" s="301"/>
      <c r="M251" s="301"/>
      <c r="N251" s="301"/>
      <c r="O251" s="301"/>
      <c r="P251" s="301"/>
      <c r="Q251" s="301"/>
      <c r="R251" s="301"/>
      <c r="S251" s="301"/>
      <c r="T251" s="301"/>
      <c r="U251" s="301"/>
      <c r="V251" s="301"/>
      <c r="W251" s="301"/>
      <c r="X251" s="301"/>
      <c r="Y251" s="301"/>
      <c r="Z251" s="301"/>
      <c r="AA251" s="301"/>
      <c r="AB251" s="301"/>
      <c r="AC251" s="301"/>
      <c r="AD251" s="301"/>
      <c r="AE251" s="301"/>
      <c r="AF251" s="301"/>
      <c r="AG251" s="301"/>
      <c r="AH251" s="301"/>
      <c r="AI251" s="301"/>
      <c r="AJ251" s="301"/>
      <c r="AK251" s="301"/>
      <c r="AL251" s="301"/>
      <c r="AM251" s="301"/>
      <c r="AN251" s="301"/>
      <c r="AO251" s="301"/>
      <c r="AP251" s="301"/>
    </row>
    <row r="252" spans="10:42" ht="13.5" customHeight="1">
      <c r="J252" s="301"/>
      <c r="K252" s="301"/>
      <c r="L252" s="301"/>
      <c r="M252" s="301"/>
      <c r="N252" s="301"/>
      <c r="O252" s="301"/>
      <c r="P252" s="301"/>
      <c r="Q252" s="301"/>
      <c r="R252" s="301"/>
      <c r="S252" s="301"/>
      <c r="T252" s="301"/>
      <c r="U252" s="301"/>
      <c r="V252" s="301"/>
      <c r="W252" s="301"/>
      <c r="X252" s="301"/>
      <c r="Y252" s="301"/>
      <c r="Z252" s="301"/>
      <c r="AA252" s="301"/>
      <c r="AB252" s="301"/>
      <c r="AC252" s="301"/>
      <c r="AD252" s="301"/>
      <c r="AE252" s="301"/>
      <c r="AF252" s="301"/>
      <c r="AG252" s="301"/>
      <c r="AH252" s="301"/>
      <c r="AI252" s="301"/>
      <c r="AJ252" s="301"/>
      <c r="AK252" s="301"/>
      <c r="AL252" s="301"/>
      <c r="AM252" s="301"/>
      <c r="AN252" s="301"/>
      <c r="AO252" s="301"/>
      <c r="AP252" s="301"/>
    </row>
    <row r="253" spans="10:42" ht="13.5" customHeight="1">
      <c r="J253" s="301"/>
      <c r="K253" s="301"/>
      <c r="L253" s="301"/>
      <c r="M253" s="301"/>
      <c r="N253" s="301"/>
      <c r="O253" s="301"/>
      <c r="P253" s="301"/>
      <c r="Q253" s="301"/>
      <c r="R253" s="301"/>
      <c r="S253" s="301"/>
      <c r="T253" s="301"/>
      <c r="U253" s="301"/>
      <c r="V253" s="301"/>
      <c r="W253" s="301"/>
      <c r="X253" s="301"/>
      <c r="Y253" s="301"/>
      <c r="Z253" s="301"/>
      <c r="AA253" s="301"/>
      <c r="AB253" s="301"/>
      <c r="AC253" s="301"/>
      <c r="AD253" s="301"/>
      <c r="AE253" s="301"/>
      <c r="AF253" s="301"/>
      <c r="AG253" s="301"/>
      <c r="AH253" s="301"/>
      <c r="AI253" s="301"/>
      <c r="AJ253" s="301"/>
      <c r="AK253" s="301"/>
      <c r="AL253" s="301"/>
      <c r="AM253" s="301"/>
      <c r="AN253" s="301"/>
      <c r="AO253" s="301"/>
      <c r="AP253" s="301"/>
    </row>
    <row r="254" spans="10:42" ht="13.5" customHeight="1">
      <c r="J254" s="301"/>
      <c r="K254" s="301"/>
      <c r="L254" s="301"/>
      <c r="M254" s="301"/>
      <c r="N254" s="301"/>
      <c r="O254" s="301"/>
      <c r="P254" s="301"/>
      <c r="Q254" s="301"/>
      <c r="R254" s="301"/>
      <c r="S254" s="301"/>
      <c r="T254" s="301"/>
      <c r="U254" s="301"/>
      <c r="V254" s="301"/>
      <c r="W254" s="301"/>
      <c r="X254" s="301"/>
      <c r="Y254" s="301"/>
      <c r="Z254" s="301"/>
      <c r="AA254" s="301"/>
      <c r="AB254" s="301"/>
      <c r="AC254" s="301"/>
      <c r="AD254" s="301"/>
      <c r="AE254" s="301"/>
      <c r="AF254" s="301"/>
      <c r="AG254" s="301"/>
      <c r="AH254" s="301"/>
      <c r="AI254" s="301"/>
      <c r="AJ254" s="301"/>
      <c r="AK254" s="301"/>
      <c r="AL254" s="301"/>
      <c r="AM254" s="301"/>
      <c r="AN254" s="301"/>
      <c r="AO254" s="301"/>
      <c r="AP254" s="301"/>
    </row>
    <row r="255" spans="10:42" ht="13.5" customHeight="1">
      <c r="J255" s="301"/>
      <c r="K255" s="301"/>
      <c r="L255" s="301"/>
      <c r="M255" s="301"/>
      <c r="N255" s="301"/>
      <c r="O255" s="301"/>
      <c r="P255" s="301"/>
      <c r="Q255" s="301"/>
      <c r="R255" s="301"/>
      <c r="S255" s="301"/>
      <c r="T255" s="301"/>
      <c r="U255" s="301"/>
      <c r="V255" s="301"/>
      <c r="W255" s="301"/>
      <c r="X255" s="301"/>
      <c r="Y255" s="301"/>
      <c r="Z255" s="301"/>
      <c r="AA255" s="301"/>
      <c r="AB255" s="301"/>
      <c r="AC255" s="301"/>
      <c r="AD255" s="301"/>
      <c r="AE255" s="301"/>
      <c r="AF255" s="301"/>
      <c r="AG255" s="301"/>
      <c r="AH255" s="301"/>
      <c r="AI255" s="301"/>
      <c r="AJ255" s="301"/>
      <c r="AK255" s="301"/>
      <c r="AL255" s="301"/>
      <c r="AM255" s="301"/>
      <c r="AN255" s="301"/>
      <c r="AO255" s="301"/>
      <c r="AP255" s="301"/>
    </row>
    <row r="256" spans="10:42" ht="13.5" customHeight="1">
      <c r="J256" s="301"/>
      <c r="K256" s="301"/>
      <c r="L256" s="301"/>
      <c r="M256" s="301"/>
      <c r="N256" s="301"/>
      <c r="O256" s="301"/>
      <c r="P256" s="301"/>
      <c r="Q256" s="301"/>
      <c r="R256" s="301"/>
      <c r="S256" s="301"/>
      <c r="T256" s="301"/>
      <c r="U256" s="301"/>
      <c r="V256" s="301"/>
      <c r="W256" s="301"/>
      <c r="X256" s="301"/>
      <c r="Y256" s="301"/>
      <c r="Z256" s="301"/>
      <c r="AA256" s="301"/>
      <c r="AB256" s="301"/>
      <c r="AC256" s="301"/>
      <c r="AD256" s="301"/>
      <c r="AE256" s="301"/>
      <c r="AF256" s="301"/>
      <c r="AG256" s="301"/>
      <c r="AH256" s="301"/>
      <c r="AI256" s="301"/>
      <c r="AJ256" s="301"/>
      <c r="AK256" s="301"/>
      <c r="AL256" s="301"/>
      <c r="AM256" s="301"/>
      <c r="AN256" s="301"/>
      <c r="AO256" s="301"/>
      <c r="AP256" s="301"/>
    </row>
    <row r="257" spans="10:42" ht="13.5" customHeight="1">
      <c r="J257" s="301"/>
      <c r="K257" s="301"/>
      <c r="L257" s="301"/>
      <c r="M257" s="301"/>
      <c r="N257" s="301"/>
      <c r="O257" s="301"/>
      <c r="P257" s="301"/>
      <c r="Q257" s="301"/>
      <c r="R257" s="301"/>
      <c r="S257" s="301"/>
      <c r="T257" s="301"/>
      <c r="U257" s="301"/>
      <c r="V257" s="301"/>
      <c r="W257" s="301"/>
      <c r="X257" s="301"/>
      <c r="Y257" s="301"/>
      <c r="Z257" s="301"/>
      <c r="AA257" s="301"/>
      <c r="AB257" s="301"/>
      <c r="AC257" s="301"/>
      <c r="AD257" s="301"/>
      <c r="AE257" s="301"/>
      <c r="AF257" s="301"/>
      <c r="AG257" s="301"/>
      <c r="AH257" s="301"/>
      <c r="AI257" s="301"/>
      <c r="AJ257" s="301"/>
      <c r="AK257" s="301"/>
      <c r="AL257" s="301"/>
      <c r="AM257" s="301"/>
      <c r="AN257" s="301"/>
      <c r="AO257" s="301"/>
      <c r="AP257" s="301"/>
    </row>
    <row r="258" spans="10:42" ht="13.5" customHeight="1">
      <c r="J258" s="301"/>
      <c r="K258" s="301"/>
      <c r="L258" s="301"/>
      <c r="M258" s="301"/>
      <c r="N258" s="301"/>
      <c r="O258" s="301"/>
      <c r="P258" s="301"/>
      <c r="Q258" s="301"/>
      <c r="R258" s="301"/>
      <c r="S258" s="301"/>
      <c r="T258" s="301"/>
      <c r="U258" s="301"/>
      <c r="V258" s="301"/>
      <c r="W258" s="301"/>
      <c r="X258" s="301"/>
      <c r="Y258" s="301"/>
      <c r="Z258" s="301"/>
      <c r="AA258" s="301"/>
      <c r="AB258" s="301"/>
      <c r="AC258" s="301"/>
      <c r="AD258" s="301"/>
      <c r="AE258" s="301"/>
      <c r="AF258" s="301"/>
      <c r="AG258" s="301"/>
      <c r="AH258" s="301"/>
      <c r="AI258" s="301"/>
      <c r="AJ258" s="301"/>
      <c r="AK258" s="301"/>
      <c r="AL258" s="301"/>
      <c r="AM258" s="301"/>
      <c r="AN258" s="301"/>
      <c r="AO258" s="301"/>
      <c r="AP258" s="301"/>
    </row>
    <row r="259" spans="10:42" ht="13.5" customHeight="1">
      <c r="J259" s="301"/>
      <c r="K259" s="301"/>
      <c r="L259" s="301"/>
      <c r="M259" s="301"/>
      <c r="N259" s="301"/>
      <c r="O259" s="301"/>
      <c r="P259" s="301"/>
      <c r="Q259" s="301"/>
      <c r="R259" s="301"/>
      <c r="S259" s="301"/>
      <c r="T259" s="301"/>
      <c r="U259" s="301"/>
      <c r="V259" s="301"/>
      <c r="W259" s="301"/>
      <c r="X259" s="301"/>
      <c r="Y259" s="301"/>
      <c r="Z259" s="301"/>
      <c r="AA259" s="301"/>
      <c r="AB259" s="301"/>
      <c r="AC259" s="301"/>
      <c r="AD259" s="301"/>
      <c r="AE259" s="301"/>
      <c r="AF259" s="301"/>
      <c r="AG259" s="301"/>
      <c r="AH259" s="301"/>
      <c r="AI259" s="301"/>
      <c r="AJ259" s="301"/>
      <c r="AK259" s="301"/>
      <c r="AL259" s="301"/>
      <c r="AM259" s="301"/>
      <c r="AN259" s="301"/>
      <c r="AO259" s="301"/>
      <c r="AP259" s="301"/>
    </row>
    <row r="260" spans="10:42" ht="13.5" customHeight="1">
      <c r="J260" s="301"/>
      <c r="K260" s="301"/>
      <c r="L260" s="301"/>
      <c r="M260" s="301"/>
      <c r="N260" s="301"/>
      <c r="O260" s="301"/>
      <c r="P260" s="301"/>
      <c r="Q260" s="301"/>
      <c r="R260" s="301"/>
      <c r="S260" s="301"/>
      <c r="T260" s="301"/>
      <c r="U260" s="301"/>
      <c r="V260" s="301"/>
      <c r="W260" s="301"/>
      <c r="X260" s="301"/>
      <c r="Y260" s="301"/>
      <c r="Z260" s="301"/>
      <c r="AA260" s="301"/>
      <c r="AB260" s="301"/>
      <c r="AC260" s="301"/>
      <c r="AD260" s="301"/>
      <c r="AE260" s="301"/>
      <c r="AF260" s="301"/>
      <c r="AG260" s="301"/>
      <c r="AH260" s="301"/>
      <c r="AI260" s="301"/>
      <c r="AJ260" s="301"/>
      <c r="AK260" s="301"/>
      <c r="AL260" s="301"/>
      <c r="AM260" s="301"/>
      <c r="AN260" s="301"/>
      <c r="AO260" s="301"/>
      <c r="AP260" s="301"/>
    </row>
    <row r="261" spans="10:42" ht="13.5" customHeight="1">
      <c r="J261" s="301"/>
      <c r="K261" s="301"/>
      <c r="L261" s="301"/>
      <c r="M261" s="301"/>
      <c r="N261" s="301"/>
      <c r="O261" s="301"/>
      <c r="P261" s="301"/>
      <c r="Q261" s="301"/>
      <c r="R261" s="301"/>
      <c r="S261" s="301"/>
      <c r="T261" s="301"/>
      <c r="U261" s="301"/>
      <c r="V261" s="301"/>
      <c r="W261" s="301"/>
      <c r="X261" s="301"/>
      <c r="Y261" s="301"/>
      <c r="Z261" s="301"/>
      <c r="AA261" s="301"/>
      <c r="AB261" s="301"/>
      <c r="AC261" s="301"/>
      <c r="AD261" s="301"/>
      <c r="AE261" s="301"/>
      <c r="AF261" s="301"/>
      <c r="AG261" s="301"/>
      <c r="AH261" s="301"/>
      <c r="AI261" s="301"/>
      <c r="AJ261" s="301"/>
      <c r="AK261" s="301"/>
      <c r="AL261" s="301"/>
      <c r="AM261" s="301"/>
      <c r="AN261" s="301"/>
      <c r="AO261" s="301"/>
      <c r="AP261" s="301"/>
    </row>
    <row r="262" spans="10:42" ht="13.5" customHeight="1">
      <c r="J262" s="301"/>
      <c r="K262" s="301"/>
      <c r="L262" s="301"/>
      <c r="M262" s="301"/>
      <c r="N262" s="301"/>
      <c r="O262" s="301"/>
      <c r="P262" s="301"/>
      <c r="Q262" s="301"/>
      <c r="R262" s="301"/>
      <c r="S262" s="301"/>
      <c r="T262" s="301"/>
      <c r="U262" s="301"/>
      <c r="V262" s="301"/>
      <c r="W262" s="301"/>
      <c r="X262" s="301"/>
      <c r="Y262" s="301"/>
      <c r="Z262" s="301"/>
      <c r="AA262" s="301"/>
      <c r="AB262" s="301"/>
      <c r="AC262" s="301"/>
      <c r="AD262" s="301"/>
      <c r="AE262" s="301"/>
      <c r="AF262" s="301"/>
      <c r="AG262" s="301"/>
      <c r="AH262" s="301"/>
      <c r="AI262" s="301"/>
      <c r="AJ262" s="301"/>
      <c r="AK262" s="301"/>
      <c r="AL262" s="301"/>
      <c r="AM262" s="301"/>
      <c r="AN262" s="301"/>
      <c r="AO262" s="301"/>
      <c r="AP262" s="301"/>
    </row>
    <row r="263" spans="10:42" ht="13.5" customHeight="1">
      <c r="J263" s="301"/>
      <c r="K263" s="301"/>
      <c r="L263" s="301"/>
      <c r="M263" s="301"/>
      <c r="N263" s="301"/>
      <c r="O263" s="301"/>
      <c r="P263" s="301"/>
      <c r="Q263" s="301"/>
      <c r="R263" s="301"/>
      <c r="S263" s="301"/>
      <c r="T263" s="301"/>
      <c r="U263" s="301"/>
      <c r="V263" s="301"/>
      <c r="W263" s="301"/>
      <c r="X263" s="301"/>
      <c r="Y263" s="301"/>
      <c r="Z263" s="301"/>
      <c r="AA263" s="301"/>
      <c r="AB263" s="301"/>
      <c r="AC263" s="301"/>
      <c r="AD263" s="301"/>
      <c r="AE263" s="301"/>
      <c r="AF263" s="301"/>
      <c r="AG263" s="301"/>
      <c r="AH263" s="301"/>
      <c r="AI263" s="301"/>
      <c r="AJ263" s="301"/>
      <c r="AK263" s="301"/>
      <c r="AL263" s="301"/>
      <c r="AM263" s="301"/>
      <c r="AN263" s="301"/>
      <c r="AO263" s="301"/>
      <c r="AP263" s="301"/>
    </row>
    <row r="264" spans="10:42" ht="13.5" customHeight="1">
      <c r="J264" s="301"/>
      <c r="K264" s="301"/>
      <c r="L264" s="301"/>
      <c r="M264" s="301"/>
      <c r="N264" s="301"/>
      <c r="O264" s="301"/>
      <c r="P264" s="301"/>
      <c r="Q264" s="301"/>
      <c r="R264" s="301"/>
      <c r="S264" s="301"/>
      <c r="T264" s="301"/>
      <c r="U264" s="301"/>
      <c r="V264" s="301"/>
      <c r="W264" s="301"/>
      <c r="X264" s="301"/>
      <c r="Y264" s="301"/>
      <c r="Z264" s="301"/>
      <c r="AA264" s="301"/>
      <c r="AB264" s="301"/>
      <c r="AC264" s="301"/>
      <c r="AD264" s="301"/>
      <c r="AE264" s="301"/>
      <c r="AF264" s="301"/>
      <c r="AG264" s="301"/>
      <c r="AH264" s="301"/>
      <c r="AI264" s="301"/>
      <c r="AJ264" s="301"/>
      <c r="AK264" s="301"/>
      <c r="AL264" s="301"/>
      <c r="AM264" s="301"/>
      <c r="AN264" s="301"/>
      <c r="AO264" s="301"/>
      <c r="AP264" s="301"/>
    </row>
    <row r="265" spans="10:42" ht="13.5" customHeight="1">
      <c r="J265" s="301"/>
      <c r="K265" s="301"/>
      <c r="L265" s="301"/>
      <c r="M265" s="301"/>
      <c r="N265" s="301"/>
      <c r="O265" s="301"/>
      <c r="P265" s="301"/>
      <c r="Q265" s="301"/>
      <c r="R265" s="301"/>
      <c r="S265" s="301"/>
      <c r="T265" s="301"/>
      <c r="U265" s="301"/>
      <c r="V265" s="301"/>
      <c r="W265" s="301"/>
      <c r="X265" s="301"/>
      <c r="Y265" s="301"/>
      <c r="Z265" s="301"/>
      <c r="AA265" s="301"/>
      <c r="AB265" s="301"/>
      <c r="AC265" s="301"/>
      <c r="AD265" s="301"/>
      <c r="AE265" s="301"/>
      <c r="AF265" s="301"/>
      <c r="AG265" s="301"/>
      <c r="AH265" s="301"/>
      <c r="AI265" s="301"/>
      <c r="AJ265" s="301"/>
      <c r="AK265" s="301"/>
      <c r="AL265" s="301"/>
      <c r="AM265" s="301"/>
      <c r="AN265" s="301"/>
      <c r="AO265" s="301"/>
      <c r="AP265" s="301"/>
    </row>
    <row r="266" spans="10:42" ht="13.5" customHeight="1">
      <c r="J266" s="301"/>
      <c r="K266" s="301"/>
      <c r="L266" s="301"/>
      <c r="M266" s="301"/>
      <c r="N266" s="301"/>
      <c r="O266" s="301"/>
      <c r="P266" s="301"/>
      <c r="Q266" s="301"/>
      <c r="R266" s="301"/>
      <c r="S266" s="301"/>
      <c r="T266" s="301"/>
      <c r="U266" s="301"/>
      <c r="V266" s="301"/>
      <c r="W266" s="301"/>
      <c r="X266" s="301"/>
      <c r="Y266" s="301"/>
      <c r="Z266" s="301"/>
      <c r="AA266" s="301"/>
      <c r="AB266" s="301"/>
      <c r="AC266" s="301"/>
      <c r="AD266" s="301"/>
      <c r="AE266" s="301"/>
      <c r="AF266" s="301"/>
      <c r="AG266" s="301"/>
      <c r="AH266" s="301"/>
      <c r="AI266" s="301"/>
      <c r="AJ266" s="301"/>
      <c r="AK266" s="301"/>
      <c r="AL266" s="301"/>
      <c r="AM266" s="301"/>
      <c r="AN266" s="301"/>
      <c r="AO266" s="301"/>
      <c r="AP266" s="301"/>
    </row>
    <row r="267" spans="10:42" ht="13.5" customHeight="1">
      <c r="J267" s="301"/>
      <c r="K267" s="301"/>
      <c r="L267" s="301"/>
      <c r="M267" s="301"/>
      <c r="N267" s="301"/>
      <c r="O267" s="301"/>
      <c r="P267" s="301"/>
      <c r="Q267" s="301"/>
      <c r="R267" s="301"/>
      <c r="S267" s="301"/>
      <c r="T267" s="301"/>
      <c r="U267" s="301"/>
      <c r="V267" s="301"/>
      <c r="W267" s="301"/>
      <c r="X267" s="301"/>
      <c r="Y267" s="301"/>
      <c r="Z267" s="301"/>
      <c r="AA267" s="301"/>
      <c r="AB267" s="301"/>
      <c r="AC267" s="301"/>
      <c r="AD267" s="301"/>
      <c r="AE267" s="301"/>
      <c r="AF267" s="301"/>
      <c r="AG267" s="301"/>
      <c r="AH267" s="301"/>
      <c r="AI267" s="301"/>
      <c r="AJ267" s="301"/>
      <c r="AK267" s="301"/>
      <c r="AL267" s="301"/>
      <c r="AM267" s="301"/>
      <c r="AN267" s="301"/>
      <c r="AO267" s="301"/>
      <c r="AP267" s="301"/>
    </row>
    <row r="268" spans="10:42" ht="13.5" customHeight="1">
      <c r="J268" s="301"/>
      <c r="K268" s="301"/>
      <c r="L268" s="301"/>
      <c r="M268" s="301"/>
      <c r="N268" s="301"/>
      <c r="O268" s="301"/>
      <c r="P268" s="301"/>
      <c r="Q268" s="301"/>
      <c r="R268" s="301"/>
      <c r="S268" s="301"/>
      <c r="T268" s="301"/>
      <c r="U268" s="301"/>
      <c r="V268" s="301"/>
      <c r="W268" s="301"/>
      <c r="X268" s="301"/>
      <c r="Y268" s="301"/>
      <c r="Z268" s="301"/>
      <c r="AA268" s="301"/>
      <c r="AB268" s="301"/>
      <c r="AC268" s="301"/>
      <c r="AD268" s="301"/>
      <c r="AE268" s="301"/>
      <c r="AF268" s="301"/>
      <c r="AG268" s="301"/>
      <c r="AH268" s="301"/>
      <c r="AI268" s="301"/>
      <c r="AJ268" s="301"/>
      <c r="AK268" s="301"/>
      <c r="AL268" s="301"/>
      <c r="AM268" s="301"/>
      <c r="AN268" s="301"/>
      <c r="AO268" s="301"/>
      <c r="AP268" s="301"/>
    </row>
    <row r="269" spans="10:42" ht="13.5" customHeight="1">
      <c r="J269" s="301"/>
      <c r="K269" s="301"/>
      <c r="L269" s="301"/>
      <c r="M269" s="301"/>
      <c r="N269" s="301"/>
      <c r="O269" s="301"/>
      <c r="P269" s="301"/>
      <c r="Q269" s="301"/>
      <c r="R269" s="301"/>
      <c r="S269" s="301"/>
      <c r="T269" s="301"/>
      <c r="U269" s="301"/>
      <c r="V269" s="301"/>
      <c r="W269" s="301"/>
      <c r="X269" s="301"/>
      <c r="Y269" s="301"/>
      <c r="Z269" s="301"/>
      <c r="AA269" s="301"/>
      <c r="AB269" s="301"/>
      <c r="AC269" s="301"/>
      <c r="AD269" s="301"/>
      <c r="AE269" s="301"/>
      <c r="AF269" s="301"/>
      <c r="AG269" s="301"/>
      <c r="AH269" s="301"/>
      <c r="AI269" s="301"/>
      <c r="AJ269" s="301"/>
      <c r="AK269" s="301"/>
      <c r="AL269" s="301"/>
      <c r="AM269" s="301"/>
      <c r="AN269" s="301"/>
      <c r="AO269" s="301"/>
      <c r="AP269" s="301"/>
    </row>
    <row r="270" spans="10:42" ht="13.5" customHeight="1">
      <c r="J270" s="301"/>
      <c r="K270" s="301"/>
      <c r="L270" s="301"/>
      <c r="M270" s="301"/>
      <c r="N270" s="301"/>
      <c r="O270" s="301"/>
      <c r="P270" s="301"/>
      <c r="Q270" s="301"/>
      <c r="R270" s="301"/>
      <c r="S270" s="301"/>
      <c r="T270" s="301"/>
      <c r="U270" s="301"/>
      <c r="V270" s="301"/>
      <c r="W270" s="301"/>
      <c r="X270" s="301"/>
      <c r="Y270" s="301"/>
      <c r="Z270" s="301"/>
      <c r="AA270" s="301"/>
      <c r="AB270" s="301"/>
      <c r="AC270" s="301"/>
      <c r="AD270" s="301"/>
      <c r="AE270" s="301"/>
      <c r="AF270" s="301"/>
      <c r="AG270" s="301"/>
      <c r="AH270" s="301"/>
      <c r="AI270" s="301"/>
      <c r="AJ270" s="301"/>
      <c r="AK270" s="301"/>
      <c r="AL270" s="301"/>
      <c r="AM270" s="301"/>
      <c r="AN270" s="301"/>
      <c r="AO270" s="301"/>
      <c r="AP270" s="301"/>
    </row>
    <row r="271" spans="10:42" ht="13.5" customHeight="1">
      <c r="J271" s="301"/>
      <c r="K271" s="301"/>
      <c r="L271" s="301"/>
      <c r="M271" s="301"/>
      <c r="N271" s="301"/>
      <c r="O271" s="301"/>
      <c r="P271" s="301"/>
      <c r="Q271" s="301"/>
      <c r="R271" s="301"/>
      <c r="S271" s="301"/>
      <c r="T271" s="301"/>
      <c r="U271" s="301"/>
      <c r="V271" s="301"/>
      <c r="W271" s="301"/>
      <c r="X271" s="301"/>
      <c r="Y271" s="301"/>
      <c r="Z271" s="301"/>
      <c r="AA271" s="301"/>
      <c r="AB271" s="301"/>
      <c r="AC271" s="301"/>
      <c r="AD271" s="301"/>
      <c r="AE271" s="301"/>
      <c r="AF271" s="301"/>
      <c r="AG271" s="301"/>
      <c r="AH271" s="301"/>
      <c r="AI271" s="301"/>
      <c r="AJ271" s="301"/>
      <c r="AK271" s="301"/>
      <c r="AL271" s="301"/>
      <c r="AM271" s="301"/>
      <c r="AN271" s="301"/>
      <c r="AO271" s="301"/>
      <c r="AP271" s="301"/>
    </row>
    <row r="272" spans="10:42" ht="13.5" customHeight="1">
      <c r="J272" s="301"/>
      <c r="K272" s="301"/>
      <c r="L272" s="301"/>
      <c r="M272" s="301"/>
      <c r="N272" s="301"/>
      <c r="O272" s="301"/>
      <c r="P272" s="301"/>
      <c r="Q272" s="301"/>
      <c r="R272" s="301"/>
      <c r="S272" s="301"/>
      <c r="T272" s="301"/>
      <c r="U272" s="301"/>
      <c r="V272" s="301"/>
      <c r="W272" s="301"/>
      <c r="X272" s="301"/>
      <c r="Y272" s="301"/>
      <c r="Z272" s="301"/>
      <c r="AA272" s="301"/>
      <c r="AB272" s="301"/>
      <c r="AC272" s="301"/>
      <c r="AD272" s="301"/>
      <c r="AE272" s="301"/>
      <c r="AF272" s="301"/>
      <c r="AG272" s="301"/>
      <c r="AH272" s="301"/>
      <c r="AI272" s="301"/>
      <c r="AJ272" s="301"/>
      <c r="AK272" s="301"/>
      <c r="AL272" s="301"/>
      <c r="AM272" s="301"/>
      <c r="AN272" s="301"/>
      <c r="AO272" s="301"/>
      <c r="AP272" s="301"/>
    </row>
    <row r="273" spans="10:42" ht="13.5" customHeight="1">
      <c r="J273" s="301"/>
      <c r="K273" s="301"/>
      <c r="L273" s="301"/>
      <c r="M273" s="301"/>
      <c r="N273" s="301"/>
      <c r="O273" s="301"/>
      <c r="P273" s="301"/>
      <c r="Q273" s="301"/>
      <c r="R273" s="301"/>
      <c r="S273" s="301"/>
      <c r="T273" s="301"/>
      <c r="U273" s="301"/>
      <c r="V273" s="301"/>
      <c r="W273" s="301"/>
      <c r="X273" s="301"/>
      <c r="Y273" s="301"/>
      <c r="Z273" s="301"/>
      <c r="AA273" s="301"/>
      <c r="AB273" s="301"/>
      <c r="AC273" s="301"/>
      <c r="AD273" s="301"/>
      <c r="AE273" s="301"/>
      <c r="AF273" s="301"/>
      <c r="AG273" s="301"/>
      <c r="AH273" s="301"/>
      <c r="AI273" s="301"/>
      <c r="AJ273" s="301"/>
      <c r="AK273" s="301"/>
      <c r="AL273" s="301"/>
      <c r="AM273" s="301"/>
      <c r="AN273" s="301"/>
      <c r="AO273" s="301"/>
      <c r="AP273" s="301"/>
    </row>
    <row r="274" spans="10:42" ht="13.5" customHeight="1">
      <c r="J274" s="301"/>
      <c r="K274" s="301"/>
      <c r="L274" s="301"/>
      <c r="M274" s="301"/>
      <c r="N274" s="301"/>
      <c r="O274" s="301"/>
      <c r="P274" s="301"/>
      <c r="Q274" s="301"/>
      <c r="R274" s="301"/>
      <c r="S274" s="301"/>
      <c r="T274" s="301"/>
      <c r="U274" s="301"/>
      <c r="V274" s="301"/>
      <c r="W274" s="301"/>
      <c r="X274" s="301"/>
      <c r="Y274" s="301"/>
      <c r="Z274" s="301"/>
      <c r="AA274" s="301"/>
      <c r="AB274" s="301"/>
      <c r="AC274" s="301"/>
      <c r="AD274" s="301"/>
      <c r="AE274" s="301"/>
      <c r="AF274" s="301"/>
      <c r="AG274" s="301"/>
      <c r="AH274" s="301"/>
      <c r="AI274" s="301"/>
      <c r="AJ274" s="301"/>
      <c r="AK274" s="301"/>
      <c r="AL274" s="301"/>
      <c r="AM274" s="301"/>
      <c r="AN274" s="301"/>
      <c r="AO274" s="301"/>
      <c r="AP274" s="301"/>
    </row>
    <row r="275" spans="10:42" ht="13.5" customHeight="1">
      <c r="J275" s="301"/>
      <c r="K275" s="301"/>
      <c r="L275" s="301"/>
      <c r="M275" s="301"/>
      <c r="N275" s="301"/>
      <c r="O275" s="301"/>
      <c r="P275" s="301"/>
      <c r="Q275" s="301"/>
      <c r="R275" s="301"/>
      <c r="S275" s="301"/>
      <c r="T275" s="301"/>
      <c r="U275" s="301"/>
      <c r="V275" s="301"/>
      <c r="W275" s="301"/>
      <c r="X275" s="301"/>
      <c r="Y275" s="301"/>
      <c r="Z275" s="301"/>
      <c r="AA275" s="301"/>
      <c r="AB275" s="301"/>
      <c r="AC275" s="301"/>
      <c r="AD275" s="301"/>
      <c r="AE275" s="301"/>
      <c r="AF275" s="301"/>
      <c r="AG275" s="301"/>
      <c r="AH275" s="301"/>
      <c r="AI275" s="301"/>
      <c r="AJ275" s="301"/>
      <c r="AK275" s="301"/>
      <c r="AL275" s="301"/>
      <c r="AM275" s="301"/>
      <c r="AN275" s="301"/>
      <c r="AO275" s="301"/>
      <c r="AP275" s="301"/>
    </row>
    <row r="276" spans="10:42" ht="13.5" customHeight="1">
      <c r="J276" s="301"/>
      <c r="K276" s="301"/>
      <c r="L276" s="301"/>
      <c r="M276" s="301"/>
      <c r="N276" s="301"/>
      <c r="O276" s="301"/>
      <c r="P276" s="301"/>
      <c r="Q276" s="301"/>
      <c r="R276" s="301"/>
      <c r="S276" s="301"/>
      <c r="T276" s="301"/>
      <c r="U276" s="301"/>
      <c r="V276" s="301"/>
      <c r="W276" s="301"/>
      <c r="X276" s="301"/>
      <c r="Y276" s="301"/>
      <c r="Z276" s="301"/>
      <c r="AA276" s="301"/>
      <c r="AB276" s="301"/>
      <c r="AC276" s="301"/>
      <c r="AD276" s="301"/>
      <c r="AE276" s="301"/>
      <c r="AF276" s="301"/>
      <c r="AG276" s="301"/>
      <c r="AH276" s="301"/>
      <c r="AI276" s="301"/>
      <c r="AJ276" s="301"/>
      <c r="AK276" s="301"/>
      <c r="AL276" s="301"/>
      <c r="AM276" s="301"/>
      <c r="AN276" s="301"/>
      <c r="AO276" s="301"/>
      <c r="AP276" s="301"/>
    </row>
    <row r="277" spans="10:42" ht="13.5" customHeight="1">
      <c r="J277" s="301"/>
      <c r="K277" s="301"/>
      <c r="L277" s="301"/>
      <c r="M277" s="301"/>
      <c r="N277" s="301"/>
      <c r="O277" s="301"/>
      <c r="P277" s="301"/>
      <c r="Q277" s="301"/>
      <c r="R277" s="301"/>
      <c r="S277" s="301"/>
      <c r="T277" s="301"/>
      <c r="U277" s="301"/>
      <c r="V277" s="301"/>
      <c r="W277" s="301"/>
      <c r="X277" s="301"/>
      <c r="Y277" s="301"/>
      <c r="Z277" s="301"/>
      <c r="AA277" s="301"/>
      <c r="AB277" s="301"/>
      <c r="AC277" s="301"/>
      <c r="AD277" s="301"/>
      <c r="AE277" s="301"/>
      <c r="AF277" s="301"/>
      <c r="AG277" s="301"/>
      <c r="AH277" s="301"/>
      <c r="AI277" s="301"/>
      <c r="AJ277" s="301"/>
      <c r="AK277" s="301"/>
      <c r="AL277" s="301"/>
      <c r="AM277" s="301"/>
      <c r="AN277" s="301"/>
      <c r="AO277" s="301"/>
      <c r="AP277" s="301"/>
    </row>
    <row r="278" spans="10:42" ht="13.5" customHeight="1">
      <c r="J278" s="301"/>
      <c r="K278" s="301"/>
      <c r="L278" s="301"/>
      <c r="M278" s="301"/>
      <c r="N278" s="301"/>
      <c r="O278" s="301"/>
      <c r="P278" s="301"/>
      <c r="Q278" s="301"/>
      <c r="R278" s="301"/>
      <c r="S278" s="301"/>
      <c r="T278" s="301"/>
      <c r="U278" s="301"/>
      <c r="V278" s="301"/>
      <c r="W278" s="301"/>
      <c r="X278" s="301"/>
      <c r="Y278" s="301"/>
      <c r="Z278" s="301"/>
      <c r="AA278" s="301"/>
      <c r="AB278" s="301"/>
      <c r="AC278" s="301"/>
      <c r="AD278" s="301"/>
      <c r="AE278" s="301"/>
      <c r="AF278" s="301"/>
      <c r="AG278" s="301"/>
      <c r="AH278" s="301"/>
      <c r="AI278" s="301"/>
      <c r="AJ278" s="301"/>
      <c r="AK278" s="301"/>
      <c r="AL278" s="301"/>
      <c r="AM278" s="301"/>
      <c r="AN278" s="301"/>
      <c r="AO278" s="301"/>
      <c r="AP278" s="301"/>
    </row>
    <row r="279" spans="10:42" ht="13.5" customHeight="1">
      <c r="J279" s="301"/>
      <c r="K279" s="301"/>
      <c r="L279" s="301"/>
      <c r="M279" s="301"/>
      <c r="N279" s="301"/>
      <c r="O279" s="301"/>
      <c r="P279" s="301"/>
      <c r="Q279" s="301"/>
      <c r="R279" s="301"/>
      <c r="S279" s="301"/>
      <c r="T279" s="301"/>
      <c r="U279" s="301"/>
      <c r="V279" s="301"/>
      <c r="W279" s="301"/>
      <c r="X279" s="301"/>
      <c r="Y279" s="301"/>
      <c r="Z279" s="301"/>
      <c r="AA279" s="301"/>
      <c r="AB279" s="301"/>
      <c r="AC279" s="301"/>
      <c r="AD279" s="301"/>
      <c r="AE279" s="301"/>
      <c r="AF279" s="301"/>
      <c r="AG279" s="301"/>
      <c r="AH279" s="301"/>
      <c r="AI279" s="301"/>
      <c r="AJ279" s="301"/>
      <c r="AK279" s="301"/>
      <c r="AL279" s="301"/>
      <c r="AM279" s="301"/>
      <c r="AN279" s="301"/>
      <c r="AO279" s="301"/>
      <c r="AP279" s="301"/>
    </row>
    <row r="280" spans="10:42" ht="13.5" customHeight="1">
      <c r="J280" s="301"/>
      <c r="K280" s="301"/>
      <c r="L280" s="301"/>
      <c r="M280" s="301"/>
      <c r="N280" s="301"/>
      <c r="O280" s="301"/>
      <c r="P280" s="301"/>
      <c r="Q280" s="301"/>
      <c r="R280" s="301"/>
      <c r="S280" s="301"/>
      <c r="T280" s="301"/>
      <c r="U280" s="301"/>
      <c r="V280" s="301"/>
      <c r="W280" s="301"/>
      <c r="X280" s="301"/>
      <c r="Y280" s="301"/>
      <c r="Z280" s="301"/>
      <c r="AA280" s="301"/>
      <c r="AB280" s="301"/>
      <c r="AC280" s="301"/>
      <c r="AD280" s="301"/>
      <c r="AE280" s="301"/>
      <c r="AF280" s="301"/>
      <c r="AG280" s="301"/>
      <c r="AH280" s="301"/>
      <c r="AI280" s="301"/>
      <c r="AJ280" s="301"/>
      <c r="AK280" s="301"/>
      <c r="AL280" s="301"/>
      <c r="AM280" s="301"/>
      <c r="AN280" s="301"/>
      <c r="AO280" s="301"/>
      <c r="AP280" s="301"/>
    </row>
    <row r="281" spans="10:42" ht="13.5" customHeight="1">
      <c r="J281" s="301"/>
      <c r="K281" s="301"/>
      <c r="L281" s="301"/>
      <c r="M281" s="301"/>
      <c r="N281" s="301"/>
      <c r="O281" s="301"/>
      <c r="P281" s="301"/>
      <c r="Q281" s="301"/>
      <c r="R281" s="301"/>
      <c r="S281" s="301"/>
      <c r="T281" s="301"/>
      <c r="U281" s="301"/>
      <c r="V281" s="301"/>
      <c r="W281" s="301"/>
      <c r="X281" s="301"/>
      <c r="Y281" s="301"/>
      <c r="Z281" s="301"/>
      <c r="AA281" s="301"/>
      <c r="AB281" s="301"/>
      <c r="AC281" s="301"/>
      <c r="AD281" s="301"/>
      <c r="AE281" s="301"/>
      <c r="AF281" s="301"/>
      <c r="AG281" s="301"/>
      <c r="AH281" s="301"/>
      <c r="AI281" s="301"/>
      <c r="AJ281" s="301"/>
      <c r="AK281" s="301"/>
      <c r="AL281" s="301"/>
      <c r="AM281" s="301"/>
      <c r="AN281" s="301"/>
      <c r="AO281" s="301"/>
      <c r="AP281" s="301"/>
    </row>
    <row r="282" spans="10:42" ht="13.5" customHeight="1">
      <c r="J282" s="301"/>
      <c r="K282" s="301"/>
      <c r="L282" s="301"/>
      <c r="M282" s="301"/>
      <c r="N282" s="301"/>
      <c r="O282" s="301"/>
      <c r="P282" s="301"/>
      <c r="Q282" s="301"/>
      <c r="R282" s="301"/>
      <c r="S282" s="301"/>
      <c r="T282" s="301"/>
      <c r="U282" s="301"/>
      <c r="V282" s="301"/>
      <c r="W282" s="301"/>
      <c r="X282" s="301"/>
      <c r="Y282" s="301"/>
      <c r="Z282" s="301"/>
      <c r="AA282" s="301"/>
      <c r="AB282" s="301"/>
      <c r="AC282" s="301"/>
      <c r="AD282" s="301"/>
      <c r="AE282" s="301"/>
      <c r="AF282" s="301"/>
      <c r="AG282" s="301"/>
      <c r="AH282" s="301"/>
      <c r="AI282" s="301"/>
      <c r="AJ282" s="301"/>
      <c r="AK282" s="301"/>
      <c r="AL282" s="301"/>
      <c r="AM282" s="301"/>
      <c r="AN282" s="301"/>
      <c r="AO282" s="301"/>
      <c r="AP282" s="301"/>
    </row>
    <row r="283" spans="10:42" ht="13.5" customHeight="1">
      <c r="J283" s="301"/>
      <c r="K283" s="301"/>
      <c r="L283" s="301"/>
      <c r="M283" s="301"/>
      <c r="N283" s="301"/>
      <c r="O283" s="301"/>
      <c r="P283" s="301"/>
      <c r="Q283" s="301"/>
      <c r="R283" s="301"/>
      <c r="S283" s="301"/>
      <c r="T283" s="301"/>
      <c r="U283" s="301"/>
      <c r="V283" s="301"/>
      <c r="W283" s="301"/>
      <c r="X283" s="301"/>
      <c r="Y283" s="301"/>
      <c r="Z283" s="301"/>
      <c r="AA283" s="301"/>
      <c r="AB283" s="301"/>
      <c r="AC283" s="301"/>
      <c r="AD283" s="301"/>
      <c r="AE283" s="301"/>
      <c r="AF283" s="301"/>
      <c r="AG283" s="301"/>
      <c r="AH283" s="301"/>
      <c r="AI283" s="301"/>
      <c r="AJ283" s="301"/>
      <c r="AK283" s="301"/>
      <c r="AL283" s="301"/>
      <c r="AM283" s="301"/>
      <c r="AN283" s="301"/>
      <c r="AO283" s="301"/>
      <c r="AP283" s="301"/>
    </row>
    <row r="284" spans="10:42" ht="13.5" customHeight="1">
      <c r="J284" s="301"/>
      <c r="K284" s="301"/>
      <c r="L284" s="301"/>
      <c r="M284" s="301"/>
      <c r="N284" s="301"/>
      <c r="O284" s="301"/>
      <c r="P284" s="301"/>
      <c r="Q284" s="301"/>
      <c r="R284" s="301"/>
      <c r="S284" s="301"/>
      <c r="T284" s="301"/>
      <c r="U284" s="301"/>
      <c r="V284" s="301"/>
      <c r="W284" s="301"/>
      <c r="X284" s="301"/>
      <c r="Y284" s="301"/>
      <c r="Z284" s="301"/>
      <c r="AA284" s="301"/>
      <c r="AB284" s="301"/>
      <c r="AC284" s="301"/>
      <c r="AD284" s="301"/>
      <c r="AE284" s="301"/>
      <c r="AF284" s="301"/>
      <c r="AG284" s="301"/>
      <c r="AH284" s="301"/>
      <c r="AI284" s="301"/>
      <c r="AJ284" s="301"/>
      <c r="AK284" s="301"/>
      <c r="AL284" s="301"/>
      <c r="AM284" s="301"/>
      <c r="AN284" s="301"/>
      <c r="AO284" s="301"/>
      <c r="AP284" s="301"/>
    </row>
    <row r="285" spans="10:42" ht="13.5" customHeight="1">
      <c r="J285" s="301"/>
      <c r="K285" s="301"/>
      <c r="L285" s="301"/>
      <c r="M285" s="301"/>
      <c r="N285" s="301"/>
      <c r="O285" s="301"/>
      <c r="P285" s="301"/>
      <c r="Q285" s="301"/>
      <c r="R285" s="301"/>
      <c r="S285" s="301"/>
      <c r="T285" s="301"/>
      <c r="U285" s="301"/>
      <c r="V285" s="301"/>
      <c r="W285" s="301"/>
      <c r="X285" s="301"/>
      <c r="Y285" s="301"/>
      <c r="Z285" s="301"/>
      <c r="AA285" s="301"/>
      <c r="AB285" s="301"/>
      <c r="AC285" s="301"/>
      <c r="AD285" s="301"/>
      <c r="AE285" s="301"/>
      <c r="AF285" s="301"/>
      <c r="AG285" s="301"/>
      <c r="AH285" s="301"/>
      <c r="AI285" s="301"/>
      <c r="AJ285" s="301"/>
      <c r="AK285" s="301"/>
      <c r="AL285" s="301"/>
      <c r="AM285" s="301"/>
      <c r="AN285" s="301"/>
      <c r="AO285" s="301"/>
      <c r="AP285" s="301"/>
    </row>
    <row r="286" spans="10:42" ht="13.5" customHeight="1">
      <c r="J286" s="301"/>
      <c r="K286" s="301"/>
      <c r="L286" s="301"/>
      <c r="M286" s="301"/>
      <c r="N286" s="301"/>
      <c r="O286" s="301"/>
      <c r="P286" s="301"/>
      <c r="Q286" s="301"/>
      <c r="R286" s="301"/>
      <c r="S286" s="301"/>
      <c r="T286" s="301"/>
      <c r="U286" s="301"/>
      <c r="V286" s="301"/>
      <c r="W286" s="301"/>
      <c r="X286" s="301"/>
      <c r="Y286" s="301"/>
      <c r="Z286" s="301"/>
      <c r="AA286" s="301"/>
      <c r="AB286" s="301"/>
      <c r="AC286" s="301"/>
      <c r="AD286" s="301"/>
      <c r="AE286" s="301"/>
      <c r="AF286" s="301"/>
      <c r="AG286" s="301"/>
      <c r="AH286" s="301"/>
      <c r="AI286" s="301"/>
      <c r="AJ286" s="301"/>
      <c r="AK286" s="301"/>
      <c r="AL286" s="301"/>
      <c r="AM286" s="301"/>
      <c r="AN286" s="301"/>
      <c r="AO286" s="301"/>
      <c r="AP286" s="301"/>
    </row>
    <row r="287" spans="10:42" ht="13.5" customHeight="1">
      <c r="J287" s="301"/>
      <c r="K287" s="301"/>
      <c r="L287" s="301"/>
      <c r="M287" s="301"/>
      <c r="N287" s="301"/>
      <c r="O287" s="301"/>
      <c r="P287" s="301"/>
      <c r="Q287" s="301"/>
      <c r="R287" s="301"/>
      <c r="S287" s="301"/>
      <c r="T287" s="301"/>
      <c r="U287" s="301"/>
      <c r="V287" s="301"/>
      <c r="W287" s="301"/>
      <c r="X287" s="301"/>
      <c r="Y287" s="301"/>
      <c r="Z287" s="301"/>
      <c r="AA287" s="301"/>
      <c r="AB287" s="301"/>
      <c r="AC287" s="301"/>
      <c r="AD287" s="301"/>
      <c r="AE287" s="301"/>
      <c r="AF287" s="301"/>
      <c r="AG287" s="301"/>
      <c r="AH287" s="301"/>
      <c r="AI287" s="301"/>
      <c r="AJ287" s="301"/>
      <c r="AK287" s="301"/>
      <c r="AL287" s="301"/>
      <c r="AM287" s="301"/>
      <c r="AN287" s="301"/>
      <c r="AO287" s="301"/>
      <c r="AP287" s="301"/>
    </row>
    <row r="288" spans="10:42" ht="13.5" customHeight="1">
      <c r="J288" s="301"/>
      <c r="K288" s="301"/>
      <c r="L288" s="301"/>
      <c r="M288" s="301"/>
      <c r="N288" s="301"/>
      <c r="O288" s="301"/>
      <c r="P288" s="301"/>
      <c r="Q288" s="301"/>
      <c r="R288" s="301"/>
      <c r="S288" s="301"/>
      <c r="T288" s="301"/>
      <c r="U288" s="301"/>
      <c r="V288" s="301"/>
      <c r="W288" s="301"/>
      <c r="X288" s="301"/>
      <c r="Y288" s="301"/>
      <c r="Z288" s="301"/>
      <c r="AA288" s="301"/>
      <c r="AB288" s="301"/>
      <c r="AC288" s="301"/>
      <c r="AD288" s="301"/>
      <c r="AE288" s="301"/>
      <c r="AF288" s="301"/>
      <c r="AG288" s="301"/>
      <c r="AH288" s="301"/>
      <c r="AI288" s="301"/>
      <c r="AJ288" s="301"/>
      <c r="AK288" s="301"/>
      <c r="AL288" s="301"/>
      <c r="AM288" s="301"/>
      <c r="AN288" s="301"/>
      <c r="AO288" s="301"/>
      <c r="AP288" s="301"/>
    </row>
    <row r="289" spans="10:42" ht="13.5" customHeight="1">
      <c r="J289" s="301"/>
      <c r="K289" s="301"/>
      <c r="L289" s="301"/>
      <c r="M289" s="301"/>
      <c r="N289" s="301"/>
      <c r="O289" s="301"/>
      <c r="P289" s="301"/>
      <c r="Q289" s="301"/>
      <c r="R289" s="301"/>
      <c r="S289" s="301"/>
      <c r="T289" s="301"/>
      <c r="U289" s="301"/>
      <c r="V289" s="301"/>
      <c r="W289" s="301"/>
      <c r="X289" s="301"/>
      <c r="Y289" s="301"/>
      <c r="Z289" s="301"/>
      <c r="AA289" s="301"/>
      <c r="AB289" s="301"/>
      <c r="AC289" s="301"/>
      <c r="AD289" s="301"/>
      <c r="AE289" s="301"/>
      <c r="AF289" s="301"/>
      <c r="AG289" s="301"/>
      <c r="AH289" s="301"/>
      <c r="AI289" s="301"/>
      <c r="AJ289" s="301"/>
      <c r="AK289" s="301"/>
      <c r="AL289" s="301"/>
      <c r="AM289" s="301"/>
      <c r="AN289" s="301"/>
      <c r="AO289" s="301"/>
      <c r="AP289" s="301"/>
    </row>
    <row r="290" spans="10:42" ht="13.5" customHeight="1">
      <c r="J290" s="301"/>
      <c r="K290" s="301"/>
      <c r="L290" s="301"/>
      <c r="M290" s="301"/>
      <c r="N290" s="301"/>
      <c r="O290" s="301"/>
      <c r="P290" s="301"/>
      <c r="Q290" s="301"/>
      <c r="R290" s="301"/>
      <c r="S290" s="301"/>
      <c r="T290" s="301"/>
      <c r="U290" s="301"/>
      <c r="V290" s="301"/>
      <c r="W290" s="301"/>
      <c r="X290" s="301"/>
      <c r="Y290" s="301"/>
      <c r="Z290" s="301"/>
      <c r="AA290" s="301"/>
      <c r="AB290" s="301"/>
      <c r="AC290" s="301"/>
      <c r="AD290" s="301"/>
      <c r="AE290" s="301"/>
      <c r="AF290" s="301"/>
      <c r="AG290" s="301"/>
      <c r="AH290" s="301"/>
      <c r="AI290" s="301"/>
      <c r="AJ290" s="301"/>
      <c r="AK290" s="301"/>
      <c r="AL290" s="301"/>
      <c r="AM290" s="301"/>
      <c r="AN290" s="301"/>
      <c r="AO290" s="301"/>
      <c r="AP290" s="301"/>
    </row>
    <row r="291" spans="10:42" ht="13.5" customHeight="1">
      <c r="J291" s="301"/>
      <c r="K291" s="301"/>
      <c r="L291" s="301"/>
      <c r="M291" s="301"/>
      <c r="N291" s="301"/>
      <c r="O291" s="301"/>
      <c r="P291" s="301"/>
      <c r="Q291" s="301"/>
      <c r="R291" s="301"/>
      <c r="S291" s="301"/>
      <c r="T291" s="301"/>
      <c r="U291" s="301"/>
      <c r="V291" s="301"/>
      <c r="W291" s="301"/>
      <c r="X291" s="301"/>
      <c r="Y291" s="301"/>
      <c r="Z291" s="301"/>
      <c r="AA291" s="301"/>
      <c r="AB291" s="301"/>
      <c r="AC291" s="301"/>
      <c r="AD291" s="301"/>
      <c r="AE291" s="301"/>
      <c r="AF291" s="301"/>
      <c r="AG291" s="301"/>
      <c r="AH291" s="301"/>
      <c r="AI291" s="301"/>
      <c r="AJ291" s="301"/>
      <c r="AK291" s="301"/>
      <c r="AL291" s="301"/>
      <c r="AM291" s="301"/>
      <c r="AN291" s="301"/>
      <c r="AO291" s="301"/>
      <c r="AP291" s="301"/>
    </row>
    <row r="292" spans="10:42" ht="13.5" customHeight="1">
      <c r="J292" s="301"/>
      <c r="K292" s="301"/>
      <c r="L292" s="301"/>
      <c r="M292" s="301"/>
      <c r="N292" s="301"/>
      <c r="O292" s="301"/>
      <c r="P292" s="301"/>
      <c r="Q292" s="301"/>
      <c r="R292" s="301"/>
      <c r="S292" s="301"/>
      <c r="T292" s="301"/>
      <c r="U292" s="301"/>
      <c r="V292" s="301"/>
      <c r="W292" s="301"/>
      <c r="X292" s="301"/>
      <c r="Y292" s="301"/>
      <c r="Z292" s="301"/>
      <c r="AA292" s="301"/>
      <c r="AB292" s="301"/>
      <c r="AC292" s="301"/>
      <c r="AD292" s="301"/>
      <c r="AE292" s="301"/>
      <c r="AF292" s="301"/>
      <c r="AG292" s="301"/>
      <c r="AH292" s="301"/>
      <c r="AI292" s="301"/>
      <c r="AJ292" s="301"/>
      <c r="AK292" s="301"/>
      <c r="AL292" s="301"/>
      <c r="AM292" s="301"/>
      <c r="AN292" s="301"/>
      <c r="AO292" s="301"/>
      <c r="AP292" s="301"/>
    </row>
    <row r="293" spans="10:42" ht="13.5" customHeight="1">
      <c r="J293" s="301"/>
      <c r="K293" s="301"/>
      <c r="L293" s="301"/>
      <c r="M293" s="301"/>
      <c r="N293" s="301"/>
      <c r="O293" s="301"/>
      <c r="P293" s="301"/>
      <c r="Q293" s="301"/>
      <c r="R293" s="301"/>
      <c r="S293" s="301"/>
      <c r="T293" s="301"/>
      <c r="U293" s="301"/>
      <c r="V293" s="301"/>
      <c r="W293" s="301"/>
      <c r="X293" s="301"/>
      <c r="Y293" s="301"/>
      <c r="Z293" s="301"/>
      <c r="AA293" s="301"/>
      <c r="AB293" s="301"/>
      <c r="AC293" s="301"/>
      <c r="AD293" s="301"/>
      <c r="AE293" s="301"/>
      <c r="AF293" s="301"/>
      <c r="AG293" s="301"/>
      <c r="AH293" s="301"/>
      <c r="AI293" s="301"/>
      <c r="AJ293" s="301"/>
      <c r="AK293" s="301"/>
      <c r="AL293" s="301"/>
      <c r="AM293" s="301"/>
      <c r="AN293" s="301"/>
      <c r="AO293" s="301"/>
      <c r="AP293" s="301"/>
    </row>
    <row r="294" spans="10:42" ht="13.5" customHeight="1">
      <c r="J294" s="301"/>
      <c r="K294" s="301"/>
      <c r="L294" s="301"/>
      <c r="M294" s="301"/>
      <c r="N294" s="301"/>
      <c r="O294" s="301"/>
      <c r="P294" s="301"/>
      <c r="Q294" s="301"/>
      <c r="R294" s="301"/>
      <c r="S294" s="301"/>
      <c r="T294" s="301"/>
      <c r="U294" s="301"/>
      <c r="V294" s="301"/>
      <c r="W294" s="301"/>
      <c r="X294" s="301"/>
      <c r="Y294" s="301"/>
      <c r="Z294" s="301"/>
      <c r="AA294" s="301"/>
      <c r="AB294" s="301"/>
      <c r="AC294" s="301"/>
      <c r="AD294" s="301"/>
      <c r="AE294" s="301"/>
      <c r="AF294" s="301"/>
      <c r="AG294" s="301"/>
      <c r="AH294" s="301"/>
      <c r="AI294" s="301"/>
      <c r="AJ294" s="301"/>
      <c r="AK294" s="301"/>
      <c r="AL294" s="301"/>
      <c r="AM294" s="301"/>
      <c r="AN294" s="301"/>
      <c r="AO294" s="301"/>
      <c r="AP294" s="301"/>
    </row>
    <row r="295" spans="10:42" ht="13.5" customHeight="1">
      <c r="J295" s="301"/>
      <c r="K295" s="301"/>
      <c r="L295" s="301"/>
      <c r="M295" s="301"/>
      <c r="N295" s="301"/>
      <c r="O295" s="301"/>
      <c r="P295" s="301"/>
      <c r="Q295" s="301"/>
      <c r="R295" s="301"/>
      <c r="S295" s="301"/>
      <c r="T295" s="301"/>
      <c r="U295" s="301"/>
      <c r="V295" s="301"/>
      <c r="W295" s="301"/>
      <c r="X295" s="301"/>
      <c r="Y295" s="301"/>
      <c r="Z295" s="301"/>
      <c r="AA295" s="301"/>
      <c r="AB295" s="301"/>
      <c r="AC295" s="301"/>
      <c r="AD295" s="301"/>
      <c r="AE295" s="301"/>
      <c r="AF295" s="301"/>
      <c r="AG295" s="301"/>
      <c r="AH295" s="301"/>
      <c r="AI295" s="301"/>
      <c r="AJ295" s="301"/>
      <c r="AK295" s="301"/>
      <c r="AL295" s="301"/>
      <c r="AM295" s="301"/>
      <c r="AN295" s="301"/>
      <c r="AO295" s="301"/>
      <c r="AP295" s="301"/>
    </row>
    <row r="296" spans="10:42" ht="13.5" customHeight="1">
      <c r="J296" s="301"/>
      <c r="K296" s="301"/>
      <c r="L296" s="301"/>
      <c r="M296" s="301"/>
      <c r="N296" s="301"/>
      <c r="O296" s="301"/>
      <c r="P296" s="301"/>
      <c r="Q296" s="301"/>
      <c r="R296" s="301"/>
      <c r="S296" s="301"/>
      <c r="T296" s="301"/>
      <c r="U296" s="301"/>
      <c r="V296" s="301"/>
      <c r="W296" s="301"/>
      <c r="X296" s="301"/>
      <c r="Y296" s="301"/>
      <c r="Z296" s="301"/>
      <c r="AA296" s="301"/>
      <c r="AB296" s="301"/>
      <c r="AC296" s="301"/>
      <c r="AD296" s="301"/>
      <c r="AE296" s="301"/>
      <c r="AF296" s="301"/>
      <c r="AG296" s="301"/>
      <c r="AH296" s="301"/>
      <c r="AI296" s="301"/>
      <c r="AJ296" s="301"/>
      <c r="AK296" s="301"/>
      <c r="AL296" s="301"/>
      <c r="AM296" s="301"/>
      <c r="AN296" s="301"/>
      <c r="AO296" s="301"/>
      <c r="AP296" s="301"/>
    </row>
    <row r="297" spans="10:42" ht="13.5" customHeight="1">
      <c r="J297" s="301"/>
      <c r="K297" s="301"/>
      <c r="L297" s="301"/>
      <c r="M297" s="301"/>
      <c r="N297" s="301"/>
      <c r="O297" s="301"/>
      <c r="P297" s="301"/>
      <c r="Q297" s="301"/>
      <c r="R297" s="301"/>
      <c r="S297" s="301"/>
      <c r="T297" s="301"/>
      <c r="U297" s="301"/>
      <c r="V297" s="301"/>
      <c r="W297" s="301"/>
      <c r="X297" s="301"/>
      <c r="Y297" s="301"/>
      <c r="Z297" s="301"/>
      <c r="AA297" s="301"/>
      <c r="AB297" s="301"/>
      <c r="AC297" s="301"/>
      <c r="AD297" s="301"/>
      <c r="AE297" s="301"/>
      <c r="AF297" s="301"/>
      <c r="AG297" s="301"/>
      <c r="AH297" s="301"/>
      <c r="AI297" s="301"/>
      <c r="AJ297" s="301"/>
      <c r="AK297" s="301"/>
      <c r="AL297" s="301"/>
      <c r="AM297" s="301"/>
      <c r="AN297" s="301"/>
      <c r="AO297" s="301"/>
      <c r="AP297" s="301"/>
    </row>
    <row r="298" spans="10:42" ht="13.5" customHeight="1">
      <c r="J298" s="301"/>
      <c r="K298" s="301"/>
      <c r="L298" s="301"/>
      <c r="M298" s="301"/>
      <c r="N298" s="301"/>
      <c r="O298" s="301"/>
      <c r="P298" s="301"/>
      <c r="Q298" s="301"/>
      <c r="R298" s="301"/>
      <c r="S298" s="301"/>
      <c r="T298" s="301"/>
      <c r="U298" s="301"/>
      <c r="V298" s="301"/>
      <c r="W298" s="301"/>
      <c r="X298" s="301"/>
      <c r="Y298" s="301"/>
      <c r="Z298" s="301"/>
      <c r="AA298" s="301"/>
      <c r="AB298" s="301"/>
      <c r="AC298" s="301"/>
      <c r="AD298" s="301"/>
      <c r="AE298" s="301"/>
      <c r="AF298" s="301"/>
      <c r="AG298" s="301"/>
      <c r="AH298" s="301"/>
      <c r="AI298" s="301"/>
      <c r="AJ298" s="301"/>
      <c r="AK298" s="301"/>
      <c r="AL298" s="301"/>
      <c r="AM298" s="301"/>
      <c r="AN298" s="301"/>
      <c r="AO298" s="301"/>
      <c r="AP298" s="301"/>
    </row>
    <row r="299" spans="10:42" ht="13.5" customHeight="1">
      <c r="J299" s="301"/>
      <c r="K299" s="301"/>
      <c r="L299" s="301"/>
      <c r="M299" s="301"/>
      <c r="N299" s="301"/>
      <c r="O299" s="301"/>
      <c r="P299" s="301"/>
      <c r="Q299" s="301"/>
      <c r="R299" s="301"/>
      <c r="S299" s="301"/>
      <c r="T299" s="301"/>
      <c r="U299" s="301"/>
      <c r="V299" s="301"/>
      <c r="W299" s="301"/>
      <c r="X299" s="301"/>
      <c r="Y299" s="301"/>
      <c r="Z299" s="301"/>
      <c r="AA299" s="301"/>
      <c r="AB299" s="301"/>
      <c r="AC299" s="301"/>
      <c r="AD299" s="301"/>
      <c r="AE299" s="301"/>
      <c r="AF299" s="301"/>
      <c r="AG299" s="301"/>
      <c r="AH299" s="301"/>
      <c r="AI299" s="301"/>
      <c r="AJ299" s="301"/>
      <c r="AK299" s="301"/>
      <c r="AL299" s="301"/>
      <c r="AM299" s="301"/>
      <c r="AN299" s="301"/>
      <c r="AO299" s="301"/>
      <c r="AP299" s="301"/>
    </row>
    <row r="300" spans="10:42" ht="13.5" customHeight="1">
      <c r="J300" s="301"/>
      <c r="K300" s="301"/>
      <c r="L300" s="301"/>
      <c r="M300" s="301"/>
      <c r="N300" s="301"/>
      <c r="O300" s="301"/>
      <c r="P300" s="301"/>
      <c r="Q300" s="301"/>
      <c r="R300" s="301"/>
      <c r="S300" s="301"/>
      <c r="T300" s="301"/>
      <c r="U300" s="301"/>
      <c r="V300" s="301"/>
      <c r="W300" s="301"/>
      <c r="X300" s="301"/>
      <c r="Y300" s="301"/>
      <c r="Z300" s="301"/>
      <c r="AA300" s="301"/>
      <c r="AB300" s="301"/>
      <c r="AC300" s="301"/>
      <c r="AD300" s="301"/>
      <c r="AE300" s="301"/>
      <c r="AF300" s="301"/>
      <c r="AG300" s="301"/>
      <c r="AH300" s="301"/>
      <c r="AI300" s="301"/>
      <c r="AJ300" s="301"/>
      <c r="AK300" s="301"/>
      <c r="AL300" s="301"/>
      <c r="AM300" s="301"/>
      <c r="AN300" s="301"/>
      <c r="AO300" s="301"/>
      <c r="AP300" s="301"/>
    </row>
    <row r="301" spans="10:42" ht="13.5" customHeight="1">
      <c r="J301" s="301"/>
      <c r="K301" s="301"/>
      <c r="L301" s="301"/>
      <c r="M301" s="301"/>
      <c r="N301" s="301"/>
      <c r="O301" s="301"/>
      <c r="P301" s="301"/>
      <c r="Q301" s="301"/>
      <c r="R301" s="301"/>
      <c r="S301" s="301"/>
      <c r="T301" s="301"/>
      <c r="U301" s="301"/>
      <c r="V301" s="301"/>
      <c r="W301" s="301"/>
      <c r="X301" s="301"/>
      <c r="Y301" s="301"/>
      <c r="Z301" s="301"/>
      <c r="AA301" s="301"/>
      <c r="AB301" s="301"/>
      <c r="AC301" s="301"/>
      <c r="AD301" s="301"/>
      <c r="AE301" s="301"/>
      <c r="AF301" s="301"/>
      <c r="AG301" s="301"/>
      <c r="AH301" s="301"/>
      <c r="AI301" s="301"/>
      <c r="AJ301" s="301"/>
      <c r="AK301" s="301"/>
      <c r="AL301" s="301"/>
      <c r="AM301" s="301"/>
      <c r="AN301" s="301"/>
      <c r="AO301" s="301"/>
      <c r="AP301" s="301"/>
    </row>
    <row r="302" spans="10:42" ht="13.5" customHeight="1">
      <c r="J302" s="301"/>
      <c r="K302" s="301"/>
      <c r="L302" s="301"/>
      <c r="M302" s="301"/>
      <c r="N302" s="301"/>
      <c r="O302" s="301"/>
      <c r="P302" s="301"/>
      <c r="Q302" s="301"/>
      <c r="R302" s="301"/>
      <c r="S302" s="301"/>
      <c r="T302" s="301"/>
      <c r="U302" s="301"/>
      <c r="V302" s="301"/>
      <c r="W302" s="301"/>
      <c r="X302" s="301"/>
      <c r="Y302" s="301"/>
      <c r="Z302" s="301"/>
      <c r="AA302" s="301"/>
      <c r="AB302" s="301"/>
      <c r="AC302" s="301"/>
      <c r="AD302" s="301"/>
      <c r="AE302" s="301"/>
      <c r="AF302" s="301"/>
      <c r="AG302" s="301"/>
      <c r="AH302" s="301"/>
      <c r="AI302" s="301"/>
      <c r="AJ302" s="301"/>
      <c r="AK302" s="301"/>
      <c r="AL302" s="301"/>
      <c r="AM302" s="301"/>
      <c r="AN302" s="301"/>
      <c r="AO302" s="301"/>
      <c r="AP302" s="301"/>
    </row>
    <row r="303" spans="10:42" ht="13.5" customHeight="1">
      <c r="J303" s="301"/>
      <c r="K303" s="301"/>
      <c r="L303" s="301"/>
      <c r="M303" s="301"/>
      <c r="N303" s="301"/>
      <c r="O303" s="301"/>
      <c r="P303" s="301"/>
      <c r="Q303" s="301"/>
      <c r="R303" s="301"/>
      <c r="S303" s="301"/>
      <c r="T303" s="301"/>
      <c r="U303" s="301"/>
      <c r="V303" s="301"/>
      <c r="W303" s="301"/>
      <c r="X303" s="301"/>
      <c r="Y303" s="301"/>
      <c r="Z303" s="301"/>
      <c r="AA303" s="301"/>
      <c r="AB303" s="301"/>
      <c r="AC303" s="301"/>
      <c r="AD303" s="301"/>
      <c r="AE303" s="301"/>
      <c r="AF303" s="301"/>
      <c r="AG303" s="301"/>
      <c r="AH303" s="301"/>
      <c r="AI303" s="301"/>
      <c r="AJ303" s="301"/>
      <c r="AK303" s="301"/>
      <c r="AL303" s="301"/>
      <c r="AM303" s="301"/>
      <c r="AN303" s="301"/>
      <c r="AO303" s="301"/>
      <c r="AP303" s="301"/>
    </row>
    <row r="304" spans="10:42" ht="13.5" customHeight="1">
      <c r="J304" s="301"/>
      <c r="K304" s="301"/>
      <c r="L304" s="301"/>
      <c r="M304" s="301"/>
      <c r="N304" s="301"/>
      <c r="O304" s="301"/>
      <c r="P304" s="301"/>
      <c r="Q304" s="301"/>
      <c r="R304" s="301"/>
      <c r="S304" s="301"/>
      <c r="T304" s="301"/>
      <c r="U304" s="301"/>
      <c r="V304" s="301"/>
      <c r="W304" s="301"/>
      <c r="X304" s="301"/>
      <c r="Y304" s="301"/>
      <c r="Z304" s="301"/>
      <c r="AA304" s="301"/>
      <c r="AB304" s="301"/>
      <c r="AC304" s="301"/>
      <c r="AD304" s="301"/>
      <c r="AE304" s="301"/>
      <c r="AF304" s="301"/>
      <c r="AG304" s="301"/>
      <c r="AH304" s="301"/>
      <c r="AI304" s="301"/>
      <c r="AJ304" s="301"/>
      <c r="AK304" s="301"/>
      <c r="AL304" s="301"/>
      <c r="AM304" s="301"/>
      <c r="AN304" s="301"/>
      <c r="AO304" s="301"/>
      <c r="AP304" s="301"/>
    </row>
    <row r="305" spans="10:42" ht="13.5" customHeight="1">
      <c r="J305" s="301"/>
      <c r="K305" s="301"/>
      <c r="L305" s="301"/>
      <c r="M305" s="301"/>
      <c r="N305" s="301"/>
      <c r="O305" s="301"/>
      <c r="P305" s="301"/>
      <c r="Q305" s="301"/>
      <c r="R305" s="301"/>
      <c r="S305" s="301"/>
      <c r="T305" s="301"/>
      <c r="U305" s="301"/>
      <c r="V305" s="301"/>
      <c r="W305" s="301"/>
      <c r="X305" s="301"/>
      <c r="Y305" s="301"/>
      <c r="Z305" s="301"/>
      <c r="AA305" s="301"/>
      <c r="AB305" s="301"/>
      <c r="AC305" s="301"/>
      <c r="AD305" s="301"/>
      <c r="AE305" s="301"/>
      <c r="AF305" s="301"/>
      <c r="AG305" s="301"/>
      <c r="AH305" s="301"/>
      <c r="AI305" s="301"/>
      <c r="AJ305" s="301"/>
      <c r="AK305" s="301"/>
      <c r="AL305" s="301"/>
      <c r="AM305" s="301"/>
      <c r="AN305" s="301"/>
      <c r="AO305" s="301"/>
      <c r="AP305" s="301"/>
    </row>
    <row r="306" spans="10:42" ht="13.5" customHeight="1">
      <c r="J306" s="301"/>
      <c r="K306" s="301"/>
      <c r="L306" s="301"/>
      <c r="M306" s="301"/>
      <c r="N306" s="301"/>
      <c r="O306" s="301"/>
      <c r="P306" s="301"/>
      <c r="Q306" s="301"/>
      <c r="R306" s="301"/>
      <c r="S306" s="301"/>
      <c r="T306" s="301"/>
      <c r="U306" s="301"/>
      <c r="V306" s="301"/>
      <c r="W306" s="301"/>
      <c r="X306" s="301"/>
      <c r="Y306" s="301"/>
      <c r="Z306" s="301"/>
      <c r="AA306" s="301"/>
      <c r="AB306" s="301"/>
      <c r="AC306" s="301"/>
      <c r="AD306" s="301"/>
      <c r="AE306" s="301"/>
      <c r="AF306" s="301"/>
      <c r="AG306" s="301"/>
      <c r="AH306" s="301"/>
      <c r="AI306" s="301"/>
      <c r="AJ306" s="301"/>
      <c r="AK306" s="301"/>
      <c r="AL306" s="301"/>
      <c r="AM306" s="301"/>
      <c r="AN306" s="301"/>
      <c r="AO306" s="301"/>
      <c r="AP306" s="301"/>
    </row>
    <row r="307" spans="10:42" ht="13.5" customHeight="1">
      <c r="J307" s="301"/>
      <c r="K307" s="301"/>
      <c r="L307" s="301"/>
      <c r="M307" s="301"/>
      <c r="N307" s="301"/>
      <c r="O307" s="301"/>
      <c r="P307" s="301"/>
      <c r="Q307" s="301"/>
      <c r="R307" s="301"/>
      <c r="S307" s="301"/>
      <c r="T307" s="301"/>
      <c r="U307" s="301"/>
      <c r="V307" s="301"/>
      <c r="W307" s="301"/>
      <c r="X307" s="301"/>
      <c r="Y307" s="301"/>
      <c r="Z307" s="301"/>
      <c r="AA307" s="301"/>
      <c r="AB307" s="301"/>
      <c r="AC307" s="301"/>
      <c r="AD307" s="301"/>
      <c r="AE307" s="301"/>
      <c r="AF307" s="301"/>
      <c r="AG307" s="301"/>
      <c r="AH307" s="301"/>
      <c r="AI307" s="301"/>
      <c r="AJ307" s="301"/>
      <c r="AK307" s="301"/>
      <c r="AL307" s="301"/>
      <c r="AM307" s="301"/>
      <c r="AN307" s="301"/>
      <c r="AO307" s="301"/>
      <c r="AP307" s="301"/>
    </row>
    <row r="308" spans="10:42" ht="13.5" customHeight="1">
      <c r="J308" s="301"/>
      <c r="K308" s="301"/>
      <c r="L308" s="301"/>
      <c r="M308" s="301"/>
      <c r="N308" s="301"/>
      <c r="O308" s="301"/>
      <c r="P308" s="301"/>
      <c r="Q308" s="301"/>
      <c r="R308" s="301"/>
      <c r="S308" s="301"/>
      <c r="T308" s="301"/>
      <c r="U308" s="301"/>
      <c r="V308" s="301"/>
      <c r="W308" s="301"/>
      <c r="X308" s="301"/>
      <c r="Y308" s="301"/>
      <c r="Z308" s="301"/>
      <c r="AA308" s="301"/>
      <c r="AB308" s="301"/>
      <c r="AC308" s="301"/>
      <c r="AD308" s="301"/>
      <c r="AE308" s="301"/>
      <c r="AF308" s="301"/>
      <c r="AG308" s="301"/>
      <c r="AH308" s="301"/>
      <c r="AI308" s="301"/>
      <c r="AJ308" s="301"/>
      <c r="AK308" s="301"/>
      <c r="AL308" s="301"/>
      <c r="AM308" s="301"/>
      <c r="AN308" s="301"/>
      <c r="AO308" s="301"/>
      <c r="AP308" s="301"/>
    </row>
    <row r="309" spans="10:42" ht="13.5" customHeight="1">
      <c r="J309" s="301"/>
      <c r="K309" s="301"/>
      <c r="L309" s="301"/>
      <c r="M309" s="301"/>
      <c r="N309" s="301"/>
      <c r="O309" s="301"/>
      <c r="P309" s="301"/>
      <c r="Q309" s="301"/>
      <c r="R309" s="301"/>
      <c r="S309" s="301"/>
      <c r="T309" s="301"/>
      <c r="U309" s="301"/>
      <c r="V309" s="301"/>
      <c r="W309" s="301"/>
      <c r="X309" s="301"/>
      <c r="Y309" s="301"/>
      <c r="Z309" s="301"/>
      <c r="AA309" s="301"/>
      <c r="AB309" s="301"/>
      <c r="AC309" s="301"/>
      <c r="AD309" s="301"/>
      <c r="AE309" s="301"/>
      <c r="AF309" s="301"/>
      <c r="AG309" s="301"/>
      <c r="AH309" s="301"/>
      <c r="AI309" s="301"/>
      <c r="AJ309" s="301"/>
      <c r="AK309" s="301"/>
      <c r="AL309" s="301"/>
      <c r="AM309" s="301"/>
      <c r="AN309" s="301"/>
      <c r="AO309" s="301"/>
      <c r="AP309" s="301"/>
    </row>
    <row r="310" spans="10:42" ht="13.5" customHeight="1">
      <c r="J310" s="301"/>
      <c r="K310" s="301"/>
      <c r="L310" s="301"/>
      <c r="M310" s="301"/>
      <c r="N310" s="301"/>
      <c r="O310" s="301"/>
      <c r="P310" s="301"/>
      <c r="Q310" s="301"/>
      <c r="R310" s="301"/>
      <c r="S310" s="301"/>
      <c r="T310" s="301"/>
      <c r="U310" s="301"/>
      <c r="V310" s="301"/>
      <c r="W310" s="301"/>
      <c r="X310" s="301"/>
      <c r="Y310" s="301"/>
      <c r="Z310" s="301"/>
      <c r="AA310" s="301"/>
      <c r="AB310" s="301"/>
      <c r="AC310" s="301"/>
      <c r="AD310" s="301"/>
      <c r="AE310" s="301"/>
      <c r="AF310" s="301"/>
      <c r="AG310" s="301"/>
      <c r="AH310" s="301"/>
      <c r="AI310" s="301"/>
      <c r="AJ310" s="301"/>
      <c r="AK310" s="301"/>
      <c r="AL310" s="301"/>
      <c r="AM310" s="301"/>
      <c r="AN310" s="301"/>
      <c r="AO310" s="301"/>
      <c r="AP310" s="301"/>
    </row>
    <row r="311" spans="10:42" ht="13.5" customHeight="1">
      <c r="J311" s="301"/>
      <c r="K311" s="301"/>
      <c r="L311" s="301"/>
      <c r="M311" s="301"/>
      <c r="N311" s="301"/>
      <c r="O311" s="301"/>
      <c r="P311" s="301"/>
      <c r="Q311" s="301"/>
      <c r="R311" s="301"/>
      <c r="S311" s="301"/>
      <c r="T311" s="301"/>
      <c r="U311" s="301"/>
      <c r="V311" s="301"/>
      <c r="W311" s="301"/>
      <c r="X311" s="301"/>
      <c r="Y311" s="301"/>
      <c r="Z311" s="301"/>
      <c r="AA311" s="301"/>
      <c r="AB311" s="301"/>
      <c r="AC311" s="301"/>
      <c r="AD311" s="301"/>
      <c r="AE311" s="301"/>
      <c r="AF311" s="301"/>
      <c r="AG311" s="301"/>
      <c r="AH311" s="301"/>
      <c r="AI311" s="301"/>
      <c r="AJ311" s="301"/>
      <c r="AK311" s="301"/>
      <c r="AL311" s="301"/>
      <c r="AM311" s="301"/>
      <c r="AN311" s="301"/>
      <c r="AO311" s="301"/>
      <c r="AP311" s="301"/>
    </row>
    <row r="312" spans="10:42" ht="13.5" customHeight="1">
      <c r="J312" s="301"/>
      <c r="K312" s="301"/>
      <c r="L312" s="301"/>
      <c r="M312" s="301"/>
      <c r="N312" s="301"/>
      <c r="O312" s="301"/>
      <c r="P312" s="301"/>
      <c r="Q312" s="301"/>
      <c r="R312" s="301"/>
      <c r="S312" s="301"/>
      <c r="T312" s="301"/>
      <c r="U312" s="301"/>
      <c r="V312" s="301"/>
      <c r="W312" s="301"/>
      <c r="X312" s="301"/>
      <c r="Y312" s="301"/>
      <c r="Z312" s="301"/>
      <c r="AA312" s="301"/>
      <c r="AB312" s="301"/>
      <c r="AC312" s="301"/>
      <c r="AD312" s="301"/>
      <c r="AE312" s="301"/>
      <c r="AF312" s="301"/>
      <c r="AG312" s="301"/>
      <c r="AH312" s="301"/>
      <c r="AI312" s="301"/>
      <c r="AJ312" s="301"/>
      <c r="AK312" s="301"/>
      <c r="AL312" s="301"/>
      <c r="AM312" s="301"/>
      <c r="AN312" s="301"/>
      <c r="AO312" s="301"/>
      <c r="AP312" s="301"/>
    </row>
    <row r="313" spans="10:42" ht="13.5" customHeight="1">
      <c r="J313" s="301"/>
      <c r="K313" s="301"/>
      <c r="L313" s="301"/>
      <c r="M313" s="301"/>
      <c r="N313" s="301"/>
      <c r="O313" s="301"/>
      <c r="P313" s="301"/>
      <c r="Q313" s="301"/>
      <c r="R313" s="301"/>
      <c r="S313" s="301"/>
      <c r="T313" s="301"/>
      <c r="U313" s="301"/>
      <c r="V313" s="301"/>
      <c r="W313" s="301"/>
      <c r="X313" s="301"/>
      <c r="Y313" s="301"/>
      <c r="Z313" s="301"/>
      <c r="AA313" s="301"/>
      <c r="AB313" s="301"/>
      <c r="AC313" s="301"/>
      <c r="AD313" s="301"/>
      <c r="AE313" s="301"/>
      <c r="AF313" s="301"/>
      <c r="AG313" s="301"/>
      <c r="AH313" s="301"/>
      <c r="AI313" s="301"/>
      <c r="AJ313" s="301"/>
      <c r="AK313" s="301"/>
      <c r="AL313" s="301"/>
      <c r="AM313" s="301"/>
      <c r="AN313" s="301"/>
      <c r="AO313" s="301"/>
      <c r="AP313" s="301"/>
    </row>
    <row r="314" spans="10:42" ht="13.5" customHeight="1">
      <c r="J314" s="301"/>
      <c r="K314" s="301"/>
      <c r="L314" s="301"/>
      <c r="M314" s="301"/>
      <c r="N314" s="301"/>
      <c r="O314" s="301"/>
      <c r="P314" s="301"/>
      <c r="Q314" s="301"/>
      <c r="R314" s="301"/>
      <c r="S314" s="301"/>
      <c r="T314" s="301"/>
      <c r="U314" s="301"/>
      <c r="V314" s="301"/>
      <c r="W314" s="301"/>
      <c r="X314" s="301"/>
      <c r="Y314" s="301"/>
      <c r="Z314" s="301"/>
      <c r="AA314" s="301"/>
      <c r="AB314" s="301"/>
      <c r="AC314" s="301"/>
      <c r="AD314" s="301"/>
      <c r="AE314" s="301"/>
      <c r="AF314" s="301"/>
      <c r="AG314" s="301"/>
      <c r="AH314" s="301"/>
      <c r="AI314" s="301"/>
      <c r="AJ314" s="301"/>
      <c r="AK314" s="301"/>
      <c r="AL314" s="301"/>
      <c r="AM314" s="301"/>
      <c r="AN314" s="301"/>
      <c r="AO314" s="301"/>
      <c r="AP314" s="301"/>
    </row>
    <row r="315" spans="10:42" ht="13.5" customHeight="1">
      <c r="J315" s="301"/>
      <c r="K315" s="301"/>
      <c r="L315" s="301"/>
      <c r="M315" s="301"/>
      <c r="N315" s="301"/>
      <c r="O315" s="301"/>
      <c r="P315" s="301"/>
      <c r="Q315" s="301"/>
      <c r="R315" s="301"/>
      <c r="S315" s="301"/>
      <c r="T315" s="301"/>
      <c r="U315" s="301"/>
      <c r="V315" s="301"/>
      <c r="W315" s="301"/>
      <c r="X315" s="301"/>
      <c r="Y315" s="301"/>
      <c r="Z315" s="301"/>
      <c r="AA315" s="301"/>
      <c r="AB315" s="301"/>
      <c r="AC315" s="301"/>
      <c r="AD315" s="301"/>
      <c r="AE315" s="301"/>
      <c r="AF315" s="301"/>
      <c r="AG315" s="301"/>
      <c r="AH315" s="301"/>
      <c r="AI315" s="301"/>
      <c r="AJ315" s="301"/>
      <c r="AK315" s="301"/>
      <c r="AL315" s="301"/>
      <c r="AM315" s="301"/>
      <c r="AN315" s="301"/>
      <c r="AO315" s="301"/>
      <c r="AP315" s="301"/>
    </row>
    <row r="316" spans="10:42" ht="13.5" customHeight="1">
      <c r="J316" s="301"/>
      <c r="K316" s="301"/>
      <c r="L316" s="301"/>
      <c r="M316" s="301"/>
      <c r="N316" s="301"/>
      <c r="O316" s="301"/>
      <c r="P316" s="301"/>
      <c r="Q316" s="301"/>
      <c r="R316" s="301"/>
      <c r="S316" s="301"/>
      <c r="T316" s="301"/>
      <c r="U316" s="301"/>
      <c r="V316" s="301"/>
      <c r="W316" s="301"/>
      <c r="X316" s="301"/>
      <c r="Y316" s="301"/>
      <c r="Z316" s="301"/>
      <c r="AA316" s="301"/>
      <c r="AB316" s="301"/>
      <c r="AC316" s="301"/>
      <c r="AD316" s="301"/>
      <c r="AE316" s="301"/>
      <c r="AF316" s="301"/>
      <c r="AG316" s="301"/>
      <c r="AH316" s="301"/>
      <c r="AI316" s="301"/>
      <c r="AJ316" s="301"/>
      <c r="AK316" s="301"/>
      <c r="AL316" s="301"/>
      <c r="AM316" s="301"/>
      <c r="AN316" s="301"/>
      <c r="AO316" s="301"/>
      <c r="AP316" s="301"/>
    </row>
    <row r="317" spans="10:42" ht="13.5" customHeight="1">
      <c r="J317" s="301"/>
      <c r="K317" s="301"/>
      <c r="L317" s="301"/>
      <c r="M317" s="301"/>
      <c r="N317" s="301"/>
      <c r="O317" s="301"/>
      <c r="P317" s="301"/>
      <c r="Q317" s="301"/>
      <c r="R317" s="301"/>
      <c r="S317" s="301"/>
      <c r="T317" s="301"/>
      <c r="U317" s="301"/>
      <c r="V317" s="301"/>
      <c r="W317" s="301"/>
      <c r="X317" s="301"/>
      <c r="Y317" s="301"/>
      <c r="Z317" s="301"/>
      <c r="AA317" s="301"/>
      <c r="AB317" s="301"/>
      <c r="AC317" s="301"/>
      <c r="AD317" s="301"/>
      <c r="AE317" s="301"/>
      <c r="AF317" s="301"/>
      <c r="AG317" s="301"/>
      <c r="AH317" s="301"/>
      <c r="AI317" s="301"/>
      <c r="AJ317" s="301"/>
      <c r="AK317" s="301"/>
      <c r="AL317" s="301"/>
      <c r="AM317" s="301"/>
      <c r="AN317" s="301"/>
      <c r="AO317" s="301"/>
      <c r="AP317" s="301"/>
    </row>
    <row r="318" spans="10:42" ht="13.5" customHeight="1">
      <c r="J318" s="301"/>
      <c r="K318" s="301"/>
      <c r="L318" s="301"/>
      <c r="M318" s="301"/>
      <c r="N318" s="301"/>
      <c r="O318" s="301"/>
      <c r="P318" s="301"/>
      <c r="Q318" s="301"/>
      <c r="R318" s="301"/>
      <c r="S318" s="301"/>
      <c r="T318" s="301"/>
      <c r="U318" s="301"/>
      <c r="V318" s="301"/>
      <c r="W318" s="301"/>
      <c r="X318" s="301"/>
      <c r="Y318" s="301"/>
      <c r="Z318" s="301"/>
      <c r="AA318" s="301"/>
      <c r="AB318" s="301"/>
      <c r="AC318" s="301"/>
      <c r="AD318" s="301"/>
      <c r="AE318" s="301"/>
      <c r="AF318" s="301"/>
      <c r="AG318" s="301"/>
      <c r="AH318" s="301"/>
      <c r="AI318" s="301"/>
      <c r="AJ318" s="301"/>
      <c r="AK318" s="301"/>
      <c r="AL318" s="301"/>
      <c r="AM318" s="301"/>
      <c r="AN318" s="301"/>
      <c r="AO318" s="301"/>
      <c r="AP318" s="301"/>
    </row>
    <row r="319" spans="10:42" ht="13.5" customHeight="1">
      <c r="J319" s="301"/>
      <c r="K319" s="301"/>
      <c r="L319" s="301"/>
      <c r="M319" s="301"/>
      <c r="N319" s="301"/>
      <c r="O319" s="301"/>
      <c r="P319" s="301"/>
      <c r="Q319" s="301"/>
      <c r="R319" s="301"/>
      <c r="S319" s="301"/>
      <c r="T319" s="301"/>
      <c r="U319" s="301"/>
      <c r="V319" s="301"/>
      <c r="W319" s="301"/>
      <c r="X319" s="301"/>
      <c r="Y319" s="301"/>
      <c r="Z319" s="301"/>
      <c r="AA319" s="301"/>
      <c r="AB319" s="301"/>
      <c r="AC319" s="301"/>
      <c r="AD319" s="301"/>
      <c r="AE319" s="301"/>
      <c r="AF319" s="301"/>
      <c r="AG319" s="301"/>
      <c r="AH319" s="301"/>
      <c r="AI319" s="301"/>
      <c r="AJ319" s="301"/>
      <c r="AK319" s="301"/>
      <c r="AL319" s="301"/>
      <c r="AM319" s="301"/>
      <c r="AN319" s="301"/>
      <c r="AO319" s="301"/>
      <c r="AP319" s="301"/>
    </row>
    <row r="320" spans="10:42" ht="13.5" customHeight="1">
      <c r="J320" s="301"/>
      <c r="K320" s="301"/>
      <c r="L320" s="301"/>
      <c r="M320" s="301"/>
      <c r="N320" s="301"/>
      <c r="O320" s="301"/>
      <c r="P320" s="301"/>
      <c r="Q320" s="301"/>
      <c r="R320" s="301"/>
      <c r="S320" s="301"/>
      <c r="T320" s="301"/>
      <c r="U320" s="301"/>
      <c r="V320" s="301"/>
      <c r="W320" s="301"/>
      <c r="X320" s="301"/>
      <c r="Y320" s="301"/>
      <c r="Z320" s="301"/>
      <c r="AA320" s="301"/>
      <c r="AB320" s="301"/>
      <c r="AC320" s="301"/>
      <c r="AD320" s="301"/>
      <c r="AE320" s="301"/>
      <c r="AF320" s="301"/>
      <c r="AG320" s="301"/>
      <c r="AH320" s="301"/>
      <c r="AI320" s="301"/>
      <c r="AJ320" s="301"/>
      <c r="AK320" s="301"/>
      <c r="AL320" s="301"/>
      <c r="AM320" s="301"/>
      <c r="AN320" s="301"/>
      <c r="AO320" s="301"/>
      <c r="AP320" s="301"/>
    </row>
    <row r="321" spans="10:42" ht="13.5" customHeight="1">
      <c r="J321" s="301"/>
      <c r="K321" s="301"/>
      <c r="L321" s="301"/>
      <c r="M321" s="301"/>
      <c r="N321" s="301"/>
      <c r="O321" s="301"/>
      <c r="P321" s="301"/>
      <c r="Q321" s="301"/>
      <c r="R321" s="301"/>
      <c r="S321" s="301"/>
      <c r="T321" s="301"/>
      <c r="U321" s="301"/>
      <c r="V321" s="301"/>
      <c r="W321" s="301"/>
      <c r="X321" s="301"/>
      <c r="Y321" s="301"/>
      <c r="Z321" s="301"/>
      <c r="AA321" s="301"/>
      <c r="AB321" s="301"/>
      <c r="AC321" s="301"/>
      <c r="AD321" s="301"/>
      <c r="AE321" s="301"/>
      <c r="AF321" s="301"/>
      <c r="AG321" s="301"/>
      <c r="AH321" s="301"/>
      <c r="AI321" s="301"/>
      <c r="AJ321" s="301"/>
      <c r="AK321" s="301"/>
      <c r="AL321" s="301"/>
      <c r="AM321" s="301"/>
      <c r="AN321" s="301"/>
      <c r="AO321" s="301"/>
      <c r="AP321" s="301"/>
    </row>
    <row r="322" spans="10:42" ht="13.5" customHeight="1">
      <c r="J322" s="301"/>
      <c r="K322" s="301"/>
      <c r="L322" s="301"/>
      <c r="M322" s="301"/>
      <c r="N322" s="301"/>
      <c r="O322" s="301"/>
      <c r="P322" s="301"/>
      <c r="Q322" s="301"/>
      <c r="R322" s="301"/>
      <c r="S322" s="301"/>
      <c r="T322" s="301"/>
      <c r="U322" s="301"/>
      <c r="V322" s="301"/>
      <c r="W322" s="301"/>
      <c r="X322" s="301"/>
      <c r="Y322" s="301"/>
      <c r="Z322" s="301"/>
      <c r="AA322" s="301"/>
      <c r="AB322" s="301"/>
      <c r="AC322" s="301"/>
      <c r="AD322" s="301"/>
      <c r="AE322" s="301"/>
      <c r="AF322" s="301"/>
      <c r="AG322" s="301"/>
      <c r="AH322" s="301"/>
      <c r="AI322" s="301"/>
      <c r="AJ322" s="301"/>
      <c r="AK322" s="301"/>
      <c r="AL322" s="301"/>
      <c r="AM322" s="301"/>
      <c r="AN322" s="301"/>
      <c r="AO322" s="301"/>
      <c r="AP322" s="301"/>
    </row>
    <row r="323" spans="10:42" ht="13.5" customHeight="1">
      <c r="J323" s="301"/>
      <c r="K323" s="301"/>
      <c r="L323" s="301"/>
      <c r="M323" s="301"/>
      <c r="N323" s="301"/>
      <c r="O323" s="301"/>
      <c r="P323" s="301"/>
      <c r="Q323" s="301"/>
      <c r="R323" s="301"/>
      <c r="S323" s="301"/>
      <c r="T323" s="301"/>
      <c r="U323" s="301"/>
      <c r="V323" s="301"/>
      <c r="W323" s="301"/>
      <c r="X323" s="301"/>
      <c r="Y323" s="301"/>
      <c r="Z323" s="301"/>
      <c r="AA323" s="301"/>
      <c r="AB323" s="301"/>
      <c r="AC323" s="301"/>
      <c r="AD323" s="301"/>
      <c r="AE323" s="301"/>
      <c r="AF323" s="301"/>
      <c r="AG323" s="301"/>
      <c r="AH323" s="301"/>
      <c r="AI323" s="301"/>
      <c r="AJ323" s="301"/>
      <c r="AK323" s="301"/>
      <c r="AL323" s="301"/>
      <c r="AM323" s="301"/>
      <c r="AN323" s="301"/>
      <c r="AO323" s="301"/>
      <c r="AP323" s="301"/>
    </row>
    <row r="324" spans="10:42" ht="13.5" customHeight="1">
      <c r="J324" s="301"/>
      <c r="K324" s="301"/>
      <c r="L324" s="301"/>
      <c r="M324" s="301"/>
      <c r="N324" s="301"/>
      <c r="O324" s="301"/>
      <c r="P324" s="301"/>
      <c r="Q324" s="301"/>
      <c r="R324" s="301"/>
      <c r="S324" s="301"/>
      <c r="T324" s="301"/>
      <c r="U324" s="301"/>
      <c r="V324" s="301"/>
      <c r="W324" s="301"/>
      <c r="X324" s="301"/>
      <c r="Y324" s="301"/>
      <c r="Z324" s="301"/>
      <c r="AA324" s="301"/>
      <c r="AB324" s="301"/>
      <c r="AC324" s="301"/>
      <c r="AD324" s="301"/>
      <c r="AE324" s="301"/>
      <c r="AF324" s="301"/>
      <c r="AG324" s="301"/>
      <c r="AH324" s="301"/>
      <c r="AI324" s="301"/>
      <c r="AJ324" s="301"/>
      <c r="AK324" s="301"/>
      <c r="AL324" s="301"/>
      <c r="AM324" s="301"/>
      <c r="AN324" s="301"/>
      <c r="AO324" s="301"/>
      <c r="AP324" s="301"/>
    </row>
    <row r="325" spans="10:42" ht="13.5" customHeight="1">
      <c r="J325" s="301"/>
      <c r="K325" s="301"/>
      <c r="L325" s="301"/>
      <c r="M325" s="301"/>
      <c r="N325" s="301"/>
      <c r="O325" s="301"/>
      <c r="P325" s="301"/>
      <c r="Q325" s="301"/>
      <c r="R325" s="301"/>
      <c r="S325" s="301"/>
      <c r="T325" s="301"/>
      <c r="U325" s="301"/>
      <c r="V325" s="301"/>
      <c r="W325" s="301"/>
      <c r="X325" s="301"/>
      <c r="Y325" s="301"/>
      <c r="Z325" s="301"/>
      <c r="AA325" s="301"/>
      <c r="AB325" s="301"/>
      <c r="AC325" s="301"/>
      <c r="AD325" s="301"/>
      <c r="AE325" s="301"/>
      <c r="AF325" s="301"/>
      <c r="AG325" s="301"/>
      <c r="AH325" s="301"/>
      <c r="AI325" s="301"/>
      <c r="AJ325" s="301"/>
      <c r="AK325" s="301"/>
      <c r="AL325" s="301"/>
      <c r="AM325" s="301"/>
      <c r="AN325" s="301"/>
      <c r="AO325" s="301"/>
      <c r="AP325" s="301"/>
    </row>
    <row r="326" spans="10:42" ht="13.5" customHeight="1">
      <c r="J326" s="301"/>
      <c r="K326" s="301"/>
      <c r="L326" s="301"/>
      <c r="M326" s="301"/>
      <c r="N326" s="301"/>
      <c r="O326" s="301"/>
      <c r="P326" s="301"/>
      <c r="Q326" s="301"/>
      <c r="R326" s="301"/>
      <c r="S326" s="301"/>
      <c r="T326" s="301"/>
      <c r="U326" s="301"/>
      <c r="V326" s="301"/>
      <c r="W326" s="301"/>
      <c r="X326" s="301"/>
      <c r="Y326" s="301"/>
      <c r="Z326" s="301"/>
      <c r="AA326" s="301"/>
      <c r="AB326" s="301"/>
      <c r="AC326" s="301"/>
      <c r="AD326" s="301"/>
      <c r="AE326" s="301"/>
      <c r="AF326" s="301"/>
      <c r="AG326" s="301"/>
      <c r="AH326" s="301"/>
      <c r="AI326" s="301"/>
      <c r="AJ326" s="301"/>
      <c r="AK326" s="301"/>
      <c r="AL326" s="301"/>
      <c r="AM326" s="301"/>
      <c r="AN326" s="301"/>
      <c r="AO326" s="301"/>
      <c r="AP326" s="301"/>
    </row>
    <row r="327" spans="10:42" ht="13.5" customHeight="1">
      <c r="J327" s="301"/>
      <c r="K327" s="301"/>
      <c r="L327" s="301"/>
      <c r="M327" s="301"/>
      <c r="N327" s="301"/>
      <c r="O327" s="301"/>
      <c r="P327" s="301"/>
      <c r="Q327" s="301"/>
      <c r="R327" s="301"/>
      <c r="S327" s="301"/>
      <c r="T327" s="301"/>
      <c r="U327" s="301"/>
      <c r="V327" s="301"/>
      <c r="W327" s="301"/>
      <c r="X327" s="301"/>
      <c r="Y327" s="301"/>
      <c r="Z327" s="301"/>
      <c r="AA327" s="301"/>
      <c r="AB327" s="301"/>
      <c r="AC327" s="301"/>
      <c r="AD327" s="301"/>
      <c r="AE327" s="301"/>
      <c r="AF327" s="301"/>
      <c r="AG327" s="301"/>
      <c r="AH327" s="301"/>
      <c r="AI327" s="301"/>
      <c r="AJ327" s="301"/>
      <c r="AK327" s="301"/>
      <c r="AL327" s="301"/>
      <c r="AM327" s="301"/>
      <c r="AN327" s="301"/>
      <c r="AO327" s="301"/>
      <c r="AP327" s="301"/>
    </row>
    <row r="328" spans="10:42" ht="13.5" customHeight="1">
      <c r="J328" s="301"/>
      <c r="K328" s="301"/>
      <c r="L328" s="301"/>
      <c r="M328" s="301"/>
      <c r="N328" s="301"/>
      <c r="O328" s="301"/>
      <c r="P328" s="301"/>
      <c r="Q328" s="301"/>
      <c r="R328" s="301"/>
      <c r="S328" s="301"/>
      <c r="T328" s="301"/>
      <c r="U328" s="301"/>
      <c r="V328" s="301"/>
      <c r="W328" s="301"/>
      <c r="X328" s="301"/>
      <c r="Y328" s="301"/>
      <c r="Z328" s="301"/>
      <c r="AA328" s="301"/>
      <c r="AB328" s="301"/>
      <c r="AC328" s="301"/>
      <c r="AD328" s="301"/>
      <c r="AE328" s="301"/>
      <c r="AF328" s="301"/>
      <c r="AG328" s="301"/>
      <c r="AH328" s="301"/>
      <c r="AI328" s="301"/>
      <c r="AJ328" s="301"/>
      <c r="AK328" s="301"/>
      <c r="AL328" s="301"/>
      <c r="AM328" s="301"/>
      <c r="AN328" s="301"/>
      <c r="AO328" s="301"/>
      <c r="AP328" s="301"/>
    </row>
    <row r="329" spans="10:42" ht="13.5" customHeight="1">
      <c r="J329" s="301"/>
      <c r="K329" s="301"/>
      <c r="L329" s="301"/>
      <c r="M329" s="301"/>
      <c r="N329" s="301"/>
      <c r="O329" s="301"/>
      <c r="P329" s="301"/>
      <c r="Q329" s="301"/>
      <c r="R329" s="301"/>
      <c r="S329" s="301"/>
      <c r="T329" s="301"/>
      <c r="U329" s="301"/>
      <c r="V329" s="301"/>
      <c r="W329" s="301"/>
      <c r="X329" s="301"/>
      <c r="Y329" s="301"/>
      <c r="Z329" s="301"/>
      <c r="AA329" s="301"/>
      <c r="AB329" s="301"/>
      <c r="AC329" s="301"/>
      <c r="AD329" s="301"/>
      <c r="AE329" s="301"/>
      <c r="AF329" s="301"/>
      <c r="AG329" s="301"/>
      <c r="AH329" s="301"/>
      <c r="AI329" s="301"/>
      <c r="AJ329" s="301"/>
      <c r="AK329" s="301"/>
      <c r="AL329" s="301"/>
      <c r="AM329" s="301"/>
      <c r="AN329" s="301"/>
      <c r="AO329" s="301"/>
      <c r="AP329" s="301"/>
    </row>
    <row r="330" spans="10:42" ht="13.5" customHeight="1">
      <c r="J330" s="301"/>
      <c r="K330" s="301"/>
      <c r="L330" s="301"/>
      <c r="M330" s="301"/>
      <c r="N330" s="301"/>
      <c r="O330" s="301"/>
      <c r="P330" s="301"/>
      <c r="Q330" s="301"/>
      <c r="R330" s="301"/>
      <c r="S330" s="301"/>
      <c r="T330" s="301"/>
      <c r="U330" s="301"/>
      <c r="V330" s="301"/>
      <c r="W330" s="301"/>
      <c r="X330" s="301"/>
      <c r="Y330" s="301"/>
      <c r="Z330" s="301"/>
      <c r="AA330" s="301"/>
      <c r="AB330" s="301"/>
      <c r="AC330" s="301"/>
      <c r="AD330" s="301"/>
      <c r="AE330" s="301"/>
      <c r="AF330" s="301"/>
      <c r="AG330" s="301"/>
      <c r="AH330" s="301"/>
      <c r="AI330" s="301"/>
      <c r="AJ330" s="301"/>
      <c r="AK330" s="301"/>
      <c r="AL330" s="301"/>
      <c r="AM330" s="301"/>
      <c r="AN330" s="301"/>
      <c r="AO330" s="301"/>
      <c r="AP330" s="301"/>
    </row>
    <row r="331" spans="10:42" ht="13.5" customHeight="1">
      <c r="J331" s="301"/>
      <c r="K331" s="301"/>
      <c r="L331" s="301"/>
      <c r="M331" s="301"/>
      <c r="N331" s="301"/>
      <c r="O331" s="301"/>
      <c r="P331" s="301"/>
      <c r="Q331" s="301"/>
      <c r="R331" s="301"/>
      <c r="S331" s="301"/>
      <c r="T331" s="301"/>
      <c r="U331" s="301"/>
      <c r="V331" s="301"/>
      <c r="W331" s="301"/>
      <c r="X331" s="301"/>
      <c r="Y331" s="301"/>
      <c r="Z331" s="301"/>
      <c r="AA331" s="301"/>
      <c r="AB331" s="301"/>
      <c r="AC331" s="301"/>
      <c r="AD331" s="301"/>
      <c r="AE331" s="301"/>
      <c r="AF331" s="301"/>
      <c r="AG331" s="301"/>
      <c r="AH331" s="301"/>
      <c r="AI331" s="301"/>
      <c r="AJ331" s="301"/>
      <c r="AK331" s="301"/>
      <c r="AL331" s="301"/>
      <c r="AM331" s="301"/>
      <c r="AN331" s="301"/>
      <c r="AO331" s="301"/>
      <c r="AP331" s="301"/>
    </row>
    <row r="332" spans="10:42" ht="13.5" customHeight="1">
      <c r="J332" s="301"/>
      <c r="K332" s="301"/>
      <c r="L332" s="301"/>
      <c r="M332" s="301"/>
      <c r="N332" s="301"/>
      <c r="O332" s="301"/>
      <c r="P332" s="301"/>
      <c r="Q332" s="301"/>
      <c r="R332" s="301"/>
      <c r="S332" s="301"/>
      <c r="T332" s="301"/>
      <c r="U332" s="301"/>
      <c r="V332" s="301"/>
      <c r="W332" s="301"/>
      <c r="X332" s="301"/>
      <c r="Y332" s="301"/>
      <c r="Z332" s="301"/>
      <c r="AA332" s="301"/>
      <c r="AB332" s="301"/>
      <c r="AC332" s="301"/>
      <c r="AD332" s="301"/>
      <c r="AE332" s="301"/>
      <c r="AF332" s="301"/>
      <c r="AG332" s="301"/>
      <c r="AH332" s="301"/>
      <c r="AI332" s="301"/>
      <c r="AJ332" s="301"/>
      <c r="AK332" s="301"/>
      <c r="AL332" s="301"/>
      <c r="AM332" s="301"/>
      <c r="AN332" s="301"/>
      <c r="AO332" s="301"/>
      <c r="AP332" s="301"/>
    </row>
    <row r="333" spans="10:42" ht="13.5" customHeight="1">
      <c r="J333" s="301"/>
      <c r="K333" s="301"/>
      <c r="L333" s="301"/>
      <c r="M333" s="301"/>
      <c r="N333" s="301"/>
      <c r="O333" s="301"/>
      <c r="P333" s="301"/>
      <c r="Q333" s="301"/>
      <c r="R333" s="301"/>
      <c r="S333" s="301"/>
      <c r="T333" s="301"/>
      <c r="U333" s="301"/>
      <c r="V333" s="301"/>
      <c r="W333" s="301"/>
      <c r="X333" s="301"/>
      <c r="Y333" s="301"/>
      <c r="Z333" s="301"/>
      <c r="AA333" s="301"/>
      <c r="AB333" s="301"/>
      <c r="AC333" s="301"/>
      <c r="AD333" s="301"/>
      <c r="AE333" s="301"/>
      <c r="AF333" s="301"/>
      <c r="AG333" s="301"/>
      <c r="AH333" s="301"/>
      <c r="AI333" s="301"/>
      <c r="AJ333" s="301"/>
      <c r="AK333" s="301"/>
      <c r="AL333" s="301"/>
      <c r="AM333" s="301"/>
      <c r="AN333" s="301"/>
      <c r="AO333" s="301"/>
      <c r="AP333" s="301"/>
    </row>
    <row r="334" spans="10:42" ht="13.5" customHeight="1">
      <c r="J334" s="301"/>
      <c r="K334" s="301"/>
      <c r="L334" s="301"/>
      <c r="M334" s="301"/>
      <c r="N334" s="301"/>
      <c r="O334" s="301"/>
      <c r="P334" s="301"/>
      <c r="Q334" s="301"/>
      <c r="R334" s="301"/>
      <c r="S334" s="301"/>
      <c r="T334" s="301"/>
      <c r="U334" s="301"/>
      <c r="V334" s="301"/>
      <c r="W334" s="301"/>
      <c r="X334" s="301"/>
      <c r="Y334" s="301"/>
      <c r="Z334" s="301"/>
      <c r="AA334" s="301"/>
      <c r="AB334" s="301"/>
      <c r="AC334" s="301"/>
      <c r="AD334" s="301"/>
      <c r="AE334" s="301"/>
      <c r="AF334" s="301"/>
      <c r="AG334" s="301"/>
      <c r="AH334" s="301"/>
      <c r="AI334" s="301"/>
      <c r="AJ334" s="301"/>
      <c r="AK334" s="301"/>
      <c r="AL334" s="301"/>
      <c r="AM334" s="301"/>
      <c r="AN334" s="301"/>
      <c r="AO334" s="301"/>
      <c r="AP334" s="301"/>
    </row>
    <row r="335" spans="10:42" ht="13.5" customHeight="1">
      <c r="J335" s="301"/>
      <c r="K335" s="301"/>
      <c r="L335" s="301"/>
      <c r="M335" s="301"/>
      <c r="N335" s="301"/>
      <c r="O335" s="301"/>
      <c r="P335" s="301"/>
      <c r="Q335" s="301"/>
      <c r="R335" s="301"/>
      <c r="S335" s="301"/>
      <c r="T335" s="301"/>
      <c r="U335" s="301"/>
      <c r="V335" s="301"/>
      <c r="W335" s="301"/>
      <c r="X335" s="301"/>
      <c r="Y335" s="301"/>
      <c r="Z335" s="301"/>
      <c r="AA335" s="301"/>
      <c r="AB335" s="301"/>
      <c r="AC335" s="301"/>
      <c r="AD335" s="301"/>
      <c r="AE335" s="301"/>
      <c r="AF335" s="301"/>
      <c r="AG335" s="301"/>
      <c r="AH335" s="301"/>
      <c r="AI335" s="301"/>
      <c r="AJ335" s="301"/>
      <c r="AK335" s="301"/>
      <c r="AL335" s="301"/>
      <c r="AM335" s="301"/>
      <c r="AN335" s="301"/>
      <c r="AO335" s="301"/>
      <c r="AP335" s="301"/>
    </row>
    <row r="336" spans="10:42" ht="13.5" customHeight="1">
      <c r="J336" s="301"/>
      <c r="K336" s="301"/>
      <c r="L336" s="301"/>
      <c r="M336" s="301"/>
      <c r="N336" s="301"/>
      <c r="O336" s="301"/>
      <c r="P336" s="301"/>
      <c r="Q336" s="301"/>
      <c r="R336" s="301"/>
      <c r="S336" s="301"/>
      <c r="T336" s="301"/>
      <c r="U336" s="301"/>
      <c r="V336" s="301"/>
      <c r="W336" s="301"/>
      <c r="X336" s="301"/>
      <c r="Y336" s="301"/>
      <c r="Z336" s="301"/>
      <c r="AA336" s="301"/>
      <c r="AB336" s="301"/>
      <c r="AC336" s="301"/>
      <c r="AD336" s="301"/>
      <c r="AE336" s="301"/>
      <c r="AF336" s="301"/>
      <c r="AG336" s="301"/>
      <c r="AH336" s="301"/>
      <c r="AI336" s="301"/>
      <c r="AJ336" s="301"/>
      <c r="AK336" s="301"/>
      <c r="AL336" s="301"/>
      <c r="AM336" s="301"/>
      <c r="AN336" s="301"/>
      <c r="AO336" s="301"/>
      <c r="AP336" s="301"/>
    </row>
    <row r="337" spans="10:42" ht="13.5" customHeight="1">
      <c r="J337" s="301"/>
      <c r="K337" s="301"/>
      <c r="L337" s="301"/>
      <c r="M337" s="301"/>
      <c r="N337" s="301"/>
      <c r="O337" s="301"/>
      <c r="P337" s="301"/>
      <c r="Q337" s="301"/>
      <c r="R337" s="301"/>
      <c r="S337" s="301"/>
      <c r="T337" s="301"/>
      <c r="U337" s="301"/>
      <c r="V337" s="301"/>
      <c r="W337" s="301"/>
      <c r="X337" s="301"/>
      <c r="Y337" s="301"/>
      <c r="Z337" s="301"/>
      <c r="AA337" s="301"/>
      <c r="AB337" s="301"/>
      <c r="AC337" s="301"/>
      <c r="AD337" s="301"/>
      <c r="AE337" s="301"/>
      <c r="AF337" s="301"/>
      <c r="AG337" s="301"/>
      <c r="AH337" s="301"/>
      <c r="AI337" s="301"/>
      <c r="AJ337" s="301"/>
      <c r="AK337" s="301"/>
      <c r="AL337" s="301"/>
      <c r="AM337" s="301"/>
      <c r="AN337" s="301"/>
      <c r="AO337" s="301"/>
      <c r="AP337" s="301"/>
    </row>
    <row r="338" spans="10:42" ht="13.5" customHeight="1">
      <c r="J338" s="301"/>
      <c r="K338" s="301"/>
      <c r="L338" s="301"/>
      <c r="M338" s="301"/>
      <c r="N338" s="301"/>
      <c r="O338" s="301"/>
      <c r="P338" s="301"/>
      <c r="Q338" s="301"/>
      <c r="R338" s="301"/>
      <c r="S338" s="301"/>
      <c r="T338" s="301"/>
      <c r="U338" s="301"/>
      <c r="V338" s="301"/>
      <c r="W338" s="301"/>
      <c r="X338" s="301"/>
      <c r="Y338" s="301"/>
      <c r="Z338" s="301"/>
      <c r="AA338" s="301"/>
      <c r="AB338" s="301"/>
      <c r="AC338" s="301"/>
      <c r="AD338" s="301"/>
      <c r="AE338" s="301"/>
      <c r="AF338" s="301"/>
      <c r="AG338" s="301"/>
      <c r="AH338" s="301"/>
      <c r="AI338" s="301"/>
      <c r="AJ338" s="301"/>
      <c r="AK338" s="301"/>
      <c r="AL338" s="301"/>
      <c r="AM338" s="301"/>
      <c r="AN338" s="301"/>
      <c r="AO338" s="301"/>
      <c r="AP338" s="301"/>
    </row>
    <row r="339" spans="10:42" ht="13.5" customHeight="1">
      <c r="J339" s="301"/>
      <c r="K339" s="301"/>
      <c r="L339" s="301"/>
      <c r="M339" s="301"/>
      <c r="N339" s="301"/>
      <c r="O339" s="301"/>
      <c r="P339" s="301"/>
      <c r="Q339" s="301"/>
      <c r="R339" s="301"/>
      <c r="S339" s="301"/>
      <c r="T339" s="301"/>
      <c r="U339" s="301"/>
      <c r="V339" s="301"/>
      <c r="W339" s="301"/>
      <c r="X339" s="301"/>
      <c r="Y339" s="301"/>
      <c r="Z339" s="301"/>
      <c r="AA339" s="301"/>
      <c r="AB339" s="301"/>
      <c r="AC339" s="301"/>
      <c r="AD339" s="301"/>
      <c r="AE339" s="301"/>
      <c r="AF339" s="301"/>
      <c r="AG339" s="301"/>
      <c r="AH339" s="301"/>
      <c r="AI339" s="301"/>
      <c r="AJ339" s="301"/>
      <c r="AK339" s="301"/>
      <c r="AL339" s="301"/>
      <c r="AM339" s="301"/>
      <c r="AN339" s="301"/>
      <c r="AO339" s="301"/>
      <c r="AP339" s="301"/>
    </row>
    <row r="340" spans="10:42" ht="13.5" customHeight="1">
      <c r="J340" s="301"/>
      <c r="K340" s="301"/>
      <c r="L340" s="301"/>
      <c r="M340" s="301"/>
      <c r="N340" s="301"/>
      <c r="O340" s="301"/>
      <c r="P340" s="301"/>
      <c r="Q340" s="301"/>
      <c r="R340" s="301"/>
      <c r="S340" s="301"/>
      <c r="T340" s="301"/>
      <c r="U340" s="301"/>
      <c r="V340" s="301"/>
      <c r="W340" s="301"/>
      <c r="X340" s="301"/>
      <c r="Y340" s="301"/>
      <c r="Z340" s="301"/>
      <c r="AA340" s="301"/>
      <c r="AB340" s="301"/>
      <c r="AC340" s="301"/>
      <c r="AD340" s="301"/>
      <c r="AE340" s="301"/>
      <c r="AF340" s="301"/>
      <c r="AG340" s="301"/>
      <c r="AH340" s="301"/>
      <c r="AI340" s="301"/>
      <c r="AJ340" s="301"/>
      <c r="AK340" s="301"/>
      <c r="AL340" s="301"/>
      <c r="AM340" s="301"/>
      <c r="AN340" s="301"/>
      <c r="AO340" s="301"/>
      <c r="AP340" s="301"/>
    </row>
    <row r="341" spans="10:42" ht="13.5" customHeight="1">
      <c r="J341" s="301"/>
      <c r="K341" s="301"/>
      <c r="L341" s="301"/>
      <c r="M341" s="301"/>
      <c r="N341" s="301"/>
      <c r="O341" s="301"/>
      <c r="P341" s="301"/>
      <c r="Q341" s="301"/>
      <c r="R341" s="301"/>
      <c r="S341" s="301"/>
      <c r="T341" s="301"/>
      <c r="U341" s="301"/>
      <c r="V341" s="301"/>
      <c r="W341" s="301"/>
      <c r="X341" s="301"/>
      <c r="Y341" s="301"/>
      <c r="Z341" s="301"/>
      <c r="AA341" s="301"/>
      <c r="AB341" s="301"/>
      <c r="AC341" s="301"/>
      <c r="AD341" s="301"/>
      <c r="AE341" s="301"/>
      <c r="AF341" s="301"/>
      <c r="AG341" s="301"/>
      <c r="AH341" s="301"/>
      <c r="AI341" s="301"/>
      <c r="AJ341" s="301"/>
      <c r="AK341" s="301"/>
      <c r="AL341" s="301"/>
      <c r="AM341" s="301"/>
      <c r="AN341" s="301"/>
      <c r="AO341" s="301"/>
      <c r="AP341" s="301"/>
    </row>
    <row r="342" spans="10:42" ht="13.5" customHeight="1">
      <c r="J342" s="301"/>
      <c r="K342" s="301"/>
      <c r="L342" s="301"/>
      <c r="M342" s="301"/>
      <c r="N342" s="301"/>
      <c r="O342" s="301"/>
      <c r="P342" s="301"/>
      <c r="Q342" s="301"/>
      <c r="R342" s="301"/>
      <c r="S342" s="301"/>
      <c r="T342" s="301"/>
      <c r="U342" s="301"/>
      <c r="V342" s="301"/>
      <c r="W342" s="301"/>
      <c r="X342" s="301"/>
      <c r="Y342" s="301"/>
      <c r="Z342" s="301"/>
      <c r="AA342" s="301"/>
      <c r="AB342" s="301"/>
      <c r="AC342" s="301"/>
      <c r="AD342" s="301"/>
      <c r="AE342" s="301"/>
      <c r="AF342" s="301"/>
      <c r="AG342" s="301"/>
      <c r="AH342" s="301"/>
      <c r="AI342" s="301"/>
      <c r="AJ342" s="301"/>
      <c r="AK342" s="301"/>
      <c r="AL342" s="301"/>
      <c r="AM342" s="301"/>
      <c r="AN342" s="301"/>
      <c r="AO342" s="301"/>
      <c r="AP342" s="301"/>
    </row>
    <row r="343" spans="10:42" ht="13.5" customHeight="1">
      <c r="J343" s="301"/>
      <c r="K343" s="301"/>
      <c r="L343" s="301"/>
      <c r="M343" s="301"/>
      <c r="N343" s="301"/>
      <c r="O343" s="301"/>
      <c r="P343" s="301"/>
      <c r="Q343" s="301"/>
      <c r="R343" s="301"/>
      <c r="S343" s="301"/>
      <c r="T343" s="301"/>
      <c r="U343" s="301"/>
      <c r="V343" s="301"/>
      <c r="W343" s="301"/>
      <c r="X343" s="301"/>
      <c r="Y343" s="301"/>
      <c r="Z343" s="301"/>
      <c r="AA343" s="301"/>
      <c r="AB343" s="301"/>
      <c r="AC343" s="301"/>
      <c r="AD343" s="301"/>
      <c r="AE343" s="301"/>
      <c r="AF343" s="301"/>
      <c r="AG343" s="301"/>
      <c r="AH343" s="301"/>
      <c r="AI343" s="301"/>
      <c r="AJ343" s="301"/>
      <c r="AK343" s="301"/>
      <c r="AL343" s="301"/>
      <c r="AM343" s="301"/>
      <c r="AN343" s="301"/>
      <c r="AO343" s="301"/>
      <c r="AP343" s="301"/>
    </row>
    <row r="344" spans="10:42" ht="13.5" customHeight="1">
      <c r="J344" s="301"/>
      <c r="K344" s="301"/>
      <c r="L344" s="301"/>
      <c r="M344" s="301"/>
      <c r="N344" s="301"/>
      <c r="O344" s="301"/>
      <c r="P344" s="301"/>
      <c r="Q344" s="301"/>
      <c r="R344" s="301"/>
      <c r="S344" s="301"/>
      <c r="T344" s="301"/>
      <c r="U344" s="301"/>
      <c r="V344" s="301"/>
      <c r="W344" s="301"/>
      <c r="X344" s="301"/>
      <c r="Y344" s="301"/>
      <c r="Z344" s="301"/>
      <c r="AA344" s="301"/>
      <c r="AB344" s="301"/>
      <c r="AC344" s="301"/>
      <c r="AD344" s="301"/>
      <c r="AE344" s="301"/>
      <c r="AF344" s="301"/>
      <c r="AG344" s="301"/>
      <c r="AH344" s="301"/>
      <c r="AI344" s="301"/>
      <c r="AJ344" s="301"/>
      <c r="AK344" s="301"/>
      <c r="AL344" s="301"/>
      <c r="AM344" s="301"/>
      <c r="AN344" s="301"/>
      <c r="AO344" s="301"/>
      <c r="AP344" s="301"/>
    </row>
    <row r="345" spans="10:42" ht="13.5" customHeight="1">
      <c r="J345" s="301"/>
      <c r="K345" s="301"/>
      <c r="L345" s="301"/>
      <c r="M345" s="301"/>
      <c r="N345" s="301"/>
      <c r="O345" s="301"/>
      <c r="P345" s="301"/>
      <c r="Q345" s="301"/>
      <c r="R345" s="301"/>
      <c r="S345" s="301"/>
      <c r="T345" s="301"/>
      <c r="U345" s="301"/>
      <c r="V345" s="301"/>
      <c r="W345" s="301"/>
      <c r="X345" s="301"/>
      <c r="Y345" s="301"/>
      <c r="Z345" s="301"/>
      <c r="AA345" s="301"/>
      <c r="AB345" s="301"/>
      <c r="AC345" s="301"/>
      <c r="AD345" s="301"/>
      <c r="AE345" s="301"/>
      <c r="AF345" s="301"/>
      <c r="AG345" s="301"/>
      <c r="AH345" s="301"/>
      <c r="AI345" s="301"/>
      <c r="AJ345" s="301"/>
      <c r="AK345" s="301"/>
      <c r="AL345" s="301"/>
      <c r="AM345" s="301"/>
      <c r="AN345" s="301"/>
      <c r="AO345" s="301"/>
      <c r="AP345" s="301"/>
    </row>
    <row r="346" spans="10:42" ht="13.5" customHeight="1">
      <c r="J346" s="301"/>
      <c r="K346" s="301"/>
      <c r="L346" s="301"/>
      <c r="M346" s="301"/>
      <c r="N346" s="301"/>
      <c r="O346" s="301"/>
      <c r="P346" s="301"/>
      <c r="Q346" s="301"/>
      <c r="R346" s="301"/>
      <c r="S346" s="301"/>
      <c r="T346" s="301"/>
      <c r="U346" s="301"/>
      <c r="V346" s="301"/>
      <c r="W346" s="301"/>
      <c r="X346" s="301"/>
      <c r="Y346" s="301"/>
      <c r="Z346" s="301"/>
      <c r="AA346" s="301"/>
      <c r="AB346" s="301"/>
      <c r="AC346" s="301"/>
      <c r="AD346" s="301"/>
      <c r="AE346" s="301"/>
      <c r="AF346" s="301"/>
      <c r="AG346" s="301"/>
      <c r="AH346" s="301"/>
      <c r="AI346" s="301"/>
      <c r="AJ346" s="301"/>
      <c r="AK346" s="301"/>
      <c r="AL346" s="301"/>
      <c r="AM346" s="301"/>
      <c r="AN346" s="301"/>
      <c r="AO346" s="301"/>
      <c r="AP346" s="301"/>
    </row>
    <row r="347" spans="10:42" ht="13.5" customHeight="1">
      <c r="J347" s="301"/>
      <c r="K347" s="301"/>
      <c r="L347" s="301"/>
      <c r="M347" s="301"/>
      <c r="N347" s="301"/>
      <c r="O347" s="301"/>
      <c r="P347" s="301"/>
      <c r="Q347" s="301"/>
      <c r="R347" s="301"/>
      <c r="S347" s="301"/>
      <c r="T347" s="301"/>
      <c r="U347" s="301"/>
      <c r="V347" s="301"/>
      <c r="W347" s="301"/>
      <c r="X347" s="301"/>
      <c r="Y347" s="301"/>
      <c r="Z347" s="301"/>
      <c r="AA347" s="301"/>
      <c r="AB347" s="301"/>
      <c r="AC347" s="301"/>
      <c r="AD347" s="301"/>
      <c r="AE347" s="301"/>
      <c r="AF347" s="301"/>
      <c r="AG347" s="301"/>
      <c r="AH347" s="301"/>
      <c r="AI347" s="301"/>
      <c r="AJ347" s="301"/>
      <c r="AK347" s="301"/>
      <c r="AL347" s="301"/>
      <c r="AM347" s="301"/>
      <c r="AN347" s="301"/>
      <c r="AO347" s="301"/>
      <c r="AP347" s="301"/>
    </row>
    <row r="348" spans="10:42" ht="13.5" customHeight="1">
      <c r="J348" s="301"/>
      <c r="K348" s="301"/>
      <c r="L348" s="301"/>
      <c r="M348" s="301"/>
      <c r="N348" s="301"/>
      <c r="O348" s="301"/>
      <c r="P348" s="301"/>
      <c r="Q348" s="301"/>
      <c r="R348" s="301"/>
      <c r="S348" s="301"/>
      <c r="T348" s="301"/>
      <c r="U348" s="301"/>
      <c r="V348" s="301"/>
      <c r="W348" s="301"/>
      <c r="X348" s="301"/>
      <c r="Y348" s="301"/>
      <c r="Z348" s="301"/>
      <c r="AA348" s="301"/>
      <c r="AB348" s="301"/>
      <c r="AC348" s="301"/>
      <c r="AD348" s="301"/>
      <c r="AE348" s="301"/>
      <c r="AF348" s="301"/>
      <c r="AG348" s="301"/>
      <c r="AH348" s="301"/>
      <c r="AI348" s="301"/>
      <c r="AJ348" s="301"/>
      <c r="AK348" s="301"/>
      <c r="AL348" s="301"/>
      <c r="AM348" s="301"/>
      <c r="AN348" s="301"/>
      <c r="AO348" s="301"/>
      <c r="AP348" s="301"/>
    </row>
    <row r="349" spans="10:42" ht="13.5" customHeight="1">
      <c r="J349" s="301"/>
      <c r="K349" s="301"/>
      <c r="L349" s="301"/>
      <c r="M349" s="301"/>
      <c r="N349" s="301"/>
      <c r="O349" s="301"/>
      <c r="P349" s="301"/>
      <c r="Q349" s="301"/>
      <c r="R349" s="301"/>
      <c r="S349" s="301"/>
      <c r="T349" s="301"/>
      <c r="U349" s="301"/>
      <c r="V349" s="301"/>
      <c r="W349" s="301"/>
      <c r="X349" s="301"/>
      <c r="Y349" s="301"/>
      <c r="Z349" s="301"/>
      <c r="AA349" s="301"/>
      <c r="AB349" s="301"/>
      <c r="AC349" s="301"/>
      <c r="AD349" s="301"/>
      <c r="AE349" s="301"/>
      <c r="AF349" s="301"/>
      <c r="AG349" s="301"/>
      <c r="AH349" s="301"/>
      <c r="AI349" s="301"/>
      <c r="AJ349" s="301"/>
      <c r="AK349" s="301"/>
      <c r="AL349" s="301"/>
      <c r="AM349" s="301"/>
      <c r="AN349" s="301"/>
      <c r="AO349" s="301"/>
      <c r="AP349" s="301"/>
    </row>
    <row r="350" spans="10:42" ht="13.5" customHeight="1">
      <c r="J350" s="301"/>
      <c r="K350" s="301"/>
      <c r="L350" s="301"/>
      <c r="M350" s="301"/>
      <c r="N350" s="301"/>
      <c r="O350" s="301"/>
      <c r="P350" s="301"/>
      <c r="Q350" s="301"/>
      <c r="R350" s="301"/>
      <c r="S350" s="301"/>
      <c r="T350" s="301"/>
      <c r="U350" s="301"/>
      <c r="V350" s="301"/>
      <c r="W350" s="301"/>
      <c r="X350" s="301"/>
      <c r="Y350" s="301"/>
      <c r="Z350" s="301"/>
      <c r="AA350" s="301"/>
      <c r="AB350" s="301"/>
      <c r="AC350" s="301"/>
      <c r="AD350" s="301"/>
      <c r="AE350" s="301"/>
      <c r="AF350" s="301"/>
      <c r="AG350" s="301"/>
      <c r="AH350" s="301"/>
      <c r="AI350" s="301"/>
      <c r="AJ350" s="301"/>
      <c r="AK350" s="301"/>
      <c r="AL350" s="301"/>
      <c r="AM350" s="301"/>
      <c r="AN350" s="301"/>
      <c r="AO350" s="301"/>
      <c r="AP350" s="301"/>
    </row>
    <row r="351" spans="10:42" ht="13.5" customHeight="1">
      <c r="J351" s="301"/>
      <c r="K351" s="301"/>
      <c r="L351" s="301"/>
      <c r="M351" s="301"/>
      <c r="N351" s="301"/>
      <c r="O351" s="301"/>
      <c r="P351" s="301"/>
      <c r="Q351" s="301"/>
      <c r="R351" s="301"/>
      <c r="S351" s="301"/>
      <c r="T351" s="301"/>
      <c r="U351" s="301"/>
      <c r="V351" s="301"/>
      <c r="W351" s="301"/>
      <c r="X351" s="301"/>
      <c r="Y351" s="301"/>
      <c r="Z351" s="301"/>
      <c r="AA351" s="301"/>
      <c r="AB351" s="301"/>
      <c r="AC351" s="301"/>
      <c r="AD351" s="301"/>
      <c r="AE351" s="301"/>
      <c r="AF351" s="301"/>
      <c r="AG351" s="301"/>
      <c r="AH351" s="301"/>
      <c r="AI351" s="301"/>
      <c r="AJ351" s="301"/>
      <c r="AK351" s="301"/>
      <c r="AL351" s="301"/>
      <c r="AM351" s="301"/>
      <c r="AN351" s="301"/>
      <c r="AO351" s="301"/>
      <c r="AP351" s="301"/>
    </row>
    <row r="352" spans="10:42" ht="13.5" customHeight="1">
      <c r="J352" s="301"/>
      <c r="K352" s="301"/>
      <c r="L352" s="301"/>
      <c r="M352" s="301"/>
      <c r="N352" s="301"/>
      <c r="O352" s="301"/>
      <c r="P352" s="301"/>
      <c r="Q352" s="301"/>
      <c r="R352" s="301"/>
      <c r="S352" s="301"/>
      <c r="T352" s="301"/>
      <c r="U352" s="301"/>
      <c r="V352" s="301"/>
      <c r="W352" s="301"/>
      <c r="X352" s="301"/>
      <c r="Y352" s="301"/>
      <c r="Z352" s="301"/>
      <c r="AA352" s="301"/>
      <c r="AB352" s="301"/>
      <c r="AC352" s="301"/>
      <c r="AD352" s="301"/>
      <c r="AE352" s="301"/>
      <c r="AF352" s="301"/>
      <c r="AG352" s="301"/>
      <c r="AH352" s="301"/>
      <c r="AI352" s="301"/>
      <c r="AJ352" s="301"/>
      <c r="AK352" s="301"/>
      <c r="AL352" s="301"/>
      <c r="AM352" s="301"/>
      <c r="AN352" s="301"/>
      <c r="AO352" s="301"/>
      <c r="AP352" s="301"/>
    </row>
    <row r="353" spans="10:42" ht="13.5" customHeight="1">
      <c r="J353" s="301"/>
      <c r="K353" s="301"/>
      <c r="L353" s="301"/>
      <c r="M353" s="301"/>
      <c r="N353" s="301"/>
      <c r="O353" s="301"/>
      <c r="P353" s="301"/>
      <c r="Q353" s="301"/>
      <c r="R353" s="301"/>
      <c r="S353" s="301"/>
      <c r="T353" s="301"/>
      <c r="U353" s="301"/>
      <c r="V353" s="301"/>
      <c r="W353" s="301"/>
      <c r="X353" s="301"/>
      <c r="Y353" s="301"/>
      <c r="Z353" s="301"/>
      <c r="AA353" s="301"/>
      <c r="AB353" s="301"/>
      <c r="AC353" s="301"/>
      <c r="AD353" s="301"/>
      <c r="AE353" s="301"/>
      <c r="AF353" s="301"/>
      <c r="AG353" s="301"/>
      <c r="AH353" s="301"/>
      <c r="AI353" s="301"/>
      <c r="AJ353" s="301"/>
      <c r="AK353" s="301"/>
      <c r="AL353" s="301"/>
      <c r="AM353" s="301"/>
      <c r="AN353" s="301"/>
      <c r="AO353" s="301"/>
      <c r="AP353" s="301"/>
    </row>
    <row r="354" spans="10:42" ht="13.5" customHeight="1">
      <c r="J354" s="301"/>
      <c r="K354" s="301"/>
      <c r="L354" s="301"/>
      <c r="M354" s="301"/>
      <c r="N354" s="301"/>
      <c r="O354" s="301"/>
      <c r="P354" s="301"/>
      <c r="Q354" s="301"/>
      <c r="R354" s="301"/>
      <c r="S354" s="301"/>
      <c r="T354" s="301"/>
      <c r="U354" s="301"/>
      <c r="V354" s="301"/>
      <c r="W354" s="301"/>
      <c r="X354" s="301"/>
      <c r="Y354" s="301"/>
      <c r="Z354" s="301"/>
      <c r="AA354" s="301"/>
      <c r="AB354" s="301"/>
      <c r="AC354" s="301"/>
      <c r="AD354" s="301"/>
      <c r="AE354" s="301"/>
      <c r="AF354" s="301"/>
      <c r="AG354" s="301"/>
      <c r="AH354" s="301"/>
      <c r="AI354" s="301"/>
      <c r="AJ354" s="301"/>
      <c r="AK354" s="301"/>
      <c r="AL354" s="301"/>
      <c r="AM354" s="301"/>
      <c r="AN354" s="301"/>
      <c r="AO354" s="301"/>
      <c r="AP354" s="301"/>
    </row>
    <row r="355" spans="10:42" ht="13.5" customHeight="1">
      <c r="J355" s="301"/>
      <c r="K355" s="301"/>
      <c r="L355" s="301"/>
      <c r="M355" s="301"/>
      <c r="N355" s="301"/>
      <c r="O355" s="301"/>
      <c r="P355" s="301"/>
      <c r="Q355" s="301"/>
      <c r="R355" s="301"/>
      <c r="S355" s="301"/>
      <c r="T355" s="301"/>
      <c r="U355" s="301"/>
      <c r="V355" s="301"/>
      <c r="W355" s="301"/>
      <c r="X355" s="301"/>
      <c r="Y355" s="301"/>
      <c r="Z355" s="301"/>
      <c r="AA355" s="301"/>
      <c r="AB355" s="301"/>
      <c r="AC355" s="301"/>
      <c r="AD355" s="301"/>
      <c r="AE355" s="301"/>
      <c r="AF355" s="301"/>
      <c r="AG355" s="301"/>
      <c r="AH355" s="301"/>
      <c r="AI355" s="301"/>
      <c r="AJ355" s="301"/>
      <c r="AK355" s="301"/>
      <c r="AL355" s="301"/>
      <c r="AM355" s="301"/>
      <c r="AN355" s="301"/>
      <c r="AO355" s="301"/>
      <c r="AP355" s="301"/>
    </row>
    <row r="356" spans="10:42" ht="13.5" customHeight="1">
      <c r="J356" s="301"/>
      <c r="K356" s="301"/>
      <c r="L356" s="301"/>
      <c r="M356" s="301"/>
      <c r="N356" s="301"/>
      <c r="O356" s="301"/>
      <c r="P356" s="301"/>
      <c r="Q356" s="301"/>
      <c r="R356" s="301"/>
      <c r="S356" s="301"/>
      <c r="T356" s="301"/>
      <c r="U356" s="301"/>
      <c r="V356" s="301"/>
      <c r="W356" s="301"/>
      <c r="X356" s="301"/>
      <c r="Y356" s="301"/>
      <c r="Z356" s="301"/>
      <c r="AA356" s="301"/>
      <c r="AB356" s="301"/>
      <c r="AC356" s="301"/>
      <c r="AD356" s="301"/>
      <c r="AE356" s="301"/>
      <c r="AF356" s="301"/>
      <c r="AG356" s="301"/>
      <c r="AH356" s="301"/>
      <c r="AI356" s="301"/>
      <c r="AJ356" s="301"/>
      <c r="AK356" s="301"/>
      <c r="AL356" s="301"/>
      <c r="AM356" s="301"/>
      <c r="AN356" s="301"/>
      <c r="AO356" s="301"/>
      <c r="AP356" s="301"/>
    </row>
    <row r="357" spans="10:42" ht="13.5" customHeight="1">
      <c r="J357" s="301"/>
      <c r="K357" s="301"/>
      <c r="L357" s="301"/>
      <c r="M357" s="301"/>
      <c r="N357" s="301"/>
      <c r="O357" s="301"/>
      <c r="P357" s="301"/>
      <c r="Q357" s="301"/>
      <c r="R357" s="301"/>
      <c r="S357" s="301"/>
      <c r="T357" s="301"/>
      <c r="U357" s="301"/>
      <c r="V357" s="301"/>
      <c r="W357" s="301"/>
      <c r="X357" s="301"/>
      <c r="Y357" s="301"/>
      <c r="Z357" s="301"/>
      <c r="AA357" s="301"/>
      <c r="AB357" s="301"/>
      <c r="AC357" s="301"/>
      <c r="AD357" s="301"/>
      <c r="AE357" s="301"/>
      <c r="AF357" s="301"/>
      <c r="AG357" s="301"/>
      <c r="AH357" s="301"/>
      <c r="AI357" s="301"/>
      <c r="AJ357" s="301"/>
      <c r="AK357" s="301"/>
      <c r="AL357" s="301"/>
      <c r="AM357" s="301"/>
      <c r="AN357" s="301"/>
      <c r="AO357" s="301"/>
      <c r="AP357" s="301"/>
    </row>
    <row r="358" spans="10:42" ht="13.5" customHeight="1">
      <c r="J358" s="301"/>
      <c r="K358" s="301"/>
      <c r="L358" s="301"/>
      <c r="M358" s="301"/>
      <c r="N358" s="301"/>
      <c r="O358" s="301"/>
      <c r="P358" s="301"/>
      <c r="Q358" s="301"/>
      <c r="R358" s="301"/>
      <c r="S358" s="301"/>
      <c r="T358" s="301"/>
      <c r="U358" s="301"/>
      <c r="V358" s="301"/>
      <c r="W358" s="301"/>
      <c r="X358" s="301"/>
      <c r="Y358" s="301"/>
      <c r="Z358" s="301"/>
      <c r="AA358" s="301"/>
      <c r="AB358" s="301"/>
      <c r="AC358" s="301"/>
      <c r="AD358" s="301"/>
      <c r="AE358" s="301"/>
      <c r="AF358" s="301"/>
      <c r="AG358" s="301"/>
      <c r="AH358" s="301"/>
      <c r="AI358" s="301"/>
      <c r="AJ358" s="301"/>
      <c r="AK358" s="301"/>
      <c r="AL358" s="301"/>
      <c r="AM358" s="301"/>
      <c r="AN358" s="301"/>
      <c r="AO358" s="301"/>
      <c r="AP358" s="301"/>
    </row>
    <row r="359" spans="10:42" ht="13.5" customHeight="1">
      <c r="J359" s="301"/>
      <c r="K359" s="301"/>
      <c r="L359" s="301"/>
      <c r="M359" s="301"/>
      <c r="N359" s="301"/>
      <c r="O359" s="301"/>
      <c r="P359" s="301"/>
      <c r="Q359" s="301"/>
      <c r="R359" s="301"/>
      <c r="S359" s="301"/>
      <c r="T359" s="301"/>
      <c r="U359" s="301"/>
      <c r="V359" s="301"/>
      <c r="W359" s="301"/>
      <c r="X359" s="301"/>
      <c r="Y359" s="301"/>
      <c r="Z359" s="301"/>
      <c r="AA359" s="301"/>
      <c r="AB359" s="301"/>
      <c r="AC359" s="301"/>
      <c r="AD359" s="301"/>
      <c r="AE359" s="301"/>
      <c r="AF359" s="301"/>
      <c r="AG359" s="301"/>
      <c r="AH359" s="301"/>
      <c r="AI359" s="301"/>
      <c r="AJ359" s="301"/>
      <c r="AK359" s="301"/>
      <c r="AL359" s="301"/>
      <c r="AM359" s="301"/>
      <c r="AN359" s="301"/>
      <c r="AO359" s="301"/>
      <c r="AP359" s="301"/>
    </row>
    <row r="360" spans="10:42" ht="13.5" customHeight="1">
      <c r="J360" s="301"/>
      <c r="K360" s="301"/>
      <c r="L360" s="301"/>
      <c r="M360" s="301"/>
      <c r="N360" s="301"/>
      <c r="O360" s="301"/>
      <c r="P360" s="301"/>
      <c r="Q360" s="301"/>
      <c r="R360" s="301"/>
      <c r="S360" s="301"/>
      <c r="T360" s="301"/>
      <c r="U360" s="301"/>
      <c r="V360" s="301"/>
      <c r="W360" s="301"/>
      <c r="X360" s="301"/>
      <c r="Y360" s="301"/>
      <c r="Z360" s="301"/>
      <c r="AA360" s="301"/>
      <c r="AB360" s="301"/>
      <c r="AC360" s="301"/>
      <c r="AD360" s="301"/>
      <c r="AE360" s="301"/>
      <c r="AF360" s="301"/>
      <c r="AG360" s="301"/>
      <c r="AH360" s="301"/>
      <c r="AI360" s="301"/>
      <c r="AJ360" s="301"/>
      <c r="AK360" s="301"/>
      <c r="AL360" s="301"/>
      <c r="AM360" s="301"/>
      <c r="AN360" s="301"/>
      <c r="AO360" s="301"/>
      <c r="AP360" s="301"/>
    </row>
    <row r="361" spans="10:42" ht="13.5" customHeight="1">
      <c r="J361" s="301"/>
      <c r="K361" s="301"/>
      <c r="L361" s="301"/>
      <c r="M361" s="301"/>
      <c r="N361" s="301"/>
      <c r="O361" s="301"/>
      <c r="P361" s="301"/>
      <c r="Q361" s="301"/>
      <c r="R361" s="301"/>
      <c r="S361" s="301"/>
      <c r="T361" s="301"/>
      <c r="U361" s="301"/>
      <c r="V361" s="301"/>
      <c r="W361" s="301"/>
      <c r="X361" s="301"/>
      <c r="Y361" s="301"/>
      <c r="Z361" s="301"/>
      <c r="AA361" s="301"/>
      <c r="AB361" s="301"/>
      <c r="AC361" s="301"/>
      <c r="AD361" s="301"/>
      <c r="AE361" s="301"/>
      <c r="AF361" s="301"/>
      <c r="AG361" s="301"/>
      <c r="AH361" s="301"/>
      <c r="AI361" s="301"/>
      <c r="AJ361" s="301"/>
      <c r="AK361" s="301"/>
      <c r="AL361" s="301"/>
      <c r="AM361" s="301"/>
      <c r="AN361" s="301"/>
      <c r="AO361" s="301"/>
      <c r="AP361" s="301"/>
    </row>
    <row r="362" spans="10:42" ht="13.5" customHeight="1">
      <c r="J362" s="301"/>
      <c r="K362" s="301"/>
      <c r="L362" s="301"/>
      <c r="M362" s="301"/>
      <c r="N362" s="301"/>
      <c r="O362" s="301"/>
      <c r="P362" s="301"/>
      <c r="Q362" s="301"/>
      <c r="R362" s="301"/>
      <c r="S362" s="301"/>
      <c r="T362" s="301"/>
      <c r="U362" s="301"/>
      <c r="V362" s="301"/>
      <c r="W362" s="301"/>
      <c r="X362" s="301"/>
      <c r="Y362" s="301"/>
      <c r="Z362" s="301"/>
      <c r="AA362" s="301"/>
      <c r="AB362" s="301"/>
      <c r="AC362" s="301"/>
      <c r="AD362" s="301"/>
      <c r="AE362" s="301"/>
      <c r="AF362" s="301"/>
      <c r="AG362" s="301"/>
      <c r="AH362" s="301"/>
      <c r="AI362" s="301"/>
      <c r="AJ362" s="301"/>
      <c r="AK362" s="301"/>
      <c r="AL362" s="301"/>
      <c r="AM362" s="301"/>
      <c r="AN362" s="301"/>
      <c r="AO362" s="301"/>
      <c r="AP362" s="301"/>
    </row>
    <row r="363" spans="10:42" ht="13.5" customHeight="1">
      <c r="J363" s="301"/>
      <c r="K363" s="301"/>
      <c r="L363" s="301"/>
      <c r="M363" s="301"/>
      <c r="N363" s="301"/>
      <c r="O363" s="301"/>
      <c r="P363" s="301"/>
      <c r="Q363" s="301"/>
      <c r="R363" s="301"/>
      <c r="S363" s="301"/>
      <c r="T363" s="301"/>
      <c r="U363" s="301"/>
      <c r="V363" s="301"/>
      <c r="W363" s="301"/>
      <c r="X363" s="301"/>
      <c r="Y363" s="301"/>
      <c r="Z363" s="301"/>
      <c r="AA363" s="301"/>
      <c r="AB363" s="301"/>
      <c r="AC363" s="301"/>
      <c r="AD363" s="301"/>
      <c r="AE363" s="301"/>
      <c r="AF363" s="301"/>
      <c r="AG363" s="301"/>
      <c r="AH363" s="301"/>
      <c r="AI363" s="301"/>
      <c r="AJ363" s="301"/>
      <c r="AK363" s="301"/>
      <c r="AL363" s="301"/>
      <c r="AM363" s="301"/>
      <c r="AN363" s="301"/>
      <c r="AO363" s="301"/>
      <c r="AP363" s="301"/>
    </row>
    <row r="364" spans="10:42" ht="13.5" customHeight="1">
      <c r="J364" s="301"/>
      <c r="K364" s="301"/>
      <c r="L364" s="301"/>
      <c r="M364" s="301"/>
      <c r="N364" s="301"/>
      <c r="O364" s="301"/>
      <c r="P364" s="301"/>
      <c r="Q364" s="301"/>
      <c r="R364" s="301"/>
      <c r="S364" s="301"/>
      <c r="T364" s="301"/>
      <c r="U364" s="301"/>
      <c r="V364" s="301"/>
      <c r="W364" s="301"/>
      <c r="X364" s="301"/>
      <c r="Y364" s="301"/>
      <c r="Z364" s="301"/>
      <c r="AA364" s="301"/>
      <c r="AB364" s="301"/>
      <c r="AC364" s="301"/>
      <c r="AD364" s="301"/>
      <c r="AE364" s="301"/>
      <c r="AF364" s="301"/>
      <c r="AG364" s="301"/>
      <c r="AH364" s="301"/>
      <c r="AI364" s="301"/>
      <c r="AJ364" s="301"/>
      <c r="AK364" s="301"/>
      <c r="AL364" s="301"/>
      <c r="AM364" s="301"/>
      <c r="AN364" s="301"/>
      <c r="AO364" s="301"/>
      <c r="AP364" s="301"/>
    </row>
    <row r="365" spans="10:42" ht="13.5" customHeight="1">
      <c r="J365" s="301"/>
      <c r="K365" s="301"/>
      <c r="L365" s="301"/>
      <c r="M365" s="301"/>
      <c r="N365" s="301"/>
      <c r="O365" s="301"/>
      <c r="P365" s="301"/>
      <c r="Q365" s="301"/>
      <c r="R365" s="301"/>
      <c r="S365" s="301"/>
      <c r="T365" s="301"/>
      <c r="U365" s="301"/>
      <c r="V365" s="301"/>
      <c r="W365" s="301"/>
      <c r="X365" s="301"/>
      <c r="Y365" s="301"/>
      <c r="Z365" s="301"/>
      <c r="AA365" s="301"/>
      <c r="AB365" s="301"/>
      <c r="AC365" s="301"/>
      <c r="AD365" s="301"/>
      <c r="AE365" s="301"/>
      <c r="AF365" s="301"/>
      <c r="AG365" s="301"/>
      <c r="AH365" s="301"/>
      <c r="AI365" s="301"/>
      <c r="AJ365" s="301"/>
      <c r="AK365" s="301"/>
      <c r="AL365" s="301"/>
      <c r="AM365" s="301"/>
      <c r="AN365" s="301"/>
      <c r="AO365" s="301"/>
      <c r="AP365" s="301"/>
    </row>
    <row r="366" spans="10:42" ht="13.5" customHeight="1">
      <c r="J366" s="301"/>
      <c r="K366" s="301"/>
      <c r="L366" s="301"/>
      <c r="M366" s="301"/>
      <c r="N366" s="301"/>
      <c r="O366" s="301"/>
      <c r="P366" s="301"/>
      <c r="Q366" s="301"/>
      <c r="R366" s="301"/>
      <c r="S366" s="301"/>
      <c r="T366" s="301"/>
      <c r="U366" s="301"/>
      <c r="V366" s="301"/>
      <c r="W366" s="301"/>
      <c r="X366" s="301"/>
      <c r="Y366" s="301"/>
      <c r="Z366" s="301"/>
      <c r="AA366" s="301"/>
      <c r="AB366" s="301"/>
      <c r="AC366" s="301"/>
      <c r="AD366" s="301"/>
      <c r="AE366" s="301"/>
      <c r="AF366" s="301"/>
      <c r="AG366" s="301"/>
      <c r="AH366" s="301"/>
      <c r="AI366" s="301"/>
      <c r="AJ366" s="301"/>
      <c r="AK366" s="301"/>
      <c r="AL366" s="301"/>
      <c r="AM366" s="301"/>
      <c r="AN366" s="301"/>
      <c r="AO366" s="301"/>
      <c r="AP366" s="301"/>
    </row>
    <row r="367" spans="10:42" ht="13.5" customHeight="1">
      <c r="J367" s="301"/>
      <c r="K367" s="301"/>
      <c r="L367" s="301"/>
      <c r="M367" s="301"/>
      <c r="N367" s="301"/>
      <c r="O367" s="301"/>
      <c r="P367" s="301"/>
      <c r="Q367" s="301"/>
      <c r="R367" s="301"/>
      <c r="S367" s="301"/>
      <c r="T367" s="301"/>
      <c r="U367" s="301"/>
      <c r="V367" s="301"/>
      <c r="W367" s="301"/>
      <c r="X367" s="301"/>
      <c r="Y367" s="301"/>
      <c r="Z367" s="301"/>
      <c r="AA367" s="301"/>
      <c r="AB367" s="301"/>
      <c r="AC367" s="301"/>
      <c r="AD367" s="301"/>
      <c r="AE367" s="301"/>
      <c r="AF367" s="301"/>
      <c r="AG367" s="301"/>
      <c r="AH367" s="301"/>
      <c r="AI367" s="301"/>
      <c r="AJ367" s="301"/>
      <c r="AK367" s="301"/>
      <c r="AL367" s="301"/>
      <c r="AM367" s="301"/>
      <c r="AN367" s="301"/>
      <c r="AO367" s="301"/>
      <c r="AP367" s="301"/>
    </row>
    <row r="368" spans="10:42" ht="13.5" customHeight="1">
      <c r="J368" s="301"/>
      <c r="K368" s="301"/>
      <c r="L368" s="301"/>
      <c r="M368" s="301"/>
      <c r="N368" s="301"/>
      <c r="O368" s="301"/>
      <c r="P368" s="301"/>
      <c r="Q368" s="301"/>
      <c r="R368" s="301"/>
      <c r="S368" s="301"/>
      <c r="T368" s="301"/>
      <c r="U368" s="301"/>
      <c r="V368" s="301"/>
      <c r="W368" s="301"/>
      <c r="X368" s="301"/>
      <c r="Y368" s="301"/>
      <c r="Z368" s="301"/>
      <c r="AA368" s="301"/>
      <c r="AB368" s="301"/>
      <c r="AC368" s="301"/>
      <c r="AD368" s="301"/>
      <c r="AE368" s="301"/>
      <c r="AF368" s="301"/>
      <c r="AG368" s="301"/>
      <c r="AH368" s="301"/>
      <c r="AI368" s="301"/>
      <c r="AJ368" s="301"/>
      <c r="AK368" s="301"/>
      <c r="AL368" s="301"/>
      <c r="AM368" s="301"/>
      <c r="AN368" s="301"/>
      <c r="AO368" s="301"/>
      <c r="AP368" s="301"/>
    </row>
    <row r="369" spans="10:42" ht="13.5" customHeight="1">
      <c r="J369" s="301"/>
      <c r="K369" s="301"/>
      <c r="L369" s="301"/>
      <c r="M369" s="301"/>
      <c r="N369" s="301"/>
      <c r="O369" s="301"/>
      <c r="P369" s="301"/>
      <c r="Q369" s="301"/>
      <c r="R369" s="301"/>
      <c r="S369" s="301"/>
      <c r="T369" s="301"/>
      <c r="U369" s="301"/>
      <c r="V369" s="301"/>
      <c r="W369" s="301"/>
      <c r="X369" s="301"/>
      <c r="Y369" s="301"/>
      <c r="Z369" s="301"/>
      <c r="AA369" s="301"/>
      <c r="AB369" s="301"/>
      <c r="AC369" s="301"/>
      <c r="AD369" s="301"/>
      <c r="AE369" s="301"/>
      <c r="AF369" s="301"/>
      <c r="AG369" s="301"/>
      <c r="AH369" s="301"/>
      <c r="AI369" s="301"/>
      <c r="AJ369" s="301"/>
      <c r="AK369" s="301"/>
      <c r="AL369" s="301"/>
      <c r="AM369" s="301"/>
      <c r="AN369" s="301"/>
      <c r="AO369" s="301"/>
      <c r="AP369" s="301"/>
    </row>
    <row r="370" spans="10:42" ht="13.5" customHeight="1">
      <c r="J370" s="301"/>
      <c r="K370" s="301"/>
      <c r="L370" s="301"/>
      <c r="M370" s="301"/>
      <c r="N370" s="301"/>
      <c r="O370" s="301"/>
      <c r="P370" s="301"/>
      <c r="Q370" s="301"/>
      <c r="R370" s="301"/>
      <c r="S370" s="301"/>
      <c r="T370" s="301"/>
      <c r="U370" s="301"/>
      <c r="V370" s="301"/>
      <c r="W370" s="301"/>
      <c r="X370" s="301"/>
      <c r="Y370" s="301"/>
      <c r="Z370" s="301"/>
      <c r="AA370" s="301"/>
      <c r="AB370" s="301"/>
      <c r="AC370" s="301"/>
      <c r="AD370" s="301"/>
      <c r="AE370" s="301"/>
      <c r="AF370" s="301"/>
      <c r="AG370" s="301"/>
      <c r="AH370" s="301"/>
      <c r="AI370" s="301"/>
      <c r="AJ370" s="301"/>
      <c r="AK370" s="301"/>
      <c r="AL370" s="301"/>
      <c r="AM370" s="301"/>
      <c r="AN370" s="301"/>
      <c r="AO370" s="301"/>
      <c r="AP370" s="301"/>
    </row>
    <row r="371" spans="10:42" ht="13.5" customHeight="1">
      <c r="J371" s="301"/>
      <c r="K371" s="301"/>
      <c r="L371" s="301"/>
      <c r="M371" s="301"/>
      <c r="N371" s="301"/>
      <c r="O371" s="301"/>
      <c r="P371" s="301"/>
      <c r="Q371" s="301"/>
      <c r="R371" s="301"/>
      <c r="S371" s="301"/>
      <c r="T371" s="301"/>
      <c r="U371" s="301"/>
      <c r="V371" s="301"/>
      <c r="W371" s="301"/>
      <c r="X371" s="301"/>
      <c r="Y371" s="301"/>
      <c r="Z371" s="301"/>
      <c r="AA371" s="301"/>
      <c r="AB371" s="301"/>
      <c r="AC371" s="301"/>
      <c r="AD371" s="301"/>
      <c r="AE371" s="301"/>
      <c r="AF371" s="301"/>
      <c r="AG371" s="301"/>
      <c r="AH371" s="301"/>
      <c r="AI371" s="301"/>
      <c r="AJ371" s="301"/>
      <c r="AK371" s="301"/>
      <c r="AL371" s="301"/>
      <c r="AM371" s="301"/>
      <c r="AN371" s="301"/>
      <c r="AO371" s="301"/>
      <c r="AP371" s="301"/>
    </row>
    <row r="372" spans="10:42" ht="13.5" customHeight="1">
      <c r="J372" s="301"/>
      <c r="K372" s="301"/>
      <c r="L372" s="301"/>
      <c r="M372" s="301"/>
      <c r="N372" s="301"/>
      <c r="O372" s="301"/>
      <c r="P372" s="301"/>
      <c r="Q372" s="301"/>
      <c r="R372" s="301"/>
      <c r="S372" s="301"/>
      <c r="T372" s="301"/>
      <c r="U372" s="301"/>
      <c r="V372" s="301"/>
      <c r="W372" s="301"/>
      <c r="X372" s="301"/>
      <c r="Y372" s="301"/>
      <c r="Z372" s="301"/>
      <c r="AA372" s="301"/>
      <c r="AB372" s="301"/>
      <c r="AC372" s="301"/>
      <c r="AD372" s="301"/>
      <c r="AE372" s="301"/>
      <c r="AF372" s="301"/>
      <c r="AG372" s="301"/>
      <c r="AH372" s="301"/>
      <c r="AI372" s="301"/>
      <c r="AJ372" s="301"/>
      <c r="AK372" s="301"/>
      <c r="AL372" s="301"/>
      <c r="AM372" s="301"/>
      <c r="AN372" s="301"/>
      <c r="AO372" s="301"/>
      <c r="AP372" s="301"/>
    </row>
    <row r="373" spans="10:42" ht="13.5" customHeight="1">
      <c r="J373" s="301"/>
      <c r="K373" s="301"/>
      <c r="L373" s="301"/>
      <c r="M373" s="301"/>
      <c r="N373" s="301"/>
      <c r="O373" s="301"/>
      <c r="P373" s="301"/>
      <c r="Q373" s="301"/>
      <c r="R373" s="301"/>
      <c r="S373" s="301"/>
      <c r="T373" s="301"/>
      <c r="U373" s="301"/>
      <c r="V373" s="301"/>
      <c r="W373" s="301"/>
      <c r="X373" s="301"/>
      <c r="Y373" s="301"/>
      <c r="Z373" s="301"/>
      <c r="AA373" s="301"/>
      <c r="AB373" s="301"/>
      <c r="AC373" s="301"/>
      <c r="AD373" s="301"/>
      <c r="AE373" s="301"/>
      <c r="AF373" s="301"/>
      <c r="AG373" s="301"/>
      <c r="AH373" s="301"/>
      <c r="AI373" s="301"/>
      <c r="AJ373" s="301"/>
      <c r="AK373" s="301"/>
      <c r="AL373" s="301"/>
      <c r="AM373" s="301"/>
      <c r="AN373" s="301"/>
      <c r="AO373" s="301"/>
      <c r="AP373" s="301"/>
    </row>
    <row r="374" spans="10:42" ht="13.5" customHeight="1">
      <c r="J374" s="301"/>
      <c r="K374" s="301"/>
      <c r="L374" s="301"/>
      <c r="M374" s="301"/>
      <c r="N374" s="301"/>
      <c r="O374" s="301"/>
      <c r="P374" s="301"/>
      <c r="Q374" s="301"/>
      <c r="R374" s="301"/>
      <c r="S374" s="301"/>
      <c r="T374" s="301"/>
      <c r="U374" s="301"/>
      <c r="V374" s="301"/>
      <c r="W374" s="301"/>
      <c r="X374" s="301"/>
      <c r="Y374" s="301"/>
      <c r="Z374" s="301"/>
      <c r="AA374" s="301"/>
      <c r="AB374" s="301"/>
      <c r="AC374" s="301"/>
      <c r="AD374" s="301"/>
      <c r="AE374" s="301"/>
      <c r="AF374" s="301"/>
      <c r="AG374" s="301"/>
      <c r="AH374" s="301"/>
      <c r="AI374" s="301"/>
      <c r="AJ374" s="301"/>
      <c r="AK374" s="301"/>
      <c r="AL374" s="301"/>
      <c r="AM374" s="301"/>
      <c r="AN374" s="301"/>
      <c r="AO374" s="301"/>
      <c r="AP374" s="301"/>
    </row>
    <row r="375" spans="10:42" ht="13.5" customHeight="1">
      <c r="J375" s="301"/>
      <c r="K375" s="301"/>
      <c r="L375" s="301"/>
      <c r="M375" s="301"/>
      <c r="N375" s="301"/>
      <c r="O375" s="301"/>
      <c r="P375" s="301"/>
      <c r="Q375" s="301"/>
      <c r="R375" s="301"/>
      <c r="S375" s="301"/>
      <c r="T375" s="301"/>
      <c r="U375" s="301"/>
      <c r="V375" s="301"/>
      <c r="W375" s="301"/>
      <c r="X375" s="301"/>
      <c r="Y375" s="301"/>
      <c r="Z375" s="301"/>
      <c r="AA375" s="301"/>
      <c r="AB375" s="301"/>
      <c r="AC375" s="301"/>
      <c r="AD375" s="301"/>
      <c r="AE375" s="301"/>
      <c r="AF375" s="301"/>
      <c r="AG375" s="301"/>
      <c r="AH375" s="301"/>
      <c r="AI375" s="301"/>
      <c r="AJ375" s="301"/>
      <c r="AK375" s="301"/>
      <c r="AL375" s="301"/>
      <c r="AM375" s="301"/>
      <c r="AN375" s="301"/>
      <c r="AO375" s="301"/>
      <c r="AP375" s="301"/>
    </row>
    <row r="376" spans="10:42" ht="13.5" customHeight="1">
      <c r="J376" s="301"/>
      <c r="K376" s="301"/>
      <c r="L376" s="301"/>
      <c r="M376" s="301"/>
      <c r="N376" s="301"/>
      <c r="O376" s="301"/>
      <c r="P376" s="301"/>
      <c r="Q376" s="301"/>
      <c r="R376" s="301"/>
      <c r="S376" s="301"/>
      <c r="T376" s="301"/>
      <c r="U376" s="301"/>
      <c r="V376" s="301"/>
      <c r="W376" s="301"/>
      <c r="X376" s="301"/>
      <c r="Y376" s="301"/>
      <c r="Z376" s="301"/>
      <c r="AA376" s="301"/>
      <c r="AB376" s="301"/>
      <c r="AC376" s="301"/>
      <c r="AD376" s="301"/>
      <c r="AE376" s="301"/>
      <c r="AF376" s="301"/>
      <c r="AG376" s="301"/>
      <c r="AH376" s="301"/>
      <c r="AI376" s="301"/>
      <c r="AJ376" s="301"/>
      <c r="AK376" s="301"/>
      <c r="AL376" s="301"/>
      <c r="AM376" s="301"/>
      <c r="AN376" s="301"/>
      <c r="AO376" s="301"/>
      <c r="AP376" s="301"/>
    </row>
    <row r="377" spans="10:42" ht="13.5" customHeight="1">
      <c r="J377" s="301"/>
      <c r="K377" s="301"/>
      <c r="L377" s="301"/>
      <c r="M377" s="301"/>
      <c r="N377" s="301"/>
      <c r="O377" s="301"/>
      <c r="P377" s="301"/>
      <c r="Q377" s="301"/>
      <c r="R377" s="301"/>
      <c r="S377" s="301"/>
      <c r="T377" s="301"/>
      <c r="U377" s="301"/>
      <c r="V377" s="301"/>
      <c r="W377" s="301"/>
      <c r="X377" s="301"/>
      <c r="Y377" s="301"/>
      <c r="Z377" s="301"/>
      <c r="AA377" s="301"/>
      <c r="AB377" s="301"/>
      <c r="AC377" s="301"/>
      <c r="AD377" s="301"/>
      <c r="AE377" s="301"/>
      <c r="AF377" s="301"/>
      <c r="AG377" s="301"/>
      <c r="AH377" s="301"/>
      <c r="AI377" s="301"/>
      <c r="AJ377" s="301"/>
      <c r="AK377" s="301"/>
      <c r="AL377" s="301"/>
      <c r="AM377" s="301"/>
      <c r="AN377" s="301"/>
      <c r="AO377" s="301"/>
      <c r="AP377" s="301"/>
    </row>
    <row r="378" spans="10:42" ht="13.5" customHeight="1">
      <c r="J378" s="301"/>
      <c r="K378" s="301"/>
      <c r="L378" s="301"/>
      <c r="M378" s="301"/>
      <c r="N378" s="301"/>
      <c r="O378" s="301"/>
      <c r="P378" s="301"/>
      <c r="Q378" s="301"/>
      <c r="R378" s="301"/>
      <c r="S378" s="301"/>
      <c r="T378" s="301"/>
      <c r="U378" s="301"/>
      <c r="V378" s="301"/>
      <c r="W378" s="301"/>
      <c r="X378" s="301"/>
      <c r="Y378" s="301"/>
      <c r="Z378" s="301"/>
      <c r="AA378" s="301"/>
      <c r="AB378" s="301"/>
      <c r="AC378" s="301"/>
      <c r="AD378" s="301"/>
      <c r="AE378" s="301"/>
      <c r="AF378" s="301"/>
      <c r="AG378" s="301"/>
      <c r="AH378" s="301"/>
      <c r="AI378" s="301"/>
      <c r="AJ378" s="301"/>
      <c r="AK378" s="301"/>
      <c r="AL378" s="301"/>
      <c r="AM378" s="301"/>
      <c r="AN378" s="301"/>
      <c r="AO378" s="301"/>
      <c r="AP378" s="301"/>
    </row>
    <row r="379" spans="10:42" ht="13.5" customHeight="1">
      <c r="J379" s="301"/>
      <c r="K379" s="301"/>
      <c r="L379" s="301"/>
      <c r="M379" s="301"/>
      <c r="N379" s="301"/>
      <c r="O379" s="301"/>
      <c r="P379" s="301"/>
      <c r="Q379" s="301"/>
      <c r="R379" s="301"/>
      <c r="S379" s="301"/>
      <c r="T379" s="301"/>
      <c r="U379" s="301"/>
      <c r="V379" s="301"/>
      <c r="W379" s="301"/>
      <c r="X379" s="301"/>
      <c r="Y379" s="301"/>
      <c r="Z379" s="301"/>
      <c r="AA379" s="301"/>
      <c r="AB379" s="301"/>
      <c r="AC379" s="301"/>
      <c r="AD379" s="301"/>
      <c r="AE379" s="301"/>
      <c r="AF379" s="301"/>
      <c r="AG379" s="301"/>
      <c r="AH379" s="301"/>
      <c r="AI379" s="301"/>
      <c r="AJ379" s="301"/>
      <c r="AK379" s="301"/>
      <c r="AL379" s="301"/>
      <c r="AM379" s="301"/>
      <c r="AN379" s="301"/>
      <c r="AO379" s="301"/>
      <c r="AP379" s="301"/>
    </row>
    <row r="380" spans="10:42" ht="13.5" customHeight="1">
      <c r="J380" s="301"/>
      <c r="K380" s="301"/>
      <c r="L380" s="301"/>
      <c r="M380" s="301"/>
      <c r="N380" s="301"/>
      <c r="O380" s="301"/>
      <c r="P380" s="301"/>
      <c r="Q380" s="301"/>
      <c r="R380" s="301"/>
      <c r="S380" s="301"/>
      <c r="T380" s="301"/>
      <c r="U380" s="301"/>
      <c r="V380" s="301"/>
      <c r="W380" s="301"/>
      <c r="X380" s="301"/>
      <c r="Y380" s="301"/>
      <c r="Z380" s="301"/>
      <c r="AA380" s="301"/>
      <c r="AB380" s="301"/>
      <c r="AC380" s="301"/>
      <c r="AD380" s="301"/>
      <c r="AE380" s="301"/>
      <c r="AF380" s="301"/>
      <c r="AG380" s="301"/>
      <c r="AH380" s="301"/>
      <c r="AI380" s="301"/>
      <c r="AJ380" s="301"/>
      <c r="AK380" s="301"/>
      <c r="AL380" s="301"/>
      <c r="AM380" s="301"/>
      <c r="AN380" s="301"/>
      <c r="AO380" s="301"/>
      <c r="AP380" s="301"/>
    </row>
    <row r="381" spans="10:42" ht="13.5" customHeight="1">
      <c r="J381" s="301"/>
      <c r="K381" s="301"/>
      <c r="L381" s="301"/>
      <c r="M381" s="301"/>
      <c r="N381" s="301"/>
      <c r="O381" s="301"/>
      <c r="P381" s="301"/>
      <c r="Q381" s="301"/>
      <c r="R381" s="301"/>
      <c r="S381" s="301"/>
      <c r="T381" s="301"/>
      <c r="U381" s="301"/>
      <c r="V381" s="301"/>
      <c r="W381" s="301"/>
      <c r="X381" s="301"/>
      <c r="Y381" s="301"/>
      <c r="Z381" s="301"/>
      <c r="AA381" s="301"/>
      <c r="AB381" s="301"/>
      <c r="AC381" s="301"/>
      <c r="AD381" s="301"/>
      <c r="AE381" s="301"/>
      <c r="AF381" s="301"/>
      <c r="AG381" s="301"/>
      <c r="AH381" s="301"/>
      <c r="AI381" s="301"/>
      <c r="AJ381" s="301"/>
      <c r="AK381" s="301"/>
      <c r="AL381" s="301"/>
      <c r="AM381" s="301"/>
      <c r="AN381" s="301"/>
      <c r="AO381" s="301"/>
      <c r="AP381" s="301"/>
    </row>
    <row r="382" spans="10:42" ht="13.5" customHeight="1">
      <c r="J382" s="301"/>
      <c r="K382" s="301"/>
      <c r="L382" s="301"/>
      <c r="M382" s="301"/>
      <c r="N382" s="301"/>
      <c r="O382" s="301"/>
      <c r="P382" s="301"/>
      <c r="Q382" s="301"/>
      <c r="R382" s="301"/>
      <c r="S382" s="301"/>
      <c r="T382" s="301"/>
      <c r="U382" s="301"/>
      <c r="V382" s="301"/>
      <c r="W382" s="301"/>
      <c r="X382" s="301"/>
      <c r="Y382" s="301"/>
      <c r="Z382" s="301"/>
      <c r="AA382" s="301"/>
      <c r="AB382" s="301"/>
      <c r="AC382" s="301"/>
      <c r="AD382" s="301"/>
      <c r="AE382" s="301"/>
      <c r="AF382" s="301"/>
      <c r="AG382" s="301"/>
      <c r="AH382" s="301"/>
      <c r="AI382" s="301"/>
      <c r="AJ382" s="301"/>
      <c r="AK382" s="301"/>
      <c r="AL382" s="301"/>
      <c r="AM382" s="301"/>
      <c r="AN382" s="301"/>
      <c r="AO382" s="301"/>
      <c r="AP382" s="301"/>
    </row>
    <row r="383" spans="10:42" ht="13.5" customHeight="1">
      <c r="J383" s="301"/>
      <c r="K383" s="301"/>
      <c r="L383" s="301"/>
      <c r="M383" s="301"/>
      <c r="N383" s="301"/>
      <c r="O383" s="301"/>
      <c r="P383" s="301"/>
      <c r="Q383" s="301"/>
      <c r="R383" s="301"/>
      <c r="S383" s="301"/>
      <c r="T383" s="301"/>
      <c r="U383" s="301"/>
      <c r="V383" s="301"/>
      <c r="W383" s="301"/>
      <c r="X383" s="301"/>
      <c r="Y383" s="301"/>
      <c r="Z383" s="301"/>
      <c r="AA383" s="301"/>
      <c r="AB383" s="301"/>
      <c r="AC383" s="301"/>
      <c r="AD383" s="301"/>
      <c r="AE383" s="301"/>
      <c r="AF383" s="301"/>
      <c r="AG383" s="301"/>
      <c r="AH383" s="301"/>
      <c r="AI383" s="301"/>
      <c r="AJ383" s="301"/>
      <c r="AK383" s="301"/>
      <c r="AL383" s="301"/>
      <c r="AM383" s="301"/>
      <c r="AN383" s="301"/>
      <c r="AO383" s="301"/>
      <c r="AP383" s="301"/>
    </row>
    <row r="384" spans="10:42" ht="13.5" customHeight="1">
      <c r="J384" s="301"/>
      <c r="K384" s="301"/>
      <c r="L384" s="301"/>
      <c r="M384" s="301"/>
      <c r="N384" s="301"/>
      <c r="O384" s="301"/>
      <c r="P384" s="301"/>
      <c r="Q384" s="301"/>
      <c r="R384" s="301"/>
      <c r="S384" s="301"/>
      <c r="T384" s="301"/>
      <c r="U384" s="301"/>
      <c r="V384" s="301"/>
      <c r="W384" s="301"/>
      <c r="X384" s="301"/>
      <c r="Y384" s="301"/>
      <c r="Z384" s="301"/>
      <c r="AA384" s="301"/>
      <c r="AB384" s="301"/>
      <c r="AC384" s="301"/>
      <c r="AD384" s="301"/>
      <c r="AE384" s="301"/>
      <c r="AF384" s="301"/>
      <c r="AG384" s="301"/>
      <c r="AH384" s="301"/>
      <c r="AI384" s="301"/>
      <c r="AJ384" s="301"/>
      <c r="AK384" s="301"/>
      <c r="AL384" s="301"/>
      <c r="AM384" s="301"/>
      <c r="AN384" s="301"/>
      <c r="AO384" s="301"/>
      <c r="AP384" s="301"/>
    </row>
    <row r="385" spans="10:42" ht="13.5" customHeight="1">
      <c r="J385" s="301"/>
      <c r="K385" s="301"/>
      <c r="L385" s="301"/>
      <c r="M385" s="301"/>
      <c r="N385" s="301"/>
      <c r="O385" s="301"/>
      <c r="P385" s="301"/>
      <c r="Q385" s="301"/>
      <c r="R385" s="301"/>
      <c r="S385" s="301"/>
      <c r="T385" s="301"/>
      <c r="U385" s="301"/>
      <c r="V385" s="301"/>
      <c r="W385" s="301"/>
      <c r="X385" s="301"/>
      <c r="Y385" s="301"/>
      <c r="Z385" s="301"/>
      <c r="AA385" s="301"/>
      <c r="AB385" s="301"/>
      <c r="AC385" s="301"/>
      <c r="AD385" s="301"/>
      <c r="AE385" s="301"/>
      <c r="AF385" s="301"/>
      <c r="AG385" s="301"/>
      <c r="AH385" s="301"/>
      <c r="AI385" s="301"/>
      <c r="AJ385" s="301"/>
      <c r="AK385" s="301"/>
      <c r="AL385" s="301"/>
      <c r="AM385" s="301"/>
      <c r="AN385" s="301"/>
      <c r="AO385" s="301"/>
      <c r="AP385" s="301"/>
    </row>
    <row r="386" spans="10:42" ht="13.5" customHeight="1">
      <c r="J386" s="301"/>
      <c r="K386" s="301"/>
      <c r="L386" s="301"/>
      <c r="M386" s="301"/>
      <c r="N386" s="301"/>
      <c r="O386" s="301"/>
      <c r="P386" s="301"/>
      <c r="Q386" s="301"/>
      <c r="R386" s="301"/>
      <c r="S386" s="301"/>
      <c r="T386" s="301"/>
      <c r="U386" s="301"/>
      <c r="V386" s="301"/>
      <c r="W386" s="301"/>
      <c r="X386" s="301"/>
      <c r="Y386" s="301"/>
      <c r="Z386" s="301"/>
      <c r="AA386" s="301"/>
      <c r="AB386" s="301"/>
      <c r="AC386" s="301"/>
      <c r="AD386" s="301"/>
      <c r="AE386" s="301"/>
      <c r="AF386" s="301"/>
      <c r="AG386" s="301"/>
      <c r="AH386" s="301"/>
      <c r="AI386" s="301"/>
      <c r="AJ386" s="301"/>
      <c r="AK386" s="301"/>
      <c r="AL386" s="301"/>
      <c r="AM386" s="301"/>
      <c r="AN386" s="301"/>
      <c r="AO386" s="301"/>
      <c r="AP386" s="301"/>
    </row>
    <row r="387" spans="10:42" ht="13.5" customHeight="1">
      <c r="J387" s="301"/>
      <c r="K387" s="301"/>
      <c r="L387" s="301"/>
      <c r="M387" s="301"/>
      <c r="N387" s="301"/>
      <c r="O387" s="301"/>
      <c r="P387" s="301"/>
      <c r="Q387" s="301"/>
      <c r="R387" s="301"/>
      <c r="S387" s="301"/>
      <c r="T387" s="301"/>
      <c r="U387" s="301"/>
      <c r="V387" s="301"/>
      <c r="W387" s="301"/>
      <c r="X387" s="301"/>
      <c r="Y387" s="301"/>
      <c r="Z387" s="301"/>
      <c r="AA387" s="301"/>
      <c r="AB387" s="301"/>
      <c r="AC387" s="301"/>
      <c r="AD387" s="301"/>
      <c r="AE387" s="301"/>
      <c r="AF387" s="301"/>
      <c r="AG387" s="301"/>
      <c r="AH387" s="301"/>
      <c r="AI387" s="301"/>
      <c r="AJ387" s="301"/>
      <c r="AK387" s="301"/>
      <c r="AL387" s="301"/>
      <c r="AM387" s="301"/>
      <c r="AN387" s="301"/>
      <c r="AO387" s="301"/>
      <c r="AP387" s="301"/>
    </row>
    <row r="388" spans="10:42" ht="13.5" customHeight="1">
      <c r="J388" s="301"/>
      <c r="K388" s="301"/>
      <c r="L388" s="301"/>
      <c r="M388" s="301"/>
      <c r="N388" s="301"/>
      <c r="O388" s="301"/>
      <c r="P388" s="301"/>
      <c r="Q388" s="301"/>
      <c r="R388" s="301"/>
      <c r="S388" s="301"/>
      <c r="T388" s="301"/>
      <c r="U388" s="301"/>
      <c r="V388" s="301"/>
      <c r="W388" s="301"/>
      <c r="X388" s="301"/>
      <c r="Y388" s="301"/>
      <c r="Z388" s="301"/>
      <c r="AA388" s="301"/>
      <c r="AB388" s="301"/>
      <c r="AC388" s="301"/>
      <c r="AD388" s="301"/>
      <c r="AE388" s="301"/>
      <c r="AF388" s="301"/>
      <c r="AG388" s="301"/>
      <c r="AH388" s="301"/>
      <c r="AI388" s="301"/>
      <c r="AJ388" s="301"/>
      <c r="AK388" s="301"/>
      <c r="AL388" s="301"/>
      <c r="AM388" s="301"/>
      <c r="AN388" s="301"/>
      <c r="AO388" s="301"/>
      <c r="AP388" s="301"/>
    </row>
    <row r="389" spans="10:42" ht="13.5" customHeight="1">
      <c r="J389" s="301"/>
      <c r="K389" s="301"/>
      <c r="L389" s="301"/>
      <c r="M389" s="301"/>
      <c r="N389" s="301"/>
      <c r="O389" s="301"/>
      <c r="P389" s="301"/>
      <c r="Q389" s="301"/>
      <c r="R389" s="301"/>
      <c r="S389" s="301"/>
      <c r="T389" s="301"/>
      <c r="U389" s="301"/>
      <c r="V389" s="301"/>
      <c r="W389" s="301"/>
      <c r="X389" s="301"/>
      <c r="Y389" s="301"/>
      <c r="Z389" s="301"/>
      <c r="AA389" s="301"/>
      <c r="AB389" s="301"/>
      <c r="AC389" s="301"/>
      <c r="AD389" s="301"/>
      <c r="AE389" s="301"/>
      <c r="AF389" s="301"/>
      <c r="AG389" s="301"/>
      <c r="AH389" s="301"/>
      <c r="AI389" s="301"/>
      <c r="AJ389" s="301"/>
      <c r="AK389" s="301"/>
      <c r="AL389" s="301"/>
      <c r="AM389" s="301"/>
      <c r="AN389" s="301"/>
      <c r="AO389" s="301"/>
      <c r="AP389" s="301"/>
    </row>
    <row r="390" spans="10:42" ht="13.5" customHeight="1">
      <c r="J390" s="301"/>
      <c r="K390" s="301"/>
      <c r="L390" s="301"/>
      <c r="M390" s="301"/>
      <c r="N390" s="301"/>
      <c r="O390" s="301"/>
      <c r="P390" s="301"/>
      <c r="Q390" s="301"/>
      <c r="R390" s="301"/>
      <c r="S390" s="301"/>
      <c r="T390" s="301"/>
      <c r="U390" s="301"/>
      <c r="V390" s="301"/>
      <c r="W390" s="301"/>
      <c r="X390" s="301"/>
      <c r="Y390" s="301"/>
      <c r="Z390" s="301"/>
      <c r="AA390" s="301"/>
      <c r="AB390" s="301"/>
      <c r="AC390" s="301"/>
      <c r="AD390" s="301"/>
      <c r="AE390" s="301"/>
      <c r="AF390" s="301"/>
      <c r="AG390" s="301"/>
      <c r="AH390" s="301"/>
      <c r="AI390" s="301"/>
      <c r="AJ390" s="301"/>
      <c r="AK390" s="301"/>
      <c r="AL390" s="301"/>
      <c r="AM390" s="301"/>
      <c r="AN390" s="301"/>
      <c r="AO390" s="301"/>
      <c r="AP390" s="301"/>
    </row>
    <row r="391" spans="10:42" ht="13.5" customHeight="1">
      <c r="J391" s="301"/>
      <c r="K391" s="301"/>
      <c r="L391" s="301"/>
      <c r="M391" s="301"/>
      <c r="N391" s="301"/>
      <c r="O391" s="301"/>
      <c r="P391" s="301"/>
      <c r="Q391" s="301"/>
      <c r="R391" s="301"/>
      <c r="S391" s="301"/>
      <c r="T391" s="301"/>
      <c r="U391" s="301"/>
      <c r="V391" s="301"/>
      <c r="W391" s="301"/>
      <c r="X391" s="301"/>
      <c r="Y391" s="301"/>
      <c r="Z391" s="301"/>
      <c r="AA391" s="301"/>
      <c r="AB391" s="301"/>
      <c r="AC391" s="301"/>
      <c r="AD391" s="301"/>
      <c r="AE391" s="301"/>
      <c r="AF391" s="301"/>
      <c r="AG391" s="301"/>
      <c r="AH391" s="301"/>
      <c r="AI391" s="301"/>
      <c r="AJ391" s="301"/>
      <c r="AK391" s="301"/>
      <c r="AL391" s="301"/>
      <c r="AM391" s="301"/>
      <c r="AN391" s="301"/>
      <c r="AO391" s="301"/>
      <c r="AP391" s="301"/>
    </row>
    <row r="392" spans="10:42" ht="13.5" customHeight="1">
      <c r="J392" s="301"/>
      <c r="K392" s="301"/>
      <c r="L392" s="301"/>
      <c r="M392" s="301"/>
      <c r="N392" s="301"/>
      <c r="O392" s="301"/>
      <c r="P392" s="301"/>
      <c r="Q392" s="301"/>
      <c r="R392" s="301"/>
      <c r="S392" s="301"/>
      <c r="T392" s="301"/>
      <c r="U392" s="301"/>
      <c r="V392" s="301"/>
      <c r="W392" s="301"/>
      <c r="X392" s="301"/>
      <c r="Y392" s="301"/>
      <c r="Z392" s="301"/>
      <c r="AA392" s="301"/>
      <c r="AB392" s="301"/>
      <c r="AC392" s="301"/>
      <c r="AD392" s="301"/>
      <c r="AE392" s="301"/>
      <c r="AF392" s="301"/>
      <c r="AG392" s="301"/>
      <c r="AH392" s="301"/>
      <c r="AI392" s="301"/>
      <c r="AJ392" s="301"/>
      <c r="AK392" s="301"/>
      <c r="AL392" s="301"/>
      <c r="AM392" s="301"/>
      <c r="AN392" s="301"/>
      <c r="AO392" s="301"/>
      <c r="AP392" s="301"/>
    </row>
    <row r="393" spans="10:42" ht="13.5" customHeight="1">
      <c r="J393" s="301"/>
      <c r="K393" s="301"/>
      <c r="L393" s="301"/>
      <c r="M393" s="301"/>
      <c r="N393" s="301"/>
      <c r="O393" s="301"/>
      <c r="P393" s="301"/>
      <c r="Q393" s="301"/>
      <c r="R393" s="301"/>
      <c r="S393" s="301"/>
      <c r="T393" s="301"/>
      <c r="U393" s="301"/>
      <c r="V393" s="301"/>
      <c r="W393" s="301"/>
      <c r="X393" s="301"/>
      <c r="Y393" s="301"/>
      <c r="Z393" s="301"/>
      <c r="AA393" s="301"/>
      <c r="AB393" s="301"/>
      <c r="AC393" s="301"/>
      <c r="AD393" s="301"/>
      <c r="AE393" s="301"/>
      <c r="AF393" s="301"/>
      <c r="AG393" s="301"/>
      <c r="AH393" s="301"/>
      <c r="AI393" s="301"/>
      <c r="AJ393" s="301"/>
      <c r="AK393" s="301"/>
      <c r="AL393" s="301"/>
      <c r="AM393" s="301"/>
      <c r="AN393" s="301"/>
      <c r="AO393" s="301"/>
      <c r="AP393" s="301"/>
    </row>
    <row r="394" spans="10:42" ht="13.5" customHeight="1">
      <c r="J394" s="301"/>
      <c r="K394" s="301"/>
      <c r="L394" s="301"/>
      <c r="M394" s="301"/>
      <c r="N394" s="301"/>
      <c r="O394" s="301"/>
      <c r="P394" s="301"/>
      <c r="Q394" s="301"/>
      <c r="R394" s="301"/>
      <c r="S394" s="301"/>
      <c r="T394" s="301"/>
      <c r="U394" s="301"/>
      <c r="V394" s="301"/>
      <c r="W394" s="301"/>
      <c r="X394" s="301"/>
      <c r="Y394" s="301"/>
      <c r="Z394" s="301"/>
      <c r="AA394" s="301"/>
      <c r="AB394" s="301"/>
      <c r="AC394" s="301"/>
      <c r="AD394" s="301"/>
      <c r="AE394" s="301"/>
      <c r="AF394" s="301"/>
      <c r="AG394" s="301"/>
      <c r="AH394" s="301"/>
      <c r="AI394" s="301"/>
      <c r="AJ394" s="301"/>
      <c r="AK394" s="301"/>
      <c r="AL394" s="301"/>
      <c r="AM394" s="301"/>
      <c r="AN394" s="301"/>
      <c r="AO394" s="301"/>
      <c r="AP394" s="301"/>
    </row>
    <row r="395" spans="10:42" ht="13.5" customHeight="1">
      <c r="J395" s="301"/>
      <c r="K395" s="301"/>
      <c r="L395" s="301"/>
      <c r="M395" s="301"/>
      <c r="N395" s="301"/>
      <c r="O395" s="301"/>
      <c r="P395" s="301"/>
      <c r="Q395" s="301"/>
      <c r="R395" s="301"/>
      <c r="S395" s="301"/>
      <c r="T395" s="301"/>
      <c r="U395" s="301"/>
      <c r="V395" s="301"/>
      <c r="W395" s="301"/>
      <c r="X395" s="301"/>
      <c r="Y395" s="301"/>
      <c r="Z395" s="301"/>
      <c r="AA395" s="301"/>
      <c r="AB395" s="301"/>
      <c r="AC395" s="301"/>
      <c r="AD395" s="301"/>
      <c r="AE395" s="301"/>
      <c r="AF395" s="301"/>
      <c r="AG395" s="301"/>
      <c r="AH395" s="301"/>
      <c r="AI395" s="301"/>
      <c r="AJ395" s="301"/>
      <c r="AK395" s="301"/>
      <c r="AL395" s="301"/>
      <c r="AM395" s="301"/>
      <c r="AN395" s="301"/>
      <c r="AO395" s="301"/>
      <c r="AP395" s="301"/>
    </row>
    <row r="396" spans="10:42" ht="13.5" customHeight="1">
      <c r="J396" s="301"/>
      <c r="K396" s="301"/>
      <c r="L396" s="301"/>
      <c r="M396" s="301"/>
      <c r="N396" s="301"/>
      <c r="O396" s="301"/>
      <c r="P396" s="301"/>
      <c r="Q396" s="301"/>
      <c r="R396" s="301"/>
      <c r="S396" s="301"/>
      <c r="T396" s="301"/>
      <c r="U396" s="301"/>
      <c r="V396" s="301"/>
      <c r="W396" s="301"/>
      <c r="X396" s="301"/>
      <c r="Y396" s="301"/>
      <c r="Z396" s="301"/>
      <c r="AA396" s="301"/>
      <c r="AB396" s="301"/>
      <c r="AC396" s="301"/>
      <c r="AD396" s="301"/>
      <c r="AE396" s="301"/>
      <c r="AF396" s="301"/>
      <c r="AG396" s="301"/>
      <c r="AH396" s="301"/>
      <c r="AI396" s="301"/>
      <c r="AJ396" s="301"/>
      <c r="AK396" s="301"/>
      <c r="AL396" s="301"/>
      <c r="AM396" s="301"/>
      <c r="AN396" s="301"/>
      <c r="AO396" s="301"/>
      <c r="AP396" s="301"/>
    </row>
    <row r="397" spans="10:42" ht="13.5" customHeight="1">
      <c r="J397" s="301"/>
      <c r="K397" s="301"/>
      <c r="L397" s="301"/>
      <c r="M397" s="301"/>
      <c r="N397" s="301"/>
      <c r="O397" s="301"/>
      <c r="P397" s="301"/>
      <c r="Q397" s="301"/>
      <c r="R397" s="301"/>
      <c r="S397" s="301"/>
      <c r="T397" s="301"/>
      <c r="U397" s="301"/>
      <c r="V397" s="301"/>
      <c r="W397" s="301"/>
      <c r="X397" s="301"/>
      <c r="Y397" s="301"/>
      <c r="Z397" s="301"/>
      <c r="AA397" s="301"/>
      <c r="AB397" s="301"/>
      <c r="AC397" s="301"/>
      <c r="AD397" s="301"/>
      <c r="AE397" s="301"/>
      <c r="AF397" s="301"/>
      <c r="AG397" s="301"/>
      <c r="AH397" s="301"/>
      <c r="AI397" s="301"/>
      <c r="AJ397" s="301"/>
      <c r="AK397" s="301"/>
      <c r="AL397" s="301"/>
      <c r="AM397" s="301"/>
      <c r="AN397" s="301"/>
      <c r="AO397" s="301"/>
      <c r="AP397" s="301"/>
    </row>
    <row r="398" spans="10:42" ht="13.5" customHeight="1">
      <c r="J398" s="301"/>
      <c r="K398" s="301"/>
      <c r="L398" s="301"/>
      <c r="M398" s="301"/>
      <c r="N398" s="301"/>
      <c r="O398" s="301"/>
      <c r="P398" s="301"/>
      <c r="Q398" s="301"/>
      <c r="R398" s="301"/>
      <c r="S398" s="301"/>
      <c r="T398" s="301"/>
      <c r="U398" s="301"/>
      <c r="V398" s="301"/>
      <c r="W398" s="301"/>
      <c r="X398" s="301"/>
      <c r="Y398" s="301"/>
      <c r="Z398" s="301"/>
      <c r="AA398" s="301"/>
      <c r="AB398" s="301"/>
      <c r="AC398" s="301"/>
      <c r="AD398" s="301"/>
      <c r="AE398" s="301"/>
      <c r="AF398" s="301"/>
      <c r="AG398" s="301"/>
      <c r="AH398" s="301"/>
      <c r="AI398" s="301"/>
      <c r="AJ398" s="301"/>
      <c r="AK398" s="301"/>
      <c r="AL398" s="301"/>
      <c r="AM398" s="301"/>
      <c r="AN398" s="301"/>
      <c r="AO398" s="301"/>
      <c r="AP398" s="301"/>
    </row>
    <row r="399" spans="10:42" ht="13.5" customHeight="1">
      <c r="J399" s="301"/>
      <c r="K399" s="301"/>
      <c r="L399" s="301"/>
      <c r="M399" s="301"/>
      <c r="N399" s="301"/>
      <c r="O399" s="301"/>
      <c r="P399" s="301"/>
      <c r="Q399" s="301"/>
      <c r="R399" s="301"/>
      <c r="S399" s="301"/>
      <c r="T399" s="301"/>
      <c r="U399" s="301"/>
      <c r="V399" s="301"/>
      <c r="W399" s="301"/>
      <c r="X399" s="301"/>
      <c r="Y399" s="301"/>
      <c r="Z399" s="301"/>
      <c r="AA399" s="301"/>
      <c r="AB399" s="301"/>
      <c r="AC399" s="301"/>
      <c r="AD399" s="301"/>
      <c r="AE399" s="301"/>
      <c r="AF399" s="301"/>
      <c r="AG399" s="301"/>
      <c r="AH399" s="301"/>
      <c r="AI399" s="301"/>
      <c r="AJ399" s="301"/>
      <c r="AK399" s="301"/>
      <c r="AL399" s="301"/>
      <c r="AM399" s="301"/>
      <c r="AN399" s="301"/>
      <c r="AO399" s="301"/>
      <c r="AP399" s="301"/>
    </row>
    <row r="400" spans="10:42" ht="13.5" customHeight="1">
      <c r="J400" s="301"/>
      <c r="K400" s="301"/>
      <c r="L400" s="301"/>
      <c r="M400" s="301"/>
      <c r="N400" s="301"/>
      <c r="O400" s="301"/>
      <c r="P400" s="301"/>
      <c r="Q400" s="301"/>
      <c r="R400" s="301"/>
      <c r="S400" s="301"/>
      <c r="T400" s="301"/>
      <c r="U400" s="301"/>
      <c r="V400" s="301"/>
      <c r="W400" s="301"/>
      <c r="X400" s="301"/>
      <c r="Y400" s="301"/>
      <c r="Z400" s="301"/>
      <c r="AA400" s="301"/>
      <c r="AB400" s="301"/>
      <c r="AC400" s="301"/>
      <c r="AD400" s="301"/>
      <c r="AE400" s="301"/>
      <c r="AF400" s="301"/>
      <c r="AG400" s="301"/>
      <c r="AH400" s="301"/>
      <c r="AI400" s="301"/>
      <c r="AJ400" s="301"/>
      <c r="AK400" s="301"/>
      <c r="AL400" s="301"/>
      <c r="AM400" s="301"/>
      <c r="AN400" s="301"/>
      <c r="AO400" s="301"/>
      <c r="AP400" s="301"/>
    </row>
    <row r="401" spans="10:42" ht="13.5" customHeight="1">
      <c r="J401" s="301"/>
      <c r="K401" s="301"/>
      <c r="L401" s="301"/>
      <c r="M401" s="301"/>
      <c r="N401" s="301"/>
      <c r="O401" s="301"/>
      <c r="P401" s="301"/>
      <c r="Q401" s="301"/>
      <c r="R401" s="301"/>
      <c r="S401" s="301"/>
      <c r="T401" s="301"/>
      <c r="U401" s="301"/>
      <c r="V401" s="301"/>
      <c r="W401" s="301"/>
      <c r="X401" s="301"/>
      <c r="Y401" s="301"/>
      <c r="Z401" s="301"/>
      <c r="AA401" s="301"/>
      <c r="AB401" s="301"/>
      <c r="AC401" s="301"/>
      <c r="AD401" s="301"/>
      <c r="AE401" s="301"/>
      <c r="AF401" s="301"/>
      <c r="AG401" s="301"/>
      <c r="AH401" s="301"/>
      <c r="AI401" s="301"/>
      <c r="AJ401" s="301"/>
      <c r="AK401" s="301"/>
      <c r="AL401" s="301"/>
      <c r="AM401" s="301"/>
      <c r="AN401" s="301"/>
      <c r="AO401" s="301"/>
      <c r="AP401" s="301"/>
    </row>
    <row r="402" spans="10:42" ht="13.5" customHeight="1">
      <c r="J402" s="301"/>
      <c r="K402" s="301"/>
      <c r="L402" s="301"/>
      <c r="M402" s="301"/>
      <c r="N402" s="301"/>
      <c r="O402" s="301"/>
      <c r="P402" s="301"/>
      <c r="Q402" s="301"/>
      <c r="R402" s="301"/>
      <c r="S402" s="301"/>
      <c r="T402" s="301"/>
      <c r="U402" s="301"/>
      <c r="V402" s="301"/>
      <c r="W402" s="301"/>
      <c r="X402" s="301"/>
      <c r="Y402" s="301"/>
      <c r="Z402" s="301"/>
      <c r="AA402" s="301"/>
      <c r="AB402" s="301"/>
      <c r="AC402" s="301"/>
      <c r="AD402" s="301"/>
      <c r="AE402" s="301"/>
      <c r="AF402" s="301"/>
      <c r="AG402" s="301"/>
      <c r="AH402" s="301"/>
      <c r="AI402" s="301"/>
      <c r="AJ402" s="301"/>
      <c r="AK402" s="301"/>
      <c r="AL402" s="301"/>
      <c r="AM402" s="301"/>
      <c r="AN402" s="301"/>
      <c r="AO402" s="301"/>
      <c r="AP402" s="301"/>
    </row>
    <row r="403" spans="10:42" ht="13.5" customHeight="1">
      <c r="J403" s="301"/>
      <c r="K403" s="301"/>
      <c r="L403" s="301"/>
      <c r="M403" s="301"/>
      <c r="N403" s="301"/>
      <c r="O403" s="301"/>
      <c r="P403" s="301"/>
      <c r="Q403" s="301"/>
      <c r="R403" s="301"/>
      <c r="S403" s="301"/>
      <c r="T403" s="301"/>
      <c r="U403" s="301"/>
      <c r="V403" s="301"/>
      <c r="W403" s="301"/>
      <c r="X403" s="301"/>
      <c r="Y403" s="301"/>
      <c r="Z403" s="301"/>
      <c r="AA403" s="301"/>
      <c r="AB403" s="301"/>
      <c r="AC403" s="301"/>
      <c r="AD403" s="301"/>
      <c r="AE403" s="301"/>
      <c r="AF403" s="301"/>
      <c r="AG403" s="301"/>
      <c r="AH403" s="301"/>
      <c r="AI403" s="301"/>
      <c r="AJ403" s="301"/>
      <c r="AK403" s="301"/>
      <c r="AL403" s="301"/>
      <c r="AM403" s="301"/>
      <c r="AN403" s="301"/>
      <c r="AO403" s="301"/>
      <c r="AP403" s="301"/>
    </row>
    <row r="404" spans="10:42" ht="13.5" customHeight="1">
      <c r="J404" s="301"/>
      <c r="K404" s="301"/>
      <c r="L404" s="301"/>
      <c r="M404" s="301"/>
      <c r="N404" s="301"/>
      <c r="O404" s="301"/>
      <c r="P404" s="301"/>
      <c r="Q404" s="301"/>
      <c r="R404" s="301"/>
      <c r="S404" s="301"/>
      <c r="T404" s="301"/>
      <c r="U404" s="301"/>
      <c r="V404" s="301"/>
      <c r="W404" s="301"/>
      <c r="X404" s="301"/>
      <c r="Y404" s="301"/>
      <c r="Z404" s="301"/>
      <c r="AA404" s="301"/>
      <c r="AB404" s="301"/>
      <c r="AC404" s="301"/>
      <c r="AD404" s="301"/>
      <c r="AE404" s="301"/>
      <c r="AF404" s="301"/>
      <c r="AG404" s="301"/>
      <c r="AH404" s="301"/>
      <c r="AI404" s="301"/>
      <c r="AJ404" s="301"/>
      <c r="AK404" s="301"/>
      <c r="AL404" s="301"/>
      <c r="AM404" s="301"/>
      <c r="AN404" s="301"/>
      <c r="AO404" s="301"/>
      <c r="AP404" s="301"/>
    </row>
    <row r="405" spans="10:42" ht="13.5" customHeight="1">
      <c r="J405" s="301"/>
      <c r="K405" s="301"/>
      <c r="L405" s="301"/>
      <c r="M405" s="301"/>
      <c r="N405" s="301"/>
      <c r="O405" s="301"/>
      <c r="P405" s="301"/>
      <c r="Q405" s="301"/>
      <c r="R405" s="301"/>
      <c r="S405" s="301"/>
      <c r="T405" s="301"/>
      <c r="U405" s="301"/>
      <c r="V405" s="301"/>
      <c r="W405" s="301"/>
      <c r="X405" s="301"/>
      <c r="Y405" s="301"/>
      <c r="Z405" s="301"/>
      <c r="AA405" s="301"/>
      <c r="AB405" s="301"/>
      <c r="AC405" s="301"/>
      <c r="AD405" s="301"/>
      <c r="AE405" s="301"/>
      <c r="AF405" s="301"/>
      <c r="AG405" s="301"/>
      <c r="AH405" s="301"/>
      <c r="AI405" s="301"/>
      <c r="AJ405" s="301"/>
      <c r="AK405" s="301"/>
      <c r="AL405" s="301"/>
      <c r="AM405" s="301"/>
      <c r="AN405" s="301"/>
      <c r="AO405" s="301"/>
      <c r="AP405" s="301"/>
    </row>
    <row r="406" spans="10:42" ht="13.5" customHeight="1">
      <c r="J406" s="301"/>
      <c r="K406" s="301"/>
      <c r="L406" s="301"/>
      <c r="M406" s="301"/>
      <c r="N406" s="301"/>
      <c r="O406" s="301"/>
      <c r="P406" s="301"/>
      <c r="Q406" s="301"/>
      <c r="R406" s="301"/>
      <c r="S406" s="301"/>
      <c r="T406" s="301"/>
      <c r="U406" s="301"/>
      <c r="V406" s="301"/>
      <c r="W406" s="301"/>
      <c r="X406" s="301"/>
      <c r="Y406" s="301"/>
      <c r="Z406" s="301"/>
      <c r="AA406" s="301"/>
      <c r="AB406" s="301"/>
      <c r="AC406" s="301"/>
      <c r="AD406" s="301"/>
      <c r="AE406" s="301"/>
      <c r="AF406" s="301"/>
      <c r="AG406" s="301"/>
      <c r="AH406" s="301"/>
      <c r="AI406" s="301"/>
      <c r="AJ406" s="301"/>
      <c r="AK406" s="301"/>
      <c r="AL406" s="301"/>
      <c r="AM406" s="301"/>
      <c r="AN406" s="301"/>
      <c r="AO406" s="301"/>
      <c r="AP406" s="301"/>
    </row>
    <row r="407" spans="10:42" ht="13.5" customHeight="1">
      <c r="J407" s="301"/>
      <c r="K407" s="301"/>
      <c r="L407" s="301"/>
      <c r="M407" s="301"/>
      <c r="N407" s="301"/>
      <c r="O407" s="301"/>
      <c r="P407" s="301"/>
      <c r="Q407" s="301"/>
      <c r="R407" s="301"/>
      <c r="S407" s="301"/>
      <c r="T407" s="301"/>
      <c r="U407" s="301"/>
      <c r="V407" s="301"/>
      <c r="W407" s="301"/>
      <c r="X407" s="301"/>
      <c r="Y407" s="301"/>
      <c r="Z407" s="301"/>
      <c r="AA407" s="301"/>
      <c r="AB407" s="301"/>
      <c r="AC407" s="301"/>
      <c r="AD407" s="301"/>
      <c r="AE407" s="301"/>
      <c r="AF407" s="301"/>
      <c r="AG407" s="301"/>
      <c r="AH407" s="301"/>
      <c r="AI407" s="301"/>
      <c r="AJ407" s="301"/>
      <c r="AK407" s="301"/>
      <c r="AL407" s="301"/>
      <c r="AM407" s="301"/>
      <c r="AN407" s="301"/>
      <c r="AO407" s="301"/>
      <c r="AP407" s="301"/>
    </row>
    <row r="408" spans="10:42" ht="13.5" customHeight="1">
      <c r="J408" s="301"/>
      <c r="K408" s="301"/>
      <c r="L408" s="301"/>
      <c r="M408" s="301"/>
      <c r="N408" s="301"/>
      <c r="O408" s="301"/>
      <c r="P408" s="301"/>
      <c r="Q408" s="301"/>
      <c r="R408" s="301"/>
      <c r="S408" s="301"/>
      <c r="T408" s="301"/>
      <c r="U408" s="301"/>
      <c r="V408" s="301"/>
      <c r="W408" s="301"/>
      <c r="X408" s="301"/>
      <c r="Y408" s="301"/>
      <c r="Z408" s="301"/>
      <c r="AA408" s="301"/>
      <c r="AB408" s="301"/>
      <c r="AC408" s="301"/>
      <c r="AD408" s="301"/>
      <c r="AE408" s="301"/>
      <c r="AF408" s="301"/>
      <c r="AG408" s="301"/>
      <c r="AH408" s="301"/>
      <c r="AI408" s="301"/>
      <c r="AJ408" s="301"/>
      <c r="AK408" s="301"/>
      <c r="AL408" s="301"/>
      <c r="AM408" s="301"/>
      <c r="AN408" s="301"/>
      <c r="AO408" s="301"/>
      <c r="AP408" s="301"/>
    </row>
    <row r="409" spans="10:42" ht="13.5" customHeight="1">
      <c r="J409" s="301"/>
      <c r="K409" s="301"/>
      <c r="L409" s="301"/>
      <c r="M409" s="301"/>
      <c r="N409" s="301"/>
      <c r="O409" s="301"/>
      <c r="P409" s="301"/>
      <c r="Q409" s="301"/>
      <c r="R409" s="301"/>
      <c r="S409" s="301"/>
      <c r="T409" s="301"/>
      <c r="U409" s="301"/>
      <c r="V409" s="301"/>
      <c r="W409" s="301"/>
      <c r="X409" s="301"/>
      <c r="Y409" s="301"/>
      <c r="Z409" s="301"/>
      <c r="AA409" s="301"/>
      <c r="AB409" s="301"/>
      <c r="AC409" s="301"/>
      <c r="AD409" s="301"/>
      <c r="AE409" s="301"/>
      <c r="AF409" s="301"/>
      <c r="AG409" s="301"/>
      <c r="AH409" s="301"/>
      <c r="AI409" s="301"/>
      <c r="AJ409" s="301"/>
      <c r="AK409" s="301"/>
      <c r="AL409" s="301"/>
      <c r="AM409" s="301"/>
      <c r="AN409" s="301"/>
      <c r="AO409" s="301"/>
      <c r="AP409" s="301"/>
    </row>
    <row r="410" spans="10:42" ht="13.5" customHeight="1">
      <c r="J410" s="301"/>
      <c r="K410" s="301"/>
      <c r="L410" s="301"/>
      <c r="M410" s="301"/>
      <c r="N410" s="301"/>
      <c r="O410" s="301"/>
      <c r="P410" s="301"/>
      <c r="Q410" s="301"/>
      <c r="R410" s="301"/>
      <c r="S410" s="301"/>
      <c r="T410" s="301"/>
      <c r="U410" s="301"/>
      <c r="V410" s="301"/>
      <c r="W410" s="301"/>
      <c r="X410" s="301"/>
      <c r="Y410" s="301"/>
      <c r="Z410" s="301"/>
      <c r="AA410" s="301"/>
      <c r="AB410" s="301"/>
      <c r="AC410" s="301"/>
      <c r="AD410" s="301"/>
      <c r="AE410" s="301"/>
      <c r="AF410" s="301"/>
      <c r="AG410" s="301"/>
      <c r="AH410" s="301"/>
      <c r="AI410" s="301"/>
      <c r="AJ410" s="301"/>
      <c r="AK410" s="301"/>
      <c r="AL410" s="301"/>
      <c r="AM410" s="301"/>
      <c r="AN410" s="301"/>
      <c r="AO410" s="301"/>
      <c r="AP410" s="301"/>
    </row>
    <row r="411" spans="10:42" ht="13.5" customHeight="1">
      <c r="J411" s="301"/>
      <c r="K411" s="301"/>
      <c r="L411" s="301"/>
      <c r="M411" s="301"/>
      <c r="N411" s="301"/>
      <c r="O411" s="301"/>
      <c r="P411" s="301"/>
      <c r="Q411" s="301"/>
      <c r="R411" s="301"/>
      <c r="S411" s="301"/>
      <c r="T411" s="301"/>
      <c r="U411" s="301"/>
      <c r="V411" s="301"/>
      <c r="W411" s="301"/>
      <c r="X411" s="301"/>
      <c r="Y411" s="301"/>
      <c r="Z411" s="301"/>
      <c r="AA411" s="301"/>
      <c r="AB411" s="301"/>
      <c r="AC411" s="301"/>
      <c r="AD411" s="301"/>
      <c r="AE411" s="301"/>
      <c r="AF411" s="301"/>
      <c r="AG411" s="301"/>
      <c r="AH411" s="301"/>
      <c r="AI411" s="301"/>
      <c r="AJ411" s="301"/>
      <c r="AK411" s="301"/>
      <c r="AL411" s="301"/>
      <c r="AM411" s="301"/>
      <c r="AN411" s="301"/>
      <c r="AO411" s="301"/>
      <c r="AP411" s="301"/>
    </row>
    <row r="412" spans="10:42" ht="13.5" customHeight="1">
      <c r="J412" s="301"/>
      <c r="K412" s="301"/>
      <c r="L412" s="301"/>
      <c r="M412" s="301"/>
      <c r="N412" s="301"/>
      <c r="O412" s="301"/>
      <c r="P412" s="301"/>
      <c r="Q412" s="301"/>
      <c r="R412" s="301"/>
      <c r="S412" s="301"/>
      <c r="T412" s="301"/>
      <c r="U412" s="301"/>
      <c r="V412" s="301"/>
      <c r="W412" s="301"/>
      <c r="X412" s="301"/>
      <c r="Y412" s="301"/>
      <c r="Z412" s="301"/>
      <c r="AA412" s="301"/>
      <c r="AB412" s="301"/>
      <c r="AC412" s="301"/>
      <c r="AD412" s="301"/>
      <c r="AE412" s="301"/>
      <c r="AF412" s="301"/>
      <c r="AG412" s="301"/>
      <c r="AH412" s="301"/>
      <c r="AI412" s="301"/>
      <c r="AJ412" s="301"/>
      <c r="AK412" s="301"/>
      <c r="AL412" s="301"/>
      <c r="AM412" s="301"/>
      <c r="AN412" s="301"/>
      <c r="AO412" s="301"/>
      <c r="AP412" s="301"/>
    </row>
    <row r="413" spans="10:42" ht="13.5" customHeight="1">
      <c r="J413" s="301"/>
      <c r="K413" s="301"/>
      <c r="L413" s="301"/>
      <c r="M413" s="301"/>
      <c r="N413" s="301"/>
      <c r="O413" s="301"/>
      <c r="P413" s="301"/>
      <c r="Q413" s="301"/>
      <c r="R413" s="301"/>
      <c r="S413" s="301"/>
      <c r="T413" s="301"/>
      <c r="U413" s="301"/>
      <c r="V413" s="301"/>
      <c r="W413" s="301"/>
      <c r="X413" s="301"/>
      <c r="Y413" s="301"/>
      <c r="Z413" s="301"/>
      <c r="AA413" s="301"/>
      <c r="AB413" s="301"/>
      <c r="AC413" s="301"/>
      <c r="AD413" s="301"/>
      <c r="AE413" s="301"/>
      <c r="AF413" s="301"/>
      <c r="AG413" s="301"/>
      <c r="AH413" s="301"/>
      <c r="AI413" s="301"/>
      <c r="AJ413" s="301"/>
      <c r="AK413" s="301"/>
      <c r="AL413" s="301"/>
      <c r="AM413" s="301"/>
      <c r="AN413" s="301"/>
      <c r="AO413" s="301"/>
      <c r="AP413" s="301"/>
    </row>
    <row r="414" spans="10:42" ht="13.5" customHeight="1">
      <c r="J414" s="301"/>
      <c r="K414" s="301"/>
      <c r="L414" s="301"/>
      <c r="M414" s="301"/>
      <c r="N414" s="301"/>
      <c r="O414" s="301"/>
      <c r="P414" s="301"/>
      <c r="Q414" s="301"/>
      <c r="R414" s="301"/>
      <c r="S414" s="301"/>
      <c r="T414" s="301"/>
      <c r="U414" s="301"/>
      <c r="V414" s="301"/>
      <c r="W414" s="301"/>
      <c r="X414" s="301"/>
      <c r="Y414" s="301"/>
      <c r="Z414" s="301"/>
      <c r="AA414" s="301"/>
      <c r="AB414" s="301"/>
      <c r="AC414" s="301"/>
      <c r="AD414" s="301"/>
      <c r="AE414" s="301"/>
      <c r="AF414" s="301"/>
      <c r="AG414" s="301"/>
      <c r="AH414" s="301"/>
      <c r="AI414" s="301"/>
      <c r="AJ414" s="301"/>
      <c r="AK414" s="301"/>
      <c r="AL414" s="301"/>
      <c r="AM414" s="301"/>
      <c r="AN414" s="301"/>
      <c r="AO414" s="301"/>
      <c r="AP414" s="301"/>
    </row>
    <row r="415" spans="10:42" ht="13.5" customHeight="1">
      <c r="J415" s="301"/>
      <c r="K415" s="301"/>
      <c r="L415" s="301"/>
      <c r="M415" s="301"/>
      <c r="N415" s="301"/>
      <c r="O415" s="301"/>
      <c r="P415" s="301"/>
      <c r="Q415" s="301"/>
      <c r="R415" s="301"/>
      <c r="S415" s="301"/>
      <c r="T415" s="301"/>
      <c r="U415" s="301"/>
      <c r="V415" s="301"/>
      <c r="W415" s="301"/>
      <c r="X415" s="301"/>
      <c r="Y415" s="301"/>
      <c r="Z415" s="301"/>
      <c r="AA415" s="301"/>
      <c r="AB415" s="301"/>
      <c r="AC415" s="301"/>
      <c r="AD415" s="301"/>
      <c r="AE415" s="301"/>
      <c r="AF415" s="301"/>
      <c r="AG415" s="301"/>
      <c r="AH415" s="301"/>
      <c r="AI415" s="301"/>
      <c r="AJ415" s="301"/>
      <c r="AK415" s="301"/>
      <c r="AL415" s="301"/>
      <c r="AM415" s="301"/>
      <c r="AN415" s="301"/>
      <c r="AO415" s="301"/>
      <c r="AP415" s="301"/>
    </row>
    <row r="416" spans="10:42" ht="13.5" customHeight="1">
      <c r="J416" s="301"/>
      <c r="K416" s="301"/>
      <c r="L416" s="301"/>
      <c r="M416" s="301"/>
      <c r="N416" s="301"/>
      <c r="O416" s="301"/>
      <c r="P416" s="301"/>
      <c r="Q416" s="301"/>
      <c r="R416" s="301"/>
      <c r="S416" s="301"/>
      <c r="T416" s="301"/>
      <c r="U416" s="301"/>
      <c r="V416" s="301"/>
      <c r="W416" s="301"/>
      <c r="X416" s="301"/>
      <c r="Y416" s="301"/>
      <c r="Z416" s="301"/>
      <c r="AA416" s="301"/>
      <c r="AB416" s="301"/>
      <c r="AC416" s="301"/>
      <c r="AD416" s="301"/>
      <c r="AE416" s="301"/>
      <c r="AF416" s="301"/>
      <c r="AG416" s="301"/>
      <c r="AH416" s="301"/>
      <c r="AI416" s="301"/>
      <c r="AJ416" s="301"/>
      <c r="AK416" s="301"/>
      <c r="AL416" s="301"/>
      <c r="AM416" s="301"/>
      <c r="AN416" s="301"/>
      <c r="AO416" s="301"/>
      <c r="AP416" s="301"/>
    </row>
    <row r="417" spans="10:42" ht="13.5" customHeight="1">
      <c r="J417" s="301"/>
      <c r="K417" s="301"/>
      <c r="L417" s="301"/>
      <c r="M417" s="301"/>
      <c r="N417" s="301"/>
      <c r="O417" s="301"/>
      <c r="P417" s="301"/>
      <c r="Q417" s="301"/>
      <c r="R417" s="301"/>
      <c r="S417" s="301"/>
      <c r="T417" s="301"/>
      <c r="U417" s="301"/>
      <c r="V417" s="301"/>
      <c r="W417" s="301"/>
      <c r="X417" s="301"/>
      <c r="Y417" s="301"/>
      <c r="Z417" s="301"/>
      <c r="AA417" s="301"/>
      <c r="AB417" s="301"/>
      <c r="AC417" s="301"/>
      <c r="AD417" s="301"/>
      <c r="AE417" s="301"/>
      <c r="AF417" s="301"/>
      <c r="AG417" s="301"/>
      <c r="AH417" s="301"/>
      <c r="AI417" s="301"/>
      <c r="AJ417" s="301"/>
      <c r="AK417" s="301"/>
      <c r="AL417" s="301"/>
      <c r="AM417" s="301"/>
      <c r="AN417" s="301"/>
      <c r="AO417" s="301"/>
      <c r="AP417" s="301"/>
    </row>
    <row r="418" spans="10:42" ht="13.5" customHeight="1">
      <c r="J418" s="301"/>
      <c r="K418" s="301"/>
      <c r="L418" s="301"/>
      <c r="M418" s="301"/>
      <c r="N418" s="301"/>
      <c r="O418" s="301"/>
      <c r="P418" s="301"/>
      <c r="Q418" s="301"/>
      <c r="R418" s="301"/>
      <c r="S418" s="301"/>
      <c r="T418" s="301"/>
      <c r="U418" s="301"/>
      <c r="V418" s="301"/>
      <c r="W418" s="301"/>
      <c r="X418" s="301"/>
      <c r="Y418" s="301"/>
      <c r="Z418" s="301"/>
      <c r="AA418" s="301"/>
      <c r="AB418" s="301"/>
      <c r="AC418" s="301"/>
      <c r="AD418" s="301"/>
      <c r="AE418" s="301"/>
      <c r="AF418" s="301"/>
      <c r="AG418" s="301"/>
      <c r="AH418" s="301"/>
      <c r="AI418" s="301"/>
      <c r="AJ418" s="301"/>
      <c r="AK418" s="301"/>
      <c r="AL418" s="301"/>
      <c r="AM418" s="301"/>
      <c r="AN418" s="301"/>
      <c r="AO418" s="301"/>
      <c r="AP418" s="301"/>
    </row>
    <row r="419" spans="10:42" ht="13.5" customHeight="1">
      <c r="J419" s="301"/>
      <c r="K419" s="301"/>
      <c r="L419" s="301"/>
      <c r="M419" s="301"/>
      <c r="N419" s="301"/>
      <c r="O419" s="301"/>
      <c r="P419" s="301"/>
      <c r="Q419" s="301"/>
      <c r="R419" s="301"/>
      <c r="S419" s="301"/>
      <c r="T419" s="301"/>
      <c r="U419" s="301"/>
      <c r="V419" s="301"/>
      <c r="W419" s="301"/>
      <c r="X419" s="301"/>
      <c r="Y419" s="301"/>
      <c r="Z419" s="301"/>
      <c r="AA419" s="301"/>
      <c r="AB419" s="301"/>
      <c r="AC419" s="301"/>
      <c r="AD419" s="301"/>
      <c r="AE419" s="301"/>
      <c r="AF419" s="301"/>
      <c r="AG419" s="301"/>
      <c r="AH419" s="301"/>
      <c r="AI419" s="301"/>
      <c r="AJ419" s="301"/>
      <c r="AK419" s="301"/>
      <c r="AL419" s="301"/>
      <c r="AM419" s="301"/>
      <c r="AN419" s="301"/>
      <c r="AO419" s="301"/>
      <c r="AP419" s="301"/>
    </row>
    <row r="420" spans="10:42" ht="13.5" customHeight="1">
      <c r="J420" s="301"/>
      <c r="K420" s="301"/>
      <c r="L420" s="301"/>
      <c r="M420" s="301"/>
      <c r="N420" s="301"/>
      <c r="O420" s="301"/>
      <c r="P420" s="301"/>
      <c r="Q420" s="301"/>
      <c r="R420" s="301"/>
      <c r="S420" s="301"/>
      <c r="T420" s="301"/>
      <c r="U420" s="301"/>
      <c r="V420" s="301"/>
      <c r="W420" s="301"/>
      <c r="X420" s="301"/>
      <c r="Y420" s="301"/>
      <c r="Z420" s="301"/>
      <c r="AA420" s="301"/>
      <c r="AB420" s="301"/>
      <c r="AC420" s="301"/>
      <c r="AD420" s="301"/>
      <c r="AE420" s="301"/>
      <c r="AF420" s="301"/>
      <c r="AG420" s="301"/>
      <c r="AH420" s="301"/>
      <c r="AI420" s="301"/>
      <c r="AJ420" s="301"/>
      <c r="AK420" s="301"/>
      <c r="AL420" s="301"/>
      <c r="AM420" s="301"/>
      <c r="AN420" s="301"/>
      <c r="AO420" s="301"/>
      <c r="AP420" s="301"/>
    </row>
    <row r="421" spans="10:42" ht="13.5" customHeight="1">
      <c r="J421" s="301"/>
      <c r="K421" s="301"/>
      <c r="L421" s="301"/>
      <c r="M421" s="301"/>
      <c r="N421" s="301"/>
      <c r="O421" s="301"/>
      <c r="P421" s="301"/>
      <c r="Q421" s="301"/>
      <c r="R421" s="301"/>
      <c r="S421" s="301"/>
      <c r="T421" s="301"/>
      <c r="U421" s="301"/>
      <c r="V421" s="301"/>
      <c r="W421" s="301"/>
      <c r="X421" s="301"/>
      <c r="Y421" s="301"/>
      <c r="Z421" s="301"/>
      <c r="AA421" s="301"/>
      <c r="AB421" s="301"/>
      <c r="AC421" s="301"/>
      <c r="AD421" s="301"/>
      <c r="AE421" s="301"/>
      <c r="AF421" s="301"/>
      <c r="AG421" s="301"/>
      <c r="AH421" s="301"/>
      <c r="AI421" s="301"/>
      <c r="AJ421" s="301"/>
      <c r="AK421" s="301"/>
      <c r="AL421" s="301"/>
      <c r="AM421" s="301"/>
      <c r="AN421" s="301"/>
      <c r="AO421" s="301"/>
      <c r="AP421" s="301"/>
    </row>
    <row r="422" spans="10:42" ht="13.5" customHeight="1">
      <c r="J422" s="301"/>
      <c r="K422" s="301"/>
      <c r="L422" s="301"/>
      <c r="M422" s="301"/>
      <c r="N422" s="301"/>
      <c r="O422" s="301"/>
      <c r="P422" s="301"/>
      <c r="Q422" s="301"/>
      <c r="R422" s="301"/>
      <c r="S422" s="301"/>
      <c r="T422" s="301"/>
      <c r="U422" s="301"/>
      <c r="V422" s="301"/>
      <c r="W422" s="301"/>
      <c r="X422" s="301"/>
      <c r="Y422" s="301"/>
      <c r="Z422" s="301"/>
      <c r="AA422" s="301"/>
      <c r="AB422" s="301"/>
      <c r="AC422" s="301"/>
      <c r="AD422" s="301"/>
      <c r="AE422" s="301"/>
      <c r="AF422" s="301"/>
      <c r="AG422" s="301"/>
      <c r="AH422" s="301"/>
      <c r="AI422" s="301"/>
      <c r="AJ422" s="301"/>
      <c r="AK422" s="301"/>
      <c r="AL422" s="301"/>
      <c r="AM422" s="301"/>
      <c r="AN422" s="301"/>
      <c r="AO422" s="301"/>
      <c r="AP422" s="301"/>
    </row>
    <row r="423" spans="10:42" ht="13.5" customHeight="1">
      <c r="J423" s="301"/>
      <c r="K423" s="301"/>
      <c r="L423" s="301"/>
      <c r="M423" s="301"/>
      <c r="N423" s="301"/>
      <c r="O423" s="301"/>
      <c r="P423" s="301"/>
      <c r="Q423" s="301"/>
      <c r="R423" s="301"/>
      <c r="S423" s="301"/>
      <c r="T423" s="301"/>
      <c r="U423" s="301"/>
      <c r="V423" s="301"/>
      <c r="W423" s="301"/>
      <c r="X423" s="301"/>
      <c r="Y423" s="301"/>
      <c r="Z423" s="301"/>
      <c r="AA423" s="301"/>
      <c r="AB423" s="301"/>
      <c r="AC423" s="301"/>
      <c r="AD423" s="301"/>
      <c r="AE423" s="301"/>
      <c r="AF423" s="301"/>
      <c r="AG423" s="301"/>
      <c r="AH423" s="301"/>
      <c r="AI423" s="301"/>
      <c r="AJ423" s="301"/>
      <c r="AK423" s="301"/>
      <c r="AL423" s="301"/>
      <c r="AM423" s="301"/>
      <c r="AN423" s="301"/>
      <c r="AO423" s="301"/>
      <c r="AP423" s="301"/>
    </row>
    <row r="424" spans="10:42" ht="13.5" customHeight="1">
      <c r="J424" s="301"/>
      <c r="K424" s="301"/>
      <c r="L424" s="301"/>
      <c r="M424" s="301"/>
      <c r="N424" s="301"/>
      <c r="O424" s="301"/>
      <c r="P424" s="301"/>
      <c r="Q424" s="301"/>
      <c r="R424" s="301"/>
      <c r="S424" s="301"/>
      <c r="T424" s="301"/>
      <c r="U424" s="301"/>
      <c r="V424" s="301"/>
      <c r="W424" s="301"/>
      <c r="X424" s="301"/>
      <c r="Y424" s="301"/>
      <c r="Z424" s="301"/>
      <c r="AA424" s="301"/>
      <c r="AB424" s="301"/>
      <c r="AC424" s="301"/>
      <c r="AD424" s="301"/>
      <c r="AE424" s="301"/>
      <c r="AF424" s="301"/>
      <c r="AG424" s="301"/>
      <c r="AH424" s="301"/>
      <c r="AI424" s="301"/>
      <c r="AJ424" s="301"/>
      <c r="AK424" s="301"/>
      <c r="AL424" s="301"/>
      <c r="AM424" s="301"/>
      <c r="AN424" s="301"/>
      <c r="AO424" s="301"/>
      <c r="AP424" s="301"/>
    </row>
    <row r="425" spans="10:42" ht="13.5" customHeight="1">
      <c r="J425" s="301"/>
      <c r="K425" s="301"/>
      <c r="L425" s="301"/>
      <c r="M425" s="301"/>
      <c r="N425" s="301"/>
      <c r="O425" s="301"/>
      <c r="P425" s="301"/>
      <c r="Q425" s="301"/>
      <c r="R425" s="301"/>
      <c r="S425" s="301"/>
      <c r="T425" s="301"/>
      <c r="U425" s="301"/>
      <c r="V425" s="301"/>
      <c r="W425" s="301"/>
      <c r="X425" s="301"/>
      <c r="Y425" s="301"/>
      <c r="Z425" s="301"/>
      <c r="AA425" s="301"/>
      <c r="AB425" s="301"/>
      <c r="AC425" s="301"/>
      <c r="AD425" s="301"/>
      <c r="AE425" s="301"/>
      <c r="AF425" s="301"/>
      <c r="AG425" s="301"/>
      <c r="AH425" s="301"/>
      <c r="AI425" s="301"/>
      <c r="AJ425" s="301"/>
      <c r="AK425" s="301"/>
      <c r="AL425" s="301"/>
      <c r="AM425" s="301"/>
      <c r="AN425" s="301"/>
      <c r="AO425" s="301"/>
      <c r="AP425" s="301"/>
    </row>
    <row r="426" spans="10:42" ht="13.5" customHeight="1">
      <c r="J426" s="301"/>
      <c r="K426" s="301"/>
      <c r="L426" s="301"/>
      <c r="M426" s="301"/>
      <c r="N426" s="301"/>
      <c r="O426" s="301"/>
      <c r="P426" s="301"/>
      <c r="Q426" s="301"/>
      <c r="R426" s="301"/>
      <c r="S426" s="301"/>
      <c r="T426" s="301"/>
      <c r="U426" s="301"/>
      <c r="V426" s="301"/>
      <c r="W426" s="301"/>
      <c r="X426" s="301"/>
      <c r="Y426" s="301"/>
      <c r="Z426" s="301"/>
      <c r="AA426" s="301"/>
      <c r="AB426" s="301"/>
      <c r="AC426" s="301"/>
      <c r="AD426" s="301"/>
      <c r="AE426" s="301"/>
      <c r="AF426" s="301"/>
      <c r="AG426" s="301"/>
      <c r="AH426" s="301"/>
      <c r="AI426" s="301"/>
      <c r="AJ426" s="301"/>
      <c r="AK426" s="301"/>
      <c r="AL426" s="301"/>
      <c r="AM426" s="301"/>
      <c r="AN426" s="301"/>
      <c r="AO426" s="301"/>
      <c r="AP426" s="301"/>
    </row>
    <row r="427" spans="10:42" ht="13.5" customHeight="1">
      <c r="J427" s="301"/>
      <c r="K427" s="301"/>
      <c r="L427" s="301"/>
      <c r="M427" s="301"/>
      <c r="N427" s="301"/>
      <c r="O427" s="301"/>
      <c r="P427" s="301"/>
      <c r="Q427" s="301"/>
      <c r="R427" s="301"/>
      <c r="S427" s="301"/>
      <c r="T427" s="301"/>
      <c r="U427" s="301"/>
      <c r="V427" s="301"/>
      <c r="W427" s="301"/>
      <c r="X427" s="301"/>
      <c r="Y427" s="301"/>
      <c r="Z427" s="301"/>
      <c r="AA427" s="301"/>
      <c r="AB427" s="301"/>
      <c r="AC427" s="301"/>
      <c r="AD427" s="301"/>
      <c r="AE427" s="301"/>
      <c r="AF427" s="301"/>
      <c r="AG427" s="301"/>
      <c r="AH427" s="301"/>
      <c r="AI427" s="301"/>
      <c r="AJ427" s="301"/>
      <c r="AK427" s="301"/>
      <c r="AL427" s="301"/>
      <c r="AM427" s="301"/>
      <c r="AN427" s="301"/>
      <c r="AO427" s="301"/>
      <c r="AP427" s="301"/>
    </row>
    <row r="428" spans="10:42" ht="13.5" customHeight="1">
      <c r="J428" s="301"/>
      <c r="K428" s="301"/>
      <c r="L428" s="301"/>
      <c r="M428" s="301"/>
      <c r="N428" s="301"/>
      <c r="O428" s="301"/>
      <c r="P428" s="301"/>
      <c r="Q428" s="301"/>
      <c r="R428" s="301"/>
      <c r="S428" s="301"/>
      <c r="T428" s="301"/>
      <c r="U428" s="301"/>
      <c r="V428" s="301"/>
      <c r="W428" s="301"/>
      <c r="X428" s="301"/>
      <c r="Y428" s="301"/>
      <c r="Z428" s="301"/>
      <c r="AA428" s="301"/>
      <c r="AB428" s="301"/>
      <c r="AC428" s="301"/>
      <c r="AD428" s="301"/>
      <c r="AE428" s="301"/>
      <c r="AF428" s="301"/>
      <c r="AG428" s="301"/>
      <c r="AH428" s="301"/>
      <c r="AI428" s="301"/>
      <c r="AJ428" s="301"/>
      <c r="AK428" s="301"/>
      <c r="AL428" s="301"/>
      <c r="AM428" s="301"/>
      <c r="AN428" s="301"/>
      <c r="AO428" s="301"/>
      <c r="AP428" s="301"/>
    </row>
    <row r="429" spans="10:42" ht="13.5" customHeight="1">
      <c r="J429" s="301"/>
      <c r="K429" s="301"/>
      <c r="L429" s="301"/>
      <c r="M429" s="301"/>
      <c r="N429" s="301"/>
      <c r="O429" s="301"/>
      <c r="P429" s="301"/>
      <c r="Q429" s="301"/>
      <c r="R429" s="301"/>
      <c r="S429" s="301"/>
      <c r="T429" s="301"/>
      <c r="U429" s="301"/>
      <c r="V429" s="301"/>
      <c r="W429" s="301"/>
      <c r="X429" s="301"/>
      <c r="Y429" s="301"/>
      <c r="Z429" s="301"/>
      <c r="AA429" s="301"/>
      <c r="AB429" s="301"/>
      <c r="AC429" s="301"/>
      <c r="AD429" s="301"/>
      <c r="AE429" s="301"/>
      <c r="AF429" s="301"/>
      <c r="AG429" s="301"/>
      <c r="AH429" s="301"/>
      <c r="AI429" s="301"/>
      <c r="AJ429" s="301"/>
      <c r="AK429" s="301"/>
      <c r="AL429" s="301"/>
      <c r="AM429" s="301"/>
      <c r="AN429" s="301"/>
      <c r="AO429" s="301"/>
      <c r="AP429" s="301"/>
    </row>
    <row r="430" spans="10:42" ht="13.5" customHeight="1">
      <c r="J430" s="301"/>
      <c r="K430" s="301"/>
      <c r="L430" s="301"/>
      <c r="M430" s="301"/>
      <c r="N430" s="301"/>
      <c r="O430" s="301"/>
      <c r="P430" s="301"/>
      <c r="Q430" s="301"/>
      <c r="R430" s="301"/>
      <c r="S430" s="301"/>
      <c r="T430" s="301"/>
      <c r="U430" s="301"/>
      <c r="V430" s="301"/>
      <c r="W430" s="301"/>
      <c r="X430" s="301"/>
      <c r="Y430" s="301"/>
      <c r="Z430" s="301"/>
      <c r="AA430" s="301"/>
      <c r="AB430" s="301"/>
      <c r="AC430" s="301"/>
      <c r="AD430" s="301"/>
      <c r="AE430" s="301"/>
      <c r="AF430" s="301"/>
      <c r="AG430" s="301"/>
      <c r="AH430" s="301"/>
      <c r="AI430" s="301"/>
      <c r="AJ430" s="301"/>
      <c r="AK430" s="301"/>
      <c r="AL430" s="301"/>
      <c r="AM430" s="301"/>
      <c r="AN430" s="301"/>
      <c r="AO430" s="301"/>
      <c r="AP430" s="301"/>
    </row>
    <row r="431" spans="10:42" ht="13.5" customHeight="1">
      <c r="J431" s="301"/>
      <c r="K431" s="301"/>
      <c r="L431" s="301"/>
      <c r="M431" s="301"/>
      <c r="N431" s="301"/>
      <c r="O431" s="301"/>
      <c r="P431" s="301"/>
      <c r="Q431" s="301"/>
      <c r="R431" s="301"/>
      <c r="S431" s="301"/>
      <c r="T431" s="301"/>
      <c r="U431" s="301"/>
      <c r="V431" s="301"/>
      <c r="W431" s="301"/>
      <c r="X431" s="301"/>
      <c r="Y431" s="301"/>
      <c r="Z431" s="301"/>
      <c r="AA431" s="301"/>
      <c r="AB431" s="301"/>
      <c r="AC431" s="301"/>
      <c r="AD431" s="301"/>
      <c r="AE431" s="301"/>
      <c r="AF431" s="301"/>
      <c r="AG431" s="301"/>
      <c r="AH431" s="301"/>
      <c r="AI431" s="301"/>
      <c r="AJ431" s="301"/>
      <c r="AK431" s="301"/>
      <c r="AL431" s="301"/>
      <c r="AM431" s="301"/>
      <c r="AN431" s="301"/>
      <c r="AO431" s="301"/>
      <c r="AP431" s="301"/>
    </row>
    <row r="432" spans="10:42" ht="13.5" customHeight="1">
      <c r="J432" s="301"/>
      <c r="K432" s="301"/>
      <c r="L432" s="301"/>
      <c r="M432" s="301"/>
      <c r="N432" s="301"/>
      <c r="O432" s="301"/>
      <c r="P432" s="301"/>
      <c r="Q432" s="301"/>
      <c r="R432" s="301"/>
      <c r="S432" s="301"/>
      <c r="T432" s="301"/>
      <c r="U432" s="301"/>
      <c r="V432" s="301"/>
      <c r="W432" s="301"/>
      <c r="X432" s="301"/>
      <c r="Y432" s="301"/>
      <c r="Z432" s="301"/>
      <c r="AA432" s="301"/>
      <c r="AB432" s="301"/>
      <c r="AC432" s="301"/>
      <c r="AD432" s="301"/>
      <c r="AE432" s="301"/>
      <c r="AF432" s="301"/>
      <c r="AG432" s="301"/>
      <c r="AH432" s="301"/>
      <c r="AI432" s="301"/>
      <c r="AJ432" s="301"/>
      <c r="AK432" s="301"/>
      <c r="AL432" s="301"/>
      <c r="AM432" s="301"/>
      <c r="AN432" s="301"/>
      <c r="AO432" s="301"/>
      <c r="AP432" s="301"/>
    </row>
    <row r="433" spans="10:42" ht="13.5" customHeight="1">
      <c r="J433" s="301"/>
      <c r="K433" s="301"/>
      <c r="L433" s="301"/>
      <c r="M433" s="301"/>
      <c r="N433" s="301"/>
      <c r="O433" s="301"/>
      <c r="P433" s="301"/>
      <c r="Q433" s="301"/>
      <c r="R433" s="301"/>
      <c r="S433" s="301"/>
      <c r="T433" s="301"/>
      <c r="U433" s="301"/>
      <c r="V433" s="301"/>
      <c r="W433" s="301"/>
      <c r="X433" s="301"/>
      <c r="Y433" s="301"/>
      <c r="Z433" s="301"/>
      <c r="AA433" s="301"/>
      <c r="AB433" s="301"/>
      <c r="AC433" s="301"/>
      <c r="AD433" s="301"/>
      <c r="AE433" s="301"/>
      <c r="AF433" s="301"/>
      <c r="AG433" s="301"/>
      <c r="AH433" s="301"/>
      <c r="AI433" s="301"/>
      <c r="AJ433" s="301"/>
      <c r="AK433" s="301"/>
      <c r="AL433" s="301"/>
      <c r="AM433" s="301"/>
      <c r="AN433" s="301"/>
      <c r="AO433" s="301"/>
      <c r="AP433" s="301"/>
    </row>
    <row r="434" spans="10:42" ht="13.5" customHeight="1">
      <c r="J434" s="301"/>
      <c r="K434" s="301"/>
      <c r="L434" s="301"/>
      <c r="M434" s="301"/>
      <c r="N434" s="301"/>
      <c r="O434" s="301"/>
      <c r="P434" s="301"/>
      <c r="Q434" s="301"/>
      <c r="R434" s="301"/>
      <c r="S434" s="301"/>
      <c r="T434" s="301"/>
      <c r="U434" s="301"/>
      <c r="V434" s="301"/>
      <c r="W434" s="301"/>
      <c r="X434" s="301"/>
      <c r="Y434" s="301"/>
      <c r="Z434" s="301"/>
      <c r="AA434" s="301"/>
      <c r="AB434" s="301"/>
      <c r="AC434" s="301"/>
      <c r="AD434" s="301"/>
      <c r="AE434" s="301"/>
      <c r="AF434" s="301"/>
      <c r="AG434" s="301"/>
      <c r="AH434" s="301"/>
      <c r="AI434" s="301"/>
      <c r="AJ434" s="301"/>
      <c r="AK434" s="301"/>
      <c r="AL434" s="301"/>
      <c r="AM434" s="301"/>
      <c r="AN434" s="301"/>
      <c r="AO434" s="301"/>
      <c r="AP434" s="301"/>
    </row>
    <row r="435" spans="10:42" ht="13.5" customHeight="1">
      <c r="J435" s="301"/>
      <c r="K435" s="301"/>
      <c r="L435" s="301"/>
      <c r="M435" s="301"/>
      <c r="N435" s="301"/>
      <c r="O435" s="301"/>
      <c r="P435" s="301"/>
      <c r="Q435" s="301"/>
      <c r="R435" s="301"/>
      <c r="S435" s="301"/>
      <c r="T435" s="301"/>
      <c r="U435" s="301"/>
      <c r="V435" s="301"/>
      <c r="W435" s="301"/>
      <c r="X435" s="301"/>
      <c r="Y435" s="301"/>
      <c r="Z435" s="301"/>
      <c r="AA435" s="301"/>
      <c r="AB435" s="301"/>
      <c r="AC435" s="301"/>
      <c r="AD435" s="301"/>
      <c r="AE435" s="301"/>
      <c r="AF435" s="301"/>
      <c r="AG435" s="301"/>
      <c r="AH435" s="301"/>
      <c r="AI435" s="301"/>
      <c r="AJ435" s="301"/>
      <c r="AK435" s="301"/>
      <c r="AL435" s="301"/>
      <c r="AM435" s="301"/>
      <c r="AN435" s="301"/>
      <c r="AO435" s="301"/>
      <c r="AP435" s="301"/>
    </row>
    <row r="436" spans="10:42" ht="13.5" customHeight="1">
      <c r="J436" s="301"/>
      <c r="K436" s="301"/>
      <c r="L436" s="301"/>
      <c r="M436" s="301"/>
      <c r="N436" s="301"/>
      <c r="O436" s="301"/>
      <c r="P436" s="301"/>
      <c r="Q436" s="301"/>
      <c r="R436" s="301"/>
      <c r="S436" s="301"/>
      <c r="T436" s="301"/>
      <c r="U436" s="301"/>
      <c r="V436" s="301"/>
      <c r="W436" s="301"/>
      <c r="X436" s="301"/>
      <c r="Y436" s="301"/>
      <c r="Z436" s="301"/>
      <c r="AA436" s="301"/>
      <c r="AB436" s="301"/>
      <c r="AC436" s="301"/>
      <c r="AD436" s="301"/>
      <c r="AE436" s="301"/>
      <c r="AF436" s="301"/>
      <c r="AG436" s="301"/>
      <c r="AH436" s="301"/>
      <c r="AI436" s="301"/>
      <c r="AJ436" s="301"/>
      <c r="AK436" s="301"/>
      <c r="AL436" s="301"/>
      <c r="AM436" s="301"/>
      <c r="AN436" s="301"/>
      <c r="AO436" s="301"/>
      <c r="AP436" s="301"/>
    </row>
    <row r="437" spans="10:42" ht="13.5" customHeight="1">
      <c r="J437" s="301"/>
      <c r="K437" s="301"/>
      <c r="L437" s="301"/>
      <c r="M437" s="301"/>
      <c r="N437" s="301"/>
      <c r="O437" s="301"/>
      <c r="P437" s="301"/>
      <c r="Q437" s="301"/>
      <c r="R437" s="301"/>
      <c r="S437" s="301"/>
      <c r="T437" s="301"/>
      <c r="U437" s="301"/>
      <c r="V437" s="301"/>
      <c r="W437" s="301"/>
      <c r="X437" s="301"/>
      <c r="Y437" s="301"/>
      <c r="Z437" s="301"/>
      <c r="AA437" s="301"/>
      <c r="AB437" s="301"/>
      <c r="AC437" s="301"/>
      <c r="AD437" s="301"/>
      <c r="AE437" s="301"/>
      <c r="AF437" s="301"/>
      <c r="AG437" s="301"/>
      <c r="AH437" s="301"/>
      <c r="AI437" s="301"/>
      <c r="AJ437" s="301"/>
      <c r="AK437" s="301"/>
      <c r="AL437" s="301"/>
      <c r="AM437" s="301"/>
      <c r="AN437" s="301"/>
      <c r="AO437" s="301"/>
      <c r="AP437" s="301"/>
    </row>
    <row r="438" spans="10:42" ht="13.5" customHeight="1">
      <c r="J438" s="301"/>
      <c r="K438" s="301"/>
      <c r="L438" s="301"/>
      <c r="M438" s="301"/>
      <c r="N438" s="301"/>
      <c r="O438" s="301"/>
      <c r="P438" s="301"/>
      <c r="Q438" s="301"/>
      <c r="R438" s="301"/>
      <c r="S438" s="301"/>
      <c r="T438" s="301"/>
      <c r="U438" s="301"/>
      <c r="V438" s="301"/>
      <c r="W438" s="301"/>
      <c r="X438" s="301"/>
      <c r="Y438" s="301"/>
      <c r="Z438" s="301"/>
      <c r="AA438" s="301"/>
      <c r="AB438" s="301"/>
      <c r="AC438" s="301"/>
      <c r="AD438" s="301"/>
      <c r="AE438" s="301"/>
      <c r="AF438" s="301"/>
      <c r="AG438" s="301"/>
      <c r="AH438" s="301"/>
      <c r="AI438" s="301"/>
      <c r="AJ438" s="301"/>
      <c r="AK438" s="301"/>
      <c r="AL438" s="301"/>
      <c r="AM438" s="301"/>
      <c r="AN438" s="301"/>
      <c r="AO438" s="301"/>
      <c r="AP438" s="301"/>
    </row>
    <row r="439" spans="10:42" ht="13.5" customHeight="1">
      <c r="J439" s="301"/>
      <c r="K439" s="301"/>
      <c r="L439" s="301"/>
      <c r="M439" s="301"/>
      <c r="N439" s="301"/>
      <c r="O439" s="301"/>
      <c r="P439" s="301"/>
      <c r="Q439" s="301"/>
      <c r="R439" s="301"/>
      <c r="S439" s="301"/>
      <c r="T439" s="301"/>
      <c r="U439" s="301"/>
      <c r="V439" s="301"/>
      <c r="W439" s="301"/>
      <c r="X439" s="301"/>
      <c r="Y439" s="301"/>
      <c r="Z439" s="301"/>
      <c r="AA439" s="301"/>
      <c r="AB439" s="301"/>
      <c r="AC439" s="301"/>
      <c r="AD439" s="301"/>
      <c r="AE439" s="301"/>
      <c r="AF439" s="301"/>
      <c r="AG439" s="301"/>
      <c r="AH439" s="301"/>
      <c r="AI439" s="301"/>
      <c r="AJ439" s="301"/>
      <c r="AK439" s="301"/>
      <c r="AL439" s="301"/>
      <c r="AM439" s="301"/>
      <c r="AN439" s="301"/>
      <c r="AO439" s="301"/>
      <c r="AP439" s="301"/>
    </row>
    <row r="440" spans="10:42" ht="13.5" customHeight="1">
      <c r="J440" s="301"/>
      <c r="K440" s="301"/>
      <c r="L440" s="301"/>
      <c r="M440" s="301"/>
      <c r="N440" s="301"/>
      <c r="O440" s="301"/>
      <c r="P440" s="301"/>
      <c r="Q440" s="301"/>
      <c r="R440" s="301"/>
      <c r="S440" s="301"/>
      <c r="T440" s="301"/>
      <c r="U440" s="301"/>
      <c r="V440" s="301"/>
      <c r="W440" s="301"/>
      <c r="X440" s="301"/>
      <c r="Y440" s="301"/>
      <c r="Z440" s="301"/>
      <c r="AA440" s="301"/>
      <c r="AB440" s="301"/>
      <c r="AC440" s="301"/>
      <c r="AD440" s="301"/>
      <c r="AE440" s="301"/>
      <c r="AF440" s="301"/>
      <c r="AG440" s="301"/>
      <c r="AH440" s="301"/>
      <c r="AI440" s="301"/>
      <c r="AJ440" s="301"/>
      <c r="AK440" s="301"/>
      <c r="AL440" s="301"/>
      <c r="AM440" s="301"/>
      <c r="AN440" s="301"/>
      <c r="AO440" s="301"/>
      <c r="AP440" s="301"/>
    </row>
    <row r="441" spans="10:42" ht="13.5" customHeight="1">
      <c r="J441" s="301"/>
      <c r="K441" s="301"/>
      <c r="L441" s="301"/>
      <c r="M441" s="301"/>
      <c r="N441" s="301"/>
      <c r="O441" s="301"/>
      <c r="P441" s="301"/>
      <c r="Q441" s="301"/>
      <c r="R441" s="301"/>
      <c r="S441" s="301"/>
      <c r="T441" s="301"/>
      <c r="U441" s="301"/>
      <c r="V441" s="301"/>
      <c r="W441" s="301"/>
      <c r="X441" s="301"/>
      <c r="Y441" s="301"/>
      <c r="Z441" s="301"/>
      <c r="AA441" s="301"/>
      <c r="AB441" s="301"/>
      <c r="AC441" s="301"/>
      <c r="AD441" s="301"/>
      <c r="AE441" s="301"/>
      <c r="AF441" s="301"/>
      <c r="AG441" s="301"/>
      <c r="AH441" s="301"/>
      <c r="AI441" s="301"/>
      <c r="AJ441" s="301"/>
      <c r="AK441" s="301"/>
      <c r="AL441" s="301"/>
      <c r="AM441" s="301"/>
      <c r="AN441" s="301"/>
      <c r="AO441" s="301"/>
      <c r="AP441" s="301"/>
    </row>
    <row r="442" spans="10:42" ht="13.5" customHeight="1">
      <c r="J442" s="301"/>
      <c r="K442" s="301"/>
      <c r="L442" s="301"/>
      <c r="M442" s="301"/>
      <c r="N442" s="301"/>
      <c r="O442" s="301"/>
      <c r="P442" s="301"/>
      <c r="Q442" s="301"/>
      <c r="R442" s="301"/>
      <c r="S442" s="301"/>
      <c r="T442" s="301"/>
      <c r="U442" s="301"/>
      <c r="V442" s="301"/>
      <c r="W442" s="301"/>
      <c r="X442" s="301"/>
      <c r="Y442" s="301"/>
      <c r="Z442" s="301"/>
      <c r="AA442" s="301"/>
      <c r="AB442" s="301"/>
      <c r="AC442" s="301"/>
      <c r="AD442" s="301"/>
      <c r="AE442" s="301"/>
      <c r="AF442" s="301"/>
      <c r="AG442" s="301"/>
      <c r="AH442" s="301"/>
      <c r="AI442" s="301"/>
      <c r="AJ442" s="301"/>
      <c r="AK442" s="301"/>
      <c r="AL442" s="301"/>
      <c r="AM442" s="301"/>
      <c r="AN442" s="301"/>
      <c r="AO442" s="301"/>
      <c r="AP442" s="301"/>
    </row>
    <row r="443" spans="10:42" ht="13.5" customHeight="1">
      <c r="J443" s="301"/>
      <c r="K443" s="301"/>
      <c r="L443" s="301"/>
      <c r="M443" s="301"/>
      <c r="N443" s="301"/>
      <c r="O443" s="301"/>
      <c r="P443" s="301"/>
      <c r="Q443" s="301"/>
      <c r="R443" s="301"/>
      <c r="S443" s="301"/>
      <c r="T443" s="301"/>
      <c r="U443" s="301"/>
      <c r="V443" s="301"/>
      <c r="W443" s="301"/>
      <c r="X443" s="301"/>
      <c r="Y443" s="301"/>
      <c r="Z443" s="301"/>
      <c r="AA443" s="301"/>
      <c r="AB443" s="301"/>
      <c r="AC443" s="301"/>
      <c r="AD443" s="301"/>
      <c r="AE443" s="301"/>
      <c r="AF443" s="301"/>
      <c r="AG443" s="301"/>
      <c r="AH443" s="301"/>
      <c r="AI443" s="301"/>
      <c r="AJ443" s="301"/>
      <c r="AK443" s="301"/>
      <c r="AL443" s="301"/>
      <c r="AM443" s="301"/>
      <c r="AN443" s="301"/>
      <c r="AO443" s="301"/>
      <c r="AP443" s="301"/>
    </row>
    <row r="444" spans="10:42" ht="13.5" customHeight="1">
      <c r="J444" s="301"/>
      <c r="K444" s="301"/>
      <c r="L444" s="301"/>
      <c r="M444" s="301"/>
      <c r="N444" s="301"/>
      <c r="O444" s="301"/>
      <c r="P444" s="301"/>
      <c r="Q444" s="301"/>
      <c r="R444" s="301"/>
      <c r="S444" s="301"/>
      <c r="T444" s="301"/>
      <c r="U444" s="301"/>
      <c r="V444" s="301"/>
      <c r="W444" s="301"/>
      <c r="X444" s="301"/>
      <c r="Y444" s="301"/>
      <c r="Z444" s="301"/>
      <c r="AA444" s="301"/>
      <c r="AB444" s="301"/>
      <c r="AC444" s="301"/>
      <c r="AD444" s="301"/>
      <c r="AE444" s="301"/>
      <c r="AF444" s="301"/>
      <c r="AG444" s="301"/>
      <c r="AH444" s="301"/>
      <c r="AI444" s="301"/>
      <c r="AJ444" s="301"/>
      <c r="AK444" s="301"/>
      <c r="AL444" s="301"/>
      <c r="AM444" s="301"/>
      <c r="AN444" s="301"/>
      <c r="AO444" s="301"/>
      <c r="AP444" s="301"/>
    </row>
    <row r="445" spans="10:42" ht="13.5" customHeight="1">
      <c r="J445" s="301"/>
      <c r="K445" s="301"/>
      <c r="L445" s="301"/>
      <c r="M445" s="301"/>
      <c r="N445" s="301"/>
      <c r="O445" s="301"/>
      <c r="P445" s="301"/>
      <c r="Q445" s="301"/>
      <c r="R445" s="301"/>
      <c r="S445" s="301"/>
      <c r="T445" s="301"/>
      <c r="U445" s="301"/>
      <c r="V445" s="301"/>
      <c r="W445" s="301"/>
      <c r="X445" s="301"/>
      <c r="Y445" s="301"/>
      <c r="Z445" s="301"/>
      <c r="AA445" s="301"/>
      <c r="AB445" s="301"/>
      <c r="AC445" s="301"/>
      <c r="AD445" s="301"/>
      <c r="AE445" s="301"/>
      <c r="AF445" s="301"/>
      <c r="AG445" s="301"/>
      <c r="AH445" s="301"/>
      <c r="AI445" s="301"/>
      <c r="AJ445" s="301"/>
      <c r="AK445" s="301"/>
      <c r="AL445" s="301"/>
      <c r="AM445" s="301"/>
      <c r="AN445" s="301"/>
      <c r="AO445" s="301"/>
      <c r="AP445" s="301"/>
    </row>
    <row r="446" spans="10:42" ht="13.5" customHeight="1">
      <c r="J446" s="301"/>
      <c r="K446" s="301"/>
      <c r="L446" s="301"/>
      <c r="M446" s="301"/>
      <c r="N446" s="301"/>
      <c r="O446" s="301"/>
      <c r="P446" s="301"/>
      <c r="Q446" s="301"/>
      <c r="R446" s="301"/>
      <c r="S446" s="301"/>
      <c r="T446" s="301"/>
      <c r="U446" s="301"/>
      <c r="V446" s="301"/>
      <c r="W446" s="301"/>
      <c r="X446" s="301"/>
      <c r="Y446" s="301"/>
      <c r="Z446" s="301"/>
      <c r="AA446" s="301"/>
      <c r="AB446" s="301"/>
      <c r="AC446" s="301"/>
      <c r="AD446" s="301"/>
      <c r="AE446" s="301"/>
      <c r="AF446" s="301"/>
      <c r="AG446" s="301"/>
      <c r="AH446" s="301"/>
      <c r="AI446" s="301"/>
      <c r="AJ446" s="301"/>
      <c r="AK446" s="301"/>
      <c r="AL446" s="301"/>
      <c r="AM446" s="301"/>
      <c r="AN446" s="301"/>
      <c r="AO446" s="301"/>
      <c r="AP446" s="301"/>
    </row>
    <row r="447" spans="10:42" ht="13.5" customHeight="1">
      <c r="J447" s="301"/>
      <c r="K447" s="301"/>
      <c r="L447" s="301"/>
      <c r="M447" s="301"/>
      <c r="N447" s="301"/>
      <c r="O447" s="301"/>
      <c r="P447" s="301"/>
      <c r="Q447" s="301"/>
      <c r="R447" s="301"/>
      <c r="S447" s="301"/>
      <c r="T447" s="301"/>
      <c r="U447" s="301"/>
      <c r="V447" s="301"/>
      <c r="W447" s="301"/>
      <c r="X447" s="301"/>
      <c r="Y447" s="301"/>
      <c r="Z447" s="301"/>
      <c r="AA447" s="301"/>
      <c r="AB447" s="301"/>
      <c r="AC447" s="301"/>
      <c r="AD447" s="301"/>
      <c r="AE447" s="301"/>
      <c r="AF447" s="301"/>
      <c r="AG447" s="301"/>
      <c r="AH447" s="301"/>
      <c r="AI447" s="301"/>
      <c r="AJ447" s="301"/>
      <c r="AK447" s="301"/>
      <c r="AL447" s="301"/>
      <c r="AM447" s="301"/>
      <c r="AN447" s="301"/>
      <c r="AO447" s="301"/>
      <c r="AP447" s="301"/>
    </row>
    <row r="448" spans="10:42" ht="13.5" customHeight="1">
      <c r="J448" s="301"/>
      <c r="K448" s="301"/>
      <c r="L448" s="301"/>
      <c r="M448" s="301"/>
      <c r="N448" s="301"/>
      <c r="O448" s="301"/>
      <c r="P448" s="301"/>
      <c r="Q448" s="301"/>
      <c r="R448" s="301"/>
      <c r="S448" s="301"/>
      <c r="T448" s="301"/>
      <c r="U448" s="301"/>
      <c r="V448" s="301"/>
      <c r="W448" s="301"/>
      <c r="X448" s="301"/>
      <c r="Y448" s="301"/>
      <c r="Z448" s="301"/>
      <c r="AA448" s="301"/>
      <c r="AB448" s="301"/>
      <c r="AC448" s="301"/>
      <c r="AD448" s="301"/>
      <c r="AE448" s="301"/>
      <c r="AF448" s="301"/>
      <c r="AG448" s="301"/>
      <c r="AH448" s="301"/>
      <c r="AI448" s="301"/>
      <c r="AJ448" s="301"/>
      <c r="AK448" s="301"/>
      <c r="AL448" s="301"/>
      <c r="AM448" s="301"/>
      <c r="AN448" s="301"/>
      <c r="AO448" s="301"/>
      <c r="AP448" s="301"/>
    </row>
    <row r="449" spans="10:42" ht="13.5" customHeight="1">
      <c r="J449" s="301"/>
      <c r="K449" s="301"/>
      <c r="L449" s="301"/>
      <c r="M449" s="301"/>
      <c r="N449" s="301"/>
      <c r="O449" s="301"/>
      <c r="P449" s="301"/>
      <c r="Q449" s="301"/>
      <c r="R449" s="301"/>
      <c r="S449" s="301"/>
      <c r="T449" s="301"/>
      <c r="U449" s="301"/>
      <c r="V449" s="301"/>
      <c r="W449" s="301"/>
      <c r="X449" s="301"/>
      <c r="Y449" s="301"/>
      <c r="Z449" s="301"/>
      <c r="AA449" s="301"/>
      <c r="AB449" s="301"/>
      <c r="AC449" s="301"/>
      <c r="AD449" s="301"/>
      <c r="AE449" s="301"/>
      <c r="AF449" s="301"/>
      <c r="AG449" s="301"/>
      <c r="AH449" s="301"/>
      <c r="AI449" s="301"/>
      <c r="AJ449" s="301"/>
      <c r="AK449" s="301"/>
      <c r="AL449" s="301"/>
      <c r="AM449" s="301"/>
      <c r="AN449" s="301"/>
      <c r="AO449" s="301"/>
      <c r="AP449" s="301"/>
    </row>
    <row r="450" spans="10:42" ht="13.5" customHeight="1">
      <c r="J450" s="301"/>
      <c r="K450" s="301"/>
      <c r="L450" s="301"/>
      <c r="M450" s="301"/>
      <c r="N450" s="301"/>
      <c r="O450" s="301"/>
      <c r="P450" s="301"/>
      <c r="Q450" s="301"/>
      <c r="R450" s="301"/>
      <c r="S450" s="301"/>
      <c r="T450" s="301"/>
      <c r="U450" s="301"/>
      <c r="V450" s="301"/>
      <c r="W450" s="301"/>
      <c r="X450" s="301"/>
      <c r="Y450" s="301"/>
      <c r="Z450" s="301"/>
      <c r="AA450" s="301"/>
      <c r="AB450" s="301"/>
      <c r="AC450" s="301"/>
      <c r="AD450" s="301"/>
      <c r="AE450" s="301"/>
      <c r="AF450" s="301"/>
      <c r="AG450" s="301"/>
      <c r="AH450" s="301"/>
      <c r="AI450" s="301"/>
      <c r="AJ450" s="301"/>
      <c r="AK450" s="301"/>
      <c r="AL450" s="301"/>
      <c r="AM450" s="301"/>
      <c r="AN450" s="301"/>
      <c r="AO450" s="301"/>
      <c r="AP450" s="301"/>
    </row>
    <row r="451" spans="10:42" ht="13.5" customHeight="1">
      <c r="J451" s="301"/>
      <c r="K451" s="301"/>
      <c r="L451" s="301"/>
      <c r="M451" s="301"/>
      <c r="N451" s="301"/>
      <c r="O451" s="301"/>
      <c r="P451" s="301"/>
      <c r="Q451" s="301"/>
      <c r="R451" s="301"/>
      <c r="S451" s="301"/>
      <c r="T451" s="301"/>
      <c r="U451" s="301"/>
      <c r="V451" s="301"/>
      <c r="W451" s="301"/>
      <c r="X451" s="301"/>
      <c r="Y451" s="301"/>
      <c r="Z451" s="301"/>
      <c r="AA451" s="301"/>
      <c r="AB451" s="301"/>
      <c r="AC451" s="301"/>
      <c r="AD451" s="301"/>
      <c r="AE451" s="301"/>
      <c r="AF451" s="301"/>
      <c r="AG451" s="301"/>
      <c r="AH451" s="301"/>
      <c r="AI451" s="301"/>
      <c r="AJ451" s="301"/>
      <c r="AK451" s="301"/>
      <c r="AL451" s="301"/>
      <c r="AM451" s="301"/>
      <c r="AN451" s="301"/>
      <c r="AO451" s="301"/>
      <c r="AP451" s="301"/>
    </row>
    <row r="452" spans="10:42" ht="13.5" customHeight="1">
      <c r="J452" s="301"/>
      <c r="K452" s="301"/>
      <c r="L452" s="301"/>
      <c r="M452" s="301"/>
      <c r="N452" s="301"/>
      <c r="O452" s="301"/>
      <c r="P452" s="301"/>
      <c r="Q452" s="301"/>
      <c r="R452" s="301"/>
      <c r="S452" s="301"/>
      <c r="T452" s="301"/>
      <c r="U452" s="301"/>
      <c r="V452" s="301"/>
      <c r="W452" s="301"/>
      <c r="X452" s="301"/>
      <c r="Y452" s="301"/>
      <c r="Z452" s="301"/>
      <c r="AA452" s="301"/>
      <c r="AB452" s="301"/>
      <c r="AC452" s="301"/>
      <c r="AD452" s="301"/>
      <c r="AE452" s="301"/>
      <c r="AF452" s="301"/>
      <c r="AG452" s="301"/>
      <c r="AH452" s="301"/>
      <c r="AI452" s="301"/>
      <c r="AJ452" s="301"/>
      <c r="AK452" s="301"/>
      <c r="AL452" s="301"/>
      <c r="AM452" s="301"/>
      <c r="AN452" s="301"/>
      <c r="AO452" s="301"/>
      <c r="AP452" s="301"/>
    </row>
    <row r="453" spans="10:42" ht="13.5" customHeight="1">
      <c r="J453" s="301"/>
      <c r="K453" s="301"/>
      <c r="L453" s="301"/>
      <c r="M453" s="301"/>
      <c r="N453" s="301"/>
      <c r="O453" s="301"/>
      <c r="P453" s="301"/>
      <c r="Q453" s="301"/>
      <c r="R453" s="301"/>
      <c r="S453" s="301"/>
      <c r="T453" s="301"/>
      <c r="U453" s="301"/>
      <c r="V453" s="301"/>
      <c r="W453" s="301"/>
      <c r="X453" s="301"/>
      <c r="Y453" s="301"/>
      <c r="Z453" s="301"/>
      <c r="AA453" s="301"/>
      <c r="AB453" s="301"/>
      <c r="AC453" s="301"/>
      <c r="AD453" s="301"/>
      <c r="AE453" s="301"/>
      <c r="AF453" s="301"/>
      <c r="AG453" s="301"/>
      <c r="AH453" s="301"/>
      <c r="AI453" s="301"/>
      <c r="AJ453" s="301"/>
      <c r="AK453" s="301"/>
      <c r="AL453" s="301"/>
      <c r="AM453" s="301"/>
      <c r="AN453" s="301"/>
      <c r="AO453" s="301"/>
      <c r="AP453" s="301"/>
    </row>
    <row r="454" spans="10:42" ht="13.5" customHeight="1">
      <c r="J454" s="301"/>
      <c r="K454" s="301"/>
      <c r="L454" s="301"/>
      <c r="M454" s="301"/>
      <c r="N454" s="301"/>
      <c r="O454" s="301"/>
      <c r="P454" s="301"/>
      <c r="Q454" s="301"/>
      <c r="R454" s="301"/>
      <c r="S454" s="301"/>
      <c r="T454" s="301"/>
      <c r="U454" s="301"/>
      <c r="V454" s="301"/>
      <c r="W454" s="301"/>
      <c r="X454" s="301"/>
      <c r="Y454" s="301"/>
      <c r="Z454" s="301"/>
      <c r="AA454" s="301"/>
      <c r="AB454" s="301"/>
      <c r="AC454" s="301"/>
      <c r="AD454" s="301"/>
      <c r="AE454" s="301"/>
      <c r="AF454" s="301"/>
      <c r="AG454" s="301"/>
      <c r="AH454" s="301"/>
      <c r="AI454" s="301"/>
      <c r="AJ454" s="301"/>
      <c r="AK454" s="301"/>
      <c r="AL454" s="301"/>
      <c r="AM454" s="301"/>
      <c r="AN454" s="301"/>
      <c r="AO454" s="301"/>
      <c r="AP454" s="301"/>
    </row>
    <row r="455" spans="10:42" ht="13.5" customHeight="1">
      <c r="J455" s="301"/>
      <c r="K455" s="301"/>
      <c r="L455" s="301"/>
      <c r="M455" s="301"/>
      <c r="N455" s="301"/>
      <c r="O455" s="301"/>
      <c r="P455" s="301"/>
      <c r="Q455" s="301"/>
      <c r="R455" s="301"/>
      <c r="S455" s="301"/>
      <c r="T455" s="301"/>
      <c r="U455" s="301"/>
      <c r="V455" s="301"/>
      <c r="W455" s="301"/>
      <c r="X455" s="301"/>
      <c r="Y455" s="301"/>
      <c r="Z455" s="301"/>
      <c r="AA455" s="301"/>
      <c r="AB455" s="301"/>
      <c r="AC455" s="301"/>
      <c r="AD455" s="301"/>
      <c r="AE455" s="301"/>
      <c r="AF455" s="301"/>
      <c r="AG455" s="301"/>
      <c r="AH455" s="301"/>
      <c r="AI455" s="301"/>
      <c r="AJ455" s="301"/>
      <c r="AK455" s="301"/>
      <c r="AL455" s="301"/>
      <c r="AM455" s="301"/>
      <c r="AN455" s="301"/>
      <c r="AO455" s="301"/>
      <c r="AP455" s="301"/>
    </row>
    <row r="456" spans="10:42" ht="13.5" customHeight="1">
      <c r="J456" s="301"/>
      <c r="K456" s="301"/>
      <c r="L456" s="301"/>
      <c r="M456" s="301"/>
      <c r="N456" s="301"/>
      <c r="O456" s="301"/>
      <c r="P456" s="301"/>
      <c r="Q456" s="301"/>
      <c r="R456" s="301"/>
      <c r="S456" s="301"/>
      <c r="T456" s="301"/>
      <c r="U456" s="301"/>
      <c r="V456" s="301"/>
      <c r="W456" s="301"/>
      <c r="X456" s="301"/>
      <c r="Y456" s="301"/>
      <c r="Z456" s="301"/>
      <c r="AA456" s="301"/>
      <c r="AB456" s="301"/>
      <c r="AC456" s="301"/>
      <c r="AD456" s="301"/>
      <c r="AE456" s="301"/>
      <c r="AF456" s="301"/>
      <c r="AG456" s="301"/>
      <c r="AH456" s="301"/>
      <c r="AI456" s="301"/>
      <c r="AJ456" s="301"/>
      <c r="AK456" s="301"/>
      <c r="AL456" s="301"/>
      <c r="AM456" s="301"/>
      <c r="AN456" s="301"/>
      <c r="AO456" s="301"/>
      <c r="AP456" s="301"/>
    </row>
    <row r="457" spans="10:42" ht="13.5" customHeight="1">
      <c r="J457" s="301"/>
      <c r="K457" s="301"/>
      <c r="L457" s="301"/>
      <c r="M457" s="301"/>
      <c r="N457" s="301"/>
      <c r="O457" s="301"/>
      <c r="P457" s="301"/>
      <c r="Q457" s="301"/>
      <c r="R457" s="301"/>
      <c r="S457" s="301"/>
      <c r="T457" s="301"/>
      <c r="U457" s="301"/>
      <c r="V457" s="301"/>
      <c r="W457" s="301"/>
      <c r="X457" s="301"/>
      <c r="Y457" s="301"/>
      <c r="Z457" s="301"/>
      <c r="AA457" s="301"/>
      <c r="AB457" s="301"/>
      <c r="AC457" s="301"/>
      <c r="AD457" s="301"/>
      <c r="AE457" s="301"/>
      <c r="AF457" s="301"/>
      <c r="AG457" s="301"/>
      <c r="AH457" s="301"/>
      <c r="AI457" s="301"/>
      <c r="AJ457" s="301"/>
      <c r="AK457" s="301"/>
      <c r="AL457" s="301"/>
      <c r="AM457" s="301"/>
      <c r="AN457" s="301"/>
      <c r="AO457" s="301"/>
      <c r="AP457" s="301"/>
    </row>
    <row r="458" spans="10:42" ht="13.5" customHeight="1">
      <c r="J458" s="301"/>
      <c r="K458" s="301"/>
      <c r="L458" s="301"/>
      <c r="M458" s="301"/>
      <c r="N458" s="301"/>
      <c r="O458" s="301"/>
      <c r="P458" s="301"/>
      <c r="Q458" s="301"/>
      <c r="R458" s="301"/>
      <c r="S458" s="301"/>
      <c r="T458" s="301"/>
      <c r="U458" s="301"/>
      <c r="V458" s="301"/>
      <c r="W458" s="301"/>
      <c r="X458" s="301"/>
      <c r="Y458" s="301"/>
      <c r="Z458" s="301"/>
      <c r="AA458" s="301"/>
      <c r="AB458" s="301"/>
      <c r="AC458" s="301"/>
      <c r="AD458" s="301"/>
      <c r="AE458" s="301"/>
      <c r="AF458" s="301"/>
      <c r="AG458" s="301"/>
      <c r="AH458" s="301"/>
      <c r="AI458" s="301"/>
      <c r="AJ458" s="301"/>
      <c r="AK458" s="301"/>
      <c r="AL458" s="301"/>
      <c r="AM458" s="301"/>
      <c r="AN458" s="301"/>
      <c r="AO458" s="301"/>
      <c r="AP458" s="301"/>
    </row>
    <row r="459" spans="10:42" ht="13.5" customHeight="1">
      <c r="J459" s="301"/>
      <c r="K459" s="301"/>
      <c r="L459" s="301"/>
      <c r="M459" s="301"/>
      <c r="N459" s="301"/>
      <c r="O459" s="301"/>
      <c r="P459" s="301"/>
      <c r="Q459" s="301"/>
      <c r="R459" s="301"/>
      <c r="S459" s="301"/>
      <c r="T459" s="301"/>
      <c r="U459" s="301"/>
      <c r="V459" s="301"/>
      <c r="W459" s="301"/>
      <c r="X459" s="301"/>
      <c r="Y459" s="301"/>
      <c r="Z459" s="301"/>
      <c r="AA459" s="301"/>
      <c r="AB459" s="301"/>
      <c r="AC459" s="301"/>
      <c r="AD459" s="301"/>
      <c r="AE459" s="301"/>
      <c r="AF459" s="301"/>
      <c r="AG459" s="301"/>
      <c r="AH459" s="301"/>
      <c r="AI459" s="301"/>
      <c r="AJ459" s="301"/>
      <c r="AK459" s="301"/>
      <c r="AL459" s="301"/>
      <c r="AM459" s="301"/>
      <c r="AN459" s="301"/>
      <c r="AO459" s="301"/>
      <c r="AP459" s="301"/>
    </row>
    <row r="460" spans="10:42" ht="13.5" customHeight="1">
      <c r="J460" s="301"/>
      <c r="K460" s="301"/>
      <c r="L460" s="301"/>
      <c r="M460" s="301"/>
      <c r="N460" s="301"/>
      <c r="O460" s="301"/>
      <c r="P460" s="301"/>
      <c r="Q460" s="301"/>
      <c r="R460" s="301"/>
      <c r="S460" s="301"/>
      <c r="T460" s="301"/>
      <c r="U460" s="301"/>
      <c r="V460" s="301"/>
      <c r="W460" s="301"/>
      <c r="X460" s="301"/>
      <c r="Y460" s="301"/>
      <c r="Z460" s="301"/>
      <c r="AA460" s="301"/>
      <c r="AB460" s="301"/>
      <c r="AC460" s="301"/>
      <c r="AD460" s="301"/>
      <c r="AE460" s="301"/>
      <c r="AF460" s="301"/>
      <c r="AG460" s="301"/>
      <c r="AH460" s="301"/>
      <c r="AI460" s="301"/>
      <c r="AJ460" s="301"/>
      <c r="AK460" s="301"/>
      <c r="AL460" s="301"/>
      <c r="AM460" s="301"/>
      <c r="AN460" s="301"/>
      <c r="AO460" s="301"/>
      <c r="AP460" s="301"/>
    </row>
    <row r="461" spans="10:42" ht="13.5" customHeight="1">
      <c r="J461" s="301"/>
      <c r="K461" s="301"/>
      <c r="L461" s="301"/>
      <c r="M461" s="301"/>
      <c r="N461" s="301"/>
      <c r="O461" s="301"/>
      <c r="P461" s="301"/>
      <c r="Q461" s="301"/>
      <c r="R461" s="301"/>
      <c r="S461" s="301"/>
      <c r="T461" s="301"/>
      <c r="U461" s="301"/>
      <c r="V461" s="301"/>
      <c r="W461" s="301"/>
      <c r="X461" s="301"/>
      <c r="Y461" s="301"/>
      <c r="Z461" s="301"/>
      <c r="AA461" s="301"/>
      <c r="AB461" s="301"/>
      <c r="AC461" s="301"/>
      <c r="AD461" s="301"/>
      <c r="AE461" s="301"/>
      <c r="AF461" s="301"/>
      <c r="AG461" s="301"/>
      <c r="AH461" s="301"/>
      <c r="AI461" s="301"/>
      <c r="AJ461" s="301"/>
      <c r="AK461" s="301"/>
      <c r="AL461" s="301"/>
      <c r="AM461" s="301"/>
      <c r="AN461" s="301"/>
      <c r="AO461" s="301"/>
      <c r="AP461" s="301"/>
    </row>
    <row r="462" spans="10:42" ht="13.5" customHeight="1">
      <c r="J462" s="301"/>
      <c r="K462" s="301"/>
      <c r="L462" s="301"/>
      <c r="M462" s="301"/>
      <c r="N462" s="301"/>
      <c r="O462" s="301"/>
      <c r="P462" s="301"/>
      <c r="Q462" s="301"/>
      <c r="R462" s="301"/>
      <c r="S462" s="301"/>
      <c r="T462" s="301"/>
      <c r="U462" s="301"/>
      <c r="V462" s="301"/>
      <c r="W462" s="301"/>
      <c r="X462" s="301"/>
      <c r="Y462" s="301"/>
      <c r="Z462" s="301"/>
      <c r="AA462" s="301"/>
      <c r="AB462" s="301"/>
      <c r="AC462" s="301"/>
      <c r="AD462" s="301"/>
      <c r="AE462" s="301"/>
      <c r="AF462" s="301"/>
      <c r="AG462" s="301"/>
      <c r="AH462" s="301"/>
      <c r="AI462" s="301"/>
      <c r="AJ462" s="301"/>
      <c r="AK462" s="301"/>
      <c r="AL462" s="301"/>
      <c r="AM462" s="301"/>
      <c r="AN462" s="301"/>
      <c r="AO462" s="301"/>
      <c r="AP462" s="301"/>
    </row>
    <row r="463" spans="10:42" ht="13.5" customHeight="1">
      <c r="J463" s="301"/>
      <c r="K463" s="301"/>
      <c r="L463" s="301"/>
      <c r="M463" s="301"/>
      <c r="N463" s="301"/>
      <c r="O463" s="301"/>
      <c r="P463" s="301"/>
      <c r="Q463" s="301"/>
      <c r="R463" s="301"/>
      <c r="S463" s="301"/>
      <c r="T463" s="301"/>
      <c r="U463" s="301"/>
      <c r="V463" s="301"/>
      <c r="W463" s="301"/>
      <c r="X463" s="301"/>
      <c r="Y463" s="301"/>
      <c r="Z463" s="301"/>
      <c r="AA463" s="301"/>
      <c r="AB463" s="301"/>
      <c r="AC463" s="301"/>
      <c r="AD463" s="301"/>
      <c r="AE463" s="301"/>
      <c r="AF463" s="301"/>
      <c r="AG463" s="301"/>
      <c r="AH463" s="301"/>
      <c r="AI463" s="301"/>
      <c r="AJ463" s="301"/>
      <c r="AK463" s="301"/>
      <c r="AL463" s="301"/>
      <c r="AM463" s="301"/>
      <c r="AN463" s="301"/>
      <c r="AO463" s="301"/>
      <c r="AP463" s="301"/>
    </row>
    <row r="464" spans="10:42" ht="13.5" customHeight="1">
      <c r="J464" s="301"/>
      <c r="K464" s="301"/>
      <c r="L464" s="301"/>
      <c r="M464" s="301"/>
      <c r="N464" s="301"/>
      <c r="O464" s="301"/>
      <c r="P464" s="301"/>
      <c r="Q464" s="301"/>
      <c r="R464" s="301"/>
      <c r="S464" s="301"/>
      <c r="T464" s="301"/>
      <c r="U464" s="301"/>
      <c r="V464" s="301"/>
      <c r="W464" s="301"/>
      <c r="X464" s="301"/>
      <c r="Y464" s="301"/>
      <c r="Z464" s="301"/>
      <c r="AA464" s="301"/>
      <c r="AB464" s="301"/>
      <c r="AC464" s="301"/>
      <c r="AD464" s="301"/>
      <c r="AE464" s="301"/>
      <c r="AF464" s="301"/>
      <c r="AG464" s="301"/>
      <c r="AH464" s="301"/>
      <c r="AI464" s="301"/>
      <c r="AJ464" s="301"/>
      <c r="AK464" s="301"/>
      <c r="AL464" s="301"/>
      <c r="AM464" s="301"/>
      <c r="AN464" s="301"/>
      <c r="AO464" s="301"/>
      <c r="AP464" s="301"/>
    </row>
    <row r="465" spans="10:42" ht="13.5" customHeight="1">
      <c r="J465" s="301"/>
      <c r="K465" s="301"/>
      <c r="L465" s="301"/>
      <c r="M465" s="301"/>
      <c r="N465" s="301"/>
      <c r="O465" s="301"/>
      <c r="P465" s="301"/>
      <c r="Q465" s="301"/>
      <c r="R465" s="301"/>
      <c r="S465" s="301"/>
      <c r="T465" s="301"/>
      <c r="U465" s="301"/>
      <c r="V465" s="301"/>
      <c r="W465" s="301"/>
      <c r="X465" s="301"/>
      <c r="Y465" s="301"/>
      <c r="Z465" s="301"/>
      <c r="AA465" s="301"/>
      <c r="AB465" s="301"/>
      <c r="AC465" s="301"/>
      <c r="AD465" s="301"/>
      <c r="AE465" s="301"/>
      <c r="AF465" s="301"/>
      <c r="AG465" s="301"/>
      <c r="AH465" s="301"/>
      <c r="AI465" s="301"/>
      <c r="AJ465" s="301"/>
      <c r="AK465" s="301"/>
      <c r="AL465" s="301"/>
      <c r="AM465" s="301"/>
      <c r="AN465" s="301"/>
      <c r="AO465" s="301"/>
      <c r="AP465" s="301"/>
    </row>
    <row r="466" spans="10:42" ht="13.5" customHeight="1">
      <c r="J466" s="301"/>
      <c r="K466" s="301"/>
      <c r="L466" s="301"/>
      <c r="M466" s="301"/>
      <c r="N466" s="301"/>
      <c r="O466" s="301"/>
      <c r="P466" s="301"/>
      <c r="Q466" s="301"/>
      <c r="R466" s="301"/>
      <c r="S466" s="301"/>
      <c r="T466" s="301"/>
      <c r="U466" s="301"/>
      <c r="V466" s="301"/>
      <c r="W466" s="301"/>
      <c r="X466" s="301"/>
      <c r="Y466" s="301"/>
      <c r="Z466" s="301"/>
      <c r="AA466" s="301"/>
      <c r="AB466" s="301"/>
      <c r="AC466" s="301"/>
      <c r="AD466" s="301"/>
      <c r="AE466" s="301"/>
      <c r="AF466" s="301"/>
      <c r="AG466" s="301"/>
      <c r="AH466" s="301"/>
      <c r="AI466" s="301"/>
      <c r="AJ466" s="301"/>
      <c r="AK466" s="301"/>
      <c r="AL466" s="301"/>
      <c r="AM466" s="301"/>
      <c r="AN466" s="301"/>
      <c r="AO466" s="301"/>
      <c r="AP466" s="301"/>
    </row>
    <row r="467" spans="10:42" ht="13.5" customHeight="1">
      <c r="J467" s="301"/>
      <c r="K467" s="301"/>
      <c r="L467" s="301"/>
      <c r="M467" s="301"/>
      <c r="N467" s="301"/>
      <c r="O467" s="301"/>
      <c r="P467" s="301"/>
      <c r="Q467" s="301"/>
      <c r="R467" s="301"/>
      <c r="S467" s="301"/>
      <c r="T467" s="301"/>
      <c r="U467" s="301"/>
      <c r="V467" s="301"/>
      <c r="W467" s="301"/>
      <c r="X467" s="301"/>
      <c r="Y467" s="301"/>
      <c r="Z467" s="301"/>
      <c r="AA467" s="301"/>
      <c r="AB467" s="301"/>
      <c r="AC467" s="301"/>
      <c r="AD467" s="301"/>
      <c r="AE467" s="301"/>
      <c r="AF467" s="301"/>
      <c r="AG467" s="301"/>
      <c r="AH467" s="301"/>
      <c r="AI467" s="301"/>
      <c r="AJ467" s="301"/>
      <c r="AK467" s="301"/>
      <c r="AL467" s="301"/>
      <c r="AM467" s="301"/>
      <c r="AN467" s="301"/>
      <c r="AO467" s="301"/>
      <c r="AP467" s="301"/>
    </row>
    <row r="468" spans="10:42" ht="13.5" customHeight="1">
      <c r="J468" s="301"/>
      <c r="K468" s="301"/>
      <c r="L468" s="301"/>
      <c r="M468" s="301"/>
      <c r="N468" s="301"/>
      <c r="O468" s="301"/>
      <c r="P468" s="301"/>
      <c r="Q468" s="301"/>
      <c r="R468" s="301"/>
      <c r="S468" s="301"/>
      <c r="T468" s="301"/>
      <c r="U468" s="301"/>
      <c r="V468" s="301"/>
      <c r="W468" s="301"/>
      <c r="X468" s="301"/>
      <c r="Y468" s="301"/>
      <c r="Z468" s="301"/>
      <c r="AA468" s="301"/>
      <c r="AB468" s="301"/>
      <c r="AC468" s="301"/>
      <c r="AD468" s="301"/>
      <c r="AE468" s="301"/>
      <c r="AF468" s="301"/>
      <c r="AG468" s="301"/>
      <c r="AH468" s="301"/>
      <c r="AI468" s="301"/>
      <c r="AJ468" s="301"/>
      <c r="AK468" s="301"/>
      <c r="AL468" s="301"/>
      <c r="AM468" s="301"/>
      <c r="AN468" s="301"/>
      <c r="AO468" s="301"/>
      <c r="AP468" s="301"/>
    </row>
    <row r="469" spans="10:42" ht="13.5" customHeight="1">
      <c r="J469" s="301"/>
      <c r="K469" s="301"/>
      <c r="L469" s="301"/>
      <c r="M469" s="301"/>
      <c r="N469" s="301"/>
      <c r="O469" s="301"/>
      <c r="P469" s="301"/>
      <c r="Q469" s="301"/>
      <c r="R469" s="301"/>
      <c r="S469" s="301"/>
      <c r="T469" s="301"/>
      <c r="U469" s="301"/>
      <c r="V469" s="301"/>
      <c r="W469" s="301"/>
      <c r="X469" s="301"/>
      <c r="Y469" s="301"/>
      <c r="Z469" s="301"/>
      <c r="AA469" s="301"/>
      <c r="AB469" s="301"/>
      <c r="AC469" s="301"/>
      <c r="AD469" s="301"/>
      <c r="AE469" s="301"/>
      <c r="AF469" s="301"/>
      <c r="AG469" s="301"/>
      <c r="AH469" s="301"/>
      <c r="AI469" s="301"/>
      <c r="AJ469" s="301"/>
      <c r="AK469" s="301"/>
      <c r="AL469" s="301"/>
      <c r="AM469" s="301"/>
      <c r="AN469" s="301"/>
      <c r="AO469" s="301"/>
      <c r="AP469" s="301"/>
    </row>
    <row r="470" spans="10:42" ht="13.5" customHeight="1">
      <c r="J470" s="301"/>
      <c r="K470" s="301"/>
      <c r="L470" s="301"/>
      <c r="M470" s="301"/>
      <c r="N470" s="301"/>
      <c r="O470" s="301"/>
      <c r="P470" s="301"/>
      <c r="Q470" s="301"/>
      <c r="R470" s="301"/>
      <c r="S470" s="301"/>
      <c r="T470" s="301"/>
      <c r="U470" s="301"/>
      <c r="V470" s="301"/>
      <c r="W470" s="301"/>
      <c r="X470" s="301"/>
      <c r="Y470" s="301"/>
      <c r="Z470" s="301"/>
      <c r="AA470" s="301"/>
      <c r="AB470" s="301"/>
      <c r="AC470" s="301"/>
      <c r="AD470" s="301"/>
      <c r="AE470" s="301"/>
      <c r="AF470" s="301"/>
      <c r="AG470" s="301"/>
      <c r="AH470" s="301"/>
      <c r="AI470" s="301"/>
      <c r="AJ470" s="301"/>
      <c r="AK470" s="301"/>
      <c r="AL470" s="301"/>
      <c r="AM470" s="301"/>
      <c r="AN470" s="301"/>
      <c r="AO470" s="301"/>
      <c r="AP470" s="301"/>
    </row>
    <row r="471" spans="10:42" ht="13.5" customHeight="1">
      <c r="J471" s="301"/>
      <c r="K471" s="301"/>
      <c r="L471" s="301"/>
      <c r="M471" s="301"/>
      <c r="N471" s="301"/>
      <c r="O471" s="301"/>
      <c r="P471" s="301"/>
      <c r="Q471" s="301"/>
      <c r="R471" s="301"/>
      <c r="S471" s="301"/>
      <c r="T471" s="301"/>
      <c r="U471" s="301"/>
      <c r="V471" s="301"/>
      <c r="W471" s="301"/>
      <c r="X471" s="301"/>
      <c r="Y471" s="301"/>
      <c r="Z471" s="301"/>
      <c r="AA471" s="301"/>
      <c r="AB471" s="301"/>
      <c r="AC471" s="301"/>
      <c r="AD471" s="301"/>
      <c r="AE471" s="301"/>
      <c r="AF471" s="301"/>
      <c r="AG471" s="301"/>
      <c r="AH471" s="301"/>
      <c r="AI471" s="301"/>
      <c r="AJ471" s="301"/>
      <c r="AK471" s="301"/>
      <c r="AL471" s="301"/>
      <c r="AM471" s="301"/>
      <c r="AN471" s="301"/>
      <c r="AO471" s="301"/>
      <c r="AP471" s="301"/>
    </row>
    <row r="472" spans="10:42" ht="13.5" customHeight="1">
      <c r="J472" s="301"/>
      <c r="K472" s="301"/>
      <c r="L472" s="301"/>
      <c r="M472" s="301"/>
      <c r="N472" s="301"/>
      <c r="O472" s="301"/>
      <c r="P472" s="301"/>
      <c r="Q472" s="301"/>
      <c r="R472" s="301"/>
      <c r="S472" s="301"/>
      <c r="T472" s="301"/>
      <c r="U472" s="301"/>
      <c r="V472" s="301"/>
      <c r="W472" s="301"/>
      <c r="X472" s="301"/>
      <c r="Y472" s="301"/>
      <c r="Z472" s="301"/>
      <c r="AA472" s="301"/>
      <c r="AB472" s="301"/>
      <c r="AC472" s="301"/>
      <c r="AD472" s="301"/>
      <c r="AE472" s="301"/>
      <c r="AF472" s="301"/>
      <c r="AG472" s="301"/>
      <c r="AH472" s="301"/>
      <c r="AI472" s="301"/>
      <c r="AJ472" s="301"/>
      <c r="AK472" s="301"/>
      <c r="AL472" s="301"/>
      <c r="AM472" s="301"/>
      <c r="AN472" s="301"/>
      <c r="AO472" s="301"/>
      <c r="AP472" s="301"/>
    </row>
    <row r="473" spans="10:42" ht="13.5" customHeight="1">
      <c r="J473" s="301"/>
      <c r="K473" s="301"/>
      <c r="L473" s="301"/>
      <c r="M473" s="301"/>
      <c r="N473" s="301"/>
      <c r="O473" s="301"/>
      <c r="P473" s="301"/>
      <c r="Q473" s="301"/>
      <c r="R473" s="301"/>
      <c r="S473" s="301"/>
      <c r="T473" s="301"/>
      <c r="U473" s="301"/>
      <c r="V473" s="301"/>
      <c r="W473" s="301"/>
      <c r="X473" s="301"/>
      <c r="Y473" s="301"/>
      <c r="Z473" s="301"/>
      <c r="AA473" s="301"/>
      <c r="AB473" s="301"/>
      <c r="AC473" s="301"/>
      <c r="AD473" s="301"/>
      <c r="AE473" s="301"/>
      <c r="AF473" s="301"/>
      <c r="AG473" s="301"/>
      <c r="AH473" s="301"/>
      <c r="AI473" s="301"/>
      <c r="AJ473" s="301"/>
      <c r="AK473" s="301"/>
      <c r="AL473" s="301"/>
      <c r="AM473" s="301"/>
      <c r="AN473" s="301"/>
      <c r="AO473" s="301"/>
      <c r="AP473" s="301"/>
    </row>
    <row r="474" spans="10:42" ht="13.5" customHeight="1">
      <c r="J474" s="301"/>
      <c r="K474" s="301"/>
      <c r="L474" s="301"/>
      <c r="M474" s="301"/>
      <c r="N474" s="301"/>
      <c r="O474" s="301"/>
      <c r="P474" s="301"/>
      <c r="Q474" s="301"/>
      <c r="R474" s="301"/>
      <c r="S474" s="301"/>
      <c r="T474" s="301"/>
      <c r="U474" s="301"/>
      <c r="V474" s="301"/>
      <c r="W474" s="301"/>
      <c r="X474" s="301"/>
      <c r="Y474" s="301"/>
      <c r="Z474" s="301"/>
      <c r="AA474" s="301"/>
      <c r="AB474" s="301"/>
      <c r="AC474" s="301"/>
      <c r="AD474" s="301"/>
      <c r="AE474" s="301"/>
      <c r="AF474" s="301"/>
      <c r="AG474" s="301"/>
      <c r="AH474" s="301"/>
      <c r="AI474" s="301"/>
      <c r="AJ474" s="301"/>
      <c r="AK474" s="301"/>
      <c r="AL474" s="301"/>
      <c r="AM474" s="301"/>
      <c r="AN474" s="301"/>
      <c r="AO474" s="301"/>
      <c r="AP474" s="301"/>
    </row>
    <row r="475" spans="10:42" ht="13.5" customHeight="1">
      <c r="J475" s="301"/>
      <c r="K475" s="301"/>
      <c r="L475" s="301"/>
      <c r="M475" s="301"/>
      <c r="N475" s="301"/>
      <c r="O475" s="301"/>
      <c r="P475" s="301"/>
      <c r="Q475" s="301"/>
      <c r="R475" s="301"/>
      <c r="S475" s="301"/>
      <c r="T475" s="301"/>
      <c r="U475" s="301"/>
      <c r="V475" s="301"/>
      <c r="W475" s="301"/>
      <c r="X475" s="301"/>
      <c r="Y475" s="301"/>
      <c r="Z475" s="301"/>
      <c r="AA475" s="301"/>
      <c r="AB475" s="301"/>
      <c r="AC475" s="301"/>
      <c r="AD475" s="301"/>
      <c r="AE475" s="301"/>
      <c r="AF475" s="301"/>
      <c r="AG475" s="301"/>
      <c r="AH475" s="301"/>
      <c r="AI475" s="301"/>
      <c r="AJ475" s="301"/>
      <c r="AK475" s="301"/>
      <c r="AL475" s="301"/>
      <c r="AM475" s="301"/>
      <c r="AN475" s="301"/>
      <c r="AO475" s="301"/>
      <c r="AP475" s="301"/>
    </row>
    <row r="476" spans="10:42" ht="13.5" customHeight="1">
      <c r="J476" s="301"/>
      <c r="K476" s="301"/>
      <c r="L476" s="301"/>
      <c r="M476" s="301"/>
      <c r="N476" s="301"/>
      <c r="O476" s="301"/>
      <c r="P476" s="301"/>
      <c r="Q476" s="301"/>
      <c r="R476" s="301"/>
      <c r="S476" s="301"/>
      <c r="T476" s="301"/>
      <c r="U476" s="301"/>
      <c r="V476" s="301"/>
      <c r="W476" s="301"/>
      <c r="X476" s="301"/>
      <c r="Y476" s="301"/>
      <c r="Z476" s="301"/>
      <c r="AA476" s="301"/>
      <c r="AB476" s="301"/>
      <c r="AC476" s="301"/>
      <c r="AD476" s="301"/>
      <c r="AE476" s="301"/>
      <c r="AF476" s="301"/>
      <c r="AG476" s="301"/>
      <c r="AH476" s="301"/>
      <c r="AI476" s="301"/>
      <c r="AJ476" s="301"/>
      <c r="AK476" s="301"/>
      <c r="AL476" s="301"/>
      <c r="AM476" s="301"/>
      <c r="AN476" s="301"/>
      <c r="AO476" s="301"/>
      <c r="AP476" s="301"/>
    </row>
    <row r="477" spans="10:42" ht="13.5" customHeight="1">
      <c r="J477" s="301"/>
      <c r="K477" s="301"/>
      <c r="L477" s="301"/>
      <c r="M477" s="301"/>
      <c r="N477" s="301"/>
      <c r="O477" s="301"/>
      <c r="P477" s="301"/>
      <c r="Q477" s="301"/>
      <c r="R477" s="301"/>
      <c r="S477" s="301"/>
      <c r="T477" s="301"/>
      <c r="U477" s="301"/>
      <c r="V477" s="301"/>
      <c r="W477" s="301"/>
      <c r="X477" s="301"/>
      <c r="Y477" s="301"/>
      <c r="Z477" s="301"/>
      <c r="AA477" s="301"/>
      <c r="AB477" s="301"/>
      <c r="AC477" s="301"/>
      <c r="AD477" s="301"/>
      <c r="AE477" s="301"/>
      <c r="AF477" s="301"/>
      <c r="AG477" s="301"/>
      <c r="AH477" s="301"/>
      <c r="AI477" s="301"/>
      <c r="AJ477" s="301"/>
      <c r="AK477" s="301"/>
      <c r="AL477" s="301"/>
      <c r="AM477" s="301"/>
      <c r="AN477" s="301"/>
      <c r="AO477" s="301"/>
      <c r="AP477" s="301"/>
    </row>
    <row r="478" spans="10:42" ht="13.5" customHeight="1">
      <c r="J478" s="301"/>
      <c r="K478" s="301"/>
      <c r="L478" s="301"/>
      <c r="M478" s="301"/>
      <c r="N478" s="301"/>
      <c r="O478" s="301"/>
      <c r="P478" s="301"/>
      <c r="Q478" s="301"/>
      <c r="R478" s="301"/>
      <c r="S478" s="301"/>
      <c r="T478" s="301"/>
      <c r="U478" s="301"/>
      <c r="V478" s="301"/>
      <c r="W478" s="301"/>
      <c r="X478" s="301"/>
      <c r="Y478" s="301"/>
      <c r="Z478" s="301"/>
      <c r="AA478" s="301"/>
      <c r="AB478" s="301"/>
      <c r="AC478" s="301"/>
      <c r="AD478" s="301"/>
      <c r="AE478" s="301"/>
      <c r="AF478" s="301"/>
      <c r="AG478" s="301"/>
      <c r="AH478" s="301"/>
      <c r="AI478" s="301"/>
      <c r="AJ478" s="301"/>
      <c r="AK478" s="301"/>
      <c r="AL478" s="301"/>
      <c r="AM478" s="301"/>
      <c r="AN478" s="301"/>
      <c r="AO478" s="301"/>
      <c r="AP478" s="301"/>
    </row>
    <row r="479" spans="10:42" ht="13.5" customHeight="1">
      <c r="J479" s="301"/>
      <c r="K479" s="301"/>
      <c r="L479" s="301"/>
      <c r="M479" s="301"/>
      <c r="N479" s="301"/>
      <c r="O479" s="301"/>
      <c r="P479" s="301"/>
      <c r="Q479" s="301"/>
      <c r="R479" s="301"/>
      <c r="S479" s="301"/>
      <c r="T479" s="301"/>
      <c r="U479" s="301"/>
      <c r="V479" s="301"/>
      <c r="W479" s="301"/>
      <c r="X479" s="301"/>
      <c r="Y479" s="301"/>
      <c r="Z479" s="301"/>
      <c r="AA479" s="301"/>
      <c r="AB479" s="301"/>
      <c r="AC479" s="301"/>
      <c r="AD479" s="301"/>
      <c r="AE479" s="301"/>
      <c r="AF479" s="301"/>
      <c r="AG479" s="301"/>
      <c r="AH479" s="301"/>
      <c r="AI479" s="301"/>
      <c r="AJ479" s="301"/>
      <c r="AK479" s="301"/>
      <c r="AL479" s="301"/>
      <c r="AM479" s="301"/>
      <c r="AN479" s="301"/>
      <c r="AO479" s="301"/>
      <c r="AP479" s="301"/>
    </row>
    <row r="480" spans="10:42" ht="13.5" customHeight="1">
      <c r="J480" s="301"/>
      <c r="K480" s="301"/>
      <c r="L480" s="301"/>
      <c r="M480" s="301"/>
      <c r="N480" s="301"/>
      <c r="O480" s="301"/>
      <c r="P480" s="301"/>
      <c r="Q480" s="301"/>
      <c r="R480" s="301"/>
      <c r="S480" s="301"/>
      <c r="T480" s="301"/>
      <c r="U480" s="301"/>
      <c r="V480" s="301"/>
      <c r="W480" s="301"/>
      <c r="X480" s="301"/>
      <c r="Y480" s="301"/>
      <c r="Z480" s="301"/>
      <c r="AA480" s="301"/>
      <c r="AB480" s="301"/>
      <c r="AC480" s="301"/>
      <c r="AD480" s="301"/>
      <c r="AE480" s="301"/>
      <c r="AF480" s="301"/>
      <c r="AG480" s="301"/>
      <c r="AH480" s="301"/>
      <c r="AI480" s="301"/>
      <c r="AJ480" s="301"/>
      <c r="AK480" s="301"/>
      <c r="AL480" s="301"/>
      <c r="AM480" s="301"/>
      <c r="AN480" s="301"/>
      <c r="AO480" s="301"/>
      <c r="AP480" s="301"/>
    </row>
    <row r="481" spans="10:42" ht="13.5" customHeight="1">
      <c r="J481" s="301"/>
      <c r="K481" s="301"/>
      <c r="L481" s="301"/>
      <c r="M481" s="301"/>
      <c r="N481" s="301"/>
      <c r="O481" s="301"/>
      <c r="P481" s="301"/>
      <c r="Q481" s="301"/>
      <c r="R481" s="301"/>
      <c r="S481" s="301"/>
      <c r="T481" s="301"/>
      <c r="U481" s="301"/>
      <c r="V481" s="301"/>
      <c r="W481" s="301"/>
      <c r="X481" s="301"/>
      <c r="Y481" s="301"/>
      <c r="Z481" s="301"/>
      <c r="AA481" s="301"/>
      <c r="AB481" s="301"/>
      <c r="AC481" s="301"/>
      <c r="AD481" s="301"/>
      <c r="AE481" s="301"/>
      <c r="AF481" s="301"/>
      <c r="AG481" s="301"/>
      <c r="AH481" s="301"/>
      <c r="AI481" s="301"/>
      <c r="AJ481" s="301"/>
      <c r="AK481" s="301"/>
      <c r="AL481" s="301"/>
      <c r="AM481" s="301"/>
      <c r="AN481" s="301"/>
      <c r="AO481" s="301"/>
      <c r="AP481" s="301"/>
    </row>
    <row r="482" spans="10:42" ht="13.5" customHeight="1">
      <c r="J482" s="301"/>
      <c r="K482" s="301"/>
      <c r="L482" s="301"/>
      <c r="M482" s="301"/>
      <c r="N482" s="301"/>
      <c r="O482" s="301"/>
      <c r="P482" s="301"/>
      <c r="Q482" s="301"/>
      <c r="R482" s="301"/>
      <c r="S482" s="301"/>
      <c r="T482" s="301"/>
      <c r="U482" s="301"/>
      <c r="V482" s="301"/>
      <c r="W482" s="301"/>
      <c r="X482" s="301"/>
      <c r="Y482" s="301"/>
      <c r="Z482" s="301"/>
      <c r="AA482" s="301"/>
      <c r="AB482" s="301"/>
      <c r="AC482" s="301"/>
      <c r="AD482" s="301"/>
      <c r="AE482" s="301"/>
      <c r="AF482" s="301"/>
      <c r="AG482" s="301"/>
      <c r="AH482" s="301"/>
      <c r="AI482" s="301"/>
      <c r="AJ482" s="301"/>
      <c r="AK482" s="301"/>
      <c r="AL482" s="301"/>
      <c r="AM482" s="301"/>
      <c r="AN482" s="301"/>
      <c r="AO482" s="301"/>
      <c r="AP482" s="301"/>
    </row>
    <row r="483" spans="10:42" ht="13.5" customHeight="1">
      <c r="J483" s="301"/>
      <c r="K483" s="301"/>
      <c r="L483" s="301"/>
      <c r="M483" s="301"/>
      <c r="N483" s="301"/>
      <c r="O483" s="301"/>
      <c r="P483" s="301"/>
      <c r="Q483" s="301"/>
      <c r="R483" s="301"/>
      <c r="S483" s="301"/>
      <c r="T483" s="301"/>
      <c r="U483" s="301"/>
      <c r="V483" s="301"/>
      <c r="W483" s="301"/>
      <c r="X483" s="301"/>
      <c r="Y483" s="301"/>
      <c r="Z483" s="301"/>
      <c r="AA483" s="301"/>
      <c r="AB483" s="301"/>
      <c r="AC483" s="301"/>
      <c r="AD483" s="301"/>
      <c r="AE483" s="301"/>
      <c r="AF483" s="301"/>
      <c r="AG483" s="301"/>
      <c r="AH483" s="301"/>
      <c r="AI483" s="301"/>
      <c r="AJ483" s="301"/>
      <c r="AK483" s="301"/>
      <c r="AL483" s="301"/>
      <c r="AM483" s="301"/>
      <c r="AN483" s="301"/>
      <c r="AO483" s="301"/>
      <c r="AP483" s="301"/>
    </row>
    <row r="484" spans="10:42" ht="13.5" customHeight="1">
      <c r="J484" s="301"/>
      <c r="K484" s="301"/>
      <c r="L484" s="301"/>
      <c r="M484" s="301"/>
      <c r="N484" s="301"/>
      <c r="O484" s="301"/>
      <c r="P484" s="301"/>
      <c r="Q484" s="301"/>
      <c r="R484" s="301"/>
      <c r="S484" s="301"/>
      <c r="T484" s="301"/>
      <c r="U484" s="301"/>
      <c r="V484" s="301"/>
      <c r="W484" s="301"/>
      <c r="X484" s="301"/>
      <c r="Y484" s="301"/>
      <c r="Z484" s="301"/>
      <c r="AA484" s="301"/>
      <c r="AB484" s="301"/>
      <c r="AC484" s="301"/>
      <c r="AD484" s="301"/>
      <c r="AE484" s="301"/>
      <c r="AF484" s="301"/>
      <c r="AG484" s="301"/>
      <c r="AH484" s="301"/>
      <c r="AI484" s="301"/>
      <c r="AJ484" s="301"/>
      <c r="AK484" s="301"/>
      <c r="AL484" s="301"/>
      <c r="AM484" s="301"/>
      <c r="AN484" s="301"/>
      <c r="AO484" s="301"/>
      <c r="AP484" s="301"/>
    </row>
    <row r="485" spans="10:42" ht="13.5" customHeight="1">
      <c r="J485" s="301"/>
      <c r="K485" s="301"/>
      <c r="L485" s="301"/>
      <c r="M485" s="301"/>
      <c r="N485" s="301"/>
      <c r="O485" s="301"/>
      <c r="P485" s="301"/>
      <c r="Q485" s="301"/>
      <c r="R485" s="301"/>
      <c r="S485" s="301"/>
      <c r="T485" s="301"/>
      <c r="U485" s="301"/>
      <c r="V485" s="301"/>
      <c r="W485" s="301"/>
      <c r="X485" s="301"/>
      <c r="Y485" s="301"/>
      <c r="Z485" s="301"/>
      <c r="AA485" s="301"/>
      <c r="AB485" s="301"/>
      <c r="AC485" s="301"/>
      <c r="AD485" s="301"/>
      <c r="AE485" s="301"/>
      <c r="AF485" s="301"/>
      <c r="AG485" s="301"/>
      <c r="AH485" s="301"/>
      <c r="AI485" s="301"/>
      <c r="AJ485" s="301"/>
      <c r="AK485" s="301"/>
      <c r="AL485" s="301"/>
      <c r="AM485" s="301"/>
      <c r="AN485" s="301"/>
      <c r="AO485" s="301"/>
      <c r="AP485" s="301"/>
    </row>
    <row r="486" spans="10:42" ht="13.5" customHeight="1">
      <c r="J486" s="301"/>
      <c r="K486" s="301"/>
      <c r="L486" s="301"/>
      <c r="M486" s="301"/>
      <c r="N486" s="301"/>
      <c r="O486" s="301"/>
      <c r="P486" s="301"/>
      <c r="Q486" s="301"/>
      <c r="R486" s="301"/>
      <c r="S486" s="301"/>
      <c r="T486" s="301"/>
      <c r="U486" s="301"/>
      <c r="V486" s="301"/>
      <c r="W486" s="301"/>
      <c r="X486" s="301"/>
      <c r="Y486" s="301"/>
      <c r="Z486" s="301"/>
      <c r="AA486" s="301"/>
      <c r="AB486" s="301"/>
      <c r="AC486" s="301"/>
      <c r="AD486" s="301"/>
      <c r="AE486" s="301"/>
      <c r="AF486" s="301"/>
      <c r="AG486" s="301"/>
      <c r="AH486" s="301"/>
      <c r="AI486" s="301"/>
      <c r="AJ486" s="301"/>
      <c r="AK486" s="301"/>
      <c r="AL486" s="301"/>
      <c r="AM486" s="301"/>
      <c r="AN486" s="301"/>
      <c r="AO486" s="301"/>
      <c r="AP486" s="301"/>
    </row>
    <row r="487" spans="10:42" ht="13.5" customHeight="1">
      <c r="J487" s="301"/>
      <c r="K487" s="301"/>
      <c r="L487" s="301"/>
      <c r="M487" s="301"/>
      <c r="N487" s="301"/>
      <c r="O487" s="301"/>
      <c r="P487" s="301"/>
      <c r="Q487" s="301"/>
      <c r="R487" s="301"/>
      <c r="S487" s="301"/>
      <c r="T487" s="301"/>
      <c r="U487" s="301"/>
      <c r="V487" s="301"/>
      <c r="W487" s="301"/>
      <c r="X487" s="301"/>
      <c r="Y487" s="301"/>
      <c r="Z487" s="301"/>
      <c r="AA487" s="301"/>
      <c r="AB487" s="301"/>
      <c r="AC487" s="301"/>
      <c r="AD487" s="301"/>
      <c r="AE487" s="301"/>
      <c r="AF487" s="301"/>
      <c r="AG487" s="301"/>
      <c r="AH487" s="301"/>
      <c r="AI487" s="301"/>
      <c r="AJ487" s="301"/>
      <c r="AK487" s="301"/>
      <c r="AL487" s="301"/>
      <c r="AM487" s="301"/>
      <c r="AN487" s="301"/>
      <c r="AO487" s="301"/>
      <c r="AP487" s="301"/>
    </row>
    <row r="488" spans="10:42" ht="13.5" customHeight="1">
      <c r="J488" s="301"/>
      <c r="K488" s="301"/>
      <c r="L488" s="301"/>
      <c r="M488" s="301"/>
      <c r="N488" s="301"/>
      <c r="O488" s="301"/>
      <c r="P488" s="301"/>
      <c r="Q488" s="301"/>
      <c r="R488" s="301"/>
      <c r="S488" s="301"/>
      <c r="T488" s="301"/>
      <c r="U488" s="301"/>
      <c r="V488" s="301"/>
      <c r="W488" s="301"/>
      <c r="X488" s="301"/>
      <c r="Y488" s="301"/>
      <c r="Z488" s="301"/>
      <c r="AA488" s="301"/>
      <c r="AB488" s="301"/>
      <c r="AC488" s="301"/>
      <c r="AD488" s="301"/>
      <c r="AE488" s="301"/>
      <c r="AF488" s="301"/>
      <c r="AG488" s="301"/>
      <c r="AH488" s="301"/>
      <c r="AI488" s="301"/>
      <c r="AJ488" s="301"/>
      <c r="AK488" s="301"/>
      <c r="AL488" s="301"/>
      <c r="AM488" s="301"/>
      <c r="AN488" s="301"/>
      <c r="AO488" s="301"/>
      <c r="AP488" s="301"/>
    </row>
    <row r="489" spans="10:42" ht="13.5" customHeight="1">
      <c r="J489" s="301"/>
      <c r="K489" s="301"/>
      <c r="L489" s="301"/>
      <c r="M489" s="301"/>
      <c r="N489" s="301"/>
      <c r="O489" s="301"/>
      <c r="P489" s="301"/>
      <c r="Q489" s="301"/>
      <c r="R489" s="301"/>
      <c r="S489" s="301"/>
      <c r="T489" s="301"/>
      <c r="U489" s="301"/>
      <c r="V489" s="301"/>
      <c r="W489" s="301"/>
      <c r="X489" s="301"/>
      <c r="Y489" s="301"/>
      <c r="Z489" s="301"/>
      <c r="AA489" s="301"/>
      <c r="AB489" s="301"/>
      <c r="AC489" s="301"/>
      <c r="AD489" s="301"/>
      <c r="AE489" s="301"/>
      <c r="AF489" s="301"/>
      <c r="AG489" s="301"/>
      <c r="AH489" s="301"/>
      <c r="AI489" s="301"/>
      <c r="AJ489" s="301"/>
      <c r="AK489" s="301"/>
      <c r="AL489" s="301"/>
      <c r="AM489" s="301"/>
      <c r="AN489" s="301"/>
      <c r="AO489" s="301"/>
      <c r="AP489" s="301"/>
    </row>
    <row r="490" spans="10:42" ht="13.5" customHeight="1">
      <c r="J490" s="301"/>
      <c r="K490" s="301"/>
      <c r="L490" s="301"/>
      <c r="M490" s="301"/>
      <c r="N490" s="301"/>
      <c r="O490" s="301"/>
      <c r="P490" s="301"/>
      <c r="Q490" s="301"/>
      <c r="R490" s="301"/>
      <c r="S490" s="301"/>
      <c r="T490" s="301"/>
      <c r="U490" s="301"/>
      <c r="V490" s="301"/>
      <c r="W490" s="301"/>
      <c r="X490" s="301"/>
      <c r="Y490" s="301"/>
      <c r="Z490" s="301"/>
      <c r="AA490" s="301"/>
      <c r="AB490" s="301"/>
      <c r="AC490" s="301"/>
      <c r="AD490" s="301"/>
      <c r="AE490" s="301"/>
      <c r="AF490" s="301"/>
      <c r="AG490" s="301"/>
      <c r="AH490" s="301"/>
      <c r="AI490" s="301"/>
      <c r="AJ490" s="301"/>
      <c r="AK490" s="301"/>
      <c r="AL490" s="301"/>
      <c r="AM490" s="301"/>
      <c r="AN490" s="301"/>
      <c r="AO490" s="301"/>
      <c r="AP490" s="301"/>
    </row>
    <row r="491" spans="10:42" ht="13.5" customHeight="1">
      <c r="J491" s="301"/>
      <c r="K491" s="301"/>
      <c r="L491" s="301"/>
      <c r="M491" s="301"/>
      <c r="N491" s="301"/>
      <c r="O491" s="301"/>
      <c r="P491" s="301"/>
      <c r="Q491" s="301"/>
      <c r="R491" s="301"/>
      <c r="S491" s="301"/>
      <c r="T491" s="301"/>
      <c r="U491" s="301"/>
      <c r="V491" s="301"/>
      <c r="W491" s="301"/>
      <c r="X491" s="301"/>
      <c r="Y491" s="301"/>
      <c r="Z491" s="301"/>
      <c r="AA491" s="301"/>
      <c r="AB491" s="301"/>
      <c r="AC491" s="301"/>
      <c r="AD491" s="301"/>
      <c r="AE491" s="301"/>
      <c r="AF491" s="301"/>
      <c r="AG491" s="301"/>
      <c r="AH491" s="301"/>
      <c r="AI491" s="301"/>
      <c r="AJ491" s="301"/>
      <c r="AK491" s="301"/>
      <c r="AL491" s="301"/>
      <c r="AM491" s="301"/>
      <c r="AN491" s="301"/>
      <c r="AO491" s="301"/>
      <c r="AP491" s="301"/>
    </row>
    <row r="492" spans="10:42" ht="13.5" customHeight="1">
      <c r="J492" s="301"/>
      <c r="K492" s="301"/>
      <c r="L492" s="301"/>
      <c r="M492" s="301"/>
      <c r="N492" s="301"/>
      <c r="O492" s="301"/>
      <c r="P492" s="301"/>
      <c r="Q492" s="301"/>
      <c r="R492" s="301"/>
      <c r="S492" s="301"/>
      <c r="T492" s="301"/>
      <c r="U492" s="301"/>
      <c r="V492" s="301"/>
      <c r="W492" s="301"/>
      <c r="X492" s="301"/>
      <c r="Y492" s="301"/>
      <c r="Z492" s="301"/>
      <c r="AA492" s="301"/>
      <c r="AB492" s="301"/>
      <c r="AC492" s="301"/>
      <c r="AD492" s="301"/>
      <c r="AE492" s="301"/>
      <c r="AF492" s="301"/>
      <c r="AG492" s="301"/>
      <c r="AH492" s="301"/>
      <c r="AI492" s="301"/>
      <c r="AJ492" s="301"/>
      <c r="AK492" s="301"/>
      <c r="AL492" s="301"/>
      <c r="AM492" s="301"/>
      <c r="AN492" s="301"/>
      <c r="AO492" s="301"/>
      <c r="AP492" s="301"/>
    </row>
    <row r="493" spans="10:42" ht="13.5" customHeight="1">
      <c r="J493" s="301"/>
      <c r="K493" s="301"/>
      <c r="L493" s="301"/>
      <c r="M493" s="301"/>
      <c r="N493" s="301"/>
      <c r="O493" s="301"/>
      <c r="P493" s="301"/>
      <c r="Q493" s="301"/>
      <c r="R493" s="301"/>
      <c r="S493" s="301"/>
      <c r="T493" s="301"/>
      <c r="U493" s="301"/>
      <c r="V493" s="301"/>
      <c r="W493" s="301"/>
      <c r="X493" s="301"/>
      <c r="Y493" s="301"/>
      <c r="Z493" s="301"/>
      <c r="AA493" s="301"/>
      <c r="AB493" s="301"/>
      <c r="AC493" s="301"/>
      <c r="AD493" s="301"/>
      <c r="AE493" s="301"/>
      <c r="AF493" s="301"/>
      <c r="AG493" s="301"/>
      <c r="AH493" s="301"/>
      <c r="AI493" s="301"/>
      <c r="AJ493" s="301"/>
      <c r="AK493" s="301"/>
      <c r="AL493" s="301"/>
      <c r="AM493" s="301"/>
      <c r="AN493" s="301"/>
      <c r="AO493" s="301"/>
      <c r="AP493" s="301"/>
    </row>
    <row r="494" spans="10:42" ht="13.5" customHeight="1">
      <c r="J494" s="301"/>
      <c r="K494" s="301"/>
      <c r="L494" s="301"/>
      <c r="M494" s="301"/>
      <c r="N494" s="301"/>
      <c r="O494" s="301"/>
      <c r="P494" s="301"/>
      <c r="Q494" s="301"/>
      <c r="R494" s="301"/>
      <c r="S494" s="301"/>
      <c r="T494" s="301"/>
      <c r="U494" s="301"/>
      <c r="V494" s="301"/>
      <c r="W494" s="301"/>
      <c r="X494" s="301"/>
      <c r="Y494" s="301"/>
      <c r="Z494" s="301"/>
      <c r="AA494" s="301"/>
      <c r="AB494" s="301"/>
      <c r="AC494" s="301"/>
      <c r="AD494" s="301"/>
      <c r="AE494" s="301"/>
      <c r="AF494" s="301"/>
      <c r="AG494" s="301"/>
      <c r="AH494" s="301"/>
      <c r="AI494" s="301"/>
      <c r="AJ494" s="301"/>
      <c r="AK494" s="301"/>
      <c r="AL494" s="301"/>
      <c r="AM494" s="301"/>
      <c r="AN494" s="301"/>
      <c r="AO494" s="301"/>
      <c r="AP494" s="301"/>
    </row>
    <row r="495" spans="10:42" ht="13.5" customHeight="1">
      <c r="J495" s="301"/>
      <c r="K495" s="301"/>
      <c r="L495" s="301"/>
      <c r="M495" s="301"/>
      <c r="N495" s="301"/>
      <c r="O495" s="301"/>
      <c r="P495" s="301"/>
      <c r="Q495" s="301"/>
      <c r="R495" s="301"/>
      <c r="S495" s="301"/>
      <c r="T495" s="301"/>
      <c r="U495" s="301"/>
      <c r="V495" s="301"/>
      <c r="W495" s="301"/>
      <c r="X495" s="301"/>
      <c r="Y495" s="301"/>
      <c r="Z495" s="301"/>
      <c r="AA495" s="301"/>
      <c r="AB495" s="301"/>
      <c r="AC495" s="301"/>
      <c r="AD495" s="301"/>
      <c r="AE495" s="301"/>
      <c r="AF495" s="301"/>
      <c r="AG495" s="301"/>
      <c r="AH495" s="301"/>
      <c r="AI495" s="301"/>
      <c r="AJ495" s="301"/>
      <c r="AK495" s="301"/>
      <c r="AL495" s="301"/>
      <c r="AM495" s="301"/>
      <c r="AN495" s="301"/>
      <c r="AO495" s="301"/>
      <c r="AP495" s="301"/>
    </row>
    <row r="496" spans="10:42" ht="13.5" customHeight="1">
      <c r="J496" s="301"/>
      <c r="K496" s="301"/>
      <c r="L496" s="301"/>
      <c r="M496" s="301"/>
      <c r="N496" s="301"/>
      <c r="O496" s="301"/>
      <c r="P496" s="301"/>
      <c r="Q496" s="301"/>
      <c r="R496" s="301"/>
      <c r="S496" s="301"/>
      <c r="T496" s="301"/>
      <c r="U496" s="301"/>
      <c r="V496" s="301"/>
      <c r="W496" s="301"/>
      <c r="X496" s="301"/>
      <c r="Y496" s="301"/>
      <c r="Z496" s="301"/>
      <c r="AA496" s="301"/>
      <c r="AB496" s="301"/>
      <c r="AC496" s="301"/>
      <c r="AD496" s="301"/>
      <c r="AE496" s="301"/>
      <c r="AF496" s="301"/>
      <c r="AG496" s="301"/>
      <c r="AH496" s="301"/>
      <c r="AI496" s="301"/>
      <c r="AJ496" s="301"/>
      <c r="AK496" s="301"/>
      <c r="AL496" s="301"/>
      <c r="AM496" s="301"/>
      <c r="AN496" s="301"/>
      <c r="AO496" s="301"/>
      <c r="AP496" s="301"/>
    </row>
    <row r="497" spans="10:42" ht="13.5" customHeight="1">
      <c r="J497" s="301"/>
      <c r="K497" s="301"/>
      <c r="L497" s="301"/>
      <c r="M497" s="301"/>
      <c r="N497" s="301"/>
      <c r="O497" s="301"/>
      <c r="P497" s="301"/>
      <c r="Q497" s="301"/>
      <c r="R497" s="301"/>
      <c r="S497" s="301"/>
      <c r="T497" s="301"/>
      <c r="U497" s="301"/>
      <c r="V497" s="301"/>
      <c r="W497" s="301"/>
      <c r="X497" s="301"/>
      <c r="Y497" s="301"/>
      <c r="Z497" s="301"/>
      <c r="AA497" s="301"/>
      <c r="AB497" s="301"/>
      <c r="AC497" s="301"/>
      <c r="AD497" s="301"/>
      <c r="AE497" s="301"/>
      <c r="AF497" s="301"/>
      <c r="AG497" s="301"/>
      <c r="AH497" s="301"/>
      <c r="AI497" s="301"/>
      <c r="AJ497" s="301"/>
      <c r="AK497" s="301"/>
      <c r="AL497" s="301"/>
      <c r="AM497" s="301"/>
      <c r="AN497" s="301"/>
      <c r="AO497" s="301"/>
      <c r="AP497" s="301"/>
    </row>
    <row r="498" spans="10:42" ht="13.5" customHeight="1">
      <c r="J498" s="301"/>
      <c r="K498" s="301"/>
      <c r="L498" s="301"/>
      <c r="M498" s="301"/>
      <c r="N498" s="301"/>
      <c r="O498" s="301"/>
      <c r="P498" s="301"/>
      <c r="Q498" s="301"/>
      <c r="R498" s="301"/>
      <c r="S498" s="301"/>
      <c r="T498" s="301"/>
      <c r="U498" s="301"/>
      <c r="V498" s="301"/>
      <c r="W498" s="301"/>
      <c r="X498" s="301"/>
      <c r="Y498" s="301"/>
      <c r="Z498" s="301"/>
      <c r="AA498" s="301"/>
      <c r="AB498" s="301"/>
      <c r="AC498" s="301"/>
      <c r="AD498" s="301"/>
      <c r="AE498" s="301"/>
      <c r="AF498" s="301"/>
      <c r="AG498" s="301"/>
      <c r="AH498" s="301"/>
      <c r="AI498" s="301"/>
      <c r="AJ498" s="301"/>
      <c r="AK498" s="301"/>
      <c r="AL498" s="301"/>
      <c r="AM498" s="301"/>
      <c r="AN498" s="301"/>
      <c r="AO498" s="301"/>
      <c r="AP498" s="301"/>
    </row>
    <row r="499" spans="10:42" ht="13.5" customHeight="1">
      <c r="J499" s="301"/>
      <c r="K499" s="301"/>
      <c r="L499" s="301"/>
      <c r="M499" s="301"/>
      <c r="N499" s="301"/>
      <c r="O499" s="301"/>
      <c r="P499" s="301"/>
      <c r="Q499" s="301"/>
      <c r="R499" s="301"/>
      <c r="S499" s="301"/>
      <c r="T499" s="301"/>
      <c r="U499" s="301"/>
      <c r="V499" s="301"/>
      <c r="W499" s="301"/>
      <c r="X499" s="301"/>
      <c r="Y499" s="301"/>
      <c r="Z499" s="301"/>
      <c r="AA499" s="301"/>
      <c r="AB499" s="301"/>
      <c r="AC499" s="301"/>
      <c r="AD499" s="301"/>
      <c r="AE499" s="301"/>
      <c r="AF499" s="301"/>
      <c r="AG499" s="301"/>
      <c r="AH499" s="301"/>
      <c r="AI499" s="301"/>
      <c r="AJ499" s="301"/>
      <c r="AK499" s="301"/>
      <c r="AL499" s="301"/>
      <c r="AM499" s="301"/>
      <c r="AN499" s="301"/>
      <c r="AO499" s="301"/>
      <c r="AP499" s="301"/>
    </row>
    <row r="500" spans="10:42" ht="13.5" customHeight="1">
      <c r="J500" s="301"/>
      <c r="K500" s="301"/>
      <c r="L500" s="301"/>
      <c r="M500" s="301"/>
      <c r="N500" s="301"/>
      <c r="O500" s="301"/>
      <c r="P500" s="301"/>
      <c r="Q500" s="301"/>
      <c r="R500" s="301"/>
      <c r="S500" s="301"/>
      <c r="T500" s="301"/>
      <c r="U500" s="301"/>
      <c r="V500" s="301"/>
      <c r="W500" s="301"/>
      <c r="X500" s="301"/>
      <c r="Y500" s="301"/>
      <c r="Z500" s="301"/>
      <c r="AA500" s="301"/>
      <c r="AB500" s="301"/>
      <c r="AC500" s="301"/>
      <c r="AD500" s="301"/>
      <c r="AE500" s="301"/>
      <c r="AF500" s="301"/>
      <c r="AG500" s="301"/>
      <c r="AH500" s="301"/>
      <c r="AI500" s="301"/>
      <c r="AJ500" s="301"/>
      <c r="AK500" s="301"/>
      <c r="AL500" s="301"/>
      <c r="AM500" s="301"/>
      <c r="AN500" s="301"/>
      <c r="AO500" s="301"/>
      <c r="AP500" s="301"/>
    </row>
    <row r="501" spans="10:42" ht="13.5" customHeight="1">
      <c r="J501" s="301"/>
      <c r="K501" s="301"/>
      <c r="L501" s="301"/>
      <c r="M501" s="301"/>
      <c r="N501" s="301"/>
      <c r="O501" s="301"/>
      <c r="P501" s="301"/>
      <c r="Q501" s="301"/>
      <c r="R501" s="301"/>
      <c r="S501" s="301"/>
      <c r="T501" s="301"/>
      <c r="U501" s="301"/>
      <c r="V501" s="301"/>
      <c r="W501" s="301"/>
      <c r="X501" s="301"/>
      <c r="Y501" s="301"/>
      <c r="Z501" s="301"/>
      <c r="AA501" s="301"/>
      <c r="AB501" s="301"/>
      <c r="AC501" s="301"/>
      <c r="AD501" s="301"/>
      <c r="AE501" s="301"/>
      <c r="AF501" s="301"/>
      <c r="AG501" s="301"/>
      <c r="AH501" s="301"/>
      <c r="AI501" s="301"/>
      <c r="AJ501" s="301"/>
      <c r="AK501" s="301"/>
      <c r="AL501" s="301"/>
      <c r="AM501" s="301"/>
      <c r="AN501" s="301"/>
      <c r="AO501" s="301"/>
      <c r="AP501" s="301"/>
    </row>
    <row r="502" spans="10:42" ht="13.5" customHeight="1">
      <c r="J502" s="301"/>
      <c r="K502" s="301"/>
      <c r="L502" s="301"/>
      <c r="M502" s="301"/>
      <c r="N502" s="301"/>
      <c r="O502" s="301"/>
      <c r="P502" s="301"/>
      <c r="Q502" s="301"/>
      <c r="R502" s="301"/>
      <c r="S502" s="301"/>
      <c r="T502" s="301"/>
      <c r="U502" s="301"/>
      <c r="V502" s="301"/>
      <c r="W502" s="301"/>
      <c r="X502" s="301"/>
      <c r="Y502" s="301"/>
      <c r="Z502" s="301"/>
      <c r="AA502" s="301"/>
      <c r="AB502" s="301"/>
      <c r="AC502" s="301"/>
      <c r="AD502" s="301"/>
      <c r="AE502" s="301"/>
      <c r="AF502" s="301"/>
      <c r="AG502" s="301"/>
      <c r="AH502" s="301"/>
      <c r="AI502" s="301"/>
      <c r="AJ502" s="301"/>
      <c r="AK502" s="301"/>
      <c r="AL502" s="301"/>
      <c r="AM502" s="301"/>
      <c r="AN502" s="301"/>
      <c r="AO502" s="301"/>
      <c r="AP502" s="301"/>
    </row>
    <row r="503" spans="10:42" ht="13.5" customHeight="1">
      <c r="J503" s="301"/>
      <c r="K503" s="301"/>
      <c r="L503" s="301"/>
      <c r="M503" s="301"/>
      <c r="N503" s="301"/>
      <c r="O503" s="301"/>
      <c r="P503" s="301"/>
      <c r="Q503" s="301"/>
      <c r="R503" s="301"/>
      <c r="S503" s="301"/>
      <c r="T503" s="301"/>
      <c r="U503" s="301"/>
      <c r="V503" s="301"/>
      <c r="W503" s="301"/>
      <c r="X503" s="301"/>
      <c r="Y503" s="301"/>
      <c r="Z503" s="301"/>
      <c r="AA503" s="301"/>
      <c r="AB503" s="301"/>
      <c r="AC503" s="301"/>
      <c r="AD503" s="301"/>
      <c r="AE503" s="301"/>
      <c r="AF503" s="301"/>
      <c r="AG503" s="301"/>
      <c r="AH503" s="301"/>
      <c r="AI503" s="301"/>
      <c r="AJ503" s="301"/>
      <c r="AK503" s="301"/>
      <c r="AL503" s="301"/>
      <c r="AM503" s="301"/>
      <c r="AN503" s="301"/>
      <c r="AO503" s="301"/>
      <c r="AP503" s="301"/>
    </row>
    <row r="504" spans="10:42" ht="13.5" customHeight="1">
      <c r="J504" s="301"/>
      <c r="K504" s="301"/>
      <c r="L504" s="301"/>
      <c r="M504" s="301"/>
      <c r="N504" s="301"/>
      <c r="O504" s="301"/>
      <c r="P504" s="301"/>
      <c r="Q504" s="301"/>
      <c r="R504" s="301"/>
      <c r="S504" s="301"/>
      <c r="T504" s="301"/>
      <c r="U504" s="301"/>
      <c r="V504" s="301"/>
      <c r="W504" s="301"/>
      <c r="X504" s="301"/>
      <c r="Y504" s="301"/>
      <c r="Z504" s="301"/>
      <c r="AA504" s="301"/>
      <c r="AB504" s="301"/>
      <c r="AC504" s="301"/>
      <c r="AD504" s="301"/>
      <c r="AE504" s="301"/>
      <c r="AF504" s="301"/>
      <c r="AG504" s="301"/>
      <c r="AH504" s="301"/>
      <c r="AI504" s="301"/>
      <c r="AJ504" s="301"/>
      <c r="AK504" s="301"/>
      <c r="AL504" s="301"/>
      <c r="AM504" s="301"/>
      <c r="AN504" s="301"/>
      <c r="AO504" s="301"/>
      <c r="AP504" s="301"/>
    </row>
    <row r="505" spans="10:42" ht="13.5" customHeight="1">
      <c r="J505" s="301"/>
      <c r="K505" s="301"/>
      <c r="L505" s="301"/>
      <c r="M505" s="301"/>
      <c r="N505" s="301"/>
      <c r="O505" s="301"/>
      <c r="P505" s="301"/>
      <c r="Q505" s="301"/>
      <c r="R505" s="301"/>
      <c r="S505" s="301"/>
      <c r="T505" s="301"/>
      <c r="U505" s="301"/>
      <c r="V505" s="301"/>
      <c r="W505" s="301"/>
      <c r="X505" s="301"/>
      <c r="Y505" s="301"/>
      <c r="Z505" s="301"/>
      <c r="AA505" s="301"/>
      <c r="AB505" s="301"/>
      <c r="AC505" s="301"/>
      <c r="AD505" s="301"/>
      <c r="AE505" s="301"/>
      <c r="AF505" s="301"/>
      <c r="AG505" s="301"/>
      <c r="AH505" s="301"/>
      <c r="AI505" s="301"/>
      <c r="AJ505" s="301"/>
      <c r="AK505" s="301"/>
      <c r="AL505" s="301"/>
      <c r="AM505" s="301"/>
      <c r="AN505" s="301"/>
      <c r="AO505" s="301"/>
      <c r="AP505" s="301"/>
    </row>
    <row r="506" spans="10:42" ht="13.5" customHeight="1">
      <c r="J506" s="301"/>
      <c r="K506" s="301"/>
      <c r="L506" s="301"/>
      <c r="M506" s="301"/>
      <c r="N506" s="301"/>
      <c r="O506" s="301"/>
      <c r="P506" s="301"/>
      <c r="Q506" s="301"/>
      <c r="R506" s="301"/>
      <c r="S506" s="301"/>
      <c r="T506" s="301"/>
      <c r="U506" s="301"/>
      <c r="V506" s="301"/>
      <c r="W506" s="301"/>
      <c r="X506" s="301"/>
      <c r="Y506" s="301"/>
      <c r="Z506" s="301"/>
      <c r="AA506" s="301"/>
      <c r="AB506" s="301"/>
      <c r="AC506" s="301"/>
      <c r="AD506" s="301"/>
      <c r="AE506" s="301"/>
      <c r="AF506" s="301"/>
      <c r="AG506" s="301"/>
      <c r="AH506" s="301"/>
      <c r="AI506" s="301"/>
      <c r="AJ506" s="301"/>
      <c r="AK506" s="301"/>
      <c r="AL506" s="301"/>
      <c r="AM506" s="301"/>
      <c r="AN506" s="301"/>
      <c r="AO506" s="301"/>
      <c r="AP506" s="301"/>
    </row>
    <row r="507" spans="10:42" ht="13.5" customHeight="1">
      <c r="J507" s="301"/>
      <c r="K507" s="301"/>
      <c r="L507" s="301"/>
      <c r="M507" s="301"/>
      <c r="N507" s="301"/>
      <c r="O507" s="301"/>
      <c r="P507" s="301"/>
      <c r="Q507" s="301"/>
      <c r="R507" s="301"/>
      <c r="S507" s="301"/>
      <c r="T507" s="301"/>
      <c r="U507" s="301"/>
      <c r="V507" s="301"/>
      <c r="W507" s="301"/>
      <c r="X507" s="301"/>
      <c r="Y507" s="301"/>
      <c r="Z507" s="301"/>
      <c r="AA507" s="301"/>
      <c r="AB507" s="301"/>
      <c r="AC507" s="301"/>
      <c r="AD507" s="301"/>
      <c r="AE507" s="301"/>
      <c r="AF507" s="301"/>
      <c r="AG507" s="301"/>
      <c r="AH507" s="301"/>
      <c r="AI507" s="301"/>
      <c r="AJ507" s="301"/>
      <c r="AK507" s="301"/>
      <c r="AL507" s="301"/>
      <c r="AM507" s="301"/>
      <c r="AN507" s="301"/>
      <c r="AO507" s="301"/>
      <c r="AP507" s="301"/>
    </row>
    <row r="508" spans="10:42" ht="13.5" customHeight="1">
      <c r="J508" s="301"/>
      <c r="K508" s="301"/>
      <c r="L508" s="301"/>
      <c r="M508" s="301"/>
      <c r="N508" s="301"/>
      <c r="O508" s="301"/>
      <c r="P508" s="301"/>
      <c r="Q508" s="301"/>
      <c r="R508" s="301"/>
      <c r="S508" s="301"/>
      <c r="T508" s="301"/>
      <c r="U508" s="301"/>
      <c r="V508" s="301"/>
      <c r="W508" s="301"/>
      <c r="X508" s="301"/>
      <c r="Y508" s="301"/>
      <c r="Z508" s="301"/>
      <c r="AA508" s="301"/>
      <c r="AB508" s="301"/>
      <c r="AC508" s="301"/>
      <c r="AD508" s="301"/>
      <c r="AE508" s="301"/>
      <c r="AF508" s="301"/>
      <c r="AG508" s="301"/>
      <c r="AH508" s="301"/>
      <c r="AI508" s="301"/>
      <c r="AJ508" s="301"/>
      <c r="AK508" s="301"/>
      <c r="AL508" s="301"/>
      <c r="AM508" s="301"/>
      <c r="AN508" s="301"/>
      <c r="AO508" s="301"/>
      <c r="AP508" s="301"/>
    </row>
    <row r="509" spans="10:42" ht="13.5" customHeight="1">
      <c r="J509" s="301"/>
      <c r="K509" s="301"/>
      <c r="L509" s="301"/>
      <c r="M509" s="301"/>
      <c r="N509" s="301"/>
      <c r="O509" s="301"/>
      <c r="P509" s="301"/>
      <c r="Q509" s="301"/>
      <c r="R509" s="301"/>
      <c r="S509" s="301"/>
      <c r="T509" s="301"/>
      <c r="U509" s="301"/>
      <c r="V509" s="301"/>
      <c r="W509" s="301"/>
      <c r="X509" s="301"/>
      <c r="Y509" s="301"/>
      <c r="Z509" s="301"/>
      <c r="AA509" s="301"/>
      <c r="AB509" s="301"/>
      <c r="AC509" s="301"/>
      <c r="AD509" s="301"/>
      <c r="AE509" s="301"/>
      <c r="AF509" s="301"/>
      <c r="AG509" s="301"/>
      <c r="AH509" s="301"/>
      <c r="AI509" s="301"/>
      <c r="AJ509" s="301"/>
      <c r="AK509" s="301"/>
      <c r="AL509" s="301"/>
      <c r="AM509" s="301"/>
      <c r="AN509" s="301"/>
      <c r="AO509" s="301"/>
      <c r="AP509" s="301"/>
    </row>
    <row r="510" spans="10:42" ht="13.5" customHeight="1">
      <c r="J510" s="301"/>
      <c r="K510" s="301"/>
      <c r="L510" s="301"/>
      <c r="M510" s="301"/>
      <c r="N510" s="301"/>
      <c r="O510" s="301"/>
      <c r="P510" s="301"/>
      <c r="Q510" s="301"/>
      <c r="R510" s="301"/>
      <c r="S510" s="301"/>
      <c r="T510" s="301"/>
      <c r="U510" s="301"/>
      <c r="V510" s="301"/>
      <c r="W510" s="301"/>
      <c r="X510" s="301"/>
      <c r="Y510" s="301"/>
      <c r="Z510" s="301"/>
      <c r="AA510" s="301"/>
      <c r="AB510" s="301"/>
      <c r="AC510" s="301"/>
      <c r="AD510" s="301"/>
      <c r="AE510" s="301"/>
      <c r="AF510" s="301"/>
      <c r="AG510" s="301"/>
      <c r="AH510" s="301"/>
      <c r="AI510" s="301"/>
      <c r="AJ510" s="301"/>
      <c r="AK510" s="301"/>
      <c r="AL510" s="301"/>
      <c r="AM510" s="301"/>
      <c r="AN510" s="301"/>
      <c r="AO510" s="301"/>
      <c r="AP510" s="301"/>
    </row>
    <row r="511" spans="10:42" ht="13.5" customHeight="1">
      <c r="J511" s="301"/>
      <c r="K511" s="301"/>
      <c r="L511" s="301"/>
      <c r="M511" s="301"/>
      <c r="N511" s="301"/>
      <c r="O511" s="301"/>
      <c r="P511" s="301"/>
      <c r="Q511" s="301"/>
      <c r="R511" s="301"/>
      <c r="S511" s="301"/>
      <c r="T511" s="301"/>
      <c r="U511" s="301"/>
      <c r="V511" s="301"/>
      <c r="W511" s="301"/>
      <c r="X511" s="301"/>
      <c r="Y511" s="301"/>
      <c r="Z511" s="301"/>
      <c r="AA511" s="301"/>
      <c r="AB511" s="301"/>
      <c r="AC511" s="301"/>
      <c r="AD511" s="301"/>
      <c r="AE511" s="301"/>
      <c r="AF511" s="301"/>
      <c r="AG511" s="301"/>
      <c r="AH511" s="301"/>
      <c r="AI511" s="301"/>
      <c r="AJ511" s="301"/>
      <c r="AK511" s="301"/>
      <c r="AL511" s="301"/>
      <c r="AM511" s="301"/>
      <c r="AN511" s="301"/>
      <c r="AO511" s="301"/>
      <c r="AP511" s="301"/>
    </row>
    <row r="512" spans="10:42" ht="13.5" customHeight="1">
      <c r="J512" s="301"/>
      <c r="K512" s="301"/>
      <c r="L512" s="301"/>
      <c r="M512" s="301"/>
      <c r="N512" s="301"/>
      <c r="O512" s="301"/>
      <c r="P512" s="301"/>
      <c r="Q512" s="301"/>
      <c r="R512" s="301"/>
      <c r="S512" s="301"/>
      <c r="T512" s="301"/>
      <c r="U512" s="301"/>
      <c r="V512" s="301"/>
      <c r="W512" s="301"/>
      <c r="X512" s="301"/>
      <c r="Y512" s="301"/>
      <c r="Z512" s="301"/>
      <c r="AA512" s="301"/>
      <c r="AB512" s="301"/>
      <c r="AC512" s="301"/>
      <c r="AD512" s="301"/>
      <c r="AE512" s="301"/>
      <c r="AF512" s="301"/>
      <c r="AG512" s="301"/>
      <c r="AH512" s="301"/>
      <c r="AI512" s="301"/>
      <c r="AJ512" s="301"/>
      <c r="AK512" s="301"/>
      <c r="AL512" s="301"/>
      <c r="AM512" s="301"/>
      <c r="AN512" s="301"/>
      <c r="AO512" s="301"/>
      <c r="AP512" s="301"/>
    </row>
    <row r="513" spans="10:42" ht="13.5" customHeight="1">
      <c r="J513" s="301"/>
      <c r="K513" s="301"/>
      <c r="L513" s="301"/>
      <c r="M513" s="301"/>
      <c r="N513" s="301"/>
      <c r="O513" s="301"/>
      <c r="P513" s="301"/>
      <c r="Q513" s="301"/>
      <c r="R513" s="301"/>
      <c r="S513" s="301"/>
      <c r="T513" s="301"/>
      <c r="U513" s="301"/>
      <c r="V513" s="301"/>
      <c r="W513" s="301"/>
      <c r="X513" s="301"/>
      <c r="Y513" s="301"/>
      <c r="Z513" s="301"/>
      <c r="AA513" s="301"/>
      <c r="AB513" s="301"/>
      <c r="AC513" s="301"/>
      <c r="AD513" s="301"/>
      <c r="AE513" s="301"/>
      <c r="AF513" s="301"/>
      <c r="AG513" s="301"/>
      <c r="AH513" s="301"/>
      <c r="AI513" s="301"/>
      <c r="AJ513" s="301"/>
      <c r="AK513" s="301"/>
      <c r="AL513" s="301"/>
      <c r="AM513" s="301"/>
      <c r="AN513" s="301"/>
      <c r="AO513" s="301"/>
      <c r="AP513" s="301"/>
    </row>
    <row r="514" spans="10:42" ht="13.5" customHeight="1">
      <c r="J514" s="301"/>
      <c r="K514" s="301"/>
      <c r="L514" s="301"/>
      <c r="M514" s="301"/>
      <c r="N514" s="301"/>
      <c r="O514" s="301"/>
      <c r="P514" s="301"/>
      <c r="Q514" s="301"/>
      <c r="R514" s="301"/>
      <c r="S514" s="301"/>
      <c r="T514" s="301"/>
      <c r="U514" s="301"/>
      <c r="V514" s="301"/>
      <c r="W514" s="301"/>
      <c r="X514" s="301"/>
      <c r="Y514" s="301"/>
      <c r="Z514" s="301"/>
      <c r="AA514" s="301"/>
      <c r="AB514" s="301"/>
      <c r="AC514" s="301"/>
      <c r="AD514" s="301"/>
      <c r="AE514" s="301"/>
      <c r="AF514" s="301"/>
      <c r="AG514" s="301"/>
      <c r="AH514" s="301"/>
      <c r="AI514" s="301"/>
      <c r="AJ514" s="301"/>
      <c r="AK514" s="301"/>
      <c r="AL514" s="301"/>
      <c r="AM514" s="301"/>
      <c r="AN514" s="301"/>
      <c r="AO514" s="301"/>
      <c r="AP514" s="301"/>
    </row>
    <row r="515" spans="10:42" ht="13.5" customHeight="1">
      <c r="J515" s="301"/>
      <c r="K515" s="301"/>
      <c r="L515" s="301"/>
      <c r="M515" s="301"/>
      <c r="N515" s="301"/>
      <c r="O515" s="301"/>
      <c r="P515" s="301"/>
      <c r="Q515" s="301"/>
      <c r="R515" s="301"/>
      <c r="S515" s="301"/>
      <c r="T515" s="301"/>
      <c r="U515" s="301"/>
      <c r="V515" s="301"/>
      <c r="W515" s="301"/>
      <c r="X515" s="301"/>
      <c r="Y515" s="301"/>
      <c r="Z515" s="301"/>
      <c r="AA515" s="301"/>
      <c r="AB515" s="301"/>
      <c r="AC515" s="301"/>
      <c r="AD515" s="301"/>
      <c r="AE515" s="301"/>
      <c r="AF515" s="301"/>
      <c r="AG515" s="301"/>
      <c r="AH515" s="301"/>
      <c r="AI515" s="301"/>
      <c r="AJ515" s="301"/>
      <c r="AK515" s="301"/>
      <c r="AL515" s="301"/>
      <c r="AM515" s="301"/>
      <c r="AN515" s="301"/>
      <c r="AO515" s="301"/>
      <c r="AP515" s="301"/>
    </row>
    <row r="516" spans="10:42" ht="13.5" customHeight="1">
      <c r="J516" s="301"/>
      <c r="K516" s="301"/>
      <c r="L516" s="301"/>
      <c r="M516" s="301"/>
      <c r="N516" s="301"/>
      <c r="O516" s="301"/>
      <c r="P516" s="301"/>
      <c r="Q516" s="301"/>
      <c r="R516" s="301"/>
      <c r="S516" s="301"/>
      <c r="T516" s="301"/>
      <c r="U516" s="301"/>
      <c r="V516" s="301"/>
      <c r="W516" s="301"/>
      <c r="X516" s="301"/>
      <c r="Y516" s="301"/>
      <c r="Z516" s="301"/>
      <c r="AA516" s="301"/>
      <c r="AB516" s="301"/>
      <c r="AC516" s="301"/>
      <c r="AD516" s="301"/>
      <c r="AE516" s="301"/>
      <c r="AF516" s="301"/>
      <c r="AG516" s="301"/>
      <c r="AH516" s="301"/>
      <c r="AI516" s="301"/>
      <c r="AJ516" s="301"/>
      <c r="AK516" s="301"/>
      <c r="AL516" s="301"/>
      <c r="AM516" s="301"/>
      <c r="AN516" s="301"/>
      <c r="AO516" s="301"/>
      <c r="AP516" s="301"/>
    </row>
    <row r="517" spans="10:42" ht="13.5" customHeight="1">
      <c r="J517" s="301"/>
      <c r="K517" s="301"/>
      <c r="L517" s="301"/>
      <c r="M517" s="301"/>
      <c r="N517" s="301"/>
      <c r="O517" s="301"/>
      <c r="P517" s="301"/>
      <c r="Q517" s="301"/>
      <c r="R517" s="301"/>
      <c r="S517" s="301"/>
      <c r="T517" s="301"/>
      <c r="U517" s="301"/>
      <c r="V517" s="301"/>
      <c r="W517" s="301"/>
      <c r="X517" s="301"/>
      <c r="Y517" s="301"/>
      <c r="Z517" s="301"/>
      <c r="AA517" s="301"/>
      <c r="AB517" s="301"/>
      <c r="AC517" s="301"/>
      <c r="AD517" s="301"/>
      <c r="AE517" s="301"/>
      <c r="AF517" s="301"/>
      <c r="AG517" s="301"/>
      <c r="AH517" s="301"/>
      <c r="AI517" s="301"/>
      <c r="AJ517" s="301"/>
      <c r="AK517" s="301"/>
      <c r="AL517" s="301"/>
      <c r="AM517" s="301"/>
      <c r="AN517" s="301"/>
      <c r="AO517" s="301"/>
      <c r="AP517" s="301"/>
    </row>
    <row r="518" spans="10:42" ht="13.5" customHeight="1">
      <c r="J518" s="301"/>
      <c r="K518" s="301"/>
      <c r="L518" s="301"/>
      <c r="M518" s="301"/>
      <c r="N518" s="301"/>
      <c r="O518" s="301"/>
      <c r="P518" s="301"/>
      <c r="Q518" s="301"/>
      <c r="R518" s="301"/>
      <c r="S518" s="301"/>
      <c r="T518" s="301"/>
      <c r="U518" s="301"/>
      <c r="V518" s="301"/>
      <c r="W518" s="301"/>
      <c r="X518" s="301"/>
      <c r="Y518" s="301"/>
      <c r="Z518" s="301"/>
      <c r="AA518" s="301"/>
      <c r="AB518" s="301"/>
      <c r="AC518" s="301"/>
      <c r="AD518" s="301"/>
      <c r="AE518" s="301"/>
      <c r="AF518" s="301"/>
      <c r="AG518" s="301"/>
      <c r="AH518" s="301"/>
      <c r="AI518" s="301"/>
      <c r="AJ518" s="301"/>
      <c r="AK518" s="301"/>
      <c r="AL518" s="301"/>
      <c r="AM518" s="301"/>
      <c r="AN518" s="301"/>
      <c r="AO518" s="301"/>
      <c r="AP518" s="301"/>
    </row>
    <row r="519" spans="10:42" ht="13.5" customHeight="1">
      <c r="J519" s="301"/>
      <c r="K519" s="301"/>
      <c r="L519" s="301"/>
      <c r="M519" s="301"/>
      <c r="N519" s="301"/>
      <c r="O519" s="301"/>
      <c r="P519" s="301"/>
      <c r="Q519" s="301"/>
      <c r="R519" s="301"/>
      <c r="S519" s="301"/>
      <c r="T519" s="301"/>
      <c r="U519" s="301"/>
      <c r="V519" s="301"/>
      <c r="W519" s="301"/>
      <c r="X519" s="301"/>
      <c r="Y519" s="301"/>
      <c r="Z519" s="301"/>
      <c r="AA519" s="301"/>
      <c r="AB519" s="301"/>
      <c r="AC519" s="301"/>
      <c r="AD519" s="301"/>
      <c r="AE519" s="301"/>
      <c r="AF519" s="301"/>
      <c r="AG519" s="301"/>
      <c r="AH519" s="301"/>
      <c r="AI519" s="301"/>
      <c r="AJ519" s="301"/>
      <c r="AK519" s="301"/>
      <c r="AL519" s="301"/>
      <c r="AM519" s="301"/>
      <c r="AN519" s="301"/>
      <c r="AO519" s="301"/>
      <c r="AP519" s="301"/>
    </row>
    <row r="520" spans="10:42" ht="13.5" customHeight="1">
      <c r="J520" s="301"/>
      <c r="K520" s="301"/>
      <c r="L520" s="301"/>
      <c r="M520" s="301"/>
      <c r="N520" s="301"/>
      <c r="O520" s="301"/>
      <c r="P520" s="301"/>
      <c r="Q520" s="301"/>
      <c r="R520" s="301"/>
      <c r="S520" s="301"/>
      <c r="T520" s="301"/>
      <c r="U520" s="301"/>
      <c r="V520" s="301"/>
      <c r="W520" s="301"/>
      <c r="X520" s="301"/>
      <c r="Y520" s="301"/>
      <c r="Z520" s="301"/>
      <c r="AA520" s="301"/>
      <c r="AB520" s="301"/>
      <c r="AC520" s="301"/>
      <c r="AD520" s="301"/>
      <c r="AE520" s="301"/>
      <c r="AF520" s="301"/>
      <c r="AG520" s="301"/>
      <c r="AH520" s="301"/>
      <c r="AI520" s="301"/>
      <c r="AJ520" s="301"/>
      <c r="AK520" s="301"/>
      <c r="AL520" s="301"/>
      <c r="AM520" s="301"/>
      <c r="AN520" s="301"/>
      <c r="AO520" s="301"/>
      <c r="AP520" s="301"/>
    </row>
    <row r="521" spans="10:42" ht="13.5" customHeight="1">
      <c r="J521" s="301"/>
      <c r="K521" s="301"/>
      <c r="L521" s="301"/>
      <c r="M521" s="301"/>
      <c r="N521" s="301"/>
      <c r="O521" s="301"/>
      <c r="P521" s="301"/>
      <c r="Q521" s="301"/>
      <c r="R521" s="301"/>
      <c r="S521" s="301"/>
      <c r="T521" s="301"/>
      <c r="U521" s="301"/>
      <c r="V521" s="301"/>
      <c r="W521" s="301"/>
      <c r="X521" s="301"/>
      <c r="Y521" s="301"/>
      <c r="Z521" s="301"/>
      <c r="AA521" s="301"/>
      <c r="AB521" s="301"/>
      <c r="AC521" s="301"/>
      <c r="AD521" s="301"/>
      <c r="AE521" s="301"/>
      <c r="AF521" s="301"/>
      <c r="AG521" s="301"/>
      <c r="AH521" s="301"/>
      <c r="AI521" s="301"/>
      <c r="AJ521" s="301"/>
      <c r="AK521" s="301"/>
      <c r="AL521" s="301"/>
      <c r="AM521" s="301"/>
      <c r="AN521" s="301"/>
      <c r="AO521" s="301"/>
      <c r="AP521" s="301"/>
    </row>
    <row r="522" spans="10:42" ht="13.5" customHeight="1">
      <c r="J522" s="301"/>
      <c r="K522" s="301"/>
      <c r="L522" s="301"/>
      <c r="M522" s="301"/>
      <c r="N522" s="301"/>
      <c r="O522" s="301"/>
      <c r="P522" s="301"/>
      <c r="Q522" s="301"/>
      <c r="R522" s="301"/>
      <c r="S522" s="301"/>
      <c r="T522" s="301"/>
      <c r="U522" s="301"/>
      <c r="V522" s="301"/>
      <c r="W522" s="301"/>
      <c r="X522" s="301"/>
      <c r="Y522" s="301"/>
      <c r="Z522" s="301"/>
      <c r="AA522" s="301"/>
      <c r="AB522" s="301"/>
      <c r="AC522" s="301"/>
      <c r="AD522" s="301"/>
      <c r="AE522" s="301"/>
      <c r="AF522" s="301"/>
      <c r="AG522" s="301"/>
      <c r="AH522" s="301"/>
      <c r="AI522" s="301"/>
      <c r="AJ522" s="301"/>
      <c r="AK522" s="301"/>
      <c r="AL522" s="301"/>
      <c r="AM522" s="301"/>
      <c r="AN522" s="301"/>
      <c r="AO522" s="301"/>
      <c r="AP522" s="301"/>
    </row>
    <row r="523" spans="10:42" ht="13.5" customHeight="1">
      <c r="J523" s="301"/>
      <c r="K523" s="301"/>
      <c r="L523" s="301"/>
      <c r="M523" s="301"/>
      <c r="N523" s="301"/>
      <c r="O523" s="301"/>
      <c r="P523" s="301"/>
      <c r="Q523" s="301"/>
      <c r="R523" s="301"/>
      <c r="S523" s="301"/>
      <c r="T523" s="301"/>
      <c r="U523" s="301"/>
      <c r="V523" s="301"/>
      <c r="W523" s="301"/>
      <c r="X523" s="301"/>
      <c r="Y523" s="301"/>
      <c r="Z523" s="301"/>
      <c r="AA523" s="301"/>
      <c r="AB523" s="301"/>
      <c r="AC523" s="301"/>
      <c r="AD523" s="301"/>
      <c r="AE523" s="301"/>
      <c r="AF523" s="301"/>
      <c r="AG523" s="301"/>
      <c r="AH523" s="301"/>
      <c r="AI523" s="301"/>
      <c r="AJ523" s="301"/>
      <c r="AK523" s="301"/>
      <c r="AL523" s="301"/>
      <c r="AM523" s="301"/>
      <c r="AN523" s="301"/>
      <c r="AO523" s="301"/>
      <c r="AP523" s="301"/>
    </row>
    <row r="524" spans="10:42" ht="13.5" customHeight="1">
      <c r="J524" s="301"/>
      <c r="K524" s="301"/>
      <c r="L524" s="301"/>
      <c r="M524" s="301"/>
      <c r="N524" s="301"/>
      <c r="O524" s="301"/>
      <c r="P524" s="301"/>
      <c r="Q524" s="301"/>
      <c r="R524" s="301"/>
      <c r="S524" s="301"/>
      <c r="T524" s="301"/>
      <c r="U524" s="301"/>
      <c r="V524" s="301"/>
      <c r="W524" s="301"/>
      <c r="X524" s="301"/>
      <c r="Y524" s="301"/>
      <c r="Z524" s="301"/>
      <c r="AA524" s="301"/>
      <c r="AB524" s="301"/>
      <c r="AC524" s="301"/>
      <c r="AD524" s="301"/>
      <c r="AE524" s="301"/>
      <c r="AF524" s="301"/>
      <c r="AG524" s="301"/>
      <c r="AH524" s="301"/>
      <c r="AI524" s="301"/>
      <c r="AJ524" s="301"/>
      <c r="AK524" s="301"/>
      <c r="AL524" s="301"/>
      <c r="AM524" s="301"/>
      <c r="AN524" s="301"/>
      <c r="AO524" s="301"/>
      <c r="AP524" s="301"/>
    </row>
    <row r="525" spans="10:42" ht="13.5" customHeight="1">
      <c r="J525" s="301"/>
      <c r="K525" s="301"/>
      <c r="L525" s="301"/>
      <c r="M525" s="301"/>
      <c r="N525" s="301"/>
      <c r="O525" s="301"/>
      <c r="P525" s="301"/>
      <c r="Q525" s="301"/>
      <c r="R525" s="301"/>
      <c r="S525" s="301"/>
      <c r="T525" s="301"/>
      <c r="U525" s="301"/>
      <c r="V525" s="301"/>
      <c r="W525" s="301"/>
      <c r="X525" s="301"/>
      <c r="Y525" s="301"/>
      <c r="Z525" s="301"/>
      <c r="AA525" s="301"/>
      <c r="AB525" s="301"/>
      <c r="AC525" s="301"/>
      <c r="AD525" s="301"/>
      <c r="AE525" s="301"/>
      <c r="AF525" s="301"/>
      <c r="AG525" s="301"/>
      <c r="AH525" s="301"/>
      <c r="AI525" s="301"/>
      <c r="AJ525" s="301"/>
      <c r="AK525" s="301"/>
      <c r="AL525" s="301"/>
      <c r="AM525" s="301"/>
      <c r="AN525" s="301"/>
      <c r="AO525" s="301"/>
      <c r="AP525" s="301"/>
    </row>
    <row r="526" spans="10:42" ht="13.5" customHeight="1">
      <c r="J526" s="301"/>
      <c r="K526" s="301"/>
      <c r="L526" s="301"/>
      <c r="M526" s="301"/>
      <c r="N526" s="301"/>
      <c r="O526" s="301"/>
      <c r="P526" s="301"/>
      <c r="Q526" s="301"/>
      <c r="R526" s="301"/>
      <c r="S526" s="301"/>
      <c r="T526" s="301"/>
      <c r="U526" s="301"/>
      <c r="V526" s="301"/>
      <c r="W526" s="301"/>
      <c r="X526" s="301"/>
      <c r="Y526" s="301"/>
      <c r="Z526" s="301"/>
      <c r="AA526" s="301"/>
      <c r="AB526" s="301"/>
      <c r="AC526" s="301"/>
      <c r="AD526" s="301"/>
      <c r="AE526" s="301"/>
      <c r="AF526" s="301"/>
      <c r="AG526" s="301"/>
      <c r="AH526" s="301"/>
      <c r="AI526" s="301"/>
      <c r="AJ526" s="301"/>
      <c r="AK526" s="301"/>
      <c r="AL526" s="301"/>
      <c r="AM526" s="301"/>
      <c r="AN526" s="301"/>
      <c r="AO526" s="301"/>
      <c r="AP526" s="301"/>
    </row>
    <row r="527" spans="10:42" ht="13.5" customHeight="1">
      <c r="J527" s="301"/>
      <c r="K527" s="301"/>
      <c r="L527" s="301"/>
      <c r="M527" s="301"/>
      <c r="N527" s="301"/>
      <c r="O527" s="301"/>
      <c r="P527" s="301"/>
      <c r="Q527" s="301"/>
      <c r="R527" s="301"/>
      <c r="S527" s="301"/>
      <c r="T527" s="301"/>
      <c r="U527" s="301"/>
      <c r="V527" s="301"/>
      <c r="W527" s="301"/>
      <c r="X527" s="301"/>
      <c r="Y527" s="301"/>
      <c r="Z527" s="301"/>
      <c r="AA527" s="301"/>
      <c r="AB527" s="301"/>
      <c r="AC527" s="301"/>
      <c r="AD527" s="301"/>
      <c r="AE527" s="301"/>
      <c r="AF527" s="301"/>
      <c r="AG527" s="301"/>
      <c r="AH527" s="301"/>
      <c r="AI527" s="301"/>
      <c r="AJ527" s="301"/>
      <c r="AK527" s="301"/>
      <c r="AL527" s="301"/>
      <c r="AM527" s="301"/>
      <c r="AN527" s="301"/>
      <c r="AO527" s="301"/>
      <c r="AP527" s="301"/>
    </row>
    <row r="528" spans="10:42" ht="13.5" customHeight="1">
      <c r="J528" s="301"/>
      <c r="K528" s="301"/>
      <c r="L528" s="301"/>
      <c r="M528" s="301"/>
      <c r="N528" s="301"/>
      <c r="O528" s="301"/>
      <c r="P528" s="301"/>
      <c r="Q528" s="301"/>
      <c r="R528" s="301"/>
      <c r="S528" s="301"/>
      <c r="T528" s="301"/>
      <c r="U528" s="301"/>
      <c r="V528" s="301"/>
      <c r="W528" s="301"/>
      <c r="X528" s="301"/>
      <c r="Y528" s="301"/>
      <c r="Z528" s="301"/>
      <c r="AA528" s="301"/>
      <c r="AB528" s="301"/>
      <c r="AC528" s="301"/>
      <c r="AD528" s="301"/>
      <c r="AE528" s="301"/>
      <c r="AF528" s="301"/>
      <c r="AG528" s="301"/>
      <c r="AH528" s="301"/>
      <c r="AI528" s="301"/>
      <c r="AJ528" s="301"/>
      <c r="AK528" s="301"/>
      <c r="AL528" s="301"/>
      <c r="AM528" s="301"/>
      <c r="AN528" s="301"/>
      <c r="AO528" s="301"/>
      <c r="AP528" s="301"/>
    </row>
    <row r="529" spans="10:42" ht="13.5" customHeight="1">
      <c r="J529" s="301"/>
      <c r="K529" s="301"/>
      <c r="L529" s="301"/>
      <c r="M529" s="301"/>
      <c r="N529" s="301"/>
      <c r="O529" s="301"/>
      <c r="P529" s="301"/>
      <c r="Q529" s="301"/>
      <c r="R529" s="301"/>
      <c r="S529" s="301"/>
      <c r="T529" s="301"/>
      <c r="U529" s="301"/>
      <c r="V529" s="301"/>
      <c r="W529" s="301"/>
      <c r="X529" s="301"/>
      <c r="Y529" s="301"/>
      <c r="Z529" s="301"/>
      <c r="AA529" s="301"/>
      <c r="AB529" s="301"/>
      <c r="AC529" s="301"/>
      <c r="AD529" s="301"/>
      <c r="AE529" s="301"/>
      <c r="AF529" s="301"/>
      <c r="AG529" s="301"/>
      <c r="AH529" s="301"/>
      <c r="AI529" s="301"/>
      <c r="AJ529" s="301"/>
      <c r="AK529" s="301"/>
      <c r="AL529" s="301"/>
      <c r="AM529" s="301"/>
      <c r="AN529" s="301"/>
      <c r="AO529" s="301"/>
      <c r="AP529" s="301"/>
    </row>
    <row r="530" spans="10:42" ht="13.5" customHeight="1">
      <c r="J530" s="301"/>
      <c r="K530" s="301"/>
      <c r="L530" s="301"/>
      <c r="M530" s="301"/>
      <c r="N530" s="301"/>
      <c r="O530" s="301"/>
      <c r="P530" s="301"/>
      <c r="Q530" s="301"/>
      <c r="R530" s="301"/>
      <c r="S530" s="301"/>
      <c r="T530" s="301"/>
      <c r="U530" s="301"/>
      <c r="V530" s="301"/>
      <c r="W530" s="301"/>
      <c r="X530" s="301"/>
      <c r="Y530" s="301"/>
      <c r="Z530" s="301"/>
      <c r="AA530" s="301"/>
      <c r="AB530" s="301"/>
      <c r="AC530" s="301"/>
      <c r="AD530" s="301"/>
      <c r="AE530" s="301"/>
      <c r="AF530" s="301"/>
      <c r="AG530" s="301"/>
      <c r="AH530" s="301"/>
      <c r="AI530" s="301"/>
      <c r="AJ530" s="301"/>
      <c r="AK530" s="301"/>
      <c r="AL530" s="301"/>
      <c r="AM530" s="301"/>
      <c r="AN530" s="301"/>
      <c r="AO530" s="301"/>
      <c r="AP530" s="301"/>
    </row>
    <row r="531" spans="10:42" ht="13.5" customHeight="1">
      <c r="J531" s="301"/>
      <c r="K531" s="301"/>
      <c r="L531" s="301"/>
      <c r="M531" s="301"/>
      <c r="N531" s="301"/>
      <c r="O531" s="301"/>
      <c r="P531" s="301"/>
      <c r="Q531" s="301"/>
      <c r="R531" s="301"/>
      <c r="S531" s="301"/>
      <c r="T531" s="301"/>
      <c r="U531" s="301"/>
      <c r="V531" s="301"/>
      <c r="W531" s="301"/>
      <c r="X531" s="301"/>
      <c r="Y531" s="301"/>
      <c r="Z531" s="301"/>
      <c r="AA531" s="301"/>
      <c r="AB531" s="301"/>
      <c r="AC531" s="301"/>
      <c r="AD531" s="301"/>
      <c r="AE531" s="301"/>
      <c r="AF531" s="301"/>
      <c r="AG531" s="301"/>
      <c r="AH531" s="301"/>
      <c r="AI531" s="301"/>
      <c r="AJ531" s="301"/>
      <c r="AK531" s="301"/>
      <c r="AL531" s="301"/>
      <c r="AM531" s="301"/>
      <c r="AN531" s="301"/>
      <c r="AO531" s="301"/>
      <c r="AP531" s="301"/>
    </row>
    <row r="532" spans="10:42" ht="13.5" customHeight="1">
      <c r="J532" s="301"/>
      <c r="K532" s="301"/>
      <c r="L532" s="301"/>
      <c r="M532" s="301"/>
      <c r="N532" s="301"/>
      <c r="O532" s="301"/>
      <c r="P532" s="301"/>
      <c r="Q532" s="301"/>
      <c r="R532" s="301"/>
      <c r="S532" s="301"/>
      <c r="T532" s="301"/>
      <c r="U532" s="301"/>
      <c r="V532" s="301"/>
      <c r="W532" s="301"/>
      <c r="X532" s="301"/>
      <c r="Y532" s="301"/>
      <c r="Z532" s="301"/>
      <c r="AA532" s="301"/>
      <c r="AB532" s="301"/>
      <c r="AC532" s="301"/>
      <c r="AD532" s="301"/>
      <c r="AE532" s="301"/>
      <c r="AF532" s="301"/>
      <c r="AG532" s="301"/>
      <c r="AH532" s="301"/>
      <c r="AI532" s="301"/>
      <c r="AJ532" s="301"/>
      <c r="AK532" s="301"/>
      <c r="AL532" s="301"/>
      <c r="AM532" s="301"/>
      <c r="AN532" s="301"/>
      <c r="AO532" s="301"/>
      <c r="AP532" s="301"/>
    </row>
    <row r="533" spans="10:42" ht="13.5" customHeight="1">
      <c r="J533" s="301"/>
      <c r="K533" s="301"/>
      <c r="L533" s="301"/>
      <c r="M533" s="301"/>
      <c r="N533" s="301"/>
      <c r="O533" s="301"/>
      <c r="P533" s="301"/>
      <c r="Q533" s="301"/>
      <c r="R533" s="301"/>
      <c r="S533" s="301"/>
      <c r="T533" s="301"/>
      <c r="U533" s="301"/>
      <c r="V533" s="301"/>
      <c r="W533" s="301"/>
      <c r="X533" s="301"/>
      <c r="Y533" s="301"/>
      <c r="Z533" s="301"/>
      <c r="AA533" s="301"/>
      <c r="AB533" s="301"/>
      <c r="AC533" s="301"/>
      <c r="AD533" s="301"/>
      <c r="AE533" s="301"/>
      <c r="AF533" s="301"/>
      <c r="AG533" s="301"/>
      <c r="AH533" s="301"/>
      <c r="AI533" s="301"/>
      <c r="AJ533" s="301"/>
      <c r="AK533" s="301"/>
      <c r="AL533" s="301"/>
      <c r="AM533" s="301"/>
      <c r="AN533" s="301"/>
      <c r="AO533" s="301"/>
      <c r="AP533" s="301"/>
    </row>
    <row r="534" spans="10:42" ht="13.5" customHeight="1">
      <c r="J534" s="301"/>
      <c r="K534" s="301"/>
      <c r="L534" s="301"/>
      <c r="M534" s="301"/>
      <c r="N534" s="301"/>
      <c r="O534" s="301"/>
      <c r="P534" s="301"/>
      <c r="Q534" s="301"/>
      <c r="R534" s="301"/>
      <c r="S534" s="301"/>
      <c r="T534" s="301"/>
      <c r="U534" s="301"/>
      <c r="V534" s="301"/>
      <c r="W534" s="301"/>
      <c r="X534" s="301"/>
      <c r="Y534" s="301"/>
      <c r="Z534" s="301"/>
      <c r="AA534" s="301"/>
      <c r="AB534" s="301"/>
      <c r="AC534" s="301"/>
      <c r="AD534" s="301"/>
      <c r="AE534" s="301"/>
      <c r="AF534" s="301"/>
      <c r="AG534" s="301"/>
      <c r="AH534" s="301"/>
      <c r="AI534" s="301"/>
      <c r="AJ534" s="301"/>
      <c r="AK534" s="301"/>
      <c r="AL534" s="301"/>
      <c r="AM534" s="301"/>
      <c r="AN534" s="301"/>
      <c r="AO534" s="301"/>
      <c r="AP534" s="301"/>
    </row>
    <row r="535" spans="10:42" ht="13.5" customHeight="1">
      <c r="J535" s="301"/>
      <c r="K535" s="301"/>
      <c r="L535" s="301"/>
      <c r="M535" s="301"/>
      <c r="N535" s="301"/>
      <c r="O535" s="301"/>
      <c r="P535" s="301"/>
      <c r="Q535" s="301"/>
      <c r="R535" s="301"/>
      <c r="S535" s="301"/>
      <c r="T535" s="301"/>
      <c r="U535" s="301"/>
      <c r="V535" s="301"/>
      <c r="W535" s="301"/>
      <c r="X535" s="301"/>
      <c r="Y535" s="301"/>
      <c r="Z535" s="301"/>
      <c r="AA535" s="301"/>
      <c r="AB535" s="301"/>
      <c r="AC535" s="301"/>
      <c r="AD535" s="301"/>
      <c r="AE535" s="301"/>
      <c r="AF535" s="301"/>
      <c r="AG535" s="301"/>
      <c r="AH535" s="301"/>
      <c r="AI535" s="301"/>
      <c r="AJ535" s="301"/>
      <c r="AK535" s="301"/>
      <c r="AL535" s="301"/>
      <c r="AM535" s="301"/>
      <c r="AN535" s="301"/>
      <c r="AO535" s="301"/>
      <c r="AP535" s="301"/>
    </row>
    <row r="536" spans="10:42" ht="13.5" customHeight="1">
      <c r="J536" s="301"/>
      <c r="K536" s="301"/>
      <c r="L536" s="301"/>
      <c r="M536" s="301"/>
      <c r="N536" s="301"/>
      <c r="O536" s="301"/>
      <c r="P536" s="301"/>
      <c r="Q536" s="301"/>
      <c r="R536" s="301"/>
      <c r="S536" s="301"/>
      <c r="T536" s="301"/>
      <c r="U536" s="301"/>
      <c r="V536" s="301"/>
      <c r="W536" s="301"/>
      <c r="X536" s="301"/>
      <c r="Y536" s="301"/>
      <c r="Z536" s="301"/>
      <c r="AA536" s="301"/>
      <c r="AB536" s="301"/>
      <c r="AC536" s="301"/>
      <c r="AD536" s="301"/>
      <c r="AE536" s="301"/>
      <c r="AF536" s="301"/>
      <c r="AG536" s="301"/>
      <c r="AH536" s="301"/>
      <c r="AI536" s="301"/>
      <c r="AJ536" s="301"/>
      <c r="AK536" s="301"/>
      <c r="AL536" s="301"/>
      <c r="AM536" s="301"/>
      <c r="AN536" s="301"/>
      <c r="AO536" s="301"/>
      <c r="AP536" s="301"/>
    </row>
    <row r="537" spans="10:42" ht="13.5" customHeight="1">
      <c r="J537" s="301"/>
      <c r="K537" s="301"/>
      <c r="L537" s="301"/>
      <c r="M537" s="301"/>
      <c r="N537" s="301"/>
      <c r="O537" s="301"/>
      <c r="P537" s="301"/>
      <c r="Q537" s="301"/>
      <c r="R537" s="301"/>
      <c r="S537" s="301"/>
      <c r="T537" s="301"/>
      <c r="U537" s="301"/>
      <c r="V537" s="301"/>
      <c r="W537" s="301"/>
      <c r="X537" s="301"/>
      <c r="Y537" s="301"/>
      <c r="Z537" s="301"/>
      <c r="AA537" s="301"/>
      <c r="AB537" s="301"/>
      <c r="AC537" s="301"/>
      <c r="AD537" s="301"/>
      <c r="AE537" s="301"/>
      <c r="AF537" s="301"/>
      <c r="AG537" s="301"/>
      <c r="AH537" s="301"/>
      <c r="AI537" s="301"/>
      <c r="AJ537" s="301"/>
      <c r="AK537" s="301"/>
      <c r="AL537" s="301"/>
      <c r="AM537" s="301"/>
      <c r="AN537" s="301"/>
      <c r="AO537" s="301"/>
      <c r="AP537" s="301"/>
    </row>
    <row r="538" spans="10:42" ht="13.5" customHeight="1">
      <c r="J538" s="301"/>
      <c r="K538" s="301"/>
      <c r="L538" s="301"/>
      <c r="M538" s="301"/>
      <c r="N538" s="301"/>
      <c r="O538" s="301"/>
      <c r="P538" s="301"/>
      <c r="Q538" s="301"/>
      <c r="R538" s="301"/>
      <c r="S538" s="301"/>
      <c r="T538" s="301"/>
      <c r="U538" s="301"/>
      <c r="V538" s="301"/>
      <c r="W538" s="301"/>
      <c r="X538" s="301"/>
      <c r="Y538" s="301"/>
      <c r="Z538" s="301"/>
      <c r="AA538" s="301"/>
      <c r="AB538" s="301"/>
      <c r="AC538" s="301"/>
      <c r="AD538" s="301"/>
      <c r="AE538" s="301"/>
      <c r="AF538" s="301"/>
      <c r="AG538" s="301"/>
      <c r="AH538" s="301"/>
      <c r="AI538" s="301"/>
      <c r="AJ538" s="301"/>
      <c r="AK538" s="301"/>
      <c r="AL538" s="301"/>
      <c r="AM538" s="301"/>
      <c r="AN538" s="301"/>
      <c r="AO538" s="301"/>
      <c r="AP538" s="301"/>
    </row>
    <row r="539" spans="10:42" ht="13.5" customHeight="1">
      <c r="J539" s="301"/>
      <c r="K539" s="301"/>
      <c r="L539" s="301"/>
      <c r="M539" s="301"/>
      <c r="N539" s="301"/>
      <c r="O539" s="301"/>
      <c r="P539" s="301"/>
      <c r="Q539" s="301"/>
      <c r="R539" s="301"/>
      <c r="S539" s="301"/>
      <c r="T539" s="301"/>
      <c r="U539" s="301"/>
      <c r="V539" s="301"/>
      <c r="W539" s="301"/>
      <c r="X539" s="301"/>
      <c r="Y539" s="301"/>
      <c r="Z539" s="301"/>
      <c r="AA539" s="301"/>
      <c r="AB539" s="301"/>
      <c r="AC539" s="301"/>
      <c r="AD539" s="301"/>
      <c r="AE539" s="301"/>
      <c r="AF539" s="301"/>
      <c r="AG539" s="301"/>
      <c r="AH539" s="301"/>
      <c r="AI539" s="301"/>
      <c r="AJ539" s="301"/>
      <c r="AK539" s="301"/>
      <c r="AL539" s="301"/>
      <c r="AM539" s="301"/>
      <c r="AN539" s="301"/>
      <c r="AO539" s="301"/>
      <c r="AP539" s="301"/>
    </row>
    <row r="540" spans="10:42" ht="13.5" customHeight="1">
      <c r="J540" s="301"/>
      <c r="K540" s="301"/>
      <c r="L540" s="301"/>
      <c r="M540" s="301"/>
      <c r="N540" s="301"/>
      <c r="O540" s="301"/>
      <c r="P540" s="301"/>
      <c r="Q540" s="301"/>
      <c r="R540" s="301"/>
      <c r="S540" s="301"/>
      <c r="T540" s="301"/>
      <c r="U540" s="301"/>
      <c r="V540" s="301"/>
      <c r="W540" s="301"/>
      <c r="X540" s="301"/>
      <c r="Y540" s="301"/>
      <c r="Z540" s="301"/>
      <c r="AA540" s="301"/>
      <c r="AB540" s="301"/>
      <c r="AC540" s="301"/>
      <c r="AD540" s="301"/>
      <c r="AE540" s="301"/>
      <c r="AF540" s="301"/>
      <c r="AG540" s="301"/>
      <c r="AH540" s="301"/>
      <c r="AI540" s="301"/>
      <c r="AJ540" s="301"/>
      <c r="AK540" s="301"/>
      <c r="AL540" s="301"/>
      <c r="AM540" s="301"/>
      <c r="AN540" s="301"/>
      <c r="AO540" s="301"/>
      <c r="AP540" s="301"/>
    </row>
    <row r="541" spans="10:42" ht="13.5" customHeight="1">
      <c r="J541" s="301"/>
      <c r="K541" s="301"/>
      <c r="L541" s="301"/>
      <c r="M541" s="301"/>
      <c r="N541" s="301"/>
      <c r="O541" s="301"/>
      <c r="P541" s="301"/>
      <c r="Q541" s="301"/>
      <c r="R541" s="301"/>
      <c r="S541" s="301"/>
      <c r="T541" s="301"/>
      <c r="U541" s="301"/>
      <c r="V541" s="301"/>
      <c r="W541" s="301"/>
      <c r="X541" s="301"/>
      <c r="Y541" s="301"/>
      <c r="Z541" s="301"/>
      <c r="AA541" s="301"/>
      <c r="AB541" s="301"/>
      <c r="AC541" s="301"/>
      <c r="AD541" s="301"/>
      <c r="AE541" s="301"/>
      <c r="AF541" s="301"/>
      <c r="AG541" s="301"/>
      <c r="AH541" s="301"/>
      <c r="AI541" s="301"/>
      <c r="AJ541" s="301"/>
      <c r="AK541" s="301"/>
      <c r="AL541" s="301"/>
      <c r="AM541" s="301"/>
      <c r="AN541" s="301"/>
      <c r="AO541" s="301"/>
      <c r="AP541" s="301"/>
    </row>
    <row r="542" spans="10:42" ht="13.5" customHeight="1">
      <c r="J542" s="301"/>
      <c r="K542" s="301"/>
      <c r="L542" s="301"/>
      <c r="M542" s="301"/>
      <c r="N542" s="301"/>
      <c r="O542" s="301"/>
      <c r="P542" s="301"/>
      <c r="Q542" s="301"/>
      <c r="R542" s="301"/>
      <c r="S542" s="301"/>
      <c r="T542" s="301"/>
      <c r="U542" s="301"/>
      <c r="V542" s="301"/>
      <c r="W542" s="301"/>
      <c r="X542" s="301"/>
      <c r="Y542" s="301"/>
      <c r="Z542" s="301"/>
      <c r="AA542" s="301"/>
      <c r="AB542" s="301"/>
      <c r="AC542" s="301"/>
      <c r="AD542" s="301"/>
      <c r="AE542" s="301"/>
      <c r="AF542" s="301"/>
      <c r="AG542" s="301"/>
      <c r="AH542" s="301"/>
      <c r="AI542" s="301"/>
      <c r="AJ542" s="301"/>
      <c r="AK542" s="301"/>
      <c r="AL542" s="301"/>
      <c r="AM542" s="301"/>
      <c r="AN542" s="301"/>
      <c r="AO542" s="301"/>
      <c r="AP542" s="301"/>
    </row>
    <row r="543" spans="10:42" ht="13.5" customHeight="1">
      <c r="J543" s="301"/>
      <c r="K543" s="301"/>
      <c r="L543" s="301"/>
      <c r="M543" s="301"/>
      <c r="N543" s="301"/>
      <c r="O543" s="301"/>
      <c r="P543" s="301"/>
      <c r="Q543" s="301"/>
      <c r="R543" s="301"/>
      <c r="S543" s="301"/>
      <c r="T543" s="301"/>
      <c r="U543" s="301"/>
      <c r="V543" s="301"/>
      <c r="W543" s="301"/>
      <c r="X543" s="301"/>
      <c r="Y543" s="301"/>
      <c r="Z543" s="301"/>
      <c r="AA543" s="301"/>
      <c r="AB543" s="301"/>
      <c r="AC543" s="301"/>
      <c r="AD543" s="301"/>
      <c r="AE543" s="301"/>
      <c r="AF543" s="301"/>
      <c r="AG543" s="301"/>
      <c r="AH543" s="301"/>
      <c r="AI543" s="301"/>
      <c r="AJ543" s="301"/>
      <c r="AK543" s="301"/>
      <c r="AL543" s="301"/>
      <c r="AM543" s="301"/>
      <c r="AN543" s="301"/>
      <c r="AO543" s="301"/>
      <c r="AP543" s="301"/>
    </row>
    <row r="544" spans="10:42" ht="13.5" customHeight="1">
      <c r="J544" s="301"/>
      <c r="K544" s="301"/>
      <c r="L544" s="301"/>
      <c r="M544" s="301"/>
      <c r="N544" s="301"/>
      <c r="O544" s="301"/>
      <c r="P544" s="301"/>
      <c r="Q544" s="301"/>
      <c r="R544" s="301"/>
      <c r="S544" s="301"/>
      <c r="T544" s="301"/>
      <c r="U544" s="301"/>
      <c r="V544" s="301"/>
      <c r="W544" s="301"/>
      <c r="X544" s="301"/>
      <c r="Y544" s="301"/>
      <c r="Z544" s="301"/>
      <c r="AA544" s="301"/>
      <c r="AB544" s="301"/>
      <c r="AC544" s="301"/>
      <c r="AD544" s="301"/>
      <c r="AE544" s="301"/>
      <c r="AF544" s="301"/>
      <c r="AG544" s="301"/>
      <c r="AH544" s="301"/>
      <c r="AI544" s="301"/>
      <c r="AJ544" s="301"/>
      <c r="AK544" s="301"/>
      <c r="AL544" s="301"/>
      <c r="AM544" s="301"/>
      <c r="AN544" s="301"/>
      <c r="AO544" s="301"/>
      <c r="AP544" s="301"/>
    </row>
    <row r="545" spans="10:42" ht="13.5" customHeight="1">
      <c r="J545" s="301"/>
      <c r="K545" s="301"/>
      <c r="L545" s="301"/>
      <c r="M545" s="301"/>
      <c r="N545" s="301"/>
      <c r="O545" s="301"/>
      <c r="P545" s="301"/>
      <c r="Q545" s="301"/>
      <c r="R545" s="301"/>
      <c r="S545" s="301"/>
      <c r="T545" s="301"/>
      <c r="U545" s="301"/>
      <c r="V545" s="301"/>
      <c r="W545" s="301"/>
      <c r="X545" s="301"/>
      <c r="Y545" s="301"/>
      <c r="Z545" s="301"/>
      <c r="AA545" s="301"/>
      <c r="AB545" s="301"/>
      <c r="AC545" s="301"/>
      <c r="AD545" s="301"/>
      <c r="AE545" s="301"/>
      <c r="AF545" s="301"/>
      <c r="AG545" s="301"/>
      <c r="AH545" s="301"/>
      <c r="AI545" s="301"/>
      <c r="AJ545" s="301"/>
      <c r="AK545" s="301"/>
      <c r="AL545" s="301"/>
      <c r="AM545" s="301"/>
      <c r="AN545" s="301"/>
      <c r="AO545" s="301"/>
      <c r="AP545" s="301"/>
    </row>
    <row r="546" spans="10:42" ht="13.5" customHeight="1">
      <c r="J546" s="301"/>
      <c r="K546" s="301"/>
      <c r="L546" s="301"/>
      <c r="M546" s="301"/>
      <c r="N546" s="301"/>
      <c r="O546" s="301"/>
      <c r="P546" s="301"/>
      <c r="Q546" s="301"/>
      <c r="R546" s="301"/>
      <c r="S546" s="301"/>
      <c r="T546" s="301"/>
      <c r="U546" s="301"/>
      <c r="V546" s="301"/>
      <c r="W546" s="301"/>
      <c r="X546" s="301"/>
      <c r="Y546" s="301"/>
      <c r="Z546" s="301"/>
      <c r="AA546" s="301"/>
      <c r="AB546" s="301"/>
      <c r="AC546" s="301"/>
      <c r="AD546" s="301"/>
      <c r="AE546" s="301"/>
      <c r="AF546" s="301"/>
      <c r="AG546" s="301"/>
      <c r="AH546" s="301"/>
      <c r="AI546" s="301"/>
      <c r="AJ546" s="301"/>
      <c r="AK546" s="301"/>
      <c r="AL546" s="301"/>
      <c r="AM546" s="301"/>
      <c r="AN546" s="301"/>
      <c r="AO546" s="301"/>
      <c r="AP546" s="301"/>
    </row>
    <row r="547" spans="10:42" ht="13.5" customHeight="1">
      <c r="J547" s="301"/>
      <c r="K547" s="301"/>
      <c r="L547" s="301"/>
      <c r="M547" s="301"/>
      <c r="N547" s="301"/>
      <c r="O547" s="301"/>
      <c r="P547" s="301"/>
      <c r="Q547" s="301"/>
      <c r="R547" s="301"/>
      <c r="S547" s="301"/>
      <c r="T547" s="301"/>
      <c r="U547" s="301"/>
      <c r="V547" s="301"/>
      <c r="W547" s="301"/>
      <c r="X547" s="301"/>
      <c r="Y547" s="301"/>
      <c r="Z547" s="301"/>
      <c r="AA547" s="301"/>
      <c r="AB547" s="301"/>
      <c r="AC547" s="301"/>
      <c r="AD547" s="301"/>
      <c r="AE547" s="301"/>
      <c r="AF547" s="301"/>
      <c r="AG547" s="301"/>
      <c r="AH547" s="301"/>
      <c r="AI547" s="301"/>
      <c r="AJ547" s="301"/>
      <c r="AK547" s="301"/>
      <c r="AL547" s="301"/>
      <c r="AM547" s="301"/>
      <c r="AN547" s="301"/>
      <c r="AO547" s="301"/>
      <c r="AP547" s="301"/>
    </row>
    <row r="548" spans="10:42" ht="13.5" customHeight="1">
      <c r="J548" s="301"/>
      <c r="K548" s="301"/>
      <c r="L548" s="301"/>
      <c r="M548" s="301"/>
      <c r="N548" s="301"/>
      <c r="O548" s="301"/>
      <c r="P548" s="301"/>
      <c r="Q548" s="301"/>
      <c r="R548" s="301"/>
      <c r="S548" s="301"/>
      <c r="T548" s="301"/>
      <c r="U548" s="301"/>
      <c r="V548" s="301"/>
      <c r="W548" s="301"/>
      <c r="X548" s="301"/>
      <c r="Y548" s="301"/>
      <c r="Z548" s="301"/>
      <c r="AA548" s="301"/>
      <c r="AB548" s="301"/>
      <c r="AC548" s="301"/>
      <c r="AD548" s="301"/>
      <c r="AE548" s="301"/>
      <c r="AF548" s="301"/>
      <c r="AG548" s="301"/>
      <c r="AH548" s="301"/>
      <c r="AI548" s="301"/>
      <c r="AJ548" s="301"/>
      <c r="AK548" s="301"/>
      <c r="AL548" s="301"/>
      <c r="AM548" s="301"/>
      <c r="AN548" s="301"/>
      <c r="AO548" s="301"/>
      <c r="AP548" s="301"/>
    </row>
    <row r="549" spans="10:42" ht="13.5" customHeight="1">
      <c r="J549" s="301"/>
      <c r="K549" s="301"/>
      <c r="L549" s="301"/>
      <c r="M549" s="301"/>
      <c r="N549" s="301"/>
      <c r="O549" s="301"/>
      <c r="P549" s="301"/>
      <c r="Q549" s="301"/>
      <c r="R549" s="301"/>
      <c r="S549" s="301"/>
      <c r="T549" s="301"/>
      <c r="U549" s="301"/>
      <c r="V549" s="301"/>
      <c r="W549" s="301"/>
      <c r="X549" s="301"/>
      <c r="Y549" s="301"/>
      <c r="Z549" s="301"/>
      <c r="AA549" s="301"/>
      <c r="AB549" s="301"/>
      <c r="AC549" s="301"/>
      <c r="AD549" s="301"/>
      <c r="AE549" s="301"/>
      <c r="AF549" s="301"/>
      <c r="AG549" s="301"/>
      <c r="AH549" s="301"/>
      <c r="AI549" s="301"/>
      <c r="AJ549" s="301"/>
      <c r="AK549" s="301"/>
      <c r="AL549" s="301"/>
      <c r="AM549" s="301"/>
      <c r="AN549" s="301"/>
      <c r="AO549" s="301"/>
      <c r="AP549" s="301"/>
    </row>
    <row r="550" spans="10:42" ht="13.5" customHeight="1">
      <c r="J550" s="301"/>
      <c r="K550" s="301"/>
      <c r="L550" s="301"/>
      <c r="M550" s="301"/>
      <c r="N550" s="301"/>
      <c r="O550" s="301"/>
      <c r="P550" s="301"/>
      <c r="Q550" s="301"/>
      <c r="R550" s="301"/>
      <c r="S550" s="301"/>
      <c r="T550" s="301"/>
      <c r="U550" s="301"/>
      <c r="V550" s="301"/>
      <c r="W550" s="301"/>
      <c r="X550" s="301"/>
      <c r="Y550" s="301"/>
      <c r="Z550" s="301"/>
      <c r="AA550" s="301"/>
      <c r="AB550" s="301"/>
      <c r="AC550" s="301"/>
      <c r="AD550" s="301"/>
      <c r="AE550" s="301"/>
      <c r="AF550" s="301"/>
      <c r="AG550" s="301"/>
      <c r="AH550" s="301"/>
      <c r="AI550" s="301"/>
      <c r="AJ550" s="301"/>
      <c r="AK550" s="301"/>
      <c r="AL550" s="301"/>
      <c r="AM550" s="301"/>
      <c r="AN550" s="301"/>
      <c r="AO550" s="301"/>
      <c r="AP550" s="301"/>
    </row>
    <row r="551" spans="10:42" ht="13.5" customHeight="1">
      <c r="J551" s="301"/>
      <c r="K551" s="301"/>
      <c r="L551" s="301"/>
      <c r="M551" s="301"/>
      <c r="N551" s="301"/>
      <c r="O551" s="301"/>
      <c r="P551" s="301"/>
      <c r="Q551" s="301"/>
      <c r="R551" s="301"/>
      <c r="S551" s="301"/>
      <c r="T551" s="301"/>
      <c r="U551" s="301"/>
      <c r="V551" s="301"/>
      <c r="W551" s="301"/>
      <c r="X551" s="301"/>
      <c r="Y551" s="301"/>
      <c r="Z551" s="301"/>
      <c r="AA551" s="301"/>
      <c r="AB551" s="301"/>
      <c r="AC551" s="301"/>
      <c r="AD551" s="301"/>
      <c r="AE551" s="301"/>
      <c r="AF551" s="301"/>
      <c r="AG551" s="301"/>
      <c r="AH551" s="301"/>
      <c r="AI551" s="301"/>
      <c r="AJ551" s="301"/>
      <c r="AK551" s="301"/>
      <c r="AL551" s="301"/>
      <c r="AM551" s="301"/>
      <c r="AN551" s="301"/>
      <c r="AO551" s="301"/>
      <c r="AP551" s="301"/>
    </row>
    <row r="552" spans="10:42" ht="13.5" customHeight="1">
      <c r="J552" s="301"/>
      <c r="K552" s="301"/>
      <c r="L552" s="301"/>
      <c r="M552" s="301"/>
      <c r="N552" s="301"/>
      <c r="O552" s="301"/>
      <c r="P552" s="301"/>
      <c r="Q552" s="301"/>
      <c r="R552" s="301"/>
      <c r="S552" s="301"/>
      <c r="T552" s="301"/>
      <c r="U552" s="301"/>
      <c r="V552" s="301"/>
      <c r="W552" s="301"/>
      <c r="X552" s="301"/>
      <c r="Y552" s="301"/>
      <c r="Z552" s="301"/>
      <c r="AA552" s="301"/>
      <c r="AB552" s="301"/>
      <c r="AC552" s="301"/>
      <c r="AD552" s="301"/>
      <c r="AE552" s="301"/>
      <c r="AF552" s="301"/>
      <c r="AG552" s="301"/>
      <c r="AH552" s="301"/>
      <c r="AI552" s="301"/>
      <c r="AJ552" s="301"/>
      <c r="AK552" s="301"/>
      <c r="AL552" s="301"/>
      <c r="AM552" s="301"/>
      <c r="AN552" s="301"/>
      <c r="AO552" s="301"/>
      <c r="AP552" s="301"/>
    </row>
    <row r="553" spans="10:42" ht="13.5" customHeight="1">
      <c r="J553" s="301"/>
      <c r="K553" s="301"/>
      <c r="L553" s="301"/>
      <c r="M553" s="301"/>
      <c r="N553" s="301"/>
      <c r="O553" s="301"/>
      <c r="P553" s="301"/>
      <c r="Q553" s="301"/>
      <c r="R553" s="301"/>
      <c r="S553" s="301"/>
      <c r="T553" s="301"/>
      <c r="U553" s="301"/>
      <c r="V553" s="301"/>
      <c r="W553" s="301"/>
      <c r="X553" s="301"/>
      <c r="Y553" s="301"/>
      <c r="Z553" s="301"/>
      <c r="AA553" s="301"/>
      <c r="AB553" s="301"/>
      <c r="AC553" s="301"/>
      <c r="AD553" s="301"/>
      <c r="AE553" s="301"/>
      <c r="AF553" s="301"/>
      <c r="AG553" s="301"/>
      <c r="AH553" s="301"/>
      <c r="AI553" s="301"/>
      <c r="AJ553" s="301"/>
      <c r="AK553" s="301"/>
      <c r="AL553" s="301"/>
      <c r="AM553" s="301"/>
      <c r="AN553" s="301"/>
      <c r="AO553" s="301"/>
      <c r="AP553" s="301"/>
    </row>
    <row r="554" spans="10:42" ht="13.5" customHeight="1">
      <c r="J554" s="301"/>
      <c r="K554" s="301"/>
      <c r="L554" s="301"/>
      <c r="M554" s="301"/>
      <c r="N554" s="301"/>
      <c r="O554" s="301"/>
      <c r="P554" s="301"/>
      <c r="Q554" s="301"/>
      <c r="R554" s="301"/>
      <c r="S554" s="301"/>
      <c r="T554" s="301"/>
      <c r="U554" s="301"/>
      <c r="V554" s="301"/>
      <c r="W554" s="301"/>
      <c r="X554" s="301"/>
      <c r="Y554" s="301"/>
      <c r="Z554" s="301"/>
      <c r="AA554" s="301"/>
      <c r="AB554" s="301"/>
      <c r="AC554" s="301"/>
      <c r="AD554" s="301"/>
      <c r="AE554" s="301"/>
      <c r="AF554" s="301"/>
      <c r="AG554" s="301"/>
      <c r="AH554" s="301"/>
      <c r="AI554" s="301"/>
      <c r="AJ554" s="301"/>
      <c r="AK554" s="301"/>
      <c r="AL554" s="301"/>
      <c r="AM554" s="301"/>
      <c r="AN554" s="301"/>
      <c r="AO554" s="301"/>
      <c r="AP554" s="301"/>
    </row>
    <row r="555" spans="10:42" ht="13.5" customHeight="1">
      <c r="J555" s="301"/>
      <c r="K555" s="301"/>
      <c r="L555" s="301"/>
      <c r="M555" s="301"/>
      <c r="N555" s="301"/>
      <c r="O555" s="301"/>
      <c r="P555" s="301"/>
      <c r="Q555" s="301"/>
      <c r="R555" s="301"/>
      <c r="S555" s="301"/>
      <c r="T555" s="301"/>
      <c r="U555" s="301"/>
      <c r="V555" s="301"/>
      <c r="W555" s="301"/>
      <c r="X555" s="301"/>
      <c r="Y555" s="301"/>
      <c r="Z555" s="301"/>
      <c r="AA555" s="301"/>
      <c r="AB555" s="301"/>
      <c r="AC555" s="301"/>
      <c r="AD555" s="301"/>
      <c r="AE555" s="301"/>
      <c r="AF555" s="301"/>
      <c r="AG555" s="301"/>
      <c r="AH555" s="301"/>
      <c r="AI555" s="301"/>
      <c r="AJ555" s="301"/>
      <c r="AK555" s="301"/>
      <c r="AL555" s="301"/>
      <c r="AM555" s="301"/>
      <c r="AN555" s="301"/>
      <c r="AO555" s="301"/>
      <c r="AP555" s="301"/>
    </row>
    <row r="556" spans="10:42" ht="13.5" customHeight="1">
      <c r="J556" s="301"/>
      <c r="K556" s="301"/>
      <c r="L556" s="301"/>
      <c r="M556" s="301"/>
      <c r="N556" s="301"/>
      <c r="O556" s="301"/>
      <c r="P556" s="301"/>
      <c r="Q556" s="301"/>
      <c r="R556" s="301"/>
      <c r="S556" s="301"/>
      <c r="T556" s="301"/>
      <c r="U556" s="301"/>
      <c r="V556" s="301"/>
      <c r="W556" s="301"/>
      <c r="X556" s="301"/>
      <c r="Y556" s="301"/>
      <c r="Z556" s="301"/>
      <c r="AA556" s="301"/>
      <c r="AB556" s="301"/>
      <c r="AC556" s="301"/>
      <c r="AD556" s="301"/>
      <c r="AE556" s="301"/>
      <c r="AF556" s="301"/>
      <c r="AG556" s="301"/>
      <c r="AH556" s="301"/>
      <c r="AI556" s="301"/>
      <c r="AJ556" s="301"/>
      <c r="AK556" s="301"/>
      <c r="AL556" s="301"/>
      <c r="AM556" s="301"/>
      <c r="AN556" s="301"/>
      <c r="AO556" s="301"/>
      <c r="AP556" s="301"/>
    </row>
    <row r="557" spans="10:42" ht="13.5" customHeight="1">
      <c r="J557" s="301"/>
      <c r="K557" s="301"/>
      <c r="L557" s="301"/>
      <c r="M557" s="301"/>
      <c r="N557" s="301"/>
      <c r="O557" s="301"/>
      <c r="P557" s="301"/>
      <c r="Q557" s="301"/>
      <c r="R557" s="301"/>
      <c r="S557" s="301"/>
      <c r="T557" s="301"/>
      <c r="U557" s="301"/>
      <c r="V557" s="301"/>
      <c r="W557" s="301"/>
      <c r="X557" s="301"/>
      <c r="Y557" s="301"/>
      <c r="Z557" s="301"/>
      <c r="AA557" s="301"/>
      <c r="AB557" s="301"/>
      <c r="AC557" s="301"/>
      <c r="AD557" s="301"/>
      <c r="AE557" s="301"/>
      <c r="AF557" s="301"/>
      <c r="AG557" s="301"/>
      <c r="AH557" s="301"/>
      <c r="AI557" s="301"/>
      <c r="AJ557" s="301"/>
      <c r="AK557" s="301"/>
      <c r="AL557" s="301"/>
      <c r="AM557" s="301"/>
      <c r="AN557" s="301"/>
      <c r="AO557" s="301"/>
      <c r="AP557" s="301"/>
    </row>
    <row r="558" spans="10:42" ht="13.5" customHeight="1">
      <c r="J558" s="301"/>
      <c r="K558" s="301"/>
      <c r="L558" s="301"/>
      <c r="M558" s="301"/>
      <c r="N558" s="301"/>
      <c r="O558" s="301"/>
      <c r="P558" s="301"/>
      <c r="Q558" s="301"/>
      <c r="R558" s="301"/>
      <c r="S558" s="301"/>
      <c r="T558" s="301"/>
      <c r="U558" s="301"/>
      <c r="V558" s="301"/>
      <c r="W558" s="301"/>
      <c r="X558" s="301"/>
      <c r="Y558" s="301"/>
      <c r="Z558" s="301"/>
      <c r="AA558" s="301"/>
      <c r="AB558" s="301"/>
      <c r="AC558" s="301"/>
      <c r="AD558" s="301"/>
      <c r="AE558" s="301"/>
      <c r="AF558" s="301"/>
      <c r="AG558" s="301"/>
      <c r="AH558" s="301"/>
      <c r="AI558" s="301"/>
      <c r="AJ558" s="301"/>
      <c r="AK558" s="301"/>
      <c r="AL558" s="301"/>
      <c r="AM558" s="301"/>
      <c r="AN558" s="301"/>
      <c r="AO558" s="301"/>
      <c r="AP558" s="301"/>
    </row>
    <row r="559" spans="10:42" ht="13.5" customHeight="1">
      <c r="J559" s="301"/>
      <c r="K559" s="301"/>
      <c r="L559" s="301"/>
      <c r="M559" s="301"/>
      <c r="N559" s="301"/>
      <c r="O559" s="301"/>
      <c r="P559" s="301"/>
      <c r="Q559" s="301"/>
      <c r="R559" s="301"/>
      <c r="S559" s="301"/>
      <c r="T559" s="301"/>
      <c r="U559" s="301"/>
      <c r="V559" s="301"/>
      <c r="W559" s="301"/>
      <c r="X559" s="301"/>
      <c r="Y559" s="301"/>
      <c r="Z559" s="301"/>
      <c r="AA559" s="301"/>
      <c r="AB559" s="301"/>
      <c r="AC559" s="301"/>
      <c r="AD559" s="301"/>
      <c r="AE559" s="301"/>
      <c r="AF559" s="301"/>
      <c r="AG559" s="301"/>
      <c r="AH559" s="301"/>
      <c r="AI559" s="301"/>
      <c r="AJ559" s="301"/>
      <c r="AK559" s="301"/>
      <c r="AL559" s="301"/>
      <c r="AM559" s="301"/>
      <c r="AN559" s="301"/>
      <c r="AO559" s="301"/>
      <c r="AP559" s="301"/>
    </row>
    <row r="560" spans="10:42" ht="13.5" customHeight="1">
      <c r="J560" s="301"/>
      <c r="K560" s="301"/>
      <c r="L560" s="301"/>
      <c r="M560" s="301"/>
      <c r="N560" s="301"/>
      <c r="O560" s="301"/>
      <c r="P560" s="301"/>
      <c r="Q560" s="301"/>
      <c r="R560" s="301"/>
      <c r="S560" s="301"/>
      <c r="T560" s="301"/>
      <c r="U560" s="301"/>
      <c r="V560" s="301"/>
      <c r="W560" s="301"/>
      <c r="X560" s="301"/>
      <c r="Y560" s="301"/>
      <c r="Z560" s="301"/>
      <c r="AA560" s="301"/>
      <c r="AB560" s="301"/>
      <c r="AC560" s="301"/>
      <c r="AD560" s="301"/>
      <c r="AE560" s="301"/>
      <c r="AF560" s="301"/>
      <c r="AG560" s="301"/>
      <c r="AH560" s="301"/>
      <c r="AI560" s="301"/>
      <c r="AJ560" s="301"/>
      <c r="AK560" s="301"/>
      <c r="AL560" s="301"/>
      <c r="AM560" s="301"/>
      <c r="AN560" s="301"/>
      <c r="AO560" s="301"/>
      <c r="AP560" s="301"/>
    </row>
    <row r="561" spans="10:42" ht="13.5" customHeight="1">
      <c r="J561" s="301"/>
      <c r="K561" s="301"/>
      <c r="L561" s="301"/>
      <c r="M561" s="301"/>
      <c r="N561" s="301"/>
      <c r="O561" s="301"/>
      <c r="P561" s="301"/>
      <c r="Q561" s="301"/>
      <c r="R561" s="301"/>
      <c r="S561" s="301"/>
      <c r="T561" s="301"/>
      <c r="U561" s="301"/>
      <c r="V561" s="301"/>
      <c r="W561" s="301"/>
      <c r="X561" s="301"/>
      <c r="Y561" s="301"/>
      <c r="Z561" s="301"/>
      <c r="AA561" s="301"/>
      <c r="AB561" s="301"/>
      <c r="AC561" s="301"/>
      <c r="AD561" s="301"/>
      <c r="AE561" s="301"/>
      <c r="AF561" s="301"/>
      <c r="AG561" s="301"/>
      <c r="AH561" s="301"/>
      <c r="AI561" s="301"/>
      <c r="AJ561" s="301"/>
      <c r="AK561" s="301"/>
      <c r="AL561" s="301"/>
      <c r="AM561" s="301"/>
      <c r="AN561" s="301"/>
      <c r="AO561" s="301"/>
      <c r="AP561" s="301"/>
    </row>
    <row r="562" spans="10:42" ht="13.5" customHeight="1">
      <c r="J562" s="301"/>
      <c r="K562" s="301"/>
      <c r="L562" s="301"/>
      <c r="M562" s="301"/>
      <c r="N562" s="301"/>
      <c r="O562" s="301"/>
      <c r="P562" s="301"/>
      <c r="Q562" s="301"/>
      <c r="R562" s="301"/>
      <c r="S562" s="301"/>
      <c r="T562" s="301"/>
      <c r="U562" s="301"/>
      <c r="V562" s="301"/>
      <c r="W562" s="301"/>
      <c r="X562" s="301"/>
      <c r="Y562" s="301"/>
      <c r="Z562" s="301"/>
      <c r="AA562" s="301"/>
      <c r="AB562" s="301"/>
      <c r="AC562" s="301"/>
      <c r="AD562" s="301"/>
      <c r="AE562" s="301"/>
      <c r="AF562" s="301"/>
      <c r="AG562" s="301"/>
      <c r="AH562" s="301"/>
      <c r="AI562" s="301"/>
      <c r="AJ562" s="301"/>
      <c r="AK562" s="301"/>
      <c r="AL562" s="301"/>
      <c r="AM562" s="301"/>
      <c r="AN562" s="301"/>
      <c r="AO562" s="301"/>
      <c r="AP562" s="301"/>
    </row>
    <row r="563" spans="10:42" ht="13.5" customHeight="1">
      <c r="J563" s="301"/>
      <c r="K563" s="301"/>
      <c r="L563" s="301"/>
      <c r="M563" s="301"/>
      <c r="N563" s="301"/>
      <c r="O563" s="301"/>
      <c r="P563" s="301"/>
      <c r="Q563" s="301"/>
      <c r="R563" s="301"/>
      <c r="S563" s="301"/>
      <c r="T563" s="301"/>
      <c r="U563" s="301"/>
      <c r="V563" s="301"/>
      <c r="W563" s="301"/>
      <c r="X563" s="301"/>
      <c r="Y563" s="301"/>
      <c r="Z563" s="301"/>
      <c r="AA563" s="301"/>
      <c r="AB563" s="301"/>
      <c r="AC563" s="301"/>
      <c r="AD563" s="301"/>
      <c r="AE563" s="301"/>
      <c r="AF563" s="301"/>
      <c r="AG563" s="301"/>
      <c r="AH563" s="301"/>
      <c r="AI563" s="301"/>
      <c r="AJ563" s="301"/>
      <c r="AK563" s="301"/>
      <c r="AL563" s="301"/>
      <c r="AM563" s="301"/>
      <c r="AN563" s="301"/>
      <c r="AO563" s="301"/>
      <c r="AP563" s="301"/>
    </row>
    <row r="564" spans="10:42" ht="13.5" customHeight="1">
      <c r="J564" s="301"/>
      <c r="K564" s="301"/>
      <c r="L564" s="301"/>
      <c r="M564" s="301"/>
      <c r="N564" s="301"/>
      <c r="O564" s="301"/>
      <c r="P564" s="301"/>
      <c r="Q564" s="301"/>
      <c r="R564" s="301"/>
      <c r="S564" s="301"/>
      <c r="T564" s="301"/>
      <c r="U564" s="301"/>
      <c r="V564" s="301"/>
      <c r="W564" s="301"/>
      <c r="X564" s="301"/>
      <c r="Y564" s="301"/>
      <c r="Z564" s="301"/>
      <c r="AA564" s="301"/>
      <c r="AB564" s="301"/>
      <c r="AC564" s="301"/>
      <c r="AD564" s="301"/>
      <c r="AE564" s="301"/>
      <c r="AF564" s="301"/>
      <c r="AG564" s="301"/>
      <c r="AH564" s="301"/>
      <c r="AI564" s="301"/>
      <c r="AJ564" s="301"/>
      <c r="AK564" s="301"/>
      <c r="AL564" s="301"/>
      <c r="AM564" s="301"/>
      <c r="AN564" s="301"/>
      <c r="AO564" s="301"/>
      <c r="AP564" s="301"/>
    </row>
    <row r="565" spans="10:42" ht="13.5" customHeight="1">
      <c r="J565" s="301"/>
      <c r="K565" s="301"/>
      <c r="L565" s="301"/>
      <c r="M565" s="301"/>
      <c r="N565" s="301"/>
      <c r="O565" s="301"/>
      <c r="P565" s="301"/>
      <c r="Q565" s="301"/>
      <c r="R565" s="301"/>
      <c r="S565" s="301"/>
      <c r="T565" s="301"/>
      <c r="U565" s="301"/>
      <c r="V565" s="301"/>
      <c r="W565" s="301"/>
      <c r="X565" s="301"/>
      <c r="Y565" s="301"/>
      <c r="Z565" s="301"/>
      <c r="AA565" s="301"/>
      <c r="AB565" s="301"/>
      <c r="AC565" s="301"/>
      <c r="AD565" s="301"/>
      <c r="AE565" s="301"/>
      <c r="AF565" s="301"/>
      <c r="AG565" s="301"/>
      <c r="AH565" s="301"/>
      <c r="AI565" s="301"/>
      <c r="AJ565" s="301"/>
      <c r="AK565" s="301"/>
      <c r="AL565" s="301"/>
      <c r="AM565" s="301"/>
      <c r="AN565" s="301"/>
      <c r="AO565" s="301"/>
      <c r="AP565" s="301"/>
    </row>
    <row r="566" spans="10:42" ht="13.5" customHeight="1">
      <c r="J566" s="301"/>
      <c r="K566" s="301"/>
      <c r="L566" s="301"/>
      <c r="M566" s="301"/>
      <c r="N566" s="301"/>
      <c r="O566" s="301"/>
      <c r="P566" s="301"/>
      <c r="Q566" s="301"/>
      <c r="R566" s="301"/>
      <c r="S566" s="301"/>
      <c r="T566" s="301"/>
      <c r="U566" s="301"/>
      <c r="V566" s="301"/>
      <c r="W566" s="301"/>
      <c r="X566" s="301"/>
      <c r="Y566" s="301"/>
      <c r="Z566" s="301"/>
      <c r="AA566" s="301"/>
      <c r="AB566" s="301"/>
      <c r="AC566" s="301"/>
      <c r="AD566" s="301"/>
      <c r="AE566" s="301"/>
      <c r="AF566" s="301"/>
      <c r="AG566" s="301"/>
      <c r="AH566" s="301"/>
      <c r="AI566" s="301"/>
      <c r="AJ566" s="301"/>
      <c r="AK566" s="301"/>
      <c r="AL566" s="301"/>
      <c r="AM566" s="301"/>
      <c r="AN566" s="301"/>
      <c r="AO566" s="301"/>
      <c r="AP566" s="301"/>
    </row>
    <row r="567" spans="10:42" ht="13.5" customHeight="1">
      <c r="J567" s="301"/>
      <c r="K567" s="301"/>
      <c r="L567" s="301"/>
      <c r="M567" s="301"/>
      <c r="N567" s="301"/>
      <c r="O567" s="301"/>
      <c r="P567" s="301"/>
      <c r="Q567" s="301"/>
      <c r="R567" s="301"/>
      <c r="S567" s="301"/>
      <c r="T567" s="301"/>
      <c r="U567" s="301"/>
      <c r="V567" s="301"/>
      <c r="W567" s="301"/>
      <c r="X567" s="301"/>
      <c r="Y567" s="301"/>
      <c r="Z567" s="301"/>
      <c r="AA567" s="301"/>
      <c r="AB567" s="301"/>
      <c r="AC567" s="301"/>
      <c r="AD567" s="301"/>
      <c r="AE567" s="301"/>
      <c r="AF567" s="301"/>
      <c r="AG567" s="301"/>
      <c r="AH567" s="301"/>
      <c r="AI567" s="301"/>
      <c r="AJ567" s="301"/>
      <c r="AK567" s="301"/>
      <c r="AL567" s="301"/>
      <c r="AM567" s="301"/>
      <c r="AN567" s="301"/>
      <c r="AO567" s="301"/>
      <c r="AP567" s="301"/>
    </row>
    <row r="568" spans="10:42" ht="13.5" customHeight="1">
      <c r="J568" s="301"/>
      <c r="K568" s="301"/>
      <c r="L568" s="301"/>
      <c r="M568" s="301"/>
      <c r="N568" s="301"/>
      <c r="O568" s="301"/>
      <c r="P568" s="301"/>
      <c r="Q568" s="301"/>
      <c r="R568" s="301"/>
      <c r="S568" s="301"/>
      <c r="T568" s="301"/>
      <c r="U568" s="301"/>
      <c r="V568" s="301"/>
      <c r="W568" s="301"/>
      <c r="X568" s="301"/>
      <c r="Y568" s="301"/>
      <c r="Z568" s="301"/>
      <c r="AA568" s="301"/>
      <c r="AB568" s="301"/>
      <c r="AC568" s="301"/>
      <c r="AD568" s="301"/>
      <c r="AE568" s="301"/>
      <c r="AF568" s="301"/>
      <c r="AG568" s="301"/>
      <c r="AH568" s="301"/>
      <c r="AI568" s="301"/>
      <c r="AJ568" s="301"/>
      <c r="AK568" s="301"/>
      <c r="AL568" s="301"/>
      <c r="AM568" s="301"/>
      <c r="AN568" s="301"/>
      <c r="AO568" s="301"/>
      <c r="AP568" s="301"/>
    </row>
    <row r="569" spans="10:42" ht="13.5" customHeight="1">
      <c r="J569" s="301"/>
      <c r="K569" s="301"/>
      <c r="L569" s="301"/>
      <c r="M569" s="301"/>
      <c r="N569" s="301"/>
      <c r="O569" s="301"/>
      <c r="P569" s="301"/>
      <c r="Q569" s="301"/>
      <c r="R569" s="301"/>
      <c r="S569" s="301"/>
      <c r="T569" s="301"/>
      <c r="U569" s="301"/>
      <c r="V569" s="301"/>
      <c r="W569" s="301"/>
      <c r="X569" s="301"/>
      <c r="Y569" s="301"/>
      <c r="Z569" s="301"/>
      <c r="AA569" s="301"/>
      <c r="AB569" s="301"/>
      <c r="AC569" s="301"/>
      <c r="AD569" s="301"/>
      <c r="AE569" s="301"/>
      <c r="AF569" s="301"/>
      <c r="AG569" s="301"/>
      <c r="AH569" s="301"/>
      <c r="AI569" s="301"/>
      <c r="AJ569" s="301"/>
      <c r="AK569" s="301"/>
      <c r="AL569" s="301"/>
      <c r="AM569" s="301"/>
      <c r="AN569" s="301"/>
      <c r="AO569" s="301"/>
      <c r="AP569" s="301"/>
    </row>
    <row r="570" spans="10:42" ht="13.5" customHeight="1">
      <c r="J570" s="301"/>
      <c r="K570" s="301"/>
      <c r="L570" s="301"/>
      <c r="M570" s="301"/>
      <c r="N570" s="301"/>
      <c r="O570" s="301"/>
      <c r="P570" s="301"/>
      <c r="Q570" s="301"/>
      <c r="R570" s="301"/>
      <c r="S570" s="301"/>
      <c r="T570" s="301"/>
      <c r="U570" s="301"/>
      <c r="V570" s="301"/>
      <c r="W570" s="301"/>
      <c r="X570" s="301"/>
      <c r="Y570" s="301"/>
      <c r="Z570" s="301"/>
      <c r="AA570" s="301"/>
      <c r="AB570" s="301"/>
      <c r="AC570" s="301"/>
      <c r="AD570" s="301"/>
      <c r="AE570" s="301"/>
      <c r="AF570" s="301"/>
      <c r="AG570" s="301"/>
      <c r="AH570" s="301"/>
      <c r="AI570" s="301"/>
      <c r="AJ570" s="301"/>
      <c r="AK570" s="301"/>
      <c r="AL570" s="301"/>
      <c r="AM570" s="301"/>
      <c r="AN570" s="301"/>
      <c r="AO570" s="301"/>
      <c r="AP570" s="301"/>
    </row>
    <row r="571" spans="10:42" ht="13.5" customHeight="1">
      <c r="J571" s="301"/>
      <c r="K571" s="301"/>
      <c r="L571" s="301"/>
      <c r="M571" s="301"/>
      <c r="N571" s="301"/>
      <c r="O571" s="301"/>
      <c r="P571" s="301"/>
      <c r="Q571" s="301"/>
      <c r="R571" s="301"/>
      <c r="S571" s="301"/>
      <c r="T571" s="301"/>
      <c r="U571" s="301"/>
      <c r="V571" s="301"/>
      <c r="W571" s="301"/>
      <c r="X571" s="301"/>
      <c r="Y571" s="301"/>
      <c r="Z571" s="301"/>
      <c r="AA571" s="301"/>
      <c r="AB571" s="301"/>
      <c r="AC571" s="301"/>
      <c r="AD571" s="301"/>
      <c r="AE571" s="301"/>
      <c r="AF571" s="301"/>
      <c r="AG571" s="301"/>
      <c r="AH571" s="301"/>
      <c r="AI571" s="301"/>
      <c r="AJ571" s="301"/>
      <c r="AK571" s="301"/>
      <c r="AL571" s="301"/>
      <c r="AM571" s="301"/>
      <c r="AN571" s="301"/>
      <c r="AO571" s="301"/>
      <c r="AP571" s="301"/>
    </row>
    <row r="572" spans="10:42" ht="13.5" customHeight="1">
      <c r="J572" s="301"/>
      <c r="K572" s="301"/>
      <c r="L572" s="301"/>
      <c r="M572" s="301"/>
      <c r="N572" s="301"/>
      <c r="O572" s="301"/>
      <c r="P572" s="301"/>
      <c r="Q572" s="301"/>
      <c r="R572" s="301"/>
      <c r="S572" s="301"/>
      <c r="T572" s="301"/>
      <c r="U572" s="301"/>
      <c r="V572" s="301"/>
      <c r="W572" s="301"/>
      <c r="X572" s="301"/>
      <c r="Y572" s="301"/>
      <c r="Z572" s="301"/>
      <c r="AA572" s="301"/>
      <c r="AB572" s="301"/>
      <c r="AC572" s="301"/>
      <c r="AD572" s="301"/>
      <c r="AE572" s="301"/>
      <c r="AF572" s="301"/>
      <c r="AG572" s="301"/>
      <c r="AH572" s="301"/>
      <c r="AI572" s="301"/>
      <c r="AJ572" s="301"/>
      <c r="AK572" s="301"/>
      <c r="AL572" s="301"/>
      <c r="AM572" s="301"/>
      <c r="AN572" s="301"/>
      <c r="AO572" s="301"/>
      <c r="AP572" s="301"/>
    </row>
    <row r="573" spans="10:42" ht="13.5" customHeight="1">
      <c r="J573" s="301"/>
      <c r="K573" s="301"/>
      <c r="L573" s="301"/>
      <c r="M573" s="301"/>
      <c r="N573" s="301"/>
      <c r="O573" s="301"/>
      <c r="P573" s="301"/>
      <c r="Q573" s="301"/>
      <c r="R573" s="301"/>
      <c r="S573" s="301"/>
      <c r="T573" s="301"/>
      <c r="U573" s="301"/>
      <c r="V573" s="301"/>
      <c r="W573" s="301"/>
      <c r="X573" s="301"/>
      <c r="Y573" s="301"/>
      <c r="Z573" s="301"/>
      <c r="AA573" s="301"/>
      <c r="AB573" s="301"/>
      <c r="AC573" s="301"/>
      <c r="AD573" s="301"/>
      <c r="AE573" s="301"/>
      <c r="AF573" s="301"/>
      <c r="AG573" s="301"/>
      <c r="AH573" s="301"/>
      <c r="AI573" s="301"/>
      <c r="AJ573" s="301"/>
      <c r="AK573" s="301"/>
      <c r="AL573" s="301"/>
      <c r="AM573" s="301"/>
      <c r="AN573" s="301"/>
      <c r="AO573" s="301"/>
      <c r="AP573" s="301"/>
    </row>
    <row r="574" spans="10:42" ht="13.5" customHeight="1">
      <c r="J574" s="301"/>
      <c r="K574" s="301"/>
      <c r="L574" s="301"/>
      <c r="M574" s="301"/>
      <c r="N574" s="301"/>
      <c r="O574" s="301"/>
      <c r="P574" s="301"/>
      <c r="Q574" s="301"/>
      <c r="R574" s="301"/>
      <c r="S574" s="301"/>
      <c r="T574" s="301"/>
      <c r="U574" s="301"/>
      <c r="V574" s="301"/>
      <c r="W574" s="301"/>
      <c r="X574" s="301"/>
      <c r="Y574" s="301"/>
      <c r="Z574" s="301"/>
      <c r="AA574" s="301"/>
      <c r="AB574" s="301"/>
      <c r="AC574" s="301"/>
      <c r="AD574" s="301"/>
      <c r="AE574" s="301"/>
      <c r="AF574" s="301"/>
      <c r="AG574" s="301"/>
      <c r="AH574" s="301"/>
      <c r="AI574" s="301"/>
      <c r="AJ574" s="301"/>
      <c r="AK574" s="301"/>
      <c r="AL574" s="301"/>
      <c r="AM574" s="301"/>
      <c r="AN574" s="301"/>
      <c r="AO574" s="301"/>
      <c r="AP574" s="301"/>
    </row>
    <row r="575" spans="10:42" ht="13.5" customHeight="1">
      <c r="J575" s="301"/>
      <c r="K575" s="301"/>
      <c r="L575" s="301"/>
      <c r="M575" s="301"/>
      <c r="N575" s="301"/>
      <c r="O575" s="301"/>
      <c r="P575" s="301"/>
      <c r="Q575" s="301"/>
      <c r="R575" s="301"/>
      <c r="S575" s="301"/>
      <c r="T575" s="301"/>
      <c r="U575" s="301"/>
      <c r="V575" s="301"/>
      <c r="W575" s="301"/>
      <c r="X575" s="301"/>
      <c r="Y575" s="301"/>
      <c r="Z575" s="301"/>
      <c r="AA575" s="301"/>
      <c r="AB575" s="301"/>
      <c r="AC575" s="301"/>
      <c r="AD575" s="301"/>
      <c r="AE575" s="301"/>
      <c r="AF575" s="301"/>
      <c r="AG575" s="301"/>
      <c r="AH575" s="301"/>
      <c r="AI575" s="301"/>
      <c r="AJ575" s="301"/>
      <c r="AK575" s="301"/>
      <c r="AL575" s="301"/>
      <c r="AM575" s="301"/>
      <c r="AN575" s="301"/>
      <c r="AO575" s="301"/>
      <c r="AP575" s="301"/>
    </row>
    <row r="576" spans="10:42" ht="13.5" customHeight="1">
      <c r="J576" s="301"/>
      <c r="K576" s="301"/>
      <c r="L576" s="301"/>
      <c r="M576" s="301"/>
      <c r="N576" s="301"/>
      <c r="O576" s="301"/>
      <c r="P576" s="301"/>
      <c r="Q576" s="301"/>
      <c r="R576" s="301"/>
      <c r="S576" s="301"/>
      <c r="T576" s="301"/>
      <c r="U576" s="301"/>
      <c r="V576" s="301"/>
      <c r="W576" s="301"/>
      <c r="X576" s="301"/>
      <c r="Y576" s="301"/>
      <c r="Z576" s="301"/>
      <c r="AA576" s="301"/>
      <c r="AB576" s="301"/>
      <c r="AC576" s="301"/>
      <c r="AD576" s="301"/>
      <c r="AE576" s="301"/>
      <c r="AF576" s="301"/>
      <c r="AG576" s="301"/>
      <c r="AH576" s="301"/>
      <c r="AI576" s="301"/>
      <c r="AJ576" s="301"/>
      <c r="AK576" s="301"/>
      <c r="AL576" s="301"/>
      <c r="AM576" s="301"/>
      <c r="AN576" s="301"/>
      <c r="AO576" s="301"/>
      <c r="AP576" s="301"/>
    </row>
    <row r="577" spans="10:42" ht="13.5" customHeight="1">
      <c r="J577" s="301"/>
      <c r="K577" s="301"/>
      <c r="L577" s="301"/>
      <c r="M577" s="301"/>
      <c r="N577" s="301"/>
      <c r="O577" s="301"/>
      <c r="P577" s="301"/>
      <c r="Q577" s="301"/>
      <c r="R577" s="301"/>
      <c r="S577" s="301"/>
      <c r="T577" s="301"/>
      <c r="U577" s="301"/>
      <c r="V577" s="301"/>
      <c r="W577" s="301"/>
      <c r="X577" s="301"/>
      <c r="Y577" s="301"/>
      <c r="Z577" s="301"/>
      <c r="AA577" s="301"/>
      <c r="AB577" s="301"/>
      <c r="AC577" s="301"/>
      <c r="AD577" s="301"/>
      <c r="AE577" s="301"/>
      <c r="AF577" s="301"/>
      <c r="AG577" s="301"/>
      <c r="AH577" s="301"/>
      <c r="AI577" s="301"/>
      <c r="AJ577" s="301"/>
      <c r="AK577" s="301"/>
      <c r="AL577" s="301"/>
      <c r="AM577" s="301"/>
      <c r="AN577" s="301"/>
      <c r="AO577" s="301"/>
      <c r="AP577" s="301"/>
    </row>
    <row r="578" spans="10:42" ht="13.5" customHeight="1">
      <c r="J578" s="301"/>
      <c r="K578" s="301"/>
      <c r="L578" s="301"/>
      <c r="M578" s="301"/>
      <c r="N578" s="301"/>
      <c r="O578" s="301"/>
      <c r="P578" s="301"/>
      <c r="Q578" s="301"/>
      <c r="R578" s="301"/>
      <c r="S578" s="301"/>
      <c r="T578" s="301"/>
      <c r="U578" s="301"/>
      <c r="V578" s="301"/>
      <c r="W578" s="301"/>
      <c r="X578" s="301"/>
      <c r="Y578" s="301"/>
      <c r="Z578" s="301"/>
      <c r="AA578" s="301"/>
      <c r="AB578" s="301"/>
      <c r="AC578" s="301"/>
      <c r="AD578" s="301"/>
      <c r="AE578" s="301"/>
      <c r="AF578" s="301"/>
      <c r="AG578" s="301"/>
      <c r="AH578" s="301"/>
      <c r="AI578" s="301"/>
      <c r="AJ578" s="301"/>
      <c r="AK578" s="301"/>
      <c r="AL578" s="301"/>
      <c r="AM578" s="301"/>
      <c r="AN578" s="301"/>
      <c r="AO578" s="301"/>
      <c r="AP578" s="301"/>
    </row>
    <row r="579" spans="10:42" ht="13.5" customHeight="1">
      <c r="J579" s="301"/>
      <c r="K579" s="301"/>
      <c r="L579" s="301"/>
      <c r="M579" s="301"/>
      <c r="N579" s="301"/>
      <c r="O579" s="301"/>
      <c r="P579" s="301"/>
      <c r="Q579" s="301"/>
      <c r="R579" s="301"/>
      <c r="S579" s="301"/>
      <c r="T579" s="301"/>
      <c r="U579" s="301"/>
      <c r="V579" s="301"/>
      <c r="W579" s="301"/>
      <c r="X579" s="301"/>
      <c r="Y579" s="301"/>
      <c r="Z579" s="301"/>
      <c r="AA579" s="301"/>
      <c r="AB579" s="301"/>
      <c r="AC579" s="301"/>
      <c r="AD579" s="301"/>
      <c r="AE579" s="301"/>
      <c r="AF579" s="301"/>
      <c r="AG579" s="301"/>
      <c r="AH579" s="301"/>
      <c r="AI579" s="301"/>
      <c r="AJ579" s="301"/>
      <c r="AK579" s="301"/>
      <c r="AL579" s="301"/>
      <c r="AM579" s="301"/>
      <c r="AN579" s="301"/>
      <c r="AO579" s="301"/>
      <c r="AP579" s="301"/>
    </row>
    <row r="580" spans="10:42" ht="13.5" customHeight="1">
      <c r="J580" s="301"/>
      <c r="K580" s="301"/>
      <c r="L580" s="301"/>
      <c r="M580" s="301"/>
      <c r="N580" s="301"/>
      <c r="O580" s="301"/>
      <c r="P580" s="301"/>
      <c r="Q580" s="301"/>
      <c r="R580" s="301"/>
      <c r="S580" s="301"/>
      <c r="T580" s="301"/>
      <c r="U580" s="301"/>
      <c r="V580" s="301"/>
      <c r="W580" s="301"/>
      <c r="X580" s="301"/>
      <c r="Y580" s="301"/>
      <c r="Z580" s="301"/>
      <c r="AA580" s="301"/>
      <c r="AB580" s="301"/>
      <c r="AC580" s="301"/>
      <c r="AD580" s="301"/>
      <c r="AE580" s="301"/>
      <c r="AF580" s="301"/>
      <c r="AG580" s="301"/>
      <c r="AH580" s="301"/>
      <c r="AI580" s="301"/>
      <c r="AJ580" s="301"/>
      <c r="AK580" s="301"/>
      <c r="AL580" s="301"/>
      <c r="AM580" s="301"/>
      <c r="AN580" s="301"/>
      <c r="AO580" s="301"/>
      <c r="AP580" s="301"/>
    </row>
    <row r="581" spans="10:42" ht="13.5" customHeight="1">
      <c r="J581" s="301"/>
      <c r="K581" s="301"/>
      <c r="L581" s="301"/>
      <c r="M581" s="301"/>
      <c r="N581" s="301"/>
      <c r="O581" s="301"/>
      <c r="P581" s="301"/>
      <c r="Q581" s="301"/>
      <c r="R581" s="301"/>
      <c r="S581" s="301"/>
      <c r="T581" s="301"/>
      <c r="U581" s="301"/>
      <c r="V581" s="301"/>
      <c r="W581" s="301"/>
      <c r="X581" s="301"/>
      <c r="Y581" s="301"/>
      <c r="Z581" s="301"/>
      <c r="AA581" s="301"/>
      <c r="AB581" s="301"/>
      <c r="AC581" s="301"/>
      <c r="AD581" s="301"/>
      <c r="AE581" s="301"/>
      <c r="AF581" s="301"/>
      <c r="AG581" s="301"/>
      <c r="AH581" s="301"/>
      <c r="AI581" s="301"/>
      <c r="AJ581" s="301"/>
      <c r="AK581" s="301"/>
      <c r="AL581" s="301"/>
      <c r="AM581" s="301"/>
      <c r="AN581" s="301"/>
      <c r="AO581" s="301"/>
      <c r="AP581" s="301"/>
    </row>
    <row r="582" spans="10:42" ht="13.5" customHeight="1">
      <c r="J582" s="301"/>
      <c r="K582" s="301"/>
      <c r="L582" s="301"/>
      <c r="M582" s="301"/>
      <c r="N582" s="301"/>
      <c r="O582" s="301"/>
      <c r="P582" s="301"/>
      <c r="Q582" s="301"/>
      <c r="R582" s="301"/>
      <c r="S582" s="301"/>
      <c r="T582" s="301"/>
      <c r="U582" s="301"/>
      <c r="V582" s="301"/>
      <c r="W582" s="301"/>
      <c r="X582" s="301"/>
      <c r="Y582" s="301"/>
      <c r="Z582" s="301"/>
      <c r="AA582" s="301"/>
      <c r="AB582" s="301"/>
      <c r="AC582" s="301"/>
      <c r="AD582" s="301"/>
      <c r="AE582" s="301"/>
      <c r="AF582" s="301"/>
      <c r="AG582" s="301"/>
      <c r="AH582" s="301"/>
      <c r="AI582" s="301"/>
      <c r="AJ582" s="301"/>
      <c r="AK582" s="301"/>
      <c r="AL582" s="301"/>
      <c r="AM582" s="301"/>
      <c r="AN582" s="301"/>
      <c r="AO582" s="301"/>
      <c r="AP582" s="301"/>
    </row>
    <row r="583" spans="10:42" ht="13.5" customHeight="1">
      <c r="J583" s="301"/>
      <c r="K583" s="301"/>
      <c r="L583" s="301"/>
      <c r="M583" s="301"/>
      <c r="N583" s="301"/>
      <c r="O583" s="301"/>
      <c r="P583" s="301"/>
      <c r="Q583" s="301"/>
      <c r="R583" s="301"/>
      <c r="S583" s="301"/>
      <c r="T583" s="301"/>
      <c r="U583" s="301"/>
      <c r="V583" s="301"/>
      <c r="W583" s="301"/>
      <c r="X583" s="301"/>
      <c r="Y583" s="301"/>
      <c r="Z583" s="301"/>
      <c r="AA583" s="301"/>
      <c r="AB583" s="301"/>
      <c r="AC583" s="301"/>
      <c r="AD583" s="301"/>
      <c r="AE583" s="301"/>
      <c r="AF583" s="301"/>
      <c r="AG583" s="301"/>
      <c r="AH583" s="301"/>
      <c r="AI583" s="301"/>
      <c r="AJ583" s="301"/>
      <c r="AK583" s="301"/>
      <c r="AL583" s="301"/>
      <c r="AM583" s="301"/>
      <c r="AN583" s="301"/>
      <c r="AO583" s="301"/>
      <c r="AP583" s="301"/>
    </row>
    <row r="584" spans="10:42" ht="13.5" customHeight="1">
      <c r="J584" s="301"/>
      <c r="K584" s="301"/>
      <c r="L584" s="301"/>
      <c r="M584" s="301"/>
      <c r="N584" s="301"/>
      <c r="O584" s="301"/>
      <c r="P584" s="301"/>
      <c r="Q584" s="301"/>
      <c r="R584" s="301"/>
      <c r="S584" s="301"/>
      <c r="T584" s="301"/>
      <c r="U584" s="301"/>
      <c r="V584" s="301"/>
      <c r="W584" s="301"/>
      <c r="X584" s="301"/>
      <c r="Y584" s="301"/>
      <c r="Z584" s="301"/>
      <c r="AA584" s="301"/>
      <c r="AB584" s="301"/>
      <c r="AC584" s="301"/>
      <c r="AD584" s="301"/>
      <c r="AE584" s="301"/>
      <c r="AF584" s="301"/>
      <c r="AG584" s="301"/>
      <c r="AH584" s="301"/>
      <c r="AI584" s="301"/>
      <c r="AJ584" s="301"/>
      <c r="AK584" s="301"/>
      <c r="AL584" s="301"/>
      <c r="AM584" s="301"/>
      <c r="AN584" s="301"/>
      <c r="AO584" s="301"/>
      <c r="AP584" s="301"/>
    </row>
    <row r="585" spans="10:42" ht="13.5" customHeight="1">
      <c r="J585" s="301"/>
      <c r="K585" s="301"/>
      <c r="L585" s="301"/>
      <c r="M585" s="301"/>
      <c r="N585" s="301"/>
      <c r="O585" s="301"/>
      <c r="P585" s="301"/>
      <c r="Q585" s="301"/>
      <c r="R585" s="301"/>
      <c r="S585" s="301"/>
      <c r="T585" s="301"/>
      <c r="U585" s="301"/>
      <c r="V585" s="301"/>
      <c r="W585" s="301"/>
      <c r="X585" s="301"/>
      <c r="Y585" s="301"/>
      <c r="Z585" s="301"/>
      <c r="AA585" s="301"/>
      <c r="AB585" s="301"/>
      <c r="AC585" s="301"/>
      <c r="AD585" s="301"/>
      <c r="AE585" s="301"/>
      <c r="AF585" s="301"/>
      <c r="AG585" s="301"/>
      <c r="AH585" s="301"/>
      <c r="AI585" s="301"/>
      <c r="AJ585" s="301"/>
      <c r="AK585" s="301"/>
      <c r="AL585" s="301"/>
      <c r="AM585" s="301"/>
      <c r="AN585" s="301"/>
      <c r="AO585" s="301"/>
      <c r="AP585" s="301"/>
    </row>
    <row r="586" spans="10:42" ht="13.5" customHeight="1">
      <c r="J586" s="301"/>
      <c r="K586" s="301"/>
      <c r="L586" s="301"/>
      <c r="M586" s="301"/>
      <c r="N586" s="301"/>
      <c r="O586" s="301"/>
      <c r="P586" s="301"/>
      <c r="Q586" s="301"/>
      <c r="R586" s="301"/>
      <c r="S586" s="301"/>
      <c r="T586" s="301"/>
      <c r="U586" s="301"/>
      <c r="V586" s="301"/>
      <c r="W586" s="301"/>
      <c r="X586" s="301"/>
      <c r="Y586" s="301"/>
      <c r="Z586" s="301"/>
      <c r="AA586" s="301"/>
      <c r="AB586" s="301"/>
      <c r="AC586" s="301"/>
      <c r="AD586" s="301"/>
      <c r="AE586" s="301"/>
      <c r="AF586" s="301"/>
      <c r="AG586" s="301"/>
      <c r="AH586" s="301"/>
      <c r="AI586" s="301"/>
      <c r="AJ586" s="301"/>
      <c r="AK586" s="301"/>
      <c r="AL586" s="301"/>
      <c r="AM586" s="301"/>
      <c r="AN586" s="301"/>
      <c r="AO586" s="301"/>
      <c r="AP586" s="301"/>
    </row>
    <row r="587" spans="10:42" ht="13.5" customHeight="1">
      <c r="J587" s="301"/>
      <c r="K587" s="301"/>
      <c r="L587" s="301"/>
      <c r="M587" s="301"/>
      <c r="N587" s="301"/>
      <c r="O587" s="301"/>
      <c r="P587" s="301"/>
      <c r="Q587" s="301"/>
      <c r="R587" s="301"/>
      <c r="S587" s="301"/>
      <c r="T587" s="301"/>
      <c r="U587" s="301"/>
      <c r="V587" s="301"/>
      <c r="W587" s="301"/>
      <c r="X587" s="301"/>
      <c r="Y587" s="301"/>
      <c r="Z587" s="301"/>
      <c r="AA587" s="301"/>
      <c r="AB587" s="301"/>
      <c r="AC587" s="301"/>
      <c r="AD587" s="301"/>
      <c r="AE587" s="301"/>
      <c r="AF587" s="301"/>
      <c r="AG587" s="301"/>
      <c r="AH587" s="301"/>
      <c r="AI587" s="301"/>
      <c r="AJ587" s="301"/>
      <c r="AK587" s="301"/>
      <c r="AL587" s="301"/>
      <c r="AM587" s="301"/>
      <c r="AN587" s="301"/>
      <c r="AO587" s="301"/>
      <c r="AP587" s="301"/>
    </row>
    <row r="588" spans="10:42" ht="13.5" customHeight="1">
      <c r="J588" s="301"/>
      <c r="K588" s="301"/>
      <c r="L588" s="301"/>
      <c r="M588" s="301"/>
      <c r="N588" s="301"/>
      <c r="O588" s="301"/>
      <c r="P588" s="301"/>
      <c r="Q588" s="301"/>
      <c r="R588" s="301"/>
      <c r="S588" s="301"/>
      <c r="T588" s="301"/>
      <c r="U588" s="301"/>
      <c r="V588" s="301"/>
      <c r="W588" s="301"/>
      <c r="X588" s="301"/>
      <c r="Y588" s="301"/>
      <c r="Z588" s="301"/>
      <c r="AA588" s="301"/>
      <c r="AB588" s="301"/>
      <c r="AC588" s="301"/>
      <c r="AD588" s="301"/>
      <c r="AE588" s="301"/>
      <c r="AF588" s="301"/>
      <c r="AG588" s="301"/>
      <c r="AH588" s="301"/>
      <c r="AI588" s="301"/>
      <c r="AJ588" s="301"/>
      <c r="AK588" s="301"/>
      <c r="AL588" s="301"/>
      <c r="AM588" s="301"/>
      <c r="AN588" s="301"/>
      <c r="AO588" s="301"/>
      <c r="AP588" s="301"/>
    </row>
    <row r="589" spans="10:42" ht="13.5" customHeight="1">
      <c r="J589" s="301"/>
      <c r="K589" s="301"/>
      <c r="L589" s="301"/>
      <c r="M589" s="301"/>
      <c r="N589" s="301"/>
      <c r="O589" s="301"/>
      <c r="P589" s="301"/>
      <c r="Q589" s="301"/>
      <c r="R589" s="301"/>
      <c r="S589" s="301"/>
      <c r="T589" s="301"/>
      <c r="U589" s="301"/>
      <c r="V589" s="301"/>
      <c r="W589" s="301"/>
      <c r="X589" s="301"/>
      <c r="Y589" s="301"/>
      <c r="Z589" s="301"/>
      <c r="AA589" s="301"/>
      <c r="AB589" s="301"/>
      <c r="AC589" s="301"/>
      <c r="AD589" s="301"/>
      <c r="AE589" s="301"/>
      <c r="AF589" s="301"/>
      <c r="AG589" s="301"/>
      <c r="AH589" s="301"/>
      <c r="AI589" s="301"/>
      <c r="AJ589" s="301"/>
      <c r="AK589" s="301"/>
      <c r="AL589" s="301"/>
      <c r="AM589" s="301"/>
      <c r="AN589" s="301"/>
      <c r="AO589" s="301"/>
      <c r="AP589" s="301"/>
    </row>
    <row r="590" spans="10:42" ht="13.5" customHeight="1">
      <c r="J590" s="301"/>
      <c r="K590" s="301"/>
      <c r="L590" s="301"/>
      <c r="M590" s="301"/>
      <c r="N590" s="301"/>
      <c r="O590" s="301"/>
      <c r="P590" s="301"/>
      <c r="Q590" s="301"/>
      <c r="R590" s="301"/>
      <c r="S590" s="301"/>
      <c r="T590" s="301"/>
      <c r="U590" s="301"/>
      <c r="V590" s="301"/>
      <c r="W590" s="301"/>
      <c r="X590" s="301"/>
      <c r="Y590" s="301"/>
      <c r="Z590" s="301"/>
      <c r="AA590" s="301"/>
      <c r="AB590" s="301"/>
      <c r="AC590" s="301"/>
      <c r="AD590" s="301"/>
      <c r="AE590" s="301"/>
      <c r="AF590" s="301"/>
      <c r="AG590" s="301"/>
      <c r="AH590" s="301"/>
      <c r="AI590" s="301"/>
      <c r="AJ590" s="301"/>
      <c r="AK590" s="301"/>
      <c r="AL590" s="301"/>
      <c r="AM590" s="301"/>
      <c r="AN590" s="301"/>
      <c r="AO590" s="301"/>
      <c r="AP590" s="301"/>
    </row>
    <row r="591" spans="10:42" ht="13.5" customHeight="1">
      <c r="J591" s="301"/>
      <c r="K591" s="301"/>
      <c r="L591" s="301"/>
      <c r="M591" s="301"/>
      <c r="N591" s="301"/>
      <c r="O591" s="301"/>
      <c r="P591" s="301"/>
      <c r="Q591" s="301"/>
      <c r="R591" s="301"/>
      <c r="S591" s="301"/>
      <c r="T591" s="301"/>
      <c r="U591" s="301"/>
      <c r="V591" s="301"/>
      <c r="W591" s="301"/>
      <c r="X591" s="301"/>
      <c r="Y591" s="301"/>
      <c r="Z591" s="301"/>
      <c r="AA591" s="301"/>
      <c r="AB591" s="301"/>
      <c r="AC591" s="301"/>
      <c r="AD591" s="301"/>
      <c r="AE591" s="301"/>
      <c r="AF591" s="301"/>
      <c r="AG591" s="301"/>
      <c r="AH591" s="301"/>
      <c r="AI591" s="301"/>
      <c r="AJ591" s="301"/>
      <c r="AK591" s="301"/>
      <c r="AL591" s="301"/>
      <c r="AM591" s="301"/>
      <c r="AN591" s="301"/>
      <c r="AO591" s="301"/>
      <c r="AP591" s="301"/>
    </row>
    <row r="592" spans="10:42" ht="13.5" customHeight="1">
      <c r="J592" s="301"/>
      <c r="K592" s="301"/>
      <c r="L592" s="301"/>
      <c r="M592" s="301"/>
      <c r="N592" s="301"/>
      <c r="O592" s="301"/>
      <c r="P592" s="301"/>
      <c r="Q592" s="301"/>
      <c r="R592" s="301"/>
      <c r="S592" s="301"/>
      <c r="T592" s="301"/>
      <c r="U592" s="301"/>
      <c r="V592" s="301"/>
      <c r="W592" s="301"/>
      <c r="X592" s="301"/>
      <c r="Y592" s="301"/>
      <c r="Z592" s="301"/>
      <c r="AA592" s="301"/>
      <c r="AB592" s="301"/>
      <c r="AC592" s="301"/>
      <c r="AD592" s="301"/>
      <c r="AE592" s="301"/>
      <c r="AF592" s="301"/>
      <c r="AG592" s="301"/>
      <c r="AH592" s="301"/>
      <c r="AI592" s="301"/>
      <c r="AJ592" s="301"/>
      <c r="AK592" s="301"/>
      <c r="AL592" s="301"/>
      <c r="AM592" s="301"/>
      <c r="AN592" s="301"/>
      <c r="AO592" s="301"/>
      <c r="AP592" s="301"/>
    </row>
    <row r="593" spans="10:42" ht="13.5" customHeight="1">
      <c r="J593" s="301"/>
      <c r="K593" s="301"/>
      <c r="L593" s="301"/>
      <c r="M593" s="301"/>
      <c r="N593" s="301"/>
      <c r="O593" s="301"/>
      <c r="P593" s="301"/>
      <c r="Q593" s="301"/>
      <c r="R593" s="301"/>
      <c r="S593" s="301"/>
      <c r="T593" s="301"/>
      <c r="U593" s="301"/>
      <c r="V593" s="301"/>
      <c r="W593" s="301"/>
      <c r="X593" s="301"/>
      <c r="Y593" s="301"/>
      <c r="Z593" s="301"/>
      <c r="AA593" s="301"/>
      <c r="AB593" s="301"/>
      <c r="AC593" s="301"/>
      <c r="AD593" s="301"/>
      <c r="AE593" s="301"/>
      <c r="AF593" s="301"/>
      <c r="AG593" s="301"/>
      <c r="AH593" s="301"/>
      <c r="AI593" s="301"/>
      <c r="AJ593" s="301"/>
      <c r="AK593" s="301"/>
      <c r="AL593" s="301"/>
      <c r="AM593" s="301"/>
      <c r="AN593" s="301"/>
      <c r="AO593" s="301"/>
      <c r="AP593" s="301"/>
    </row>
    <row r="594" spans="10:42" ht="13.5" customHeight="1">
      <c r="J594" s="301"/>
      <c r="K594" s="301"/>
      <c r="L594" s="301"/>
      <c r="M594" s="301"/>
      <c r="N594" s="301"/>
      <c r="O594" s="301"/>
      <c r="P594" s="301"/>
      <c r="Q594" s="301"/>
      <c r="R594" s="301"/>
      <c r="S594" s="301"/>
      <c r="T594" s="301"/>
      <c r="U594" s="301"/>
      <c r="V594" s="301"/>
      <c r="W594" s="301"/>
      <c r="X594" s="301"/>
      <c r="Y594" s="301"/>
      <c r="Z594" s="301"/>
      <c r="AA594" s="301"/>
      <c r="AB594" s="301"/>
      <c r="AC594" s="301"/>
      <c r="AD594" s="301"/>
      <c r="AE594" s="301"/>
      <c r="AF594" s="301"/>
      <c r="AG594" s="301"/>
      <c r="AH594" s="301"/>
      <c r="AI594" s="301"/>
      <c r="AJ594" s="301"/>
      <c r="AK594" s="301"/>
      <c r="AL594" s="301"/>
      <c r="AM594" s="301"/>
      <c r="AN594" s="301"/>
      <c r="AO594" s="301"/>
      <c r="AP594" s="301"/>
    </row>
    <row r="595" spans="10:42" ht="13.5" customHeight="1">
      <c r="J595" s="301"/>
      <c r="K595" s="301"/>
      <c r="L595" s="301"/>
      <c r="M595" s="301"/>
      <c r="N595" s="301"/>
      <c r="O595" s="301"/>
      <c r="P595" s="301"/>
      <c r="Q595" s="301"/>
      <c r="R595" s="301"/>
      <c r="S595" s="301"/>
      <c r="T595" s="301"/>
      <c r="U595" s="301"/>
      <c r="V595" s="301"/>
      <c r="W595" s="301"/>
      <c r="X595" s="301"/>
      <c r="Y595" s="301"/>
      <c r="Z595" s="301"/>
      <c r="AA595" s="301"/>
      <c r="AB595" s="301"/>
      <c r="AC595" s="301"/>
      <c r="AD595" s="301"/>
      <c r="AE595" s="301"/>
      <c r="AF595" s="301"/>
      <c r="AG595" s="301"/>
      <c r="AH595" s="301"/>
      <c r="AI595" s="301"/>
      <c r="AJ595" s="301"/>
      <c r="AK595" s="301"/>
      <c r="AL595" s="301"/>
      <c r="AM595" s="301"/>
      <c r="AN595" s="301"/>
      <c r="AO595" s="301"/>
      <c r="AP595" s="301"/>
    </row>
    <row r="596" spans="10:42" ht="13.5" customHeight="1">
      <c r="J596" s="301"/>
      <c r="K596" s="301"/>
      <c r="L596" s="301"/>
      <c r="M596" s="301"/>
      <c r="N596" s="301"/>
      <c r="O596" s="301"/>
      <c r="P596" s="301"/>
      <c r="Q596" s="301"/>
      <c r="R596" s="301"/>
      <c r="S596" s="301"/>
      <c r="T596" s="301"/>
      <c r="U596" s="301"/>
      <c r="V596" s="301"/>
      <c r="W596" s="301"/>
      <c r="X596" s="301"/>
      <c r="Y596" s="301"/>
      <c r="Z596" s="301"/>
      <c r="AA596" s="301"/>
      <c r="AB596" s="301"/>
      <c r="AC596" s="301"/>
      <c r="AD596" s="301"/>
      <c r="AE596" s="301"/>
      <c r="AF596" s="301"/>
      <c r="AG596" s="301"/>
      <c r="AH596" s="301"/>
      <c r="AI596" s="301"/>
      <c r="AJ596" s="301"/>
      <c r="AK596" s="301"/>
      <c r="AL596" s="301"/>
      <c r="AM596" s="301"/>
      <c r="AN596" s="301"/>
      <c r="AO596" s="301"/>
      <c r="AP596" s="301"/>
    </row>
    <row r="597" spans="10:42" ht="13.5" customHeight="1">
      <c r="J597" s="301"/>
      <c r="K597" s="301"/>
      <c r="L597" s="301"/>
      <c r="M597" s="301"/>
      <c r="N597" s="301"/>
      <c r="O597" s="301"/>
      <c r="P597" s="301"/>
      <c r="Q597" s="301"/>
      <c r="R597" s="301"/>
      <c r="S597" s="301"/>
      <c r="T597" s="301"/>
      <c r="U597" s="301"/>
      <c r="V597" s="301"/>
      <c r="W597" s="301"/>
      <c r="X597" s="301"/>
      <c r="Y597" s="301"/>
      <c r="Z597" s="301"/>
      <c r="AA597" s="301"/>
      <c r="AB597" s="301"/>
      <c r="AC597" s="301"/>
      <c r="AD597" s="301"/>
      <c r="AE597" s="301"/>
      <c r="AF597" s="301"/>
      <c r="AG597" s="301"/>
      <c r="AH597" s="301"/>
      <c r="AI597" s="301"/>
      <c r="AJ597" s="301"/>
      <c r="AK597" s="301"/>
      <c r="AL597" s="301"/>
      <c r="AM597" s="301"/>
      <c r="AN597" s="301"/>
      <c r="AO597" s="301"/>
      <c r="AP597" s="301"/>
    </row>
    <row r="598" spans="10:42" ht="13.5" customHeight="1">
      <c r="J598" s="301"/>
      <c r="K598" s="301"/>
      <c r="L598" s="301"/>
      <c r="M598" s="301"/>
      <c r="N598" s="301"/>
      <c r="O598" s="301"/>
      <c r="P598" s="301"/>
      <c r="Q598" s="301"/>
      <c r="R598" s="301"/>
      <c r="S598" s="301"/>
      <c r="T598" s="301"/>
      <c r="U598" s="301"/>
      <c r="V598" s="301"/>
      <c r="W598" s="301"/>
      <c r="X598" s="301"/>
      <c r="Y598" s="301"/>
      <c r="Z598" s="301"/>
      <c r="AA598" s="301"/>
      <c r="AB598" s="301"/>
      <c r="AC598" s="301"/>
      <c r="AD598" s="301"/>
      <c r="AE598" s="301"/>
      <c r="AF598" s="301"/>
      <c r="AG598" s="301"/>
      <c r="AH598" s="301"/>
      <c r="AI598" s="301"/>
      <c r="AJ598" s="301"/>
      <c r="AK598" s="301"/>
      <c r="AL598" s="301"/>
      <c r="AM598" s="301"/>
      <c r="AN598" s="301"/>
      <c r="AO598" s="301"/>
      <c r="AP598" s="301"/>
    </row>
    <row r="599" spans="10:42" ht="13.5" customHeight="1">
      <c r="J599" s="301"/>
      <c r="K599" s="301"/>
      <c r="L599" s="301"/>
      <c r="M599" s="301"/>
      <c r="N599" s="301"/>
      <c r="O599" s="301"/>
      <c r="P599" s="301"/>
      <c r="Q599" s="301"/>
      <c r="R599" s="301"/>
      <c r="S599" s="301"/>
      <c r="T599" s="301"/>
      <c r="U599" s="301"/>
      <c r="V599" s="301"/>
      <c r="W599" s="301"/>
      <c r="X599" s="301"/>
      <c r="Y599" s="301"/>
      <c r="Z599" s="301"/>
      <c r="AA599" s="301"/>
      <c r="AB599" s="301"/>
      <c r="AC599" s="301"/>
      <c r="AD599" s="301"/>
      <c r="AE599" s="301"/>
      <c r="AF599" s="301"/>
      <c r="AG599" s="301"/>
      <c r="AH599" s="301"/>
      <c r="AI599" s="301"/>
      <c r="AJ599" s="301"/>
      <c r="AK599" s="301"/>
      <c r="AL599" s="301"/>
      <c r="AM599" s="301"/>
      <c r="AN599" s="301"/>
      <c r="AO599" s="301"/>
      <c r="AP599" s="301"/>
    </row>
    <row r="600" spans="10:42" ht="13.5" customHeight="1">
      <c r="J600" s="301"/>
      <c r="K600" s="301"/>
      <c r="L600" s="301"/>
      <c r="M600" s="301"/>
      <c r="N600" s="301"/>
      <c r="O600" s="301"/>
      <c r="P600" s="301"/>
      <c r="Q600" s="301"/>
      <c r="R600" s="301"/>
      <c r="S600" s="301"/>
      <c r="T600" s="301"/>
      <c r="U600" s="301"/>
      <c r="V600" s="301"/>
      <c r="W600" s="301"/>
      <c r="X600" s="301"/>
      <c r="Y600" s="301"/>
      <c r="Z600" s="301"/>
      <c r="AA600" s="301"/>
      <c r="AB600" s="301"/>
      <c r="AC600" s="301"/>
      <c r="AD600" s="301"/>
      <c r="AE600" s="301"/>
      <c r="AF600" s="301"/>
      <c r="AG600" s="301"/>
      <c r="AH600" s="301"/>
      <c r="AI600" s="301"/>
      <c r="AJ600" s="301"/>
      <c r="AK600" s="301"/>
      <c r="AL600" s="301"/>
      <c r="AM600" s="301"/>
      <c r="AN600" s="301"/>
      <c r="AO600" s="301"/>
      <c r="AP600" s="301"/>
    </row>
    <row r="601" spans="10:42" ht="13.5" customHeight="1">
      <c r="J601" s="301"/>
      <c r="K601" s="301"/>
      <c r="L601" s="301"/>
      <c r="M601" s="301"/>
      <c r="N601" s="301"/>
      <c r="O601" s="301"/>
      <c r="P601" s="301"/>
      <c r="Q601" s="301"/>
      <c r="R601" s="301"/>
      <c r="S601" s="301"/>
      <c r="T601" s="301"/>
      <c r="U601" s="301"/>
      <c r="V601" s="301"/>
      <c r="W601" s="301"/>
      <c r="X601" s="301"/>
      <c r="Y601" s="301"/>
      <c r="Z601" s="301"/>
      <c r="AA601" s="301"/>
      <c r="AB601" s="301"/>
      <c r="AC601" s="301"/>
      <c r="AD601" s="301"/>
      <c r="AE601" s="301"/>
      <c r="AF601" s="301"/>
      <c r="AG601" s="301"/>
      <c r="AH601" s="301"/>
      <c r="AI601" s="301"/>
      <c r="AJ601" s="301"/>
      <c r="AK601" s="301"/>
      <c r="AL601" s="301"/>
      <c r="AM601" s="301"/>
      <c r="AN601" s="301"/>
      <c r="AO601" s="301"/>
      <c r="AP601" s="301"/>
    </row>
    <row r="602" spans="10:42" ht="13.5" customHeight="1">
      <c r="J602" s="301"/>
      <c r="K602" s="301"/>
      <c r="L602" s="301"/>
      <c r="M602" s="301"/>
      <c r="N602" s="301"/>
      <c r="O602" s="301"/>
      <c r="P602" s="301"/>
      <c r="Q602" s="301"/>
      <c r="R602" s="301"/>
      <c r="S602" s="301"/>
      <c r="T602" s="301"/>
      <c r="U602" s="301"/>
      <c r="V602" s="301"/>
      <c r="W602" s="301"/>
      <c r="X602" s="301"/>
      <c r="Y602" s="301"/>
      <c r="Z602" s="301"/>
      <c r="AA602" s="301"/>
      <c r="AB602" s="301"/>
      <c r="AC602" s="301"/>
      <c r="AD602" s="301"/>
      <c r="AE602" s="301"/>
      <c r="AF602" s="301"/>
      <c r="AG602" s="301"/>
      <c r="AH602" s="301"/>
      <c r="AI602" s="301"/>
      <c r="AJ602" s="301"/>
      <c r="AK602" s="301"/>
      <c r="AL602" s="301"/>
      <c r="AM602" s="301"/>
      <c r="AN602" s="301"/>
      <c r="AO602" s="301"/>
      <c r="AP602" s="301"/>
    </row>
    <row r="603" spans="10:42" ht="13.5" customHeight="1">
      <c r="J603" s="301"/>
      <c r="K603" s="301"/>
      <c r="L603" s="301"/>
      <c r="M603" s="301"/>
      <c r="N603" s="301"/>
      <c r="O603" s="301"/>
      <c r="P603" s="301"/>
      <c r="Q603" s="301"/>
      <c r="R603" s="301"/>
      <c r="S603" s="301"/>
      <c r="T603" s="301"/>
      <c r="U603" s="301"/>
      <c r="V603" s="301"/>
      <c r="W603" s="301"/>
      <c r="X603" s="301"/>
      <c r="Y603" s="301"/>
      <c r="Z603" s="301"/>
      <c r="AA603" s="301"/>
      <c r="AB603" s="301"/>
      <c r="AC603" s="301"/>
      <c r="AD603" s="301"/>
      <c r="AE603" s="301"/>
      <c r="AF603" s="301"/>
      <c r="AG603" s="301"/>
      <c r="AH603" s="301"/>
      <c r="AI603" s="301"/>
      <c r="AJ603" s="301"/>
      <c r="AK603" s="301"/>
      <c r="AL603" s="301"/>
      <c r="AM603" s="301"/>
      <c r="AN603" s="301"/>
      <c r="AO603" s="301"/>
      <c r="AP603" s="301"/>
    </row>
    <row r="604" spans="10:42" ht="13.5" customHeight="1">
      <c r="J604" s="301"/>
      <c r="K604" s="301"/>
      <c r="L604" s="301"/>
      <c r="M604" s="301"/>
      <c r="N604" s="301"/>
      <c r="O604" s="301"/>
      <c r="P604" s="301"/>
      <c r="Q604" s="301"/>
      <c r="R604" s="301"/>
      <c r="S604" s="301"/>
      <c r="T604" s="301"/>
      <c r="U604" s="301"/>
      <c r="V604" s="301"/>
      <c r="W604" s="301"/>
      <c r="X604" s="301"/>
      <c r="Y604" s="301"/>
      <c r="Z604" s="301"/>
      <c r="AA604" s="301"/>
      <c r="AB604" s="301"/>
      <c r="AC604" s="301"/>
      <c r="AD604" s="301"/>
      <c r="AE604" s="301"/>
      <c r="AF604" s="301"/>
      <c r="AG604" s="301"/>
      <c r="AH604" s="301"/>
      <c r="AI604" s="301"/>
      <c r="AJ604" s="301"/>
      <c r="AK604" s="301"/>
      <c r="AL604" s="301"/>
      <c r="AM604" s="301"/>
      <c r="AN604" s="301"/>
      <c r="AO604" s="301"/>
      <c r="AP604" s="301"/>
    </row>
    <row r="605" spans="10:42" ht="13.5" customHeight="1">
      <c r="J605" s="301"/>
      <c r="K605" s="301"/>
      <c r="L605" s="301"/>
      <c r="M605" s="301"/>
      <c r="N605" s="301"/>
      <c r="O605" s="301"/>
      <c r="P605" s="301"/>
      <c r="Q605" s="301"/>
      <c r="R605" s="301"/>
      <c r="S605" s="301"/>
      <c r="T605" s="301"/>
      <c r="U605" s="301"/>
      <c r="V605" s="301"/>
      <c r="W605" s="301"/>
      <c r="X605" s="301"/>
      <c r="Y605" s="301"/>
      <c r="Z605" s="301"/>
      <c r="AA605" s="301"/>
      <c r="AB605" s="301"/>
      <c r="AC605" s="301"/>
      <c r="AD605" s="301"/>
      <c r="AE605" s="301"/>
      <c r="AF605" s="301"/>
      <c r="AG605" s="301"/>
      <c r="AH605" s="301"/>
      <c r="AI605" s="301"/>
      <c r="AJ605" s="301"/>
      <c r="AK605" s="301"/>
      <c r="AL605" s="301"/>
      <c r="AM605" s="301"/>
      <c r="AN605" s="301"/>
      <c r="AO605" s="301"/>
      <c r="AP605" s="301"/>
    </row>
    <row r="606" spans="10:42" ht="13.5" customHeight="1">
      <c r="J606" s="301"/>
      <c r="K606" s="301"/>
      <c r="L606" s="301"/>
      <c r="M606" s="301"/>
      <c r="N606" s="301"/>
      <c r="O606" s="301"/>
      <c r="P606" s="301"/>
      <c r="Q606" s="301"/>
      <c r="R606" s="301"/>
      <c r="S606" s="301"/>
      <c r="T606" s="301"/>
      <c r="U606" s="301"/>
      <c r="V606" s="301"/>
      <c r="W606" s="301"/>
      <c r="X606" s="301"/>
      <c r="Y606" s="301"/>
      <c r="Z606" s="301"/>
      <c r="AA606" s="301"/>
      <c r="AB606" s="301"/>
      <c r="AC606" s="301"/>
      <c r="AD606" s="301"/>
      <c r="AE606" s="301"/>
      <c r="AF606" s="301"/>
      <c r="AG606" s="301"/>
      <c r="AH606" s="301"/>
      <c r="AI606" s="301"/>
      <c r="AJ606" s="301"/>
      <c r="AK606" s="301"/>
      <c r="AL606" s="301"/>
      <c r="AM606" s="301"/>
      <c r="AN606" s="301"/>
      <c r="AO606" s="301"/>
      <c r="AP606" s="301"/>
    </row>
    <row r="607" spans="10:42" ht="13.5" customHeight="1">
      <c r="J607" s="301"/>
      <c r="K607" s="301"/>
      <c r="L607" s="301"/>
      <c r="M607" s="301"/>
      <c r="N607" s="301"/>
      <c r="O607" s="301"/>
      <c r="P607" s="301"/>
      <c r="Q607" s="301"/>
      <c r="R607" s="301"/>
      <c r="S607" s="301"/>
      <c r="T607" s="301"/>
      <c r="U607" s="301"/>
      <c r="V607" s="301"/>
      <c r="W607" s="301"/>
      <c r="X607" s="301"/>
      <c r="Y607" s="301"/>
      <c r="Z607" s="301"/>
      <c r="AA607" s="301"/>
      <c r="AB607" s="301"/>
      <c r="AC607" s="301"/>
      <c r="AD607" s="301"/>
      <c r="AE607" s="301"/>
      <c r="AF607" s="301"/>
      <c r="AG607" s="301"/>
      <c r="AH607" s="301"/>
      <c r="AI607" s="301"/>
      <c r="AJ607" s="301"/>
      <c r="AK607" s="301"/>
      <c r="AL607" s="301"/>
      <c r="AM607" s="301"/>
      <c r="AN607" s="301"/>
      <c r="AO607" s="301"/>
      <c r="AP607" s="301"/>
    </row>
    <row r="608" spans="10:42" ht="13.5" customHeight="1">
      <c r="J608" s="301"/>
      <c r="K608" s="301"/>
      <c r="L608" s="301"/>
      <c r="M608" s="301"/>
      <c r="N608" s="301"/>
      <c r="O608" s="301"/>
      <c r="P608" s="301"/>
      <c r="Q608" s="301"/>
      <c r="R608" s="301"/>
      <c r="S608" s="301"/>
      <c r="T608" s="301"/>
      <c r="U608" s="301"/>
      <c r="V608" s="301"/>
      <c r="W608" s="301"/>
      <c r="X608" s="301"/>
      <c r="Y608" s="301"/>
      <c r="Z608" s="301"/>
      <c r="AA608" s="301"/>
      <c r="AB608" s="301"/>
      <c r="AC608" s="301"/>
      <c r="AD608" s="301"/>
      <c r="AE608" s="301"/>
      <c r="AF608" s="301"/>
      <c r="AG608" s="301"/>
      <c r="AH608" s="301"/>
      <c r="AI608" s="301"/>
      <c r="AJ608" s="301"/>
      <c r="AK608" s="301"/>
      <c r="AL608" s="301"/>
      <c r="AM608" s="301"/>
      <c r="AN608" s="301"/>
      <c r="AO608" s="301"/>
      <c r="AP608" s="301"/>
    </row>
    <row r="609" spans="10:42" ht="13.5" customHeight="1">
      <c r="J609" s="301"/>
      <c r="K609" s="301"/>
      <c r="L609" s="301"/>
      <c r="M609" s="301"/>
      <c r="N609" s="301"/>
      <c r="O609" s="301"/>
      <c r="P609" s="301"/>
      <c r="Q609" s="301"/>
      <c r="R609" s="301"/>
      <c r="S609" s="301"/>
      <c r="T609" s="301"/>
      <c r="U609" s="301"/>
      <c r="V609" s="301"/>
      <c r="W609" s="301"/>
      <c r="X609" s="301"/>
      <c r="Y609" s="301"/>
      <c r="Z609" s="301"/>
      <c r="AA609" s="301"/>
      <c r="AB609" s="301"/>
      <c r="AC609" s="301"/>
      <c r="AD609" s="301"/>
      <c r="AE609" s="301"/>
      <c r="AF609" s="301"/>
      <c r="AG609" s="301"/>
      <c r="AH609" s="301"/>
      <c r="AI609" s="301"/>
      <c r="AJ609" s="301"/>
      <c r="AK609" s="301"/>
      <c r="AL609" s="301"/>
      <c r="AM609" s="301"/>
      <c r="AN609" s="301"/>
      <c r="AO609" s="301"/>
      <c r="AP609" s="301"/>
    </row>
    <row r="610" spans="10:42" ht="13.5" customHeight="1">
      <c r="J610" s="301"/>
      <c r="K610" s="301"/>
      <c r="L610" s="301"/>
      <c r="M610" s="301"/>
      <c r="N610" s="301"/>
      <c r="O610" s="301"/>
      <c r="P610" s="301"/>
      <c r="Q610" s="301"/>
      <c r="R610" s="301"/>
      <c r="S610" s="301"/>
      <c r="T610" s="301"/>
      <c r="U610" s="301"/>
      <c r="V610" s="301"/>
      <c r="W610" s="301"/>
      <c r="X610" s="301"/>
      <c r="Y610" s="301"/>
      <c r="Z610" s="301"/>
      <c r="AA610" s="301"/>
      <c r="AB610" s="301"/>
      <c r="AC610" s="301"/>
      <c r="AD610" s="301"/>
      <c r="AE610" s="301"/>
      <c r="AF610" s="301"/>
      <c r="AG610" s="301"/>
      <c r="AH610" s="301"/>
      <c r="AI610" s="301"/>
      <c r="AJ610" s="301"/>
      <c r="AK610" s="301"/>
      <c r="AL610" s="301"/>
      <c r="AM610" s="301"/>
      <c r="AN610" s="301"/>
      <c r="AO610" s="301"/>
      <c r="AP610" s="301"/>
    </row>
    <row r="611" spans="10:42" ht="13.5" customHeight="1">
      <c r="J611" s="301"/>
      <c r="K611" s="301"/>
      <c r="L611" s="301"/>
      <c r="M611" s="301"/>
      <c r="N611" s="301"/>
      <c r="O611" s="301"/>
      <c r="P611" s="301"/>
      <c r="Q611" s="301"/>
      <c r="R611" s="301"/>
      <c r="S611" s="301"/>
      <c r="T611" s="301"/>
      <c r="U611" s="301"/>
      <c r="V611" s="301"/>
      <c r="W611" s="301"/>
      <c r="X611" s="301"/>
      <c r="Y611" s="301"/>
      <c r="Z611" s="301"/>
      <c r="AA611" s="301"/>
      <c r="AB611" s="301"/>
      <c r="AC611" s="301"/>
      <c r="AD611" s="301"/>
      <c r="AE611" s="301"/>
      <c r="AF611" s="301"/>
      <c r="AG611" s="301"/>
      <c r="AH611" s="301"/>
      <c r="AI611" s="301"/>
      <c r="AJ611" s="301"/>
      <c r="AK611" s="301"/>
      <c r="AL611" s="301"/>
      <c r="AM611" s="301"/>
      <c r="AN611" s="301"/>
      <c r="AO611" s="301"/>
      <c r="AP611" s="301"/>
    </row>
    <row r="612" spans="10:42" ht="13.5" customHeight="1">
      <c r="J612" s="301"/>
      <c r="K612" s="301"/>
      <c r="L612" s="301"/>
      <c r="M612" s="301"/>
      <c r="N612" s="301"/>
      <c r="O612" s="301"/>
      <c r="P612" s="301"/>
      <c r="Q612" s="301"/>
      <c r="R612" s="301"/>
      <c r="S612" s="301"/>
      <c r="T612" s="301"/>
      <c r="U612" s="301"/>
      <c r="V612" s="301"/>
      <c r="W612" s="301"/>
      <c r="X612" s="301"/>
      <c r="Y612" s="301"/>
      <c r="Z612" s="301"/>
      <c r="AA612" s="301"/>
      <c r="AB612" s="301"/>
      <c r="AC612" s="301"/>
      <c r="AD612" s="301"/>
      <c r="AE612" s="301"/>
      <c r="AF612" s="301"/>
      <c r="AG612" s="301"/>
      <c r="AH612" s="301"/>
      <c r="AI612" s="301"/>
      <c r="AJ612" s="301"/>
      <c r="AK612" s="301"/>
      <c r="AL612" s="301"/>
      <c r="AM612" s="301"/>
      <c r="AN612" s="301"/>
      <c r="AO612" s="301"/>
      <c r="AP612" s="301"/>
    </row>
    <row r="613" spans="10:42" ht="13.5" customHeight="1">
      <c r="J613" s="301"/>
      <c r="K613" s="301"/>
      <c r="L613" s="301"/>
      <c r="M613" s="301"/>
      <c r="N613" s="301"/>
      <c r="O613" s="301"/>
      <c r="P613" s="301"/>
      <c r="Q613" s="301"/>
      <c r="R613" s="301"/>
      <c r="S613" s="301"/>
      <c r="T613" s="301"/>
      <c r="U613" s="301"/>
      <c r="V613" s="301"/>
      <c r="W613" s="301"/>
      <c r="X613" s="301"/>
      <c r="Y613" s="301"/>
      <c r="Z613" s="301"/>
      <c r="AA613" s="301"/>
      <c r="AB613" s="301"/>
      <c r="AC613" s="301"/>
      <c r="AD613" s="301"/>
      <c r="AE613" s="301"/>
      <c r="AF613" s="301"/>
      <c r="AG613" s="301"/>
      <c r="AH613" s="301"/>
      <c r="AI613" s="301"/>
      <c r="AJ613" s="301"/>
      <c r="AK613" s="301"/>
      <c r="AL613" s="301"/>
      <c r="AM613" s="301"/>
      <c r="AN613" s="301"/>
      <c r="AO613" s="301"/>
      <c r="AP613" s="301"/>
    </row>
    <row r="614" spans="10:42" ht="13.5" customHeight="1">
      <c r="J614" s="301"/>
      <c r="K614" s="301"/>
      <c r="L614" s="301"/>
      <c r="M614" s="301"/>
      <c r="N614" s="301"/>
      <c r="O614" s="301"/>
      <c r="P614" s="301"/>
      <c r="Q614" s="301"/>
      <c r="R614" s="301"/>
      <c r="S614" s="301"/>
      <c r="T614" s="301"/>
      <c r="U614" s="301"/>
      <c r="V614" s="301"/>
      <c r="W614" s="301"/>
      <c r="X614" s="301"/>
      <c r="Y614" s="301"/>
      <c r="Z614" s="301"/>
      <c r="AA614" s="301"/>
      <c r="AB614" s="301"/>
      <c r="AC614" s="301"/>
      <c r="AD614" s="301"/>
      <c r="AE614" s="301"/>
      <c r="AF614" s="301"/>
      <c r="AG614" s="301"/>
      <c r="AH614" s="301"/>
      <c r="AI614" s="301"/>
      <c r="AJ614" s="301"/>
      <c r="AK614" s="301"/>
      <c r="AL614" s="301"/>
      <c r="AM614" s="301"/>
      <c r="AN614" s="301"/>
      <c r="AO614" s="301"/>
      <c r="AP614" s="301"/>
    </row>
    <row r="615" spans="10:42" ht="13.5" customHeight="1">
      <c r="J615" s="301"/>
      <c r="K615" s="301"/>
      <c r="L615" s="301"/>
      <c r="M615" s="301"/>
      <c r="N615" s="301"/>
      <c r="O615" s="301"/>
      <c r="P615" s="301"/>
      <c r="Q615" s="301"/>
      <c r="R615" s="301"/>
      <c r="S615" s="301"/>
      <c r="T615" s="301"/>
      <c r="U615" s="301"/>
      <c r="V615" s="301"/>
      <c r="W615" s="301"/>
      <c r="X615" s="301"/>
      <c r="Y615" s="301"/>
      <c r="Z615" s="301"/>
      <c r="AA615" s="301"/>
      <c r="AB615" s="301"/>
      <c r="AC615" s="301"/>
      <c r="AD615" s="301"/>
      <c r="AE615" s="301"/>
      <c r="AF615" s="301"/>
      <c r="AG615" s="301"/>
      <c r="AH615" s="301"/>
      <c r="AI615" s="301"/>
      <c r="AJ615" s="301"/>
      <c r="AK615" s="301"/>
      <c r="AL615" s="301"/>
      <c r="AM615" s="301"/>
      <c r="AN615" s="301"/>
      <c r="AO615" s="301"/>
      <c r="AP615" s="301"/>
    </row>
    <row r="616" spans="10:42" ht="13.5" customHeight="1">
      <c r="J616" s="301"/>
      <c r="K616" s="301"/>
      <c r="L616" s="301"/>
      <c r="M616" s="301"/>
      <c r="N616" s="301"/>
      <c r="O616" s="301"/>
      <c r="P616" s="301"/>
      <c r="Q616" s="301"/>
      <c r="R616" s="301"/>
      <c r="S616" s="301"/>
      <c r="T616" s="301"/>
      <c r="U616" s="301"/>
      <c r="V616" s="301"/>
      <c r="W616" s="301"/>
      <c r="X616" s="301"/>
      <c r="Y616" s="301"/>
      <c r="Z616" s="301"/>
      <c r="AA616" s="301"/>
      <c r="AB616" s="301"/>
      <c r="AC616" s="301"/>
      <c r="AD616" s="301"/>
      <c r="AE616" s="301"/>
      <c r="AF616" s="301"/>
      <c r="AG616" s="301"/>
      <c r="AH616" s="301"/>
      <c r="AI616" s="301"/>
      <c r="AJ616" s="301"/>
      <c r="AK616" s="301"/>
      <c r="AL616" s="301"/>
      <c r="AM616" s="301"/>
      <c r="AN616" s="301"/>
      <c r="AO616" s="301"/>
      <c r="AP616" s="301"/>
    </row>
    <row r="617" spans="10:42" ht="13.5" customHeight="1">
      <c r="J617" s="301"/>
      <c r="K617" s="301"/>
      <c r="L617" s="301"/>
      <c r="M617" s="301"/>
      <c r="N617" s="301"/>
      <c r="O617" s="301"/>
      <c r="P617" s="301"/>
      <c r="Q617" s="301"/>
      <c r="R617" s="301"/>
      <c r="S617" s="301"/>
      <c r="T617" s="301"/>
      <c r="U617" s="301"/>
      <c r="V617" s="301"/>
      <c r="W617" s="301"/>
      <c r="X617" s="301"/>
      <c r="Y617" s="301"/>
      <c r="Z617" s="301"/>
      <c r="AA617" s="301"/>
      <c r="AB617" s="301"/>
      <c r="AC617" s="301"/>
      <c r="AD617" s="301"/>
      <c r="AE617" s="301"/>
      <c r="AF617" s="301"/>
      <c r="AG617" s="301"/>
      <c r="AH617" s="301"/>
      <c r="AI617" s="301"/>
      <c r="AJ617" s="301"/>
      <c r="AK617" s="301"/>
      <c r="AL617" s="301"/>
      <c r="AM617" s="301"/>
      <c r="AN617" s="301"/>
      <c r="AO617" s="301"/>
      <c r="AP617" s="301"/>
    </row>
    <row r="618" spans="10:42" ht="13.5" customHeight="1">
      <c r="J618" s="301"/>
      <c r="K618" s="301"/>
      <c r="L618" s="301"/>
      <c r="M618" s="301"/>
      <c r="N618" s="301"/>
      <c r="O618" s="301"/>
      <c r="P618" s="301"/>
      <c r="Q618" s="301"/>
      <c r="R618" s="301"/>
      <c r="S618" s="301"/>
      <c r="T618" s="301"/>
      <c r="U618" s="301"/>
      <c r="V618" s="301"/>
      <c r="W618" s="301"/>
      <c r="X618" s="301"/>
      <c r="Y618" s="301"/>
      <c r="Z618" s="301"/>
      <c r="AA618" s="301"/>
      <c r="AB618" s="301"/>
      <c r="AC618" s="301"/>
      <c r="AD618" s="301"/>
      <c r="AE618" s="301"/>
      <c r="AF618" s="301"/>
      <c r="AG618" s="301"/>
      <c r="AH618" s="301"/>
      <c r="AI618" s="301"/>
      <c r="AJ618" s="301"/>
      <c r="AK618" s="301"/>
      <c r="AL618" s="301"/>
      <c r="AM618" s="301"/>
      <c r="AN618" s="301"/>
      <c r="AO618" s="301"/>
      <c r="AP618" s="301"/>
    </row>
    <row r="619" spans="10:42" ht="13.5" customHeight="1">
      <c r="J619" s="301"/>
      <c r="K619" s="301"/>
      <c r="L619" s="301"/>
      <c r="M619" s="301"/>
      <c r="N619" s="301"/>
      <c r="O619" s="301"/>
      <c r="P619" s="301"/>
      <c r="Q619" s="301"/>
      <c r="R619" s="301"/>
      <c r="S619" s="301"/>
      <c r="T619" s="301"/>
      <c r="U619" s="301"/>
      <c r="V619" s="301"/>
      <c r="W619" s="301"/>
      <c r="X619" s="301"/>
      <c r="Y619" s="301"/>
      <c r="Z619" s="301"/>
      <c r="AA619" s="301"/>
      <c r="AB619" s="301"/>
      <c r="AC619" s="301"/>
      <c r="AD619" s="301"/>
      <c r="AE619" s="301"/>
      <c r="AF619" s="301"/>
      <c r="AG619" s="301"/>
      <c r="AH619" s="301"/>
      <c r="AI619" s="301"/>
      <c r="AJ619" s="301"/>
      <c r="AK619" s="301"/>
      <c r="AL619" s="301"/>
      <c r="AM619" s="301"/>
      <c r="AN619" s="301"/>
      <c r="AO619" s="301"/>
      <c r="AP619" s="301"/>
    </row>
    <row r="620" spans="10:42" ht="13.5" customHeight="1">
      <c r="J620" s="301"/>
      <c r="K620" s="301"/>
      <c r="L620" s="301"/>
      <c r="M620" s="301"/>
      <c r="N620" s="301"/>
      <c r="O620" s="301"/>
      <c r="P620" s="301"/>
      <c r="Q620" s="301"/>
      <c r="R620" s="301"/>
      <c r="S620" s="301"/>
      <c r="T620" s="301"/>
      <c r="U620" s="301"/>
      <c r="V620" s="301"/>
      <c r="W620" s="301"/>
      <c r="X620" s="301"/>
      <c r="Y620" s="301"/>
      <c r="Z620" s="301"/>
      <c r="AA620" s="301"/>
      <c r="AB620" s="301"/>
      <c r="AC620" s="301"/>
      <c r="AD620" s="301"/>
      <c r="AE620" s="301"/>
      <c r="AF620" s="301"/>
      <c r="AG620" s="301"/>
      <c r="AH620" s="301"/>
      <c r="AI620" s="301"/>
      <c r="AJ620" s="301"/>
      <c r="AK620" s="301"/>
      <c r="AL620" s="301"/>
      <c r="AM620" s="301"/>
      <c r="AN620" s="301"/>
      <c r="AO620" s="301"/>
      <c r="AP620" s="301"/>
    </row>
    <row r="621" spans="10:42" ht="13.5" customHeight="1">
      <c r="J621" s="301"/>
      <c r="K621" s="301"/>
      <c r="L621" s="301"/>
      <c r="M621" s="301"/>
      <c r="N621" s="301"/>
      <c r="O621" s="301"/>
      <c r="P621" s="301"/>
      <c r="Q621" s="301"/>
      <c r="R621" s="301"/>
      <c r="S621" s="301"/>
      <c r="T621" s="301"/>
      <c r="U621" s="301"/>
      <c r="V621" s="301"/>
      <c r="W621" s="301"/>
      <c r="X621" s="301"/>
      <c r="Y621" s="301"/>
      <c r="Z621" s="301"/>
      <c r="AA621" s="301"/>
      <c r="AB621" s="301"/>
      <c r="AC621" s="301"/>
      <c r="AD621" s="301"/>
      <c r="AE621" s="301"/>
      <c r="AF621" s="301"/>
      <c r="AG621" s="301"/>
      <c r="AH621" s="301"/>
      <c r="AI621" s="301"/>
      <c r="AJ621" s="301"/>
      <c r="AK621" s="301"/>
      <c r="AL621" s="301"/>
      <c r="AM621" s="301"/>
      <c r="AN621" s="301"/>
      <c r="AO621" s="301"/>
      <c r="AP621" s="301"/>
    </row>
    <row r="622" spans="10:42" ht="13.5" customHeight="1">
      <c r="J622" s="301"/>
      <c r="K622" s="301"/>
      <c r="L622" s="301"/>
      <c r="M622" s="301"/>
      <c r="N622" s="301"/>
      <c r="O622" s="301"/>
      <c r="P622" s="301"/>
      <c r="Q622" s="301"/>
      <c r="R622" s="301"/>
      <c r="S622" s="301"/>
      <c r="T622" s="301"/>
      <c r="U622" s="301"/>
      <c r="V622" s="301"/>
      <c r="W622" s="301"/>
      <c r="X622" s="301"/>
      <c r="Y622" s="301"/>
      <c r="Z622" s="301"/>
      <c r="AA622" s="301"/>
      <c r="AB622" s="301"/>
      <c r="AC622" s="301"/>
      <c r="AD622" s="301"/>
      <c r="AE622" s="301"/>
      <c r="AF622" s="301"/>
      <c r="AG622" s="301"/>
      <c r="AH622" s="301"/>
      <c r="AI622" s="301"/>
      <c r="AJ622" s="301"/>
      <c r="AK622" s="301"/>
      <c r="AL622" s="301"/>
      <c r="AM622" s="301"/>
      <c r="AN622" s="301"/>
      <c r="AO622" s="301"/>
      <c r="AP622" s="301"/>
    </row>
    <row r="623" spans="10:42" ht="13.5" customHeight="1">
      <c r="J623" s="301"/>
      <c r="K623" s="301"/>
      <c r="L623" s="301"/>
      <c r="M623" s="301"/>
      <c r="N623" s="301"/>
      <c r="O623" s="301"/>
      <c r="P623" s="301"/>
      <c r="Q623" s="301"/>
      <c r="R623" s="301"/>
      <c r="S623" s="301"/>
      <c r="T623" s="301"/>
      <c r="U623" s="301"/>
      <c r="V623" s="301"/>
      <c r="W623" s="301"/>
      <c r="X623" s="301"/>
      <c r="Y623" s="301"/>
      <c r="Z623" s="301"/>
      <c r="AA623" s="301"/>
      <c r="AB623" s="301"/>
      <c r="AC623" s="301"/>
      <c r="AD623" s="301"/>
      <c r="AE623" s="301"/>
      <c r="AF623" s="301"/>
      <c r="AG623" s="301"/>
      <c r="AH623" s="301"/>
      <c r="AI623" s="301"/>
      <c r="AJ623" s="301"/>
      <c r="AK623" s="301"/>
      <c r="AL623" s="301"/>
      <c r="AM623" s="301"/>
      <c r="AN623" s="301"/>
      <c r="AO623" s="301"/>
      <c r="AP623" s="301"/>
    </row>
    <row r="624" spans="10:42" ht="13.5" customHeight="1">
      <c r="J624" s="301"/>
      <c r="K624" s="301"/>
      <c r="L624" s="301"/>
      <c r="M624" s="301"/>
      <c r="N624" s="301"/>
      <c r="O624" s="301"/>
      <c r="P624" s="301"/>
      <c r="Q624" s="301"/>
      <c r="R624" s="301"/>
      <c r="S624" s="301"/>
      <c r="T624" s="301"/>
      <c r="U624" s="301"/>
      <c r="V624" s="301"/>
      <c r="W624" s="301"/>
      <c r="X624" s="301"/>
      <c r="Y624" s="301"/>
      <c r="Z624" s="301"/>
      <c r="AA624" s="301"/>
      <c r="AB624" s="301"/>
      <c r="AC624" s="301"/>
      <c r="AD624" s="301"/>
      <c r="AE624" s="301"/>
      <c r="AF624" s="301"/>
      <c r="AG624" s="301"/>
      <c r="AH624" s="301"/>
      <c r="AI624" s="301"/>
      <c r="AJ624" s="301"/>
      <c r="AK624" s="301"/>
      <c r="AL624" s="301"/>
      <c r="AM624" s="301"/>
      <c r="AN624" s="301"/>
      <c r="AO624" s="301"/>
      <c r="AP624" s="301"/>
    </row>
    <row r="625" spans="10:42" ht="13.5" customHeight="1">
      <c r="J625" s="301"/>
      <c r="K625" s="301"/>
      <c r="L625" s="301"/>
      <c r="M625" s="301"/>
      <c r="N625" s="301"/>
      <c r="O625" s="301"/>
      <c r="P625" s="301"/>
      <c r="Q625" s="301"/>
      <c r="R625" s="301"/>
      <c r="S625" s="301"/>
      <c r="T625" s="301"/>
      <c r="U625" s="301"/>
      <c r="V625" s="301"/>
      <c r="W625" s="301"/>
      <c r="X625" s="301"/>
      <c r="Y625" s="301"/>
      <c r="Z625" s="301"/>
      <c r="AA625" s="301"/>
      <c r="AB625" s="301"/>
      <c r="AC625" s="301"/>
      <c r="AD625" s="301"/>
      <c r="AE625" s="301"/>
      <c r="AF625" s="301"/>
      <c r="AG625" s="301"/>
      <c r="AH625" s="301"/>
      <c r="AI625" s="301"/>
      <c r="AJ625" s="301"/>
      <c r="AK625" s="301"/>
      <c r="AL625" s="301"/>
      <c r="AM625" s="301"/>
      <c r="AN625" s="301"/>
      <c r="AO625" s="301"/>
      <c r="AP625" s="301"/>
    </row>
    <row r="626" spans="10:42" ht="13.5" customHeight="1">
      <c r="J626" s="301"/>
      <c r="K626" s="301"/>
      <c r="L626" s="301"/>
      <c r="M626" s="301"/>
      <c r="N626" s="301"/>
      <c r="O626" s="301"/>
      <c r="P626" s="301"/>
      <c r="Q626" s="301"/>
      <c r="R626" s="301"/>
      <c r="S626" s="301"/>
      <c r="T626" s="301"/>
      <c r="U626" s="301"/>
      <c r="V626" s="301"/>
      <c r="W626" s="301"/>
      <c r="X626" s="301"/>
      <c r="Y626" s="301"/>
      <c r="Z626" s="301"/>
      <c r="AA626" s="301"/>
      <c r="AB626" s="301"/>
      <c r="AC626" s="301"/>
      <c r="AD626" s="301"/>
      <c r="AE626" s="301"/>
      <c r="AF626" s="301"/>
      <c r="AG626" s="301"/>
      <c r="AH626" s="301"/>
      <c r="AI626" s="301"/>
      <c r="AJ626" s="301"/>
      <c r="AK626" s="301"/>
      <c r="AL626" s="301"/>
      <c r="AM626" s="301"/>
      <c r="AN626" s="301"/>
      <c r="AO626" s="301"/>
      <c r="AP626" s="301"/>
    </row>
    <row r="627" spans="10:42" ht="13.5" customHeight="1">
      <c r="J627" s="301"/>
      <c r="K627" s="301"/>
      <c r="L627" s="301"/>
      <c r="M627" s="301"/>
      <c r="N627" s="301"/>
      <c r="O627" s="301"/>
      <c r="P627" s="301"/>
      <c r="Q627" s="301"/>
      <c r="R627" s="301"/>
      <c r="S627" s="301"/>
      <c r="T627" s="301"/>
      <c r="U627" s="301"/>
      <c r="V627" s="301"/>
      <c r="W627" s="301"/>
      <c r="X627" s="301"/>
      <c r="Y627" s="301"/>
      <c r="Z627" s="301"/>
      <c r="AA627" s="301"/>
      <c r="AB627" s="301"/>
      <c r="AC627" s="301"/>
      <c r="AD627" s="301"/>
      <c r="AE627" s="301"/>
      <c r="AF627" s="301"/>
      <c r="AG627" s="301"/>
      <c r="AH627" s="301"/>
      <c r="AI627" s="301"/>
      <c r="AJ627" s="301"/>
      <c r="AK627" s="301"/>
      <c r="AL627" s="301"/>
      <c r="AM627" s="301"/>
      <c r="AN627" s="301"/>
      <c r="AO627" s="301"/>
      <c r="AP627" s="301"/>
    </row>
    <row r="628" spans="10:42" ht="13.5" customHeight="1">
      <c r="J628" s="301"/>
      <c r="K628" s="301"/>
      <c r="L628" s="301"/>
      <c r="M628" s="301"/>
      <c r="N628" s="301"/>
      <c r="O628" s="301"/>
      <c r="P628" s="301"/>
      <c r="Q628" s="301"/>
      <c r="R628" s="301"/>
      <c r="S628" s="301"/>
      <c r="T628" s="301"/>
      <c r="U628" s="301"/>
      <c r="V628" s="301"/>
      <c r="W628" s="301"/>
      <c r="X628" s="301"/>
      <c r="Y628" s="301"/>
      <c r="Z628" s="301"/>
      <c r="AA628" s="301"/>
      <c r="AB628" s="301"/>
      <c r="AC628" s="301"/>
      <c r="AD628" s="301"/>
      <c r="AE628" s="301"/>
      <c r="AF628" s="301"/>
      <c r="AG628" s="301"/>
      <c r="AH628" s="301"/>
      <c r="AI628" s="301"/>
      <c r="AJ628" s="301"/>
      <c r="AK628" s="301"/>
      <c r="AL628" s="301"/>
      <c r="AM628" s="301"/>
      <c r="AN628" s="301"/>
      <c r="AO628" s="301"/>
      <c r="AP628" s="301"/>
    </row>
    <row r="629" spans="10:42" ht="13.5" customHeight="1">
      <c r="J629" s="301"/>
      <c r="K629" s="301"/>
      <c r="L629" s="301"/>
      <c r="M629" s="301"/>
      <c r="N629" s="301"/>
      <c r="O629" s="301"/>
      <c r="P629" s="301"/>
      <c r="Q629" s="301"/>
      <c r="R629" s="301"/>
      <c r="S629" s="301"/>
      <c r="T629" s="301"/>
      <c r="U629" s="301"/>
      <c r="V629" s="301"/>
      <c r="W629" s="301"/>
      <c r="X629" s="301"/>
      <c r="Y629" s="301"/>
      <c r="Z629" s="301"/>
      <c r="AA629" s="301"/>
      <c r="AB629" s="301"/>
      <c r="AC629" s="301"/>
      <c r="AD629" s="301"/>
      <c r="AE629" s="301"/>
      <c r="AF629" s="301"/>
      <c r="AG629" s="301"/>
      <c r="AH629" s="301"/>
      <c r="AI629" s="301"/>
      <c r="AJ629" s="301"/>
      <c r="AK629" s="301"/>
      <c r="AL629" s="301"/>
      <c r="AM629" s="301"/>
      <c r="AN629" s="301"/>
      <c r="AO629" s="301"/>
      <c r="AP629" s="301"/>
    </row>
    <row r="630" spans="10:42" ht="13.5" customHeight="1">
      <c r="J630" s="301"/>
      <c r="K630" s="301"/>
      <c r="L630" s="301"/>
      <c r="M630" s="301"/>
      <c r="N630" s="301"/>
      <c r="O630" s="301"/>
      <c r="P630" s="301"/>
      <c r="Q630" s="301"/>
      <c r="R630" s="301"/>
      <c r="S630" s="301"/>
      <c r="T630" s="301"/>
      <c r="U630" s="301"/>
      <c r="V630" s="301"/>
      <c r="W630" s="301"/>
      <c r="X630" s="301"/>
      <c r="Y630" s="301"/>
      <c r="Z630" s="301"/>
      <c r="AA630" s="301"/>
      <c r="AB630" s="301"/>
      <c r="AC630" s="301"/>
      <c r="AD630" s="301"/>
      <c r="AE630" s="301"/>
      <c r="AF630" s="301"/>
      <c r="AG630" s="301"/>
      <c r="AH630" s="301"/>
      <c r="AI630" s="301"/>
      <c r="AJ630" s="301"/>
      <c r="AK630" s="301"/>
      <c r="AL630" s="301"/>
      <c r="AM630" s="301"/>
      <c r="AN630" s="301"/>
      <c r="AO630" s="301"/>
      <c r="AP630" s="301"/>
    </row>
    <row r="631" spans="10:42" ht="13.5" customHeight="1">
      <c r="J631" s="301"/>
      <c r="K631" s="301"/>
      <c r="L631" s="301"/>
      <c r="M631" s="301"/>
      <c r="N631" s="301"/>
      <c r="O631" s="301"/>
      <c r="P631" s="301"/>
      <c r="Q631" s="301"/>
      <c r="R631" s="301"/>
      <c r="S631" s="301"/>
      <c r="T631" s="301"/>
      <c r="U631" s="301"/>
      <c r="V631" s="301"/>
      <c r="W631" s="301"/>
      <c r="X631" s="301"/>
      <c r="Y631" s="301"/>
      <c r="Z631" s="301"/>
      <c r="AA631" s="301"/>
      <c r="AB631" s="301"/>
      <c r="AC631" s="301"/>
      <c r="AD631" s="301"/>
      <c r="AE631" s="301"/>
      <c r="AF631" s="301"/>
      <c r="AG631" s="301"/>
      <c r="AH631" s="301"/>
      <c r="AI631" s="301"/>
      <c r="AJ631" s="301"/>
      <c r="AK631" s="301"/>
      <c r="AL631" s="301"/>
      <c r="AM631" s="301"/>
      <c r="AN631" s="301"/>
      <c r="AO631" s="301"/>
      <c r="AP631" s="301"/>
    </row>
    <row r="632" spans="10:42" ht="13.5" customHeight="1">
      <c r="J632" s="301"/>
      <c r="K632" s="301"/>
      <c r="L632" s="301"/>
      <c r="M632" s="301"/>
      <c r="N632" s="301"/>
      <c r="O632" s="301"/>
      <c r="P632" s="301"/>
      <c r="Q632" s="301"/>
      <c r="R632" s="301"/>
      <c r="S632" s="301"/>
      <c r="T632" s="301"/>
      <c r="U632" s="301"/>
      <c r="V632" s="301"/>
      <c r="W632" s="301"/>
      <c r="X632" s="301"/>
      <c r="Y632" s="301"/>
      <c r="Z632" s="301"/>
      <c r="AA632" s="301"/>
      <c r="AB632" s="301"/>
      <c r="AC632" s="301"/>
      <c r="AD632" s="301"/>
      <c r="AE632" s="301"/>
      <c r="AF632" s="301"/>
      <c r="AG632" s="301"/>
      <c r="AH632" s="301"/>
      <c r="AI632" s="301"/>
      <c r="AJ632" s="301"/>
      <c r="AK632" s="301"/>
      <c r="AL632" s="301"/>
      <c r="AM632" s="301"/>
      <c r="AN632" s="301"/>
      <c r="AO632" s="301"/>
      <c r="AP632" s="301"/>
    </row>
    <row r="633" spans="10:42" ht="13.5" customHeight="1">
      <c r="J633" s="301"/>
      <c r="K633" s="301"/>
      <c r="L633" s="301"/>
      <c r="M633" s="301"/>
      <c r="N633" s="301"/>
      <c r="O633" s="301"/>
      <c r="P633" s="301"/>
      <c r="Q633" s="301"/>
      <c r="R633" s="301"/>
      <c r="S633" s="301"/>
      <c r="T633" s="301"/>
      <c r="U633" s="301"/>
      <c r="V633" s="301"/>
      <c r="W633" s="301"/>
      <c r="X633" s="301"/>
      <c r="Y633" s="301"/>
      <c r="Z633" s="301"/>
      <c r="AA633" s="301"/>
      <c r="AB633" s="301"/>
      <c r="AC633" s="301"/>
      <c r="AD633" s="301"/>
      <c r="AE633" s="301"/>
      <c r="AF633" s="301"/>
      <c r="AG633" s="301"/>
      <c r="AH633" s="301"/>
      <c r="AI633" s="301"/>
      <c r="AJ633" s="301"/>
      <c r="AK633" s="301"/>
      <c r="AL633" s="301"/>
      <c r="AM633" s="301"/>
      <c r="AN633" s="301"/>
      <c r="AO633" s="301"/>
      <c r="AP633" s="301"/>
    </row>
    <row r="634" spans="10:42" ht="13.5" customHeight="1">
      <c r="J634" s="301"/>
      <c r="K634" s="301"/>
      <c r="L634" s="301"/>
      <c r="M634" s="301"/>
      <c r="N634" s="301"/>
      <c r="O634" s="301"/>
      <c r="P634" s="301"/>
      <c r="Q634" s="301"/>
      <c r="R634" s="301"/>
      <c r="S634" s="301"/>
      <c r="T634" s="301"/>
      <c r="U634" s="301"/>
      <c r="V634" s="301"/>
      <c r="W634" s="301"/>
      <c r="X634" s="301"/>
      <c r="Y634" s="301"/>
      <c r="Z634" s="301"/>
      <c r="AA634" s="301"/>
      <c r="AB634" s="301"/>
      <c r="AC634" s="301"/>
      <c r="AD634" s="301"/>
      <c r="AE634" s="301"/>
      <c r="AF634" s="301"/>
      <c r="AG634" s="301"/>
      <c r="AH634" s="301"/>
      <c r="AI634" s="301"/>
      <c r="AJ634" s="301"/>
      <c r="AK634" s="301"/>
      <c r="AL634" s="301"/>
      <c r="AM634" s="301"/>
      <c r="AN634" s="301"/>
      <c r="AO634" s="301"/>
      <c r="AP634" s="301"/>
    </row>
    <row r="635" spans="10:42" ht="13.5" customHeight="1">
      <c r="J635" s="301"/>
      <c r="K635" s="301"/>
      <c r="L635" s="301"/>
      <c r="M635" s="301"/>
      <c r="N635" s="301"/>
      <c r="O635" s="301"/>
      <c r="P635" s="301"/>
      <c r="Q635" s="301"/>
      <c r="R635" s="301"/>
      <c r="S635" s="301"/>
      <c r="T635" s="301"/>
      <c r="U635" s="301"/>
      <c r="V635" s="301"/>
      <c r="W635" s="301"/>
      <c r="X635" s="301"/>
      <c r="Y635" s="301"/>
      <c r="Z635" s="301"/>
      <c r="AA635" s="301"/>
      <c r="AB635" s="301"/>
      <c r="AC635" s="301"/>
      <c r="AD635" s="301"/>
      <c r="AE635" s="301"/>
      <c r="AF635" s="301"/>
      <c r="AG635" s="301"/>
      <c r="AH635" s="301"/>
      <c r="AI635" s="301"/>
      <c r="AJ635" s="301"/>
      <c r="AK635" s="301"/>
      <c r="AL635" s="301"/>
      <c r="AM635" s="301"/>
      <c r="AN635" s="301"/>
      <c r="AO635" s="301"/>
      <c r="AP635" s="301"/>
    </row>
    <row r="636" spans="10:42" ht="13.5" customHeight="1">
      <c r="J636" s="301"/>
      <c r="K636" s="301"/>
      <c r="L636" s="301"/>
      <c r="M636" s="301"/>
      <c r="N636" s="301"/>
      <c r="O636" s="301"/>
      <c r="P636" s="301"/>
      <c r="Q636" s="301"/>
      <c r="R636" s="301"/>
      <c r="S636" s="301"/>
      <c r="T636" s="301"/>
      <c r="U636" s="301"/>
      <c r="V636" s="301"/>
      <c r="W636" s="301"/>
      <c r="X636" s="301"/>
      <c r="Y636" s="301"/>
      <c r="Z636" s="301"/>
      <c r="AA636" s="301"/>
      <c r="AB636" s="301"/>
      <c r="AC636" s="301"/>
      <c r="AD636" s="301"/>
      <c r="AE636" s="301"/>
      <c r="AF636" s="301"/>
      <c r="AG636" s="301"/>
      <c r="AH636" s="301"/>
      <c r="AI636" s="301"/>
      <c r="AJ636" s="301"/>
      <c r="AK636" s="301"/>
      <c r="AL636" s="301"/>
      <c r="AM636" s="301"/>
      <c r="AN636" s="301"/>
      <c r="AO636" s="301"/>
      <c r="AP636" s="301"/>
    </row>
    <row r="637" spans="10:42" ht="13.5" customHeight="1">
      <c r="J637" s="301"/>
      <c r="K637" s="301"/>
      <c r="L637" s="301"/>
      <c r="M637" s="301"/>
      <c r="N637" s="301"/>
      <c r="O637" s="301"/>
      <c r="P637" s="301"/>
      <c r="Q637" s="301"/>
      <c r="R637" s="301"/>
      <c r="S637" s="301"/>
      <c r="T637" s="301"/>
      <c r="U637" s="301"/>
      <c r="V637" s="301"/>
      <c r="W637" s="301"/>
      <c r="X637" s="301"/>
      <c r="Y637" s="301"/>
      <c r="Z637" s="301"/>
      <c r="AA637" s="301"/>
      <c r="AB637" s="301"/>
      <c r="AC637" s="301"/>
      <c r="AD637" s="301"/>
      <c r="AE637" s="301"/>
      <c r="AF637" s="301"/>
      <c r="AG637" s="301"/>
      <c r="AH637" s="301"/>
      <c r="AI637" s="301"/>
      <c r="AJ637" s="301"/>
      <c r="AK637" s="301"/>
      <c r="AL637" s="301"/>
      <c r="AM637" s="301"/>
      <c r="AN637" s="301"/>
      <c r="AO637" s="301"/>
      <c r="AP637" s="301"/>
    </row>
    <row r="638" spans="10:42" ht="13.5" customHeight="1">
      <c r="J638" s="301"/>
      <c r="K638" s="301"/>
      <c r="L638" s="301"/>
      <c r="M638" s="301"/>
      <c r="N638" s="301"/>
      <c r="O638" s="301"/>
      <c r="P638" s="301"/>
      <c r="Q638" s="301"/>
      <c r="R638" s="301"/>
      <c r="S638" s="301"/>
      <c r="T638" s="301"/>
      <c r="U638" s="301"/>
      <c r="V638" s="301"/>
      <c r="W638" s="301"/>
      <c r="X638" s="301"/>
      <c r="Y638" s="301"/>
      <c r="Z638" s="301"/>
      <c r="AA638" s="301"/>
      <c r="AB638" s="301"/>
      <c r="AC638" s="301"/>
      <c r="AD638" s="301"/>
      <c r="AE638" s="301"/>
      <c r="AF638" s="301"/>
      <c r="AG638" s="301"/>
      <c r="AH638" s="301"/>
      <c r="AI638" s="301"/>
      <c r="AJ638" s="301"/>
      <c r="AK638" s="301"/>
      <c r="AL638" s="301"/>
      <c r="AM638" s="301"/>
      <c r="AN638" s="301"/>
      <c r="AO638" s="301"/>
      <c r="AP638" s="301"/>
    </row>
    <row r="639" spans="10:42" ht="13.5" customHeight="1">
      <c r="J639" s="301"/>
      <c r="K639" s="301"/>
      <c r="L639" s="301"/>
      <c r="M639" s="301"/>
      <c r="N639" s="301"/>
      <c r="O639" s="301"/>
      <c r="P639" s="301"/>
      <c r="Q639" s="301"/>
      <c r="R639" s="301"/>
      <c r="S639" s="301"/>
      <c r="T639" s="301"/>
      <c r="U639" s="301"/>
      <c r="V639" s="301"/>
      <c r="W639" s="301"/>
      <c r="X639" s="301"/>
      <c r="Y639" s="301"/>
      <c r="Z639" s="301"/>
      <c r="AA639" s="301"/>
      <c r="AB639" s="301"/>
      <c r="AC639" s="301"/>
      <c r="AD639" s="301"/>
      <c r="AE639" s="301"/>
      <c r="AF639" s="301"/>
      <c r="AG639" s="301"/>
      <c r="AH639" s="301"/>
      <c r="AI639" s="301"/>
      <c r="AJ639" s="301"/>
      <c r="AK639" s="301"/>
      <c r="AL639" s="301"/>
      <c r="AM639" s="301"/>
      <c r="AN639" s="301"/>
      <c r="AO639" s="301"/>
      <c r="AP639" s="301"/>
    </row>
    <row r="640" spans="10:42" ht="13.5" customHeight="1">
      <c r="J640" s="301"/>
      <c r="K640" s="301"/>
      <c r="L640" s="301"/>
      <c r="M640" s="301"/>
      <c r="N640" s="301"/>
      <c r="O640" s="301"/>
      <c r="P640" s="301"/>
      <c r="Q640" s="301"/>
      <c r="R640" s="301"/>
      <c r="S640" s="301"/>
      <c r="T640" s="301"/>
      <c r="U640" s="301"/>
      <c r="V640" s="301"/>
      <c r="W640" s="301"/>
      <c r="X640" s="301"/>
      <c r="Y640" s="301"/>
      <c r="Z640" s="301"/>
      <c r="AA640" s="301"/>
      <c r="AB640" s="301"/>
      <c r="AC640" s="301"/>
      <c r="AD640" s="301"/>
      <c r="AE640" s="301"/>
      <c r="AF640" s="301"/>
      <c r="AG640" s="301"/>
      <c r="AH640" s="301"/>
      <c r="AI640" s="301"/>
      <c r="AJ640" s="301"/>
      <c r="AK640" s="301"/>
      <c r="AL640" s="301"/>
      <c r="AM640" s="301"/>
      <c r="AN640" s="301"/>
      <c r="AO640" s="301"/>
      <c r="AP640" s="301"/>
    </row>
    <row r="641" spans="10:42" ht="13.5" customHeight="1">
      <c r="J641" s="301"/>
      <c r="K641" s="301"/>
      <c r="L641" s="301"/>
      <c r="M641" s="301"/>
      <c r="N641" s="301"/>
      <c r="O641" s="301"/>
      <c r="P641" s="301"/>
      <c r="Q641" s="301"/>
      <c r="R641" s="301"/>
      <c r="S641" s="301"/>
      <c r="T641" s="301"/>
      <c r="U641" s="301"/>
      <c r="V641" s="301"/>
      <c r="W641" s="301"/>
      <c r="X641" s="301"/>
      <c r="Y641" s="301"/>
      <c r="Z641" s="301"/>
      <c r="AA641" s="301"/>
      <c r="AB641" s="301"/>
      <c r="AC641" s="301"/>
      <c r="AD641" s="301"/>
      <c r="AE641" s="301"/>
      <c r="AF641" s="301"/>
      <c r="AG641" s="301"/>
      <c r="AH641" s="301"/>
      <c r="AI641" s="301"/>
      <c r="AJ641" s="301"/>
      <c r="AK641" s="301"/>
      <c r="AL641" s="301"/>
      <c r="AM641" s="301"/>
      <c r="AN641" s="301"/>
      <c r="AO641" s="301"/>
      <c r="AP641" s="301"/>
    </row>
    <row r="642" spans="10:42" ht="13.5" customHeight="1">
      <c r="J642" s="301"/>
      <c r="K642" s="301"/>
      <c r="L642" s="301"/>
      <c r="M642" s="301"/>
      <c r="N642" s="301"/>
      <c r="O642" s="301"/>
      <c r="P642" s="301"/>
      <c r="Q642" s="301"/>
      <c r="R642" s="301"/>
      <c r="S642" s="301"/>
      <c r="T642" s="301"/>
      <c r="U642" s="301"/>
      <c r="V642" s="301"/>
      <c r="W642" s="301"/>
      <c r="X642" s="301"/>
      <c r="Y642" s="301"/>
      <c r="Z642" s="301"/>
      <c r="AA642" s="301"/>
      <c r="AB642" s="301"/>
      <c r="AC642" s="301"/>
      <c r="AD642" s="301"/>
      <c r="AE642" s="301"/>
      <c r="AF642" s="301"/>
      <c r="AG642" s="301"/>
      <c r="AH642" s="301"/>
      <c r="AI642" s="301"/>
      <c r="AJ642" s="301"/>
      <c r="AK642" s="301"/>
      <c r="AL642" s="301"/>
      <c r="AM642" s="301"/>
      <c r="AN642" s="301"/>
      <c r="AO642" s="301"/>
      <c r="AP642" s="301"/>
    </row>
    <row r="643" spans="10:42" ht="13.5" customHeight="1">
      <c r="J643" s="301"/>
      <c r="K643" s="301"/>
      <c r="L643" s="301"/>
      <c r="M643" s="301"/>
      <c r="N643" s="301"/>
      <c r="O643" s="301"/>
      <c r="P643" s="301"/>
      <c r="Q643" s="301"/>
      <c r="R643" s="301"/>
      <c r="S643" s="301"/>
      <c r="T643" s="301"/>
      <c r="U643" s="301"/>
      <c r="V643" s="301"/>
      <c r="W643" s="301"/>
      <c r="X643" s="301"/>
      <c r="Y643" s="301"/>
      <c r="Z643" s="301"/>
      <c r="AA643" s="301"/>
      <c r="AB643" s="301"/>
      <c r="AC643" s="301"/>
      <c r="AD643" s="301"/>
      <c r="AE643" s="301"/>
      <c r="AF643" s="301"/>
      <c r="AG643" s="301"/>
      <c r="AH643" s="301"/>
      <c r="AI643" s="301"/>
      <c r="AJ643" s="301"/>
      <c r="AK643" s="301"/>
      <c r="AL643" s="301"/>
      <c r="AM643" s="301"/>
      <c r="AN643" s="301"/>
      <c r="AO643" s="301"/>
      <c r="AP643" s="301"/>
    </row>
    <row r="644" spans="10:42" ht="13.5" customHeight="1">
      <c r="J644" s="301"/>
      <c r="K644" s="301"/>
      <c r="L644" s="301"/>
      <c r="M644" s="301"/>
      <c r="N644" s="301"/>
      <c r="O644" s="301"/>
      <c r="P644" s="301"/>
      <c r="Q644" s="301"/>
      <c r="R644" s="301"/>
      <c r="S644" s="301"/>
      <c r="T644" s="301"/>
      <c r="U644" s="301"/>
      <c r="V644" s="301"/>
      <c r="W644" s="301"/>
      <c r="X644" s="301"/>
      <c r="Y644" s="301"/>
      <c r="Z644" s="301"/>
      <c r="AA644" s="301"/>
      <c r="AB644" s="301"/>
      <c r="AC644" s="301"/>
      <c r="AD644" s="301"/>
      <c r="AE644" s="301"/>
      <c r="AF644" s="301"/>
      <c r="AG644" s="301"/>
      <c r="AH644" s="301"/>
      <c r="AI644" s="301"/>
      <c r="AJ644" s="301"/>
      <c r="AK644" s="301"/>
      <c r="AL644" s="301"/>
      <c r="AM644" s="301"/>
      <c r="AN644" s="301"/>
      <c r="AO644" s="301"/>
      <c r="AP644" s="301"/>
    </row>
    <row r="645" spans="10:42" ht="13.5" customHeight="1">
      <c r="J645" s="301"/>
      <c r="K645" s="301"/>
      <c r="L645" s="301"/>
      <c r="M645" s="301"/>
      <c r="N645" s="301"/>
      <c r="O645" s="301"/>
      <c r="P645" s="301"/>
      <c r="Q645" s="301"/>
      <c r="R645" s="301"/>
      <c r="S645" s="301"/>
      <c r="T645" s="301"/>
      <c r="U645" s="301"/>
      <c r="V645" s="301"/>
      <c r="W645" s="301"/>
      <c r="X645" s="301"/>
      <c r="Y645" s="301"/>
      <c r="Z645" s="301"/>
      <c r="AA645" s="301"/>
      <c r="AB645" s="301"/>
      <c r="AC645" s="301"/>
      <c r="AD645" s="301"/>
      <c r="AE645" s="301"/>
      <c r="AF645" s="301"/>
      <c r="AG645" s="301"/>
      <c r="AH645" s="301"/>
      <c r="AI645" s="301"/>
      <c r="AJ645" s="301"/>
      <c r="AK645" s="301"/>
      <c r="AL645" s="301"/>
      <c r="AM645" s="301"/>
      <c r="AN645" s="301"/>
      <c r="AO645" s="301"/>
      <c r="AP645" s="301"/>
    </row>
    <row r="646" spans="10:42" ht="13.5" customHeight="1">
      <c r="J646" s="301"/>
      <c r="K646" s="301"/>
      <c r="L646" s="301"/>
      <c r="M646" s="301"/>
      <c r="N646" s="301"/>
      <c r="O646" s="301"/>
      <c r="P646" s="301"/>
      <c r="Q646" s="301"/>
      <c r="R646" s="301"/>
      <c r="S646" s="301"/>
      <c r="T646" s="301"/>
      <c r="U646" s="301"/>
      <c r="V646" s="301"/>
      <c r="W646" s="301"/>
      <c r="X646" s="301"/>
      <c r="Y646" s="301"/>
      <c r="Z646" s="301"/>
      <c r="AA646" s="301"/>
      <c r="AB646" s="301"/>
      <c r="AC646" s="301"/>
      <c r="AD646" s="301"/>
      <c r="AE646" s="301"/>
      <c r="AF646" s="301"/>
      <c r="AG646" s="301"/>
      <c r="AH646" s="301"/>
      <c r="AI646" s="301"/>
      <c r="AJ646" s="301"/>
      <c r="AK646" s="301"/>
      <c r="AL646" s="301"/>
      <c r="AM646" s="301"/>
      <c r="AN646" s="301"/>
      <c r="AO646" s="301"/>
      <c r="AP646" s="301"/>
    </row>
    <row r="647" spans="10:42" ht="13.5" customHeight="1">
      <c r="J647" s="301"/>
      <c r="K647" s="301"/>
      <c r="L647" s="301"/>
      <c r="M647" s="301"/>
      <c r="N647" s="301"/>
      <c r="O647" s="301"/>
      <c r="P647" s="301"/>
      <c r="Q647" s="301"/>
      <c r="R647" s="301"/>
      <c r="S647" s="301"/>
      <c r="T647" s="301"/>
      <c r="U647" s="301"/>
      <c r="V647" s="301"/>
      <c r="W647" s="301"/>
      <c r="X647" s="301"/>
      <c r="Y647" s="301"/>
      <c r="Z647" s="301"/>
      <c r="AA647" s="301"/>
      <c r="AB647" s="301"/>
      <c r="AC647" s="301"/>
      <c r="AD647" s="301"/>
      <c r="AE647" s="301"/>
      <c r="AF647" s="301"/>
      <c r="AG647" s="301"/>
      <c r="AH647" s="301"/>
      <c r="AI647" s="301"/>
      <c r="AJ647" s="301"/>
      <c r="AK647" s="301"/>
      <c r="AL647" s="301"/>
      <c r="AM647" s="301"/>
      <c r="AN647" s="301"/>
      <c r="AO647" s="301"/>
      <c r="AP647" s="301"/>
    </row>
    <row r="648" spans="10:42" ht="13.5" customHeight="1">
      <c r="J648" s="301"/>
      <c r="K648" s="301"/>
      <c r="L648" s="301"/>
      <c r="M648" s="301"/>
      <c r="N648" s="301"/>
      <c r="O648" s="301"/>
      <c r="P648" s="301"/>
      <c r="Q648" s="301"/>
      <c r="R648" s="301"/>
      <c r="S648" s="301"/>
      <c r="T648" s="301"/>
      <c r="U648" s="301"/>
      <c r="V648" s="301"/>
      <c r="W648" s="301"/>
      <c r="X648" s="301"/>
      <c r="Y648" s="301"/>
      <c r="Z648" s="301"/>
      <c r="AA648" s="301"/>
      <c r="AB648" s="301"/>
      <c r="AC648" s="301"/>
      <c r="AD648" s="301"/>
      <c r="AE648" s="301"/>
      <c r="AF648" s="301"/>
      <c r="AG648" s="301"/>
      <c r="AH648" s="301"/>
      <c r="AI648" s="301"/>
      <c r="AJ648" s="301"/>
      <c r="AK648" s="301"/>
      <c r="AL648" s="301"/>
      <c r="AM648" s="301"/>
      <c r="AN648" s="301"/>
      <c r="AO648" s="301"/>
      <c r="AP648" s="301"/>
    </row>
    <row r="649" spans="10:42" ht="13.5" customHeight="1">
      <c r="J649" s="301"/>
      <c r="K649" s="301"/>
      <c r="L649" s="301"/>
      <c r="M649" s="301"/>
      <c r="N649" s="301"/>
      <c r="O649" s="301"/>
      <c r="P649" s="301"/>
      <c r="Q649" s="301"/>
      <c r="R649" s="301"/>
      <c r="S649" s="301"/>
      <c r="T649" s="301"/>
      <c r="U649" s="301"/>
      <c r="V649" s="301"/>
      <c r="W649" s="301"/>
      <c r="X649" s="301"/>
      <c r="Y649" s="301"/>
      <c r="Z649" s="301"/>
      <c r="AA649" s="301"/>
      <c r="AB649" s="301"/>
      <c r="AC649" s="301"/>
      <c r="AD649" s="301"/>
      <c r="AE649" s="301"/>
      <c r="AF649" s="301"/>
      <c r="AG649" s="301"/>
      <c r="AH649" s="301"/>
      <c r="AI649" s="301"/>
      <c r="AJ649" s="301"/>
      <c r="AK649" s="301"/>
      <c r="AL649" s="301"/>
      <c r="AM649" s="301"/>
      <c r="AN649" s="301"/>
      <c r="AO649" s="301"/>
      <c r="AP649" s="301"/>
    </row>
    <row r="650" spans="10:42" ht="13.5" customHeight="1">
      <c r="J650" s="301"/>
      <c r="K650" s="301"/>
      <c r="L650" s="301"/>
      <c r="M650" s="301"/>
      <c r="N650" s="301"/>
      <c r="O650" s="301"/>
      <c r="P650" s="301"/>
      <c r="Q650" s="301"/>
      <c r="R650" s="301"/>
      <c r="S650" s="301"/>
      <c r="T650" s="301"/>
      <c r="U650" s="301"/>
      <c r="V650" s="301"/>
      <c r="W650" s="301"/>
      <c r="X650" s="301"/>
      <c r="Y650" s="301"/>
      <c r="Z650" s="301"/>
      <c r="AA650" s="301"/>
      <c r="AB650" s="301"/>
      <c r="AC650" s="301"/>
      <c r="AD650" s="301"/>
      <c r="AE650" s="301"/>
      <c r="AF650" s="301"/>
      <c r="AG650" s="301"/>
      <c r="AH650" s="301"/>
      <c r="AI650" s="301"/>
      <c r="AJ650" s="301"/>
      <c r="AK650" s="301"/>
      <c r="AL650" s="301"/>
      <c r="AM650" s="301"/>
      <c r="AN650" s="301"/>
      <c r="AO650" s="301"/>
      <c r="AP650" s="301"/>
    </row>
    <row r="651" spans="10:42" ht="13.5" customHeight="1">
      <c r="J651" s="301"/>
      <c r="K651" s="301"/>
      <c r="L651" s="301"/>
      <c r="M651" s="301"/>
      <c r="N651" s="301"/>
      <c r="O651" s="301"/>
      <c r="P651" s="301"/>
      <c r="Q651" s="301"/>
      <c r="R651" s="301"/>
      <c r="S651" s="301"/>
      <c r="T651" s="301"/>
      <c r="U651" s="301"/>
      <c r="V651" s="301"/>
      <c r="W651" s="301"/>
      <c r="X651" s="301"/>
      <c r="Y651" s="301"/>
      <c r="Z651" s="301"/>
      <c r="AA651" s="301"/>
      <c r="AB651" s="301"/>
      <c r="AC651" s="301"/>
      <c r="AD651" s="301"/>
      <c r="AE651" s="301"/>
      <c r="AF651" s="301"/>
      <c r="AG651" s="301"/>
      <c r="AH651" s="301"/>
      <c r="AI651" s="301"/>
      <c r="AJ651" s="301"/>
      <c r="AK651" s="301"/>
      <c r="AL651" s="301"/>
      <c r="AM651" s="301"/>
      <c r="AN651" s="301"/>
      <c r="AO651" s="301"/>
      <c r="AP651" s="301"/>
    </row>
    <row r="652" spans="10:42" ht="13.5" customHeight="1">
      <c r="J652" s="301"/>
      <c r="K652" s="301"/>
      <c r="L652" s="301"/>
      <c r="M652" s="301"/>
      <c r="N652" s="301"/>
      <c r="O652" s="301"/>
      <c r="P652" s="301"/>
      <c r="Q652" s="301"/>
      <c r="R652" s="301"/>
      <c r="S652" s="301"/>
      <c r="T652" s="301"/>
      <c r="U652" s="301"/>
      <c r="V652" s="301"/>
      <c r="W652" s="301"/>
      <c r="X652" s="301"/>
      <c r="Y652" s="301"/>
      <c r="Z652" s="301"/>
      <c r="AA652" s="301"/>
      <c r="AB652" s="301"/>
      <c r="AC652" s="301"/>
      <c r="AD652" s="301"/>
      <c r="AE652" s="301"/>
      <c r="AF652" s="301"/>
      <c r="AG652" s="301"/>
      <c r="AH652" s="301"/>
      <c r="AI652" s="301"/>
      <c r="AJ652" s="301"/>
      <c r="AK652" s="301"/>
      <c r="AL652" s="301"/>
      <c r="AM652" s="301"/>
      <c r="AN652" s="301"/>
      <c r="AO652" s="301"/>
      <c r="AP652" s="301"/>
    </row>
    <row r="653" spans="10:42" ht="13.5" customHeight="1">
      <c r="J653" s="301"/>
      <c r="K653" s="301"/>
      <c r="L653" s="301"/>
      <c r="M653" s="301"/>
      <c r="N653" s="301"/>
      <c r="O653" s="301"/>
      <c r="P653" s="301"/>
      <c r="Q653" s="301"/>
      <c r="R653" s="301"/>
      <c r="S653" s="301"/>
      <c r="T653" s="301"/>
      <c r="U653" s="301"/>
      <c r="V653" s="301"/>
      <c r="W653" s="301"/>
      <c r="X653" s="301"/>
      <c r="Y653" s="301"/>
      <c r="Z653" s="301"/>
      <c r="AA653" s="301"/>
      <c r="AB653" s="301"/>
      <c r="AC653" s="301"/>
      <c r="AD653" s="301"/>
      <c r="AE653" s="301"/>
      <c r="AF653" s="301"/>
      <c r="AG653" s="301"/>
      <c r="AH653" s="301"/>
      <c r="AI653" s="301"/>
      <c r="AJ653" s="301"/>
      <c r="AK653" s="301"/>
      <c r="AL653" s="301"/>
      <c r="AM653" s="301"/>
      <c r="AN653" s="301"/>
      <c r="AO653" s="301"/>
      <c r="AP653" s="301"/>
    </row>
    <row r="654" spans="10:42" ht="13.5" customHeight="1">
      <c r="J654" s="301"/>
      <c r="K654" s="301"/>
      <c r="L654" s="301"/>
      <c r="M654" s="301"/>
      <c r="N654" s="301"/>
      <c r="O654" s="301"/>
      <c r="P654" s="301"/>
      <c r="Q654" s="301"/>
      <c r="R654" s="301"/>
      <c r="S654" s="301"/>
      <c r="T654" s="301"/>
      <c r="U654" s="301"/>
      <c r="V654" s="301"/>
      <c r="W654" s="301"/>
      <c r="X654" s="301"/>
      <c r="Y654" s="301"/>
      <c r="Z654" s="301"/>
      <c r="AA654" s="301"/>
      <c r="AB654" s="301"/>
      <c r="AC654" s="301"/>
      <c r="AD654" s="301"/>
      <c r="AE654" s="301"/>
      <c r="AF654" s="301"/>
      <c r="AG654" s="301"/>
      <c r="AH654" s="301"/>
      <c r="AI654" s="301"/>
      <c r="AJ654" s="301"/>
      <c r="AK654" s="301"/>
      <c r="AL654" s="301"/>
      <c r="AM654" s="301"/>
      <c r="AN654" s="301"/>
      <c r="AO654" s="301"/>
      <c r="AP654" s="301"/>
    </row>
    <row r="655" spans="10:42" ht="13.5" customHeight="1">
      <c r="J655" s="301"/>
      <c r="K655" s="301"/>
      <c r="L655" s="301"/>
      <c r="M655" s="301"/>
      <c r="N655" s="301"/>
      <c r="O655" s="301"/>
      <c r="P655" s="301"/>
      <c r="Q655" s="301"/>
      <c r="R655" s="301"/>
      <c r="S655" s="301"/>
      <c r="T655" s="301"/>
      <c r="U655" s="301"/>
      <c r="V655" s="301"/>
      <c r="W655" s="301"/>
      <c r="X655" s="301"/>
      <c r="Y655" s="301"/>
      <c r="Z655" s="301"/>
      <c r="AA655" s="301"/>
      <c r="AB655" s="301"/>
      <c r="AC655" s="301"/>
      <c r="AD655" s="301"/>
      <c r="AE655" s="301"/>
      <c r="AF655" s="301"/>
      <c r="AG655" s="301"/>
      <c r="AH655" s="301"/>
      <c r="AI655" s="301"/>
      <c r="AJ655" s="301"/>
      <c r="AK655" s="301"/>
      <c r="AL655" s="301"/>
      <c r="AM655" s="301"/>
      <c r="AN655" s="301"/>
      <c r="AO655" s="301"/>
      <c r="AP655" s="301"/>
    </row>
    <row r="656" spans="10:42" ht="13.5" customHeight="1">
      <c r="J656" s="301"/>
      <c r="K656" s="301"/>
      <c r="L656" s="301"/>
      <c r="M656" s="301"/>
      <c r="N656" s="301"/>
      <c r="O656" s="301"/>
      <c r="P656" s="301"/>
      <c r="Q656" s="301"/>
      <c r="R656" s="301"/>
      <c r="S656" s="301"/>
      <c r="T656" s="301"/>
      <c r="U656" s="301"/>
      <c r="V656" s="301"/>
      <c r="W656" s="301"/>
      <c r="X656" s="301"/>
      <c r="Y656" s="301"/>
      <c r="Z656" s="301"/>
      <c r="AA656" s="301"/>
      <c r="AB656" s="301"/>
      <c r="AC656" s="301"/>
      <c r="AD656" s="301"/>
      <c r="AE656" s="301"/>
      <c r="AF656" s="301"/>
      <c r="AG656" s="301"/>
      <c r="AH656" s="301"/>
      <c r="AI656" s="301"/>
      <c r="AJ656" s="301"/>
      <c r="AK656" s="301"/>
      <c r="AL656" s="301"/>
      <c r="AM656" s="301"/>
      <c r="AN656" s="301"/>
      <c r="AO656" s="301"/>
      <c r="AP656" s="301"/>
    </row>
    <row r="657" spans="10:42" ht="13.5" customHeight="1">
      <c r="J657" s="301"/>
      <c r="K657" s="301"/>
      <c r="L657" s="301"/>
      <c r="M657" s="301"/>
      <c r="N657" s="301"/>
      <c r="O657" s="301"/>
      <c r="P657" s="301"/>
      <c r="Q657" s="301"/>
      <c r="R657" s="301"/>
      <c r="S657" s="301"/>
      <c r="T657" s="301"/>
      <c r="U657" s="301"/>
      <c r="V657" s="301"/>
      <c r="W657" s="301"/>
      <c r="X657" s="301"/>
      <c r="Y657" s="301"/>
      <c r="Z657" s="301"/>
      <c r="AA657" s="301"/>
      <c r="AB657" s="301"/>
      <c r="AC657" s="301"/>
      <c r="AD657" s="301"/>
      <c r="AE657" s="301"/>
      <c r="AF657" s="301"/>
      <c r="AG657" s="301"/>
      <c r="AH657" s="301"/>
      <c r="AI657" s="301"/>
      <c r="AJ657" s="301"/>
      <c r="AK657" s="301"/>
      <c r="AL657" s="301"/>
      <c r="AM657" s="301"/>
      <c r="AN657" s="301"/>
      <c r="AO657" s="301"/>
      <c r="AP657" s="301"/>
    </row>
    <row r="658" spans="10:42" ht="13.5" customHeight="1">
      <c r="J658" s="301"/>
      <c r="K658" s="301"/>
      <c r="L658" s="301"/>
      <c r="M658" s="301"/>
      <c r="N658" s="301"/>
      <c r="O658" s="301"/>
      <c r="P658" s="301"/>
      <c r="Q658" s="301"/>
      <c r="R658" s="301"/>
      <c r="S658" s="301"/>
      <c r="T658" s="301"/>
      <c r="U658" s="301"/>
      <c r="V658" s="301"/>
      <c r="W658" s="301"/>
      <c r="X658" s="301"/>
      <c r="Y658" s="301"/>
      <c r="Z658" s="301"/>
      <c r="AA658" s="301"/>
      <c r="AB658" s="301"/>
      <c r="AC658" s="301"/>
      <c r="AD658" s="301"/>
      <c r="AE658" s="301"/>
      <c r="AF658" s="301"/>
      <c r="AG658" s="301"/>
      <c r="AH658" s="301"/>
      <c r="AI658" s="301"/>
      <c r="AJ658" s="301"/>
      <c r="AK658" s="301"/>
      <c r="AL658" s="301"/>
      <c r="AM658" s="301"/>
      <c r="AN658" s="301"/>
      <c r="AO658" s="301"/>
      <c r="AP658" s="301"/>
    </row>
    <row r="659" spans="10:42" ht="13.5" customHeight="1">
      <c r="J659" s="301"/>
      <c r="K659" s="301"/>
      <c r="L659" s="301"/>
      <c r="M659" s="301"/>
      <c r="N659" s="301"/>
      <c r="O659" s="301"/>
      <c r="P659" s="301"/>
      <c r="Q659" s="301"/>
      <c r="R659" s="301"/>
      <c r="S659" s="301"/>
      <c r="T659" s="301"/>
      <c r="U659" s="301"/>
      <c r="V659" s="301"/>
      <c r="W659" s="301"/>
      <c r="X659" s="301"/>
      <c r="Y659" s="301"/>
      <c r="Z659" s="301"/>
      <c r="AA659" s="301"/>
      <c r="AB659" s="301"/>
      <c r="AC659" s="301"/>
      <c r="AD659" s="301"/>
      <c r="AE659" s="301"/>
      <c r="AF659" s="301"/>
      <c r="AG659" s="301"/>
      <c r="AH659" s="301"/>
      <c r="AI659" s="301"/>
      <c r="AJ659" s="301"/>
      <c r="AK659" s="301"/>
      <c r="AL659" s="301"/>
      <c r="AM659" s="301"/>
      <c r="AN659" s="301"/>
      <c r="AO659" s="301"/>
      <c r="AP659" s="301"/>
    </row>
    <row r="660" spans="10:42" ht="13.5" customHeight="1">
      <c r="J660" s="301"/>
      <c r="K660" s="301"/>
      <c r="L660" s="301"/>
      <c r="M660" s="301"/>
      <c r="N660" s="301"/>
      <c r="O660" s="301"/>
      <c r="P660" s="301"/>
      <c r="Q660" s="301"/>
      <c r="R660" s="301"/>
      <c r="S660" s="301"/>
      <c r="T660" s="301"/>
      <c r="U660" s="301"/>
      <c r="V660" s="301"/>
      <c r="W660" s="301"/>
      <c r="X660" s="301"/>
      <c r="Y660" s="301"/>
      <c r="Z660" s="301"/>
      <c r="AA660" s="301"/>
      <c r="AB660" s="301"/>
      <c r="AC660" s="301"/>
      <c r="AD660" s="301"/>
      <c r="AE660" s="301"/>
      <c r="AF660" s="301"/>
      <c r="AG660" s="301"/>
      <c r="AH660" s="301"/>
      <c r="AI660" s="301"/>
      <c r="AJ660" s="301"/>
      <c r="AK660" s="301"/>
      <c r="AL660" s="301"/>
      <c r="AM660" s="301"/>
      <c r="AN660" s="301"/>
      <c r="AO660" s="301"/>
      <c r="AP660" s="301"/>
    </row>
    <row r="661" spans="10:42" ht="13.5" customHeight="1">
      <c r="J661" s="301"/>
      <c r="K661" s="301"/>
      <c r="L661" s="301"/>
      <c r="M661" s="301"/>
      <c r="N661" s="301"/>
      <c r="O661" s="301"/>
      <c r="P661" s="301"/>
      <c r="Q661" s="301"/>
      <c r="R661" s="301"/>
      <c r="S661" s="301"/>
      <c r="T661" s="301"/>
      <c r="U661" s="301"/>
      <c r="V661" s="301"/>
      <c r="W661" s="301"/>
      <c r="X661" s="301"/>
      <c r="Y661" s="301"/>
      <c r="Z661" s="301"/>
      <c r="AA661" s="301"/>
      <c r="AB661" s="301"/>
      <c r="AC661" s="301"/>
      <c r="AD661" s="301"/>
      <c r="AE661" s="301"/>
      <c r="AF661" s="301"/>
      <c r="AG661" s="301"/>
      <c r="AH661" s="301"/>
      <c r="AI661" s="301"/>
      <c r="AJ661" s="301"/>
      <c r="AK661" s="301"/>
      <c r="AL661" s="301"/>
      <c r="AM661" s="301"/>
      <c r="AN661" s="301"/>
      <c r="AO661" s="301"/>
      <c r="AP661" s="301"/>
    </row>
    <row r="662" spans="10:42" ht="13.5" customHeight="1">
      <c r="J662" s="301"/>
      <c r="K662" s="301"/>
      <c r="L662" s="301"/>
      <c r="M662" s="301"/>
      <c r="N662" s="301"/>
      <c r="O662" s="301"/>
      <c r="P662" s="301"/>
      <c r="Q662" s="301"/>
      <c r="R662" s="301"/>
      <c r="S662" s="301"/>
      <c r="T662" s="301"/>
      <c r="U662" s="301"/>
      <c r="V662" s="301"/>
      <c r="W662" s="301"/>
      <c r="X662" s="301"/>
      <c r="Y662" s="301"/>
      <c r="Z662" s="301"/>
      <c r="AA662" s="301"/>
      <c r="AB662" s="301"/>
      <c r="AC662" s="301"/>
      <c r="AD662" s="301"/>
      <c r="AE662" s="301"/>
      <c r="AF662" s="301"/>
      <c r="AG662" s="301"/>
      <c r="AH662" s="301"/>
      <c r="AI662" s="301"/>
      <c r="AJ662" s="301"/>
      <c r="AK662" s="301"/>
      <c r="AL662" s="301"/>
      <c r="AM662" s="301"/>
      <c r="AN662" s="301"/>
      <c r="AO662" s="301"/>
      <c r="AP662" s="301"/>
    </row>
    <row r="663" spans="10:42" ht="13.5" customHeight="1">
      <c r="J663" s="301"/>
      <c r="K663" s="301"/>
      <c r="L663" s="301"/>
      <c r="M663" s="301"/>
      <c r="N663" s="301"/>
      <c r="O663" s="301"/>
      <c r="P663" s="301"/>
      <c r="Q663" s="301"/>
      <c r="R663" s="301"/>
      <c r="S663" s="301"/>
      <c r="T663" s="301"/>
      <c r="U663" s="301"/>
      <c r="V663" s="301"/>
      <c r="W663" s="301"/>
      <c r="X663" s="301"/>
      <c r="Y663" s="301"/>
      <c r="Z663" s="301"/>
      <c r="AA663" s="301"/>
      <c r="AB663" s="301"/>
      <c r="AC663" s="301"/>
      <c r="AD663" s="301"/>
      <c r="AE663" s="301"/>
      <c r="AF663" s="301"/>
      <c r="AG663" s="301"/>
      <c r="AH663" s="301"/>
      <c r="AI663" s="301"/>
      <c r="AJ663" s="301"/>
      <c r="AK663" s="301"/>
      <c r="AL663" s="301"/>
      <c r="AM663" s="301"/>
      <c r="AN663" s="301"/>
      <c r="AO663" s="301"/>
      <c r="AP663" s="301"/>
    </row>
    <row r="664" spans="10:42" ht="13.5" customHeight="1">
      <c r="J664" s="301"/>
      <c r="K664" s="301"/>
      <c r="L664" s="301"/>
      <c r="M664" s="301"/>
      <c r="N664" s="301"/>
      <c r="O664" s="301"/>
      <c r="P664" s="301"/>
      <c r="Q664" s="301"/>
      <c r="R664" s="301"/>
      <c r="S664" s="301"/>
      <c r="T664" s="301"/>
      <c r="U664" s="301"/>
      <c r="V664" s="301"/>
      <c r="W664" s="301"/>
      <c r="X664" s="301"/>
      <c r="Y664" s="301"/>
      <c r="Z664" s="301"/>
      <c r="AA664" s="301"/>
      <c r="AB664" s="301"/>
      <c r="AC664" s="301"/>
      <c r="AD664" s="301"/>
      <c r="AE664" s="301"/>
      <c r="AF664" s="301"/>
      <c r="AG664" s="301"/>
      <c r="AH664" s="301"/>
      <c r="AI664" s="301"/>
      <c r="AJ664" s="301"/>
      <c r="AK664" s="301"/>
      <c r="AL664" s="301"/>
      <c r="AM664" s="301"/>
      <c r="AN664" s="301"/>
      <c r="AO664" s="301"/>
      <c r="AP664" s="301"/>
    </row>
    <row r="665" spans="10:42" ht="13.5" customHeight="1">
      <c r="J665" s="301"/>
      <c r="K665" s="301"/>
      <c r="L665" s="301"/>
      <c r="M665" s="301"/>
      <c r="N665" s="301"/>
      <c r="O665" s="301"/>
      <c r="P665" s="301"/>
      <c r="Q665" s="301"/>
      <c r="R665" s="301"/>
      <c r="S665" s="301"/>
      <c r="T665" s="301"/>
      <c r="U665" s="301"/>
      <c r="V665" s="301"/>
      <c r="W665" s="301"/>
      <c r="X665" s="301"/>
      <c r="Y665" s="301"/>
      <c r="Z665" s="301"/>
      <c r="AA665" s="301"/>
      <c r="AB665" s="301"/>
      <c r="AC665" s="301"/>
      <c r="AD665" s="301"/>
      <c r="AE665" s="301"/>
      <c r="AF665" s="301"/>
      <c r="AG665" s="301"/>
      <c r="AH665" s="301"/>
      <c r="AI665" s="301"/>
      <c r="AJ665" s="301"/>
      <c r="AK665" s="301"/>
      <c r="AL665" s="301"/>
      <c r="AM665" s="301"/>
      <c r="AN665" s="301"/>
      <c r="AO665" s="301"/>
      <c r="AP665" s="301"/>
    </row>
    <row r="666" spans="10:42" ht="13.5" customHeight="1">
      <c r="J666" s="301"/>
      <c r="K666" s="301"/>
      <c r="L666" s="301"/>
      <c r="M666" s="301"/>
      <c r="N666" s="301"/>
      <c r="O666" s="301"/>
      <c r="P666" s="301"/>
      <c r="Q666" s="301"/>
      <c r="R666" s="301"/>
      <c r="S666" s="301"/>
      <c r="T666" s="301"/>
      <c r="U666" s="301"/>
      <c r="V666" s="301"/>
      <c r="W666" s="301"/>
      <c r="X666" s="301"/>
      <c r="Y666" s="301"/>
      <c r="Z666" s="301"/>
      <c r="AA666" s="301"/>
      <c r="AB666" s="301"/>
      <c r="AC666" s="301"/>
      <c r="AD666" s="301"/>
      <c r="AE666" s="301"/>
      <c r="AF666" s="301"/>
      <c r="AG666" s="301"/>
      <c r="AH666" s="301"/>
      <c r="AI666" s="301"/>
      <c r="AJ666" s="301"/>
      <c r="AK666" s="301"/>
      <c r="AL666" s="301"/>
      <c r="AM666" s="301"/>
      <c r="AN666" s="301"/>
      <c r="AO666" s="301"/>
      <c r="AP666" s="301"/>
    </row>
    <row r="667" spans="10:42" ht="13.5" customHeight="1">
      <c r="J667" s="301"/>
      <c r="K667" s="301"/>
      <c r="L667" s="301"/>
      <c r="M667" s="301"/>
      <c r="N667" s="301"/>
      <c r="O667" s="301"/>
      <c r="P667" s="301"/>
      <c r="Q667" s="301"/>
      <c r="R667" s="301"/>
      <c r="S667" s="301"/>
      <c r="T667" s="301"/>
      <c r="U667" s="301"/>
      <c r="V667" s="301"/>
      <c r="W667" s="301"/>
      <c r="X667" s="301"/>
      <c r="Y667" s="301"/>
      <c r="Z667" s="301"/>
      <c r="AA667" s="301"/>
      <c r="AB667" s="301"/>
      <c r="AC667" s="301"/>
      <c r="AD667" s="301"/>
      <c r="AE667" s="301"/>
      <c r="AF667" s="301"/>
      <c r="AG667" s="301"/>
      <c r="AH667" s="301"/>
      <c r="AI667" s="301"/>
      <c r="AJ667" s="301"/>
      <c r="AK667" s="301"/>
      <c r="AL667" s="301"/>
      <c r="AM667" s="301"/>
      <c r="AN667" s="301"/>
      <c r="AO667" s="301"/>
      <c r="AP667" s="301"/>
    </row>
    <row r="668" spans="10:42" ht="13.5" customHeight="1">
      <c r="J668" s="301"/>
      <c r="K668" s="301"/>
      <c r="L668" s="301"/>
      <c r="M668" s="301"/>
      <c r="N668" s="301"/>
      <c r="O668" s="301"/>
      <c r="P668" s="301"/>
      <c r="Q668" s="301"/>
      <c r="R668" s="301"/>
      <c r="S668" s="301"/>
      <c r="T668" s="301"/>
      <c r="U668" s="301"/>
      <c r="V668" s="301"/>
      <c r="W668" s="301"/>
      <c r="X668" s="301"/>
      <c r="Y668" s="301"/>
      <c r="Z668" s="301"/>
      <c r="AA668" s="301"/>
      <c r="AB668" s="301"/>
      <c r="AC668" s="301"/>
      <c r="AD668" s="301"/>
      <c r="AE668" s="301"/>
      <c r="AF668" s="301"/>
      <c r="AG668" s="301"/>
      <c r="AH668" s="301"/>
      <c r="AI668" s="301"/>
      <c r="AJ668" s="301"/>
      <c r="AK668" s="301"/>
      <c r="AL668" s="301"/>
      <c r="AM668" s="301"/>
      <c r="AN668" s="301"/>
      <c r="AO668" s="301"/>
      <c r="AP668" s="301"/>
    </row>
    <row r="669" spans="10:42" ht="13.5" customHeight="1">
      <c r="J669" s="301"/>
      <c r="K669" s="301"/>
      <c r="L669" s="301"/>
      <c r="M669" s="301"/>
      <c r="N669" s="301"/>
      <c r="O669" s="301"/>
      <c r="P669" s="301"/>
      <c r="Q669" s="301"/>
      <c r="R669" s="301"/>
      <c r="S669" s="301"/>
      <c r="T669" s="301"/>
      <c r="U669" s="301"/>
      <c r="V669" s="301"/>
      <c r="W669" s="301"/>
      <c r="X669" s="301"/>
      <c r="Y669" s="301"/>
      <c r="Z669" s="301"/>
      <c r="AA669" s="301"/>
      <c r="AB669" s="301"/>
      <c r="AC669" s="301"/>
      <c r="AD669" s="301"/>
      <c r="AE669" s="301"/>
      <c r="AF669" s="301"/>
      <c r="AG669" s="301"/>
      <c r="AH669" s="301"/>
      <c r="AI669" s="301"/>
      <c r="AJ669" s="301"/>
      <c r="AK669" s="301"/>
      <c r="AL669" s="301"/>
      <c r="AM669" s="301"/>
      <c r="AN669" s="301"/>
      <c r="AO669" s="301"/>
      <c r="AP669" s="301"/>
    </row>
    <row r="670" spans="10:42" ht="13.5" customHeight="1">
      <c r="J670" s="301"/>
      <c r="K670" s="301"/>
      <c r="L670" s="301"/>
      <c r="M670" s="301"/>
      <c r="N670" s="301"/>
      <c r="O670" s="301"/>
      <c r="P670" s="301"/>
      <c r="Q670" s="301"/>
      <c r="R670" s="301"/>
      <c r="S670" s="301"/>
      <c r="T670" s="301"/>
      <c r="U670" s="301"/>
      <c r="V670" s="301"/>
      <c r="W670" s="301"/>
      <c r="X670" s="301"/>
      <c r="Y670" s="301"/>
      <c r="Z670" s="301"/>
      <c r="AA670" s="301"/>
      <c r="AB670" s="301"/>
      <c r="AC670" s="301"/>
      <c r="AD670" s="301"/>
      <c r="AE670" s="301"/>
      <c r="AF670" s="301"/>
      <c r="AG670" s="301"/>
      <c r="AH670" s="301"/>
      <c r="AI670" s="301"/>
      <c r="AJ670" s="301"/>
      <c r="AK670" s="301"/>
      <c r="AL670" s="301"/>
      <c r="AM670" s="301"/>
      <c r="AN670" s="301"/>
      <c r="AO670" s="301"/>
      <c r="AP670" s="301"/>
    </row>
    <row r="671" spans="10:42" ht="13.5" customHeight="1">
      <c r="J671" s="301"/>
      <c r="K671" s="301"/>
      <c r="L671" s="301"/>
      <c r="M671" s="301"/>
      <c r="N671" s="301"/>
      <c r="O671" s="301"/>
      <c r="P671" s="301"/>
      <c r="Q671" s="301"/>
      <c r="R671" s="301"/>
      <c r="S671" s="301"/>
      <c r="T671" s="301"/>
      <c r="U671" s="301"/>
      <c r="V671" s="301"/>
      <c r="W671" s="301"/>
      <c r="X671" s="301"/>
      <c r="Y671" s="301"/>
      <c r="Z671" s="301"/>
      <c r="AA671" s="301"/>
      <c r="AB671" s="301"/>
      <c r="AC671" s="301"/>
      <c r="AD671" s="301"/>
      <c r="AE671" s="301"/>
      <c r="AF671" s="301"/>
      <c r="AG671" s="301"/>
      <c r="AH671" s="301"/>
      <c r="AI671" s="301"/>
      <c r="AJ671" s="301"/>
      <c r="AK671" s="301"/>
      <c r="AL671" s="301"/>
      <c r="AM671" s="301"/>
      <c r="AN671" s="301"/>
      <c r="AO671" s="301"/>
      <c r="AP671" s="301"/>
    </row>
    <row r="672" spans="10:42" ht="13.5" customHeight="1">
      <c r="J672" s="301"/>
      <c r="K672" s="301"/>
      <c r="L672" s="301"/>
      <c r="M672" s="301"/>
      <c r="N672" s="301"/>
      <c r="O672" s="301"/>
      <c r="P672" s="301"/>
      <c r="Q672" s="301"/>
      <c r="R672" s="301"/>
      <c r="S672" s="301"/>
      <c r="T672" s="301"/>
      <c r="U672" s="301"/>
      <c r="V672" s="301"/>
      <c r="W672" s="301"/>
      <c r="X672" s="301"/>
      <c r="Y672" s="301"/>
      <c r="Z672" s="301"/>
      <c r="AA672" s="301"/>
      <c r="AB672" s="301"/>
      <c r="AC672" s="301"/>
      <c r="AD672" s="301"/>
      <c r="AE672" s="301"/>
      <c r="AF672" s="301"/>
      <c r="AG672" s="301"/>
      <c r="AH672" s="301"/>
      <c r="AI672" s="301"/>
      <c r="AJ672" s="301"/>
      <c r="AK672" s="301"/>
      <c r="AL672" s="301"/>
      <c r="AM672" s="301"/>
      <c r="AN672" s="301"/>
      <c r="AO672" s="301"/>
      <c r="AP672" s="301"/>
    </row>
    <row r="673" spans="10:42" ht="13.5" customHeight="1">
      <c r="J673" s="301"/>
      <c r="K673" s="301"/>
      <c r="L673" s="301"/>
      <c r="M673" s="301"/>
      <c r="N673" s="301"/>
      <c r="O673" s="301"/>
      <c r="P673" s="301"/>
      <c r="Q673" s="301"/>
      <c r="R673" s="301"/>
      <c r="S673" s="301"/>
      <c r="T673" s="301"/>
      <c r="U673" s="301"/>
      <c r="V673" s="301"/>
      <c r="W673" s="301"/>
      <c r="X673" s="301"/>
      <c r="Y673" s="301"/>
      <c r="Z673" s="301"/>
      <c r="AA673" s="301"/>
      <c r="AB673" s="301"/>
      <c r="AC673" s="301"/>
      <c r="AD673" s="301"/>
      <c r="AE673" s="301"/>
      <c r="AF673" s="301"/>
      <c r="AG673" s="301"/>
      <c r="AH673" s="301"/>
      <c r="AI673" s="301"/>
      <c r="AJ673" s="301"/>
      <c r="AK673" s="301"/>
      <c r="AL673" s="301"/>
      <c r="AM673" s="301"/>
      <c r="AN673" s="301"/>
      <c r="AO673" s="301"/>
      <c r="AP673" s="301"/>
    </row>
    <row r="674" spans="10:42" ht="13.5" customHeight="1">
      <c r="J674" s="301"/>
      <c r="K674" s="301"/>
      <c r="L674" s="301"/>
      <c r="M674" s="301"/>
      <c r="N674" s="301"/>
      <c r="O674" s="301"/>
      <c r="P674" s="301"/>
      <c r="Q674" s="301"/>
      <c r="R674" s="301"/>
      <c r="S674" s="301"/>
      <c r="T674" s="301"/>
      <c r="U674" s="301"/>
      <c r="V674" s="301"/>
      <c r="W674" s="301"/>
      <c r="X674" s="301"/>
      <c r="Y674" s="301"/>
      <c r="Z674" s="301"/>
      <c r="AA674" s="301"/>
      <c r="AB674" s="301"/>
      <c r="AC674" s="301"/>
      <c r="AD674" s="301"/>
      <c r="AE674" s="301"/>
      <c r="AF674" s="301"/>
      <c r="AG674" s="301"/>
      <c r="AH674" s="301"/>
      <c r="AI674" s="301"/>
      <c r="AJ674" s="301"/>
      <c r="AK674" s="301"/>
      <c r="AL674" s="301"/>
      <c r="AM674" s="301"/>
      <c r="AN674" s="301"/>
      <c r="AO674" s="301"/>
      <c r="AP674" s="301"/>
    </row>
    <row r="675" spans="10:42" ht="13.5" customHeight="1">
      <c r="J675" s="301"/>
      <c r="K675" s="301"/>
      <c r="L675" s="301"/>
      <c r="M675" s="301"/>
      <c r="N675" s="301"/>
      <c r="O675" s="301"/>
      <c r="P675" s="301"/>
      <c r="Q675" s="301"/>
      <c r="R675" s="301"/>
      <c r="S675" s="301"/>
      <c r="T675" s="301"/>
      <c r="U675" s="301"/>
      <c r="V675" s="301"/>
      <c r="W675" s="301"/>
      <c r="X675" s="301"/>
      <c r="Y675" s="301"/>
      <c r="Z675" s="301"/>
      <c r="AA675" s="301"/>
      <c r="AB675" s="301"/>
      <c r="AC675" s="301"/>
      <c r="AD675" s="301"/>
      <c r="AE675" s="301"/>
      <c r="AF675" s="301"/>
      <c r="AG675" s="301"/>
      <c r="AH675" s="301"/>
      <c r="AI675" s="301"/>
      <c r="AJ675" s="301"/>
      <c r="AK675" s="301"/>
      <c r="AL675" s="301"/>
      <c r="AM675" s="301"/>
      <c r="AN675" s="301"/>
      <c r="AO675" s="301"/>
      <c r="AP675" s="301"/>
    </row>
    <row r="676" spans="10:42" ht="13.5" customHeight="1">
      <c r="J676" s="301"/>
      <c r="K676" s="301"/>
      <c r="L676" s="301"/>
      <c r="M676" s="301"/>
      <c r="N676" s="301"/>
      <c r="O676" s="301"/>
      <c r="P676" s="301"/>
      <c r="Q676" s="301"/>
      <c r="R676" s="301"/>
      <c r="S676" s="301"/>
      <c r="T676" s="301"/>
      <c r="U676" s="301"/>
      <c r="V676" s="301"/>
      <c r="W676" s="301"/>
      <c r="X676" s="301"/>
      <c r="Y676" s="301"/>
      <c r="Z676" s="301"/>
      <c r="AA676" s="301"/>
      <c r="AB676" s="301"/>
      <c r="AC676" s="301"/>
      <c r="AD676" s="301"/>
      <c r="AE676" s="301"/>
      <c r="AF676" s="301"/>
      <c r="AG676" s="301"/>
      <c r="AH676" s="301"/>
      <c r="AI676" s="301"/>
      <c r="AJ676" s="301"/>
      <c r="AK676" s="301"/>
      <c r="AL676" s="301"/>
      <c r="AM676" s="301"/>
      <c r="AN676" s="301"/>
      <c r="AO676" s="301"/>
      <c r="AP676" s="301"/>
    </row>
    <row r="677" spans="10:42" ht="13.5" customHeight="1">
      <c r="J677" s="301"/>
      <c r="K677" s="301"/>
      <c r="L677" s="301"/>
      <c r="M677" s="301"/>
      <c r="N677" s="301"/>
      <c r="O677" s="301"/>
      <c r="P677" s="301"/>
      <c r="Q677" s="301"/>
      <c r="R677" s="301"/>
      <c r="S677" s="301"/>
      <c r="T677" s="301"/>
      <c r="U677" s="301"/>
      <c r="V677" s="301"/>
      <c r="W677" s="301"/>
      <c r="X677" s="301"/>
      <c r="Y677" s="301"/>
      <c r="Z677" s="301"/>
      <c r="AA677" s="301"/>
      <c r="AB677" s="301"/>
      <c r="AC677" s="301"/>
      <c r="AD677" s="301"/>
      <c r="AE677" s="301"/>
      <c r="AF677" s="301"/>
      <c r="AG677" s="301"/>
      <c r="AH677" s="301"/>
      <c r="AI677" s="301"/>
      <c r="AJ677" s="301"/>
      <c r="AK677" s="301"/>
      <c r="AL677" s="301"/>
      <c r="AM677" s="301"/>
      <c r="AN677" s="301"/>
      <c r="AO677" s="301"/>
      <c r="AP677" s="301"/>
    </row>
    <row r="678" spans="10:42" ht="13.5" customHeight="1">
      <c r="J678" s="301"/>
      <c r="K678" s="301"/>
      <c r="L678" s="301"/>
      <c r="M678" s="301"/>
      <c r="N678" s="301"/>
      <c r="O678" s="301"/>
      <c r="P678" s="301"/>
      <c r="Q678" s="301"/>
      <c r="R678" s="301"/>
      <c r="S678" s="301"/>
      <c r="T678" s="301"/>
      <c r="U678" s="301"/>
      <c r="V678" s="301"/>
      <c r="W678" s="301"/>
      <c r="X678" s="301"/>
      <c r="Y678" s="301"/>
      <c r="Z678" s="301"/>
      <c r="AA678" s="301"/>
      <c r="AB678" s="301"/>
      <c r="AC678" s="301"/>
      <c r="AD678" s="301"/>
      <c r="AE678" s="301"/>
      <c r="AF678" s="301"/>
      <c r="AG678" s="301"/>
      <c r="AH678" s="301"/>
      <c r="AI678" s="301"/>
      <c r="AJ678" s="301"/>
      <c r="AK678" s="301"/>
      <c r="AL678" s="301"/>
      <c r="AM678" s="301"/>
      <c r="AN678" s="301"/>
      <c r="AO678" s="301"/>
      <c r="AP678" s="301"/>
    </row>
    <row r="679" spans="10:42" ht="13.5" customHeight="1">
      <c r="J679" s="301"/>
      <c r="K679" s="301"/>
      <c r="L679" s="301"/>
      <c r="M679" s="301"/>
      <c r="N679" s="301"/>
      <c r="O679" s="301"/>
      <c r="P679" s="301"/>
      <c r="Q679" s="301"/>
      <c r="R679" s="301"/>
      <c r="S679" s="301"/>
      <c r="T679" s="301"/>
      <c r="U679" s="301"/>
      <c r="V679" s="301"/>
      <c r="W679" s="301"/>
      <c r="X679" s="301"/>
      <c r="Y679" s="301"/>
      <c r="Z679" s="301"/>
      <c r="AA679" s="301"/>
      <c r="AB679" s="301"/>
      <c r="AC679" s="301"/>
      <c r="AD679" s="301"/>
      <c r="AE679" s="301"/>
      <c r="AF679" s="301"/>
      <c r="AG679" s="301"/>
      <c r="AH679" s="301"/>
      <c r="AI679" s="301"/>
      <c r="AJ679" s="301"/>
      <c r="AK679" s="301"/>
      <c r="AL679" s="301"/>
      <c r="AM679" s="301"/>
      <c r="AN679" s="301"/>
      <c r="AO679" s="301"/>
      <c r="AP679" s="301"/>
    </row>
    <row r="680" spans="10:42" ht="13.5" customHeight="1">
      <c r="J680" s="301"/>
      <c r="K680" s="301"/>
      <c r="L680" s="301"/>
      <c r="M680" s="301"/>
      <c r="N680" s="301"/>
      <c r="O680" s="301"/>
      <c r="P680" s="301"/>
      <c r="Q680" s="301"/>
      <c r="R680" s="301"/>
      <c r="S680" s="301"/>
      <c r="T680" s="301"/>
      <c r="U680" s="301"/>
      <c r="V680" s="301"/>
      <c r="W680" s="301"/>
      <c r="X680" s="301"/>
      <c r="Y680" s="301"/>
      <c r="Z680" s="301"/>
      <c r="AA680" s="301"/>
      <c r="AB680" s="301"/>
      <c r="AC680" s="301"/>
      <c r="AD680" s="301"/>
      <c r="AE680" s="301"/>
      <c r="AF680" s="301"/>
      <c r="AG680" s="301"/>
      <c r="AH680" s="301"/>
      <c r="AI680" s="301"/>
      <c r="AJ680" s="301"/>
      <c r="AK680" s="301"/>
      <c r="AL680" s="301"/>
      <c r="AM680" s="301"/>
      <c r="AN680" s="301"/>
      <c r="AO680" s="301"/>
      <c r="AP680" s="301"/>
    </row>
    <row r="681" spans="10:42" ht="13.5" customHeight="1">
      <c r="J681" s="301"/>
      <c r="K681" s="301"/>
      <c r="L681" s="301"/>
      <c r="M681" s="301"/>
      <c r="N681" s="301"/>
      <c r="O681" s="301"/>
      <c r="P681" s="301"/>
      <c r="Q681" s="301"/>
      <c r="R681" s="301"/>
      <c r="S681" s="301"/>
      <c r="T681" s="301"/>
      <c r="U681" s="301"/>
      <c r="V681" s="301"/>
      <c r="W681" s="301"/>
      <c r="X681" s="301"/>
      <c r="Y681" s="301"/>
      <c r="Z681" s="301"/>
      <c r="AA681" s="301"/>
      <c r="AB681" s="301"/>
      <c r="AC681" s="301"/>
      <c r="AD681" s="301"/>
      <c r="AE681" s="301"/>
      <c r="AF681" s="301"/>
      <c r="AG681" s="301"/>
      <c r="AH681" s="301"/>
      <c r="AI681" s="301"/>
      <c r="AJ681" s="301"/>
      <c r="AK681" s="301"/>
      <c r="AL681" s="301"/>
      <c r="AM681" s="301"/>
      <c r="AN681" s="301"/>
      <c r="AO681" s="301"/>
      <c r="AP681" s="301"/>
    </row>
    <row r="682" spans="10:42" ht="13.5" customHeight="1">
      <c r="J682" s="301"/>
      <c r="K682" s="301"/>
      <c r="L682" s="301"/>
      <c r="M682" s="301"/>
      <c r="N682" s="301"/>
      <c r="O682" s="301"/>
      <c r="P682" s="301"/>
      <c r="Q682" s="301"/>
      <c r="R682" s="301"/>
      <c r="S682" s="301"/>
      <c r="T682" s="301"/>
      <c r="U682" s="301"/>
      <c r="V682" s="301"/>
      <c r="W682" s="301"/>
      <c r="X682" s="301"/>
      <c r="Y682" s="301"/>
      <c r="Z682" s="301"/>
      <c r="AA682" s="301"/>
      <c r="AB682" s="301"/>
      <c r="AC682" s="301"/>
      <c r="AD682" s="301"/>
      <c r="AE682" s="301"/>
      <c r="AF682" s="301"/>
      <c r="AG682" s="301"/>
      <c r="AH682" s="301"/>
      <c r="AI682" s="301"/>
      <c r="AJ682" s="301"/>
      <c r="AK682" s="301"/>
      <c r="AL682" s="301"/>
      <c r="AM682" s="301"/>
      <c r="AN682" s="301"/>
      <c r="AO682" s="301"/>
      <c r="AP682" s="301"/>
    </row>
    <row r="683" spans="10:42" ht="13.5" customHeight="1">
      <c r="J683" s="301"/>
      <c r="K683" s="301"/>
      <c r="L683" s="301"/>
      <c r="M683" s="301"/>
      <c r="N683" s="301"/>
      <c r="O683" s="301"/>
      <c r="P683" s="301"/>
      <c r="Q683" s="301"/>
      <c r="R683" s="301"/>
      <c r="S683" s="301"/>
      <c r="T683" s="301"/>
      <c r="U683" s="301"/>
      <c r="V683" s="301"/>
      <c r="W683" s="301"/>
      <c r="X683" s="301"/>
      <c r="Y683" s="301"/>
      <c r="Z683" s="301"/>
      <c r="AA683" s="301"/>
      <c r="AB683" s="301"/>
      <c r="AC683" s="301"/>
      <c r="AD683" s="301"/>
      <c r="AE683" s="301"/>
      <c r="AF683" s="301"/>
      <c r="AG683" s="301"/>
      <c r="AH683" s="301"/>
      <c r="AI683" s="301"/>
      <c r="AJ683" s="301"/>
      <c r="AK683" s="301"/>
      <c r="AL683" s="301"/>
      <c r="AM683" s="301"/>
      <c r="AN683" s="301"/>
      <c r="AO683" s="301"/>
      <c r="AP683" s="301"/>
    </row>
    <row r="684" spans="10:42" ht="13.5" customHeight="1">
      <c r="J684" s="301"/>
      <c r="K684" s="301"/>
      <c r="L684" s="301"/>
      <c r="M684" s="301"/>
      <c r="N684" s="301"/>
      <c r="O684" s="301"/>
      <c r="P684" s="301"/>
      <c r="Q684" s="301"/>
      <c r="R684" s="301"/>
      <c r="S684" s="301"/>
      <c r="T684" s="301"/>
      <c r="U684" s="301"/>
      <c r="V684" s="301"/>
      <c r="W684" s="301"/>
      <c r="X684" s="301"/>
      <c r="Y684" s="301"/>
      <c r="Z684" s="301"/>
      <c r="AA684" s="301"/>
      <c r="AB684" s="301"/>
      <c r="AC684" s="301"/>
      <c r="AD684" s="301"/>
      <c r="AE684" s="301"/>
      <c r="AF684" s="301"/>
      <c r="AG684" s="301"/>
      <c r="AH684" s="301"/>
      <c r="AI684" s="301"/>
      <c r="AJ684" s="301"/>
      <c r="AK684" s="301"/>
      <c r="AL684" s="301"/>
      <c r="AM684" s="301"/>
      <c r="AN684" s="301"/>
      <c r="AO684" s="301"/>
      <c r="AP684" s="301"/>
    </row>
    <row r="685" spans="10:42" ht="13.5" customHeight="1">
      <c r="J685" s="301"/>
      <c r="K685" s="301"/>
      <c r="L685" s="301"/>
      <c r="M685" s="301"/>
      <c r="N685" s="301"/>
      <c r="O685" s="301"/>
      <c r="P685" s="301"/>
      <c r="Q685" s="301"/>
      <c r="R685" s="301"/>
      <c r="S685" s="301"/>
      <c r="T685" s="301"/>
      <c r="U685" s="301"/>
      <c r="V685" s="301"/>
      <c r="W685" s="301"/>
      <c r="X685" s="301"/>
      <c r="Y685" s="301"/>
      <c r="Z685" s="301"/>
      <c r="AA685" s="301"/>
      <c r="AB685" s="301"/>
      <c r="AC685" s="301"/>
      <c r="AD685" s="301"/>
      <c r="AE685" s="301"/>
      <c r="AF685" s="301"/>
      <c r="AG685" s="301"/>
      <c r="AH685" s="301"/>
      <c r="AI685" s="301"/>
      <c r="AJ685" s="301"/>
      <c r="AK685" s="301"/>
      <c r="AL685" s="301"/>
      <c r="AM685" s="301"/>
      <c r="AN685" s="301"/>
      <c r="AO685" s="301"/>
      <c r="AP685" s="301"/>
    </row>
    <row r="686" spans="10:42" ht="13.5" customHeight="1">
      <c r="J686" s="301"/>
      <c r="K686" s="301"/>
      <c r="L686" s="301"/>
      <c r="M686" s="301"/>
      <c r="N686" s="301"/>
      <c r="O686" s="301"/>
      <c r="P686" s="301"/>
      <c r="Q686" s="301"/>
      <c r="R686" s="301"/>
      <c r="S686" s="301"/>
      <c r="T686" s="301"/>
      <c r="U686" s="301"/>
      <c r="V686" s="301"/>
      <c r="W686" s="301"/>
      <c r="X686" s="301"/>
      <c r="Y686" s="301"/>
      <c r="Z686" s="301"/>
      <c r="AA686" s="301"/>
      <c r="AB686" s="301"/>
      <c r="AC686" s="301"/>
      <c r="AD686" s="301"/>
      <c r="AE686" s="301"/>
      <c r="AF686" s="301"/>
      <c r="AG686" s="301"/>
      <c r="AH686" s="301"/>
      <c r="AI686" s="301"/>
      <c r="AJ686" s="301"/>
      <c r="AK686" s="301"/>
      <c r="AL686" s="301"/>
      <c r="AM686" s="301"/>
      <c r="AN686" s="301"/>
      <c r="AO686" s="301"/>
      <c r="AP686" s="301"/>
    </row>
    <row r="687" spans="10:42" ht="13.5" customHeight="1">
      <c r="J687" s="301"/>
      <c r="K687" s="301"/>
      <c r="L687" s="301"/>
      <c r="M687" s="301"/>
      <c r="N687" s="301"/>
      <c r="O687" s="301"/>
      <c r="P687" s="301"/>
      <c r="Q687" s="301"/>
      <c r="R687" s="301"/>
      <c r="S687" s="301"/>
      <c r="T687" s="301"/>
      <c r="U687" s="301"/>
      <c r="V687" s="301"/>
      <c r="W687" s="301"/>
      <c r="X687" s="301"/>
      <c r="Y687" s="301"/>
      <c r="Z687" s="301"/>
      <c r="AA687" s="301"/>
      <c r="AB687" s="301"/>
      <c r="AC687" s="301"/>
      <c r="AD687" s="301"/>
      <c r="AE687" s="301"/>
      <c r="AF687" s="301"/>
      <c r="AG687" s="301"/>
      <c r="AH687" s="301"/>
      <c r="AI687" s="301"/>
      <c r="AJ687" s="301"/>
      <c r="AK687" s="301"/>
      <c r="AL687" s="301"/>
      <c r="AM687" s="301"/>
      <c r="AN687" s="301"/>
      <c r="AO687" s="301"/>
      <c r="AP687" s="301"/>
    </row>
    <row r="688" spans="10:42" ht="13.5" customHeight="1">
      <c r="J688" s="301"/>
      <c r="K688" s="301"/>
      <c r="L688" s="301"/>
      <c r="M688" s="301"/>
      <c r="N688" s="301"/>
      <c r="O688" s="301"/>
      <c r="P688" s="301"/>
      <c r="Q688" s="301"/>
      <c r="R688" s="301"/>
      <c r="S688" s="301"/>
      <c r="T688" s="301"/>
      <c r="U688" s="301"/>
      <c r="V688" s="301"/>
      <c r="W688" s="301"/>
      <c r="X688" s="301"/>
      <c r="Y688" s="301"/>
      <c r="Z688" s="301"/>
      <c r="AA688" s="301"/>
      <c r="AB688" s="301"/>
      <c r="AC688" s="301"/>
      <c r="AD688" s="301"/>
      <c r="AE688" s="301"/>
      <c r="AF688" s="301"/>
      <c r="AG688" s="301"/>
      <c r="AH688" s="301"/>
      <c r="AI688" s="301"/>
      <c r="AJ688" s="301"/>
      <c r="AK688" s="301"/>
      <c r="AL688" s="301"/>
      <c r="AM688" s="301"/>
      <c r="AN688" s="301"/>
      <c r="AO688" s="301"/>
      <c r="AP688" s="301"/>
    </row>
    <row r="689" spans="10:42" ht="13.5" customHeight="1">
      <c r="J689" s="301"/>
      <c r="K689" s="301"/>
      <c r="L689" s="301"/>
      <c r="M689" s="301"/>
      <c r="N689" s="301"/>
      <c r="O689" s="301"/>
      <c r="P689" s="301"/>
      <c r="Q689" s="301"/>
      <c r="R689" s="301"/>
      <c r="S689" s="301"/>
      <c r="T689" s="301"/>
      <c r="U689" s="301"/>
      <c r="V689" s="301"/>
      <c r="W689" s="301"/>
      <c r="X689" s="301"/>
      <c r="Y689" s="301"/>
      <c r="Z689" s="301"/>
      <c r="AA689" s="301"/>
      <c r="AB689" s="301"/>
      <c r="AC689" s="301"/>
      <c r="AD689" s="301"/>
      <c r="AE689" s="301"/>
      <c r="AF689" s="301"/>
      <c r="AG689" s="301"/>
      <c r="AH689" s="301"/>
      <c r="AI689" s="301"/>
      <c r="AJ689" s="301"/>
      <c r="AK689" s="301"/>
      <c r="AL689" s="301"/>
      <c r="AM689" s="301"/>
      <c r="AN689" s="301"/>
      <c r="AO689" s="301"/>
      <c r="AP689" s="301"/>
    </row>
    <row r="690" spans="10:42" ht="13.5" customHeight="1">
      <c r="J690" s="301"/>
      <c r="K690" s="301"/>
      <c r="L690" s="301"/>
      <c r="M690" s="301"/>
      <c r="N690" s="301"/>
      <c r="O690" s="301"/>
      <c r="P690" s="301"/>
      <c r="Q690" s="301"/>
      <c r="R690" s="301"/>
      <c r="S690" s="301"/>
      <c r="T690" s="301"/>
      <c r="U690" s="301"/>
      <c r="V690" s="301"/>
      <c r="W690" s="301"/>
      <c r="X690" s="301"/>
      <c r="Y690" s="301"/>
      <c r="Z690" s="301"/>
      <c r="AA690" s="301"/>
      <c r="AB690" s="301"/>
      <c r="AC690" s="301"/>
      <c r="AD690" s="301"/>
      <c r="AE690" s="301"/>
      <c r="AF690" s="301"/>
      <c r="AG690" s="301"/>
      <c r="AH690" s="301"/>
      <c r="AI690" s="301"/>
      <c r="AJ690" s="301"/>
      <c r="AK690" s="301"/>
      <c r="AL690" s="301"/>
      <c r="AM690" s="301"/>
      <c r="AN690" s="301"/>
      <c r="AO690" s="301"/>
      <c r="AP690" s="301"/>
    </row>
    <row r="691" spans="10:42" ht="13.5" customHeight="1">
      <c r="J691" s="301"/>
      <c r="K691" s="301"/>
      <c r="L691" s="301"/>
      <c r="M691" s="301"/>
      <c r="N691" s="301"/>
      <c r="O691" s="301"/>
      <c r="P691" s="301"/>
      <c r="Q691" s="301"/>
      <c r="R691" s="301"/>
      <c r="S691" s="301"/>
      <c r="T691" s="301"/>
      <c r="U691" s="301"/>
      <c r="V691" s="301"/>
      <c r="W691" s="301"/>
      <c r="X691" s="301"/>
      <c r="Y691" s="301"/>
      <c r="Z691" s="301"/>
      <c r="AA691" s="301"/>
      <c r="AB691" s="301"/>
      <c r="AC691" s="301"/>
      <c r="AD691" s="301"/>
      <c r="AE691" s="301"/>
      <c r="AF691" s="301"/>
      <c r="AG691" s="301"/>
      <c r="AH691" s="301"/>
      <c r="AI691" s="301"/>
      <c r="AJ691" s="301"/>
      <c r="AK691" s="301"/>
      <c r="AL691" s="301"/>
      <c r="AM691" s="301"/>
      <c r="AN691" s="301"/>
      <c r="AO691" s="301"/>
      <c r="AP691" s="301"/>
    </row>
    <row r="692" spans="10:42" ht="13.5" customHeight="1">
      <c r="J692" s="301"/>
      <c r="K692" s="301"/>
      <c r="L692" s="301"/>
      <c r="M692" s="301"/>
      <c r="N692" s="301"/>
      <c r="O692" s="301"/>
      <c r="P692" s="301"/>
      <c r="Q692" s="301"/>
      <c r="R692" s="301"/>
      <c r="S692" s="301"/>
      <c r="T692" s="301"/>
      <c r="U692" s="301"/>
      <c r="V692" s="301"/>
      <c r="W692" s="301"/>
      <c r="X692" s="301"/>
      <c r="Y692" s="301"/>
      <c r="Z692" s="301"/>
      <c r="AA692" s="301"/>
      <c r="AB692" s="301"/>
      <c r="AC692" s="301"/>
      <c r="AD692" s="301"/>
      <c r="AE692" s="301"/>
      <c r="AF692" s="301"/>
      <c r="AG692" s="301"/>
      <c r="AH692" s="301"/>
      <c r="AI692" s="301"/>
      <c r="AJ692" s="301"/>
      <c r="AK692" s="301"/>
      <c r="AL692" s="301"/>
      <c r="AM692" s="301"/>
      <c r="AN692" s="301"/>
      <c r="AO692" s="301"/>
      <c r="AP692" s="301"/>
    </row>
    <row r="693" spans="10:42" ht="13.5" customHeight="1">
      <c r="J693" s="301"/>
      <c r="K693" s="301"/>
      <c r="L693" s="301"/>
      <c r="M693" s="301"/>
      <c r="N693" s="301"/>
      <c r="O693" s="301"/>
      <c r="P693" s="301"/>
      <c r="Q693" s="301"/>
      <c r="R693" s="301"/>
      <c r="S693" s="301"/>
      <c r="T693" s="301"/>
      <c r="U693" s="301"/>
      <c r="V693" s="301"/>
      <c r="W693" s="301"/>
      <c r="X693" s="301"/>
      <c r="Y693" s="301"/>
      <c r="Z693" s="301"/>
      <c r="AA693" s="301"/>
      <c r="AB693" s="301"/>
      <c r="AC693" s="301"/>
      <c r="AD693" s="301"/>
      <c r="AE693" s="301"/>
      <c r="AF693" s="301"/>
      <c r="AG693" s="301"/>
      <c r="AH693" s="301"/>
      <c r="AI693" s="301"/>
      <c r="AJ693" s="301"/>
      <c r="AK693" s="301"/>
      <c r="AL693" s="301"/>
      <c r="AM693" s="301"/>
      <c r="AN693" s="301"/>
      <c r="AO693" s="301"/>
      <c r="AP693" s="301"/>
    </row>
    <row r="694" spans="10:42" ht="13.5" customHeight="1">
      <c r="J694" s="301"/>
      <c r="K694" s="301"/>
      <c r="L694" s="301"/>
      <c r="M694" s="301"/>
      <c r="N694" s="301"/>
      <c r="O694" s="301"/>
      <c r="P694" s="301"/>
      <c r="Q694" s="301"/>
      <c r="R694" s="301"/>
      <c r="S694" s="301"/>
      <c r="T694" s="301"/>
      <c r="U694" s="301"/>
      <c r="V694" s="301"/>
      <c r="W694" s="301"/>
      <c r="X694" s="301"/>
      <c r="Y694" s="301"/>
      <c r="Z694" s="301"/>
      <c r="AA694" s="301"/>
      <c r="AB694" s="301"/>
      <c r="AC694" s="301"/>
      <c r="AD694" s="301"/>
      <c r="AE694" s="301"/>
      <c r="AF694" s="301"/>
      <c r="AG694" s="301"/>
      <c r="AH694" s="301"/>
      <c r="AI694" s="301"/>
      <c r="AJ694" s="301"/>
      <c r="AK694" s="301"/>
      <c r="AL694" s="301"/>
      <c r="AM694" s="301"/>
      <c r="AN694" s="301"/>
      <c r="AO694" s="301"/>
      <c r="AP694" s="301"/>
    </row>
    <row r="695" spans="10:42" ht="13.5" customHeight="1">
      <c r="J695" s="301"/>
      <c r="K695" s="301"/>
      <c r="L695" s="301"/>
      <c r="M695" s="301"/>
      <c r="N695" s="301"/>
      <c r="O695" s="301"/>
      <c r="P695" s="301"/>
      <c r="Q695" s="301"/>
      <c r="R695" s="301"/>
      <c r="S695" s="301"/>
      <c r="T695" s="301"/>
      <c r="U695" s="301"/>
      <c r="V695" s="301"/>
      <c r="W695" s="301"/>
      <c r="X695" s="301"/>
      <c r="Y695" s="301"/>
      <c r="Z695" s="301"/>
      <c r="AA695" s="301"/>
      <c r="AB695" s="301"/>
      <c r="AC695" s="301"/>
      <c r="AD695" s="301"/>
      <c r="AE695" s="301"/>
      <c r="AF695" s="301"/>
      <c r="AG695" s="301"/>
      <c r="AH695" s="301"/>
      <c r="AI695" s="301"/>
      <c r="AJ695" s="301"/>
      <c r="AK695" s="301"/>
      <c r="AL695" s="301"/>
      <c r="AM695" s="301"/>
      <c r="AN695" s="301"/>
      <c r="AO695" s="301"/>
      <c r="AP695" s="301"/>
    </row>
    <row r="696" spans="10:42" ht="13.5" customHeight="1">
      <c r="J696" s="301"/>
      <c r="K696" s="301"/>
      <c r="L696" s="301"/>
      <c r="M696" s="301"/>
      <c r="N696" s="301"/>
      <c r="O696" s="301"/>
      <c r="P696" s="301"/>
      <c r="Q696" s="301"/>
      <c r="R696" s="301"/>
      <c r="S696" s="301"/>
      <c r="T696" s="301"/>
      <c r="U696" s="301"/>
      <c r="V696" s="301"/>
      <c r="W696" s="301"/>
      <c r="X696" s="301"/>
      <c r="Y696" s="301"/>
      <c r="Z696" s="301"/>
      <c r="AA696" s="301"/>
      <c r="AB696" s="301"/>
      <c r="AC696" s="301"/>
      <c r="AD696" s="301"/>
      <c r="AE696" s="301"/>
      <c r="AF696" s="301"/>
      <c r="AG696" s="301"/>
      <c r="AH696" s="301"/>
      <c r="AI696" s="301"/>
      <c r="AJ696" s="301"/>
      <c r="AK696" s="301"/>
      <c r="AL696" s="301"/>
      <c r="AM696" s="301"/>
      <c r="AN696" s="301"/>
      <c r="AO696" s="301"/>
      <c r="AP696" s="301"/>
    </row>
    <row r="697" spans="10:42" ht="13.5" customHeight="1">
      <c r="J697" s="301"/>
      <c r="K697" s="301"/>
      <c r="L697" s="301"/>
      <c r="M697" s="301"/>
      <c r="N697" s="301"/>
      <c r="O697" s="301"/>
      <c r="P697" s="301"/>
      <c r="Q697" s="301"/>
      <c r="R697" s="301"/>
      <c r="S697" s="301"/>
      <c r="T697" s="301"/>
      <c r="U697" s="301"/>
      <c r="V697" s="301"/>
      <c r="W697" s="301"/>
      <c r="X697" s="301"/>
      <c r="Y697" s="301"/>
      <c r="Z697" s="301"/>
      <c r="AA697" s="301"/>
      <c r="AB697" s="301"/>
      <c r="AC697" s="301"/>
      <c r="AD697" s="301"/>
      <c r="AE697" s="301"/>
      <c r="AF697" s="301"/>
      <c r="AG697" s="301"/>
      <c r="AH697" s="301"/>
      <c r="AI697" s="301"/>
      <c r="AJ697" s="301"/>
      <c r="AK697" s="301"/>
      <c r="AL697" s="301"/>
      <c r="AM697" s="301"/>
      <c r="AN697" s="301"/>
      <c r="AO697" s="301"/>
      <c r="AP697" s="301"/>
    </row>
    <row r="698" spans="10:42" ht="13.5" customHeight="1">
      <c r="J698" s="301"/>
      <c r="K698" s="301"/>
      <c r="L698" s="301"/>
      <c r="M698" s="301"/>
      <c r="N698" s="301"/>
      <c r="O698" s="301"/>
      <c r="P698" s="301"/>
      <c r="Q698" s="301"/>
      <c r="R698" s="301"/>
      <c r="S698" s="301"/>
      <c r="T698" s="301"/>
      <c r="U698" s="301"/>
      <c r="V698" s="301"/>
      <c r="W698" s="301"/>
      <c r="X698" s="301"/>
      <c r="Y698" s="301"/>
      <c r="Z698" s="301"/>
      <c r="AA698" s="301"/>
      <c r="AB698" s="301"/>
      <c r="AC698" s="301"/>
      <c r="AD698" s="301"/>
      <c r="AE698" s="301"/>
      <c r="AF698" s="301"/>
      <c r="AG698" s="301"/>
      <c r="AH698" s="301"/>
      <c r="AI698" s="301"/>
      <c r="AJ698" s="301"/>
      <c r="AK698" s="301"/>
      <c r="AL698" s="301"/>
      <c r="AM698" s="301"/>
      <c r="AN698" s="301"/>
      <c r="AO698" s="301"/>
      <c r="AP698" s="301"/>
    </row>
    <row r="699" spans="10:42" ht="13.5" customHeight="1">
      <c r="J699" s="301"/>
      <c r="K699" s="301"/>
      <c r="L699" s="301"/>
      <c r="M699" s="301"/>
      <c r="N699" s="301"/>
      <c r="O699" s="301"/>
      <c r="P699" s="301"/>
      <c r="Q699" s="301"/>
      <c r="R699" s="301"/>
      <c r="S699" s="301"/>
      <c r="T699" s="301"/>
      <c r="U699" s="301"/>
      <c r="V699" s="301"/>
      <c r="W699" s="301"/>
      <c r="X699" s="301"/>
      <c r="Y699" s="301"/>
      <c r="Z699" s="301"/>
      <c r="AA699" s="301"/>
      <c r="AB699" s="301"/>
      <c r="AC699" s="301"/>
      <c r="AD699" s="301"/>
      <c r="AE699" s="301"/>
      <c r="AF699" s="301"/>
      <c r="AG699" s="301"/>
      <c r="AH699" s="301"/>
      <c r="AI699" s="301"/>
      <c r="AJ699" s="301"/>
      <c r="AK699" s="301"/>
      <c r="AL699" s="301"/>
      <c r="AM699" s="301"/>
      <c r="AN699" s="301"/>
      <c r="AO699" s="301"/>
      <c r="AP699" s="301"/>
    </row>
    <row r="700" spans="10:42" ht="13.5" customHeight="1">
      <c r="J700" s="301"/>
      <c r="K700" s="301"/>
      <c r="L700" s="301"/>
      <c r="M700" s="301"/>
      <c r="N700" s="301"/>
      <c r="O700" s="301"/>
      <c r="P700" s="301"/>
      <c r="Q700" s="301"/>
      <c r="R700" s="301"/>
      <c r="S700" s="301"/>
      <c r="T700" s="301"/>
      <c r="U700" s="301"/>
      <c r="V700" s="301"/>
      <c r="W700" s="301"/>
      <c r="X700" s="301"/>
      <c r="Y700" s="301"/>
      <c r="Z700" s="301"/>
      <c r="AA700" s="301"/>
      <c r="AB700" s="301"/>
      <c r="AC700" s="301"/>
      <c r="AD700" s="301"/>
      <c r="AE700" s="301"/>
      <c r="AF700" s="301"/>
      <c r="AG700" s="301"/>
      <c r="AH700" s="301"/>
      <c r="AI700" s="301"/>
      <c r="AJ700" s="301"/>
      <c r="AK700" s="301"/>
      <c r="AL700" s="301"/>
      <c r="AM700" s="301"/>
      <c r="AN700" s="301"/>
      <c r="AO700" s="301"/>
      <c r="AP700" s="301"/>
    </row>
    <row r="701" spans="10:42" ht="13.5" customHeight="1">
      <c r="J701" s="301"/>
      <c r="K701" s="301"/>
      <c r="L701" s="301"/>
      <c r="M701" s="301"/>
      <c r="N701" s="301"/>
      <c r="O701" s="301"/>
      <c r="P701" s="301"/>
      <c r="Q701" s="301"/>
      <c r="R701" s="301"/>
      <c r="S701" s="301"/>
      <c r="T701" s="301"/>
      <c r="U701" s="301"/>
      <c r="V701" s="301"/>
      <c r="W701" s="301"/>
      <c r="X701" s="301"/>
      <c r="Y701" s="301"/>
      <c r="Z701" s="301"/>
      <c r="AA701" s="301"/>
      <c r="AB701" s="301"/>
      <c r="AC701" s="301"/>
      <c r="AD701" s="301"/>
      <c r="AE701" s="301"/>
      <c r="AF701" s="301"/>
      <c r="AG701" s="301"/>
      <c r="AH701" s="301"/>
      <c r="AI701" s="301"/>
      <c r="AJ701" s="301"/>
      <c r="AK701" s="301"/>
      <c r="AL701" s="301"/>
      <c r="AM701" s="301"/>
      <c r="AN701" s="301"/>
      <c r="AO701" s="301"/>
      <c r="AP701" s="301"/>
    </row>
    <row r="702" spans="10:42" ht="13.5" customHeight="1">
      <c r="J702" s="301"/>
      <c r="K702" s="301"/>
      <c r="L702" s="301"/>
      <c r="M702" s="301"/>
      <c r="N702" s="301"/>
      <c r="O702" s="301"/>
      <c r="P702" s="301"/>
      <c r="Q702" s="301"/>
      <c r="R702" s="301"/>
      <c r="S702" s="301"/>
      <c r="T702" s="301"/>
      <c r="U702" s="301"/>
      <c r="V702" s="301"/>
      <c r="W702" s="301"/>
      <c r="X702" s="301"/>
      <c r="Y702" s="301"/>
      <c r="Z702" s="301"/>
      <c r="AA702" s="301"/>
      <c r="AB702" s="301"/>
      <c r="AC702" s="301"/>
      <c r="AD702" s="301"/>
      <c r="AE702" s="301"/>
      <c r="AF702" s="301"/>
      <c r="AG702" s="301"/>
      <c r="AH702" s="301"/>
      <c r="AI702" s="301"/>
      <c r="AJ702" s="301"/>
      <c r="AK702" s="301"/>
      <c r="AL702" s="301"/>
      <c r="AM702" s="301"/>
      <c r="AN702" s="301"/>
      <c r="AO702" s="301"/>
      <c r="AP702" s="301"/>
    </row>
    <row r="703" spans="10:42" ht="13.5" customHeight="1">
      <c r="J703" s="301"/>
      <c r="K703" s="301"/>
      <c r="L703" s="301"/>
      <c r="M703" s="301"/>
      <c r="N703" s="301"/>
      <c r="O703" s="301"/>
      <c r="P703" s="301"/>
      <c r="Q703" s="301"/>
      <c r="R703" s="301"/>
      <c r="S703" s="301"/>
      <c r="T703" s="301"/>
      <c r="U703" s="301"/>
      <c r="V703" s="301"/>
      <c r="W703" s="301"/>
      <c r="X703" s="301"/>
      <c r="Y703" s="301"/>
      <c r="Z703" s="301"/>
      <c r="AA703" s="301"/>
      <c r="AB703" s="301"/>
      <c r="AC703" s="301"/>
      <c r="AD703" s="301"/>
      <c r="AE703" s="301"/>
      <c r="AF703" s="301"/>
      <c r="AG703" s="301"/>
      <c r="AH703" s="301"/>
      <c r="AI703" s="301"/>
      <c r="AJ703" s="301"/>
      <c r="AK703" s="301"/>
      <c r="AL703" s="301"/>
      <c r="AM703" s="301"/>
      <c r="AN703" s="301"/>
      <c r="AO703" s="301"/>
      <c r="AP703" s="301"/>
    </row>
    <row r="704" spans="10:42" ht="13.5" customHeight="1">
      <c r="J704" s="301"/>
      <c r="K704" s="301"/>
      <c r="L704" s="301"/>
      <c r="M704" s="301"/>
      <c r="N704" s="301"/>
      <c r="O704" s="301"/>
      <c r="P704" s="301"/>
      <c r="Q704" s="301"/>
      <c r="R704" s="301"/>
      <c r="S704" s="301"/>
      <c r="T704" s="301"/>
      <c r="U704" s="301"/>
      <c r="V704" s="301"/>
      <c r="W704" s="301"/>
      <c r="X704" s="301"/>
      <c r="Y704" s="301"/>
      <c r="Z704" s="301"/>
      <c r="AA704" s="301"/>
      <c r="AB704" s="301"/>
      <c r="AC704" s="301"/>
      <c r="AD704" s="301"/>
      <c r="AE704" s="301"/>
      <c r="AF704" s="301"/>
      <c r="AG704" s="301"/>
      <c r="AH704" s="301"/>
      <c r="AI704" s="301"/>
      <c r="AJ704" s="301"/>
      <c r="AK704" s="301"/>
      <c r="AL704" s="301"/>
      <c r="AM704" s="301"/>
      <c r="AN704" s="301"/>
      <c r="AO704" s="301"/>
      <c r="AP704" s="301"/>
    </row>
    <row r="705" spans="10:42" ht="13.5" customHeight="1">
      <c r="J705" s="301"/>
      <c r="K705" s="301"/>
      <c r="L705" s="301"/>
      <c r="M705" s="301"/>
      <c r="N705" s="301"/>
      <c r="O705" s="301"/>
      <c r="P705" s="301"/>
      <c r="Q705" s="301"/>
      <c r="R705" s="301"/>
      <c r="S705" s="301"/>
      <c r="T705" s="301"/>
      <c r="U705" s="301"/>
      <c r="V705" s="301"/>
      <c r="W705" s="301"/>
      <c r="X705" s="301"/>
      <c r="Y705" s="301"/>
      <c r="Z705" s="301"/>
      <c r="AA705" s="301"/>
      <c r="AB705" s="301"/>
      <c r="AC705" s="301"/>
      <c r="AD705" s="301"/>
      <c r="AE705" s="301"/>
      <c r="AF705" s="301"/>
      <c r="AG705" s="301"/>
      <c r="AH705" s="301"/>
      <c r="AI705" s="301"/>
      <c r="AJ705" s="301"/>
      <c r="AK705" s="301"/>
      <c r="AL705" s="301"/>
      <c r="AM705" s="301"/>
      <c r="AN705" s="301"/>
      <c r="AO705" s="301"/>
      <c r="AP705" s="301"/>
    </row>
    <row r="706" spans="10:42" ht="13.5" customHeight="1">
      <c r="J706" s="301"/>
      <c r="K706" s="301"/>
      <c r="L706" s="301"/>
      <c r="M706" s="301"/>
      <c r="N706" s="301"/>
      <c r="O706" s="301"/>
      <c r="P706" s="301"/>
      <c r="Q706" s="301"/>
      <c r="R706" s="301"/>
      <c r="S706" s="301"/>
      <c r="T706" s="301"/>
      <c r="U706" s="301"/>
      <c r="V706" s="301"/>
      <c r="W706" s="301"/>
      <c r="X706" s="301"/>
      <c r="Y706" s="301"/>
      <c r="Z706" s="301"/>
      <c r="AA706" s="301"/>
      <c r="AB706" s="301"/>
      <c r="AC706" s="301"/>
      <c r="AD706" s="301"/>
      <c r="AE706" s="301"/>
      <c r="AF706" s="301"/>
      <c r="AG706" s="301"/>
      <c r="AH706" s="301"/>
      <c r="AI706" s="301"/>
      <c r="AJ706" s="301"/>
      <c r="AK706" s="301"/>
      <c r="AL706" s="301"/>
      <c r="AM706" s="301"/>
      <c r="AN706" s="301"/>
      <c r="AO706" s="301"/>
      <c r="AP706" s="301"/>
    </row>
    <row r="707" spans="10:42" ht="13.5" customHeight="1">
      <c r="J707" s="301"/>
      <c r="K707" s="301"/>
      <c r="L707" s="301"/>
      <c r="M707" s="301"/>
      <c r="N707" s="301"/>
      <c r="O707" s="301"/>
      <c r="P707" s="301"/>
      <c r="Q707" s="301"/>
      <c r="R707" s="301"/>
      <c r="S707" s="301"/>
      <c r="T707" s="301"/>
      <c r="U707" s="301"/>
      <c r="V707" s="301"/>
      <c r="W707" s="301"/>
      <c r="X707" s="301"/>
      <c r="Y707" s="301"/>
      <c r="Z707" s="301"/>
      <c r="AA707" s="301"/>
      <c r="AB707" s="301"/>
      <c r="AC707" s="301"/>
      <c r="AD707" s="301"/>
      <c r="AE707" s="301"/>
      <c r="AF707" s="301"/>
      <c r="AG707" s="301"/>
      <c r="AH707" s="301"/>
      <c r="AI707" s="301"/>
      <c r="AJ707" s="301"/>
      <c r="AK707" s="301"/>
      <c r="AL707" s="301"/>
      <c r="AM707" s="301"/>
      <c r="AN707" s="301"/>
      <c r="AO707" s="301"/>
      <c r="AP707" s="301"/>
    </row>
    <row r="708" spans="10:42" ht="13.5" customHeight="1">
      <c r="J708" s="301"/>
      <c r="K708" s="301"/>
      <c r="L708" s="301"/>
      <c r="M708" s="301"/>
      <c r="N708" s="301"/>
      <c r="O708" s="301"/>
      <c r="P708" s="301"/>
      <c r="Q708" s="301"/>
      <c r="R708" s="301"/>
      <c r="S708" s="301"/>
      <c r="T708" s="301"/>
      <c r="U708" s="301"/>
      <c r="V708" s="301"/>
      <c r="W708" s="301"/>
      <c r="X708" s="301"/>
      <c r="Y708" s="301"/>
      <c r="Z708" s="301"/>
      <c r="AA708" s="301"/>
      <c r="AB708" s="301"/>
      <c r="AC708" s="301"/>
      <c r="AD708" s="301"/>
      <c r="AE708" s="301"/>
      <c r="AF708" s="301"/>
      <c r="AG708" s="301"/>
      <c r="AH708" s="301"/>
      <c r="AI708" s="301"/>
      <c r="AJ708" s="301"/>
      <c r="AK708" s="301"/>
      <c r="AL708" s="301"/>
      <c r="AM708" s="301"/>
      <c r="AN708" s="301"/>
      <c r="AO708" s="301"/>
      <c r="AP708" s="301"/>
    </row>
    <row r="709" spans="10:42" ht="13.5" customHeight="1">
      <c r="J709" s="301"/>
      <c r="K709" s="301"/>
      <c r="L709" s="301"/>
      <c r="M709" s="301"/>
      <c r="N709" s="301"/>
      <c r="O709" s="301"/>
      <c r="P709" s="301"/>
      <c r="Q709" s="301"/>
      <c r="R709" s="301"/>
      <c r="S709" s="301"/>
      <c r="T709" s="301"/>
      <c r="U709" s="301"/>
      <c r="V709" s="301"/>
      <c r="W709" s="301"/>
      <c r="X709" s="301"/>
      <c r="Y709" s="301"/>
      <c r="Z709" s="301"/>
      <c r="AA709" s="301"/>
      <c r="AB709" s="301"/>
      <c r="AC709" s="301"/>
      <c r="AD709" s="301"/>
      <c r="AE709" s="301"/>
      <c r="AF709" s="301"/>
      <c r="AG709" s="301"/>
      <c r="AH709" s="301"/>
      <c r="AI709" s="301"/>
      <c r="AJ709" s="301"/>
      <c r="AK709" s="301"/>
      <c r="AL709" s="301"/>
      <c r="AM709" s="301"/>
      <c r="AN709" s="301"/>
      <c r="AO709" s="301"/>
      <c r="AP709" s="301"/>
    </row>
    <row r="710" spans="10:42" ht="13.5" customHeight="1">
      <c r="J710" s="301"/>
      <c r="K710" s="301"/>
      <c r="L710" s="301"/>
      <c r="M710" s="301"/>
      <c r="N710" s="301"/>
      <c r="O710" s="301"/>
      <c r="P710" s="301"/>
      <c r="Q710" s="301"/>
      <c r="R710" s="301"/>
      <c r="S710" s="301"/>
      <c r="T710" s="301"/>
      <c r="U710" s="301"/>
      <c r="V710" s="301"/>
      <c r="W710" s="301"/>
      <c r="X710" s="301"/>
      <c r="Y710" s="301"/>
      <c r="Z710" s="301"/>
      <c r="AA710" s="301"/>
      <c r="AB710" s="301"/>
      <c r="AC710" s="301"/>
      <c r="AD710" s="301"/>
      <c r="AE710" s="301"/>
      <c r="AF710" s="301"/>
      <c r="AG710" s="301"/>
      <c r="AH710" s="301"/>
      <c r="AI710" s="301"/>
      <c r="AJ710" s="301"/>
      <c r="AK710" s="301"/>
      <c r="AL710" s="301"/>
      <c r="AM710" s="301"/>
      <c r="AN710" s="301"/>
      <c r="AO710" s="301"/>
      <c r="AP710" s="301"/>
    </row>
    <row r="711" spans="10:42" ht="13.5" customHeight="1">
      <c r="J711" s="301"/>
      <c r="K711" s="301"/>
      <c r="L711" s="301"/>
      <c r="M711" s="301"/>
      <c r="N711" s="301"/>
      <c r="O711" s="301"/>
      <c r="P711" s="301"/>
      <c r="Q711" s="301"/>
      <c r="R711" s="301"/>
      <c r="S711" s="301"/>
      <c r="T711" s="301"/>
      <c r="U711" s="301"/>
      <c r="V711" s="301"/>
      <c r="W711" s="301"/>
      <c r="X711" s="301"/>
      <c r="Y711" s="301"/>
      <c r="Z711" s="301"/>
      <c r="AA711" s="301"/>
      <c r="AB711" s="301"/>
      <c r="AC711" s="301"/>
      <c r="AD711" s="301"/>
      <c r="AE711" s="301"/>
      <c r="AF711" s="301"/>
      <c r="AG711" s="301"/>
      <c r="AH711" s="301"/>
      <c r="AI711" s="301"/>
      <c r="AJ711" s="301"/>
      <c r="AK711" s="301"/>
      <c r="AL711" s="301"/>
      <c r="AM711" s="301"/>
      <c r="AN711" s="301"/>
      <c r="AO711" s="301"/>
      <c r="AP711" s="301"/>
    </row>
    <row r="712" spans="10:42" ht="13.5" customHeight="1">
      <c r="J712" s="301"/>
      <c r="K712" s="301"/>
      <c r="L712" s="301"/>
      <c r="M712" s="301"/>
      <c r="N712" s="301"/>
      <c r="O712" s="301"/>
      <c r="P712" s="301"/>
      <c r="Q712" s="301"/>
      <c r="R712" s="301"/>
      <c r="S712" s="301"/>
      <c r="T712" s="301"/>
      <c r="U712" s="301"/>
      <c r="V712" s="301"/>
      <c r="W712" s="301"/>
      <c r="X712" s="301"/>
      <c r="Y712" s="301"/>
      <c r="Z712" s="301"/>
      <c r="AA712" s="301"/>
      <c r="AB712" s="301"/>
      <c r="AC712" s="301"/>
      <c r="AD712" s="301"/>
      <c r="AE712" s="301"/>
      <c r="AF712" s="301"/>
      <c r="AG712" s="301"/>
      <c r="AH712" s="301"/>
      <c r="AI712" s="301"/>
      <c r="AJ712" s="301"/>
      <c r="AK712" s="301"/>
      <c r="AL712" s="301"/>
      <c r="AM712" s="301"/>
      <c r="AN712" s="301"/>
      <c r="AO712" s="301"/>
      <c r="AP712" s="301"/>
    </row>
    <row r="713" spans="10:42" ht="13.5" customHeight="1">
      <c r="J713" s="301"/>
      <c r="K713" s="301"/>
      <c r="L713" s="301"/>
      <c r="M713" s="301"/>
      <c r="N713" s="301"/>
      <c r="O713" s="301"/>
      <c r="P713" s="301"/>
      <c r="Q713" s="301"/>
      <c r="R713" s="301"/>
      <c r="S713" s="301"/>
      <c r="T713" s="301"/>
      <c r="U713" s="301"/>
      <c r="V713" s="301"/>
      <c r="W713" s="301"/>
      <c r="X713" s="301"/>
      <c r="Y713" s="301"/>
      <c r="Z713" s="301"/>
      <c r="AA713" s="301"/>
      <c r="AB713" s="301"/>
      <c r="AC713" s="301"/>
      <c r="AD713" s="301"/>
      <c r="AE713" s="301"/>
      <c r="AF713" s="301"/>
      <c r="AG713" s="301"/>
      <c r="AH713" s="301"/>
      <c r="AI713" s="301"/>
      <c r="AJ713" s="301"/>
      <c r="AK713" s="301"/>
      <c r="AL713" s="301"/>
      <c r="AM713" s="301"/>
      <c r="AN713" s="301"/>
      <c r="AO713" s="301"/>
      <c r="AP713" s="301"/>
    </row>
    <row r="714" spans="10:42" ht="13.5" customHeight="1">
      <c r="J714" s="301"/>
      <c r="K714" s="301"/>
      <c r="L714" s="301"/>
      <c r="M714" s="301"/>
      <c r="N714" s="301"/>
      <c r="O714" s="301"/>
      <c r="P714" s="301"/>
      <c r="Q714" s="301"/>
      <c r="R714" s="301"/>
      <c r="S714" s="301"/>
      <c r="T714" s="301"/>
      <c r="U714" s="301"/>
      <c r="V714" s="301"/>
      <c r="W714" s="301"/>
      <c r="X714" s="301"/>
      <c r="Y714" s="301"/>
      <c r="Z714" s="301"/>
      <c r="AA714" s="301"/>
      <c r="AB714" s="301"/>
      <c r="AC714" s="301"/>
      <c r="AD714" s="301"/>
      <c r="AE714" s="301"/>
      <c r="AF714" s="301"/>
      <c r="AG714" s="301"/>
      <c r="AH714" s="301"/>
      <c r="AI714" s="301"/>
      <c r="AJ714" s="301"/>
      <c r="AK714" s="301"/>
      <c r="AL714" s="301"/>
      <c r="AM714" s="301"/>
      <c r="AN714" s="301"/>
      <c r="AO714" s="301"/>
      <c r="AP714" s="301"/>
    </row>
    <row r="715" spans="10:42" ht="13.5" customHeight="1">
      <c r="J715" s="301"/>
      <c r="K715" s="301"/>
      <c r="L715" s="301"/>
      <c r="M715" s="301"/>
      <c r="N715" s="301"/>
      <c r="O715" s="301"/>
      <c r="P715" s="301"/>
      <c r="Q715" s="301"/>
      <c r="R715" s="301"/>
      <c r="S715" s="301"/>
      <c r="T715" s="301"/>
      <c r="U715" s="301"/>
      <c r="V715" s="301"/>
      <c r="W715" s="301"/>
      <c r="X715" s="301"/>
      <c r="Y715" s="301"/>
      <c r="Z715" s="301"/>
      <c r="AA715" s="301"/>
      <c r="AB715" s="301"/>
      <c r="AC715" s="301"/>
      <c r="AD715" s="301"/>
      <c r="AE715" s="301"/>
      <c r="AF715" s="301"/>
      <c r="AG715" s="301"/>
      <c r="AH715" s="301"/>
      <c r="AI715" s="301"/>
      <c r="AJ715" s="301"/>
      <c r="AK715" s="301"/>
      <c r="AL715" s="301"/>
      <c r="AM715" s="301"/>
      <c r="AN715" s="301"/>
      <c r="AO715" s="301"/>
      <c r="AP715" s="301"/>
    </row>
    <row r="716" spans="10:42" ht="13.5" customHeight="1">
      <c r="J716" s="301"/>
      <c r="K716" s="301"/>
      <c r="L716" s="301"/>
      <c r="M716" s="301"/>
      <c r="N716" s="301"/>
      <c r="O716" s="301"/>
      <c r="P716" s="301"/>
      <c r="Q716" s="301"/>
      <c r="R716" s="301"/>
      <c r="S716" s="301"/>
      <c r="T716" s="301"/>
      <c r="U716" s="301"/>
      <c r="V716" s="301"/>
      <c r="W716" s="301"/>
      <c r="X716" s="301"/>
      <c r="Y716" s="301"/>
      <c r="Z716" s="301"/>
      <c r="AA716" s="301"/>
      <c r="AB716" s="301"/>
      <c r="AC716" s="301"/>
      <c r="AD716" s="301"/>
      <c r="AE716" s="301"/>
      <c r="AF716" s="301"/>
      <c r="AG716" s="301"/>
      <c r="AH716" s="301"/>
      <c r="AI716" s="301"/>
      <c r="AJ716" s="301"/>
      <c r="AK716" s="301"/>
      <c r="AL716" s="301"/>
      <c r="AM716" s="301"/>
      <c r="AN716" s="301"/>
      <c r="AO716" s="301"/>
      <c r="AP716" s="301"/>
    </row>
    <row r="717" spans="10:42" ht="13.5" customHeight="1">
      <c r="J717" s="301"/>
      <c r="K717" s="301"/>
      <c r="L717" s="301"/>
      <c r="M717" s="301"/>
      <c r="N717" s="301"/>
      <c r="O717" s="301"/>
      <c r="P717" s="301"/>
      <c r="Q717" s="301"/>
      <c r="R717" s="301"/>
      <c r="S717" s="301"/>
      <c r="T717" s="301"/>
      <c r="U717" s="301"/>
      <c r="V717" s="301"/>
      <c r="W717" s="301"/>
      <c r="X717" s="301"/>
      <c r="Y717" s="301"/>
      <c r="Z717" s="301"/>
      <c r="AA717" s="301"/>
      <c r="AB717" s="301"/>
      <c r="AC717" s="301"/>
      <c r="AD717" s="301"/>
      <c r="AE717" s="301"/>
      <c r="AF717" s="301"/>
      <c r="AG717" s="301"/>
      <c r="AH717" s="301"/>
      <c r="AI717" s="301"/>
      <c r="AJ717" s="301"/>
      <c r="AK717" s="301"/>
      <c r="AL717" s="301"/>
      <c r="AM717" s="301"/>
      <c r="AN717" s="301"/>
      <c r="AO717" s="301"/>
      <c r="AP717" s="301"/>
    </row>
    <row r="718" spans="10:42" ht="13.5" customHeight="1">
      <c r="J718" s="301"/>
      <c r="K718" s="301"/>
      <c r="L718" s="301"/>
      <c r="M718" s="301"/>
      <c r="N718" s="301"/>
      <c r="O718" s="301"/>
      <c r="P718" s="301"/>
      <c r="Q718" s="301"/>
      <c r="R718" s="301"/>
      <c r="S718" s="301"/>
      <c r="T718" s="301"/>
      <c r="U718" s="301"/>
      <c r="V718" s="301"/>
      <c r="W718" s="301"/>
      <c r="X718" s="301"/>
      <c r="Y718" s="301"/>
      <c r="Z718" s="301"/>
      <c r="AA718" s="301"/>
      <c r="AB718" s="301"/>
      <c r="AC718" s="301"/>
      <c r="AD718" s="301"/>
      <c r="AE718" s="301"/>
      <c r="AF718" s="301"/>
      <c r="AG718" s="301"/>
      <c r="AH718" s="301"/>
      <c r="AI718" s="301"/>
      <c r="AJ718" s="301"/>
      <c r="AK718" s="301"/>
      <c r="AL718" s="301"/>
      <c r="AM718" s="301"/>
      <c r="AN718" s="301"/>
      <c r="AO718" s="301"/>
      <c r="AP718" s="301"/>
    </row>
    <row r="719" spans="10:42" ht="13.5" customHeight="1">
      <c r="J719" s="301"/>
      <c r="K719" s="301"/>
      <c r="L719" s="301"/>
      <c r="M719" s="301"/>
      <c r="N719" s="301"/>
      <c r="O719" s="301"/>
      <c r="P719" s="301"/>
      <c r="Q719" s="301"/>
      <c r="R719" s="301"/>
      <c r="S719" s="301"/>
      <c r="T719" s="301"/>
      <c r="U719" s="301"/>
      <c r="V719" s="301"/>
      <c r="W719" s="301"/>
      <c r="X719" s="301"/>
      <c r="Y719" s="301"/>
      <c r="Z719" s="301"/>
      <c r="AA719" s="301"/>
      <c r="AB719" s="301"/>
      <c r="AC719" s="301"/>
      <c r="AD719" s="301"/>
      <c r="AE719" s="301"/>
      <c r="AF719" s="301"/>
      <c r="AG719" s="301"/>
      <c r="AH719" s="301"/>
      <c r="AI719" s="301"/>
      <c r="AJ719" s="301"/>
      <c r="AK719" s="301"/>
      <c r="AL719" s="301"/>
      <c r="AM719" s="301"/>
      <c r="AN719" s="301"/>
      <c r="AO719" s="301"/>
      <c r="AP719" s="301"/>
    </row>
    <row r="720" spans="10:42" ht="13.5" customHeight="1">
      <c r="J720" s="301"/>
      <c r="K720" s="301"/>
      <c r="L720" s="301"/>
      <c r="M720" s="301"/>
      <c r="N720" s="301"/>
      <c r="O720" s="301"/>
      <c r="P720" s="301"/>
      <c r="Q720" s="301"/>
      <c r="R720" s="301"/>
      <c r="S720" s="301"/>
      <c r="T720" s="301"/>
      <c r="U720" s="301"/>
      <c r="V720" s="301"/>
      <c r="W720" s="301"/>
      <c r="X720" s="301"/>
      <c r="Y720" s="301"/>
      <c r="Z720" s="301"/>
      <c r="AA720" s="301"/>
      <c r="AB720" s="301"/>
      <c r="AC720" s="301"/>
      <c r="AD720" s="301"/>
      <c r="AE720" s="301"/>
      <c r="AF720" s="301"/>
      <c r="AG720" s="301"/>
      <c r="AH720" s="301"/>
      <c r="AI720" s="301"/>
      <c r="AJ720" s="301"/>
      <c r="AK720" s="301"/>
      <c r="AL720" s="301"/>
      <c r="AM720" s="301"/>
      <c r="AN720" s="301"/>
      <c r="AO720" s="301"/>
      <c r="AP720" s="301"/>
    </row>
    <row r="721" spans="10:42" ht="13.5" customHeight="1">
      <c r="J721" s="301"/>
      <c r="K721" s="301"/>
      <c r="L721" s="301"/>
      <c r="M721" s="301"/>
      <c r="N721" s="301"/>
      <c r="O721" s="301"/>
      <c r="P721" s="301"/>
      <c r="Q721" s="301"/>
      <c r="R721" s="301"/>
      <c r="S721" s="301"/>
      <c r="T721" s="301"/>
      <c r="U721" s="301"/>
      <c r="V721" s="301"/>
      <c r="W721" s="301"/>
      <c r="X721" s="301"/>
      <c r="Y721" s="301"/>
      <c r="Z721" s="301"/>
      <c r="AA721" s="301"/>
      <c r="AB721" s="301"/>
      <c r="AC721" s="301"/>
      <c r="AD721" s="301"/>
      <c r="AE721" s="301"/>
      <c r="AF721" s="301"/>
      <c r="AG721" s="301"/>
      <c r="AH721" s="301"/>
      <c r="AI721" s="301"/>
      <c r="AJ721" s="301"/>
      <c r="AK721" s="301"/>
      <c r="AL721" s="301"/>
      <c r="AM721" s="301"/>
      <c r="AN721" s="301"/>
      <c r="AO721" s="301"/>
      <c r="AP721" s="301"/>
    </row>
    <row r="722" spans="10:42" ht="13.5" customHeight="1">
      <c r="J722" s="301"/>
      <c r="K722" s="301"/>
      <c r="L722" s="301"/>
      <c r="M722" s="301"/>
      <c r="N722" s="301"/>
      <c r="O722" s="301"/>
      <c r="P722" s="301"/>
      <c r="Q722" s="301"/>
      <c r="R722" s="301"/>
      <c r="S722" s="301"/>
      <c r="T722" s="301"/>
      <c r="U722" s="301"/>
      <c r="V722" s="301"/>
      <c r="W722" s="301"/>
      <c r="X722" s="301"/>
      <c r="Y722" s="301"/>
      <c r="Z722" s="301"/>
      <c r="AA722" s="301"/>
      <c r="AB722" s="301"/>
      <c r="AC722" s="301"/>
      <c r="AD722" s="301"/>
      <c r="AE722" s="301"/>
      <c r="AF722" s="301"/>
      <c r="AG722" s="301"/>
      <c r="AH722" s="301"/>
      <c r="AI722" s="301"/>
      <c r="AJ722" s="301"/>
      <c r="AK722" s="301"/>
      <c r="AL722" s="301"/>
      <c r="AM722" s="301"/>
      <c r="AN722" s="301"/>
      <c r="AO722" s="301"/>
      <c r="AP722" s="301"/>
    </row>
    <row r="723" spans="10:42" ht="13.5" customHeight="1">
      <c r="J723" s="301"/>
      <c r="K723" s="301"/>
      <c r="L723" s="301"/>
      <c r="M723" s="301"/>
      <c r="N723" s="301"/>
      <c r="O723" s="301"/>
      <c r="P723" s="301"/>
      <c r="Q723" s="301"/>
      <c r="R723" s="301"/>
      <c r="S723" s="301"/>
      <c r="T723" s="301"/>
      <c r="U723" s="301"/>
      <c r="V723" s="301"/>
      <c r="W723" s="301"/>
      <c r="X723" s="301"/>
      <c r="Y723" s="301"/>
      <c r="Z723" s="301"/>
      <c r="AA723" s="301"/>
      <c r="AB723" s="301"/>
      <c r="AC723" s="301"/>
      <c r="AD723" s="301"/>
      <c r="AE723" s="301"/>
      <c r="AF723" s="301"/>
      <c r="AG723" s="301"/>
      <c r="AH723" s="301"/>
      <c r="AI723" s="301"/>
      <c r="AJ723" s="301"/>
      <c r="AK723" s="301"/>
      <c r="AL723" s="301"/>
      <c r="AM723" s="301"/>
      <c r="AN723" s="301"/>
      <c r="AO723" s="301"/>
      <c r="AP723" s="301"/>
    </row>
    <row r="724" spans="10:42" ht="13.5" customHeight="1">
      <c r="J724" s="301"/>
      <c r="K724" s="301"/>
      <c r="L724" s="301"/>
      <c r="M724" s="301"/>
      <c r="N724" s="301"/>
      <c r="O724" s="301"/>
      <c r="P724" s="301"/>
      <c r="Q724" s="301"/>
      <c r="R724" s="301"/>
      <c r="S724" s="301"/>
      <c r="T724" s="301"/>
      <c r="U724" s="301"/>
      <c r="V724" s="301"/>
      <c r="W724" s="301"/>
      <c r="X724" s="301"/>
      <c r="Y724" s="301"/>
      <c r="Z724" s="301"/>
      <c r="AA724" s="301"/>
      <c r="AB724" s="301"/>
      <c r="AC724" s="301"/>
      <c r="AD724" s="301"/>
      <c r="AE724" s="301"/>
      <c r="AF724" s="301"/>
      <c r="AG724" s="301"/>
      <c r="AH724" s="301"/>
      <c r="AI724" s="301"/>
      <c r="AJ724" s="301"/>
      <c r="AK724" s="301"/>
      <c r="AL724" s="301"/>
      <c r="AM724" s="301"/>
      <c r="AN724" s="301"/>
      <c r="AO724" s="301"/>
      <c r="AP724" s="301"/>
    </row>
    <row r="725" spans="10:42" ht="13.5" customHeight="1">
      <c r="J725" s="301"/>
      <c r="K725" s="301"/>
      <c r="L725" s="301"/>
      <c r="M725" s="301"/>
      <c r="N725" s="301"/>
      <c r="O725" s="301"/>
      <c r="P725" s="301"/>
      <c r="Q725" s="301"/>
      <c r="R725" s="301"/>
      <c r="S725" s="301"/>
      <c r="T725" s="301"/>
      <c r="U725" s="301"/>
      <c r="V725" s="301"/>
      <c r="W725" s="301"/>
      <c r="X725" s="301"/>
      <c r="Y725" s="301"/>
      <c r="Z725" s="301"/>
      <c r="AA725" s="301"/>
      <c r="AB725" s="301"/>
      <c r="AC725" s="301"/>
      <c r="AD725" s="301"/>
      <c r="AE725" s="301"/>
      <c r="AF725" s="301"/>
      <c r="AG725" s="301"/>
      <c r="AH725" s="301"/>
      <c r="AI725" s="301"/>
      <c r="AJ725" s="301"/>
      <c r="AK725" s="301"/>
      <c r="AL725" s="301"/>
      <c r="AM725" s="301"/>
      <c r="AN725" s="301"/>
      <c r="AO725" s="301"/>
      <c r="AP725" s="301"/>
    </row>
    <row r="726" spans="10:42" ht="13.5" customHeight="1">
      <c r="J726" s="301"/>
      <c r="K726" s="301"/>
      <c r="L726" s="301"/>
      <c r="M726" s="301"/>
      <c r="N726" s="301"/>
      <c r="O726" s="301"/>
      <c r="P726" s="301"/>
      <c r="Q726" s="301"/>
      <c r="R726" s="301"/>
      <c r="S726" s="301"/>
      <c r="T726" s="301"/>
      <c r="U726" s="301"/>
      <c r="V726" s="301"/>
      <c r="W726" s="301"/>
      <c r="X726" s="301"/>
      <c r="Y726" s="301"/>
      <c r="Z726" s="301"/>
      <c r="AA726" s="301"/>
      <c r="AB726" s="301"/>
      <c r="AC726" s="301"/>
      <c r="AD726" s="301"/>
      <c r="AE726" s="301"/>
      <c r="AF726" s="301"/>
      <c r="AG726" s="301"/>
      <c r="AH726" s="301"/>
      <c r="AI726" s="301"/>
      <c r="AJ726" s="301"/>
      <c r="AK726" s="301"/>
      <c r="AL726" s="301"/>
      <c r="AM726" s="301"/>
      <c r="AN726" s="301"/>
      <c r="AO726" s="301"/>
      <c r="AP726" s="301"/>
    </row>
    <row r="727" spans="10:42" ht="13.5" customHeight="1">
      <c r="J727" s="301"/>
      <c r="K727" s="301"/>
      <c r="L727" s="301"/>
      <c r="M727" s="301"/>
      <c r="N727" s="301"/>
      <c r="O727" s="301"/>
      <c r="P727" s="301"/>
      <c r="Q727" s="301"/>
      <c r="R727" s="301"/>
      <c r="S727" s="301"/>
      <c r="T727" s="301"/>
      <c r="U727" s="301"/>
      <c r="V727" s="301"/>
      <c r="W727" s="301"/>
      <c r="X727" s="301"/>
      <c r="Y727" s="301"/>
      <c r="Z727" s="301"/>
      <c r="AA727" s="301"/>
      <c r="AB727" s="301"/>
      <c r="AC727" s="301"/>
      <c r="AD727" s="301"/>
      <c r="AE727" s="301"/>
      <c r="AF727" s="301"/>
      <c r="AG727" s="301"/>
      <c r="AH727" s="301"/>
      <c r="AI727" s="301"/>
      <c r="AJ727" s="301"/>
      <c r="AK727" s="301"/>
      <c r="AL727" s="301"/>
      <c r="AM727" s="301"/>
      <c r="AN727" s="301"/>
      <c r="AO727" s="301"/>
      <c r="AP727" s="301"/>
    </row>
    <row r="728" spans="10:42" ht="13.5" customHeight="1">
      <c r="J728" s="301"/>
      <c r="K728" s="301"/>
      <c r="L728" s="301"/>
      <c r="M728" s="301"/>
      <c r="N728" s="301"/>
      <c r="O728" s="301"/>
      <c r="P728" s="301"/>
      <c r="Q728" s="301"/>
      <c r="R728" s="301"/>
      <c r="S728" s="301"/>
      <c r="T728" s="301"/>
      <c r="U728" s="301"/>
      <c r="V728" s="301"/>
      <c r="W728" s="301"/>
      <c r="X728" s="301"/>
      <c r="Y728" s="301"/>
      <c r="Z728" s="301"/>
      <c r="AA728" s="301"/>
      <c r="AB728" s="301"/>
      <c r="AC728" s="301"/>
      <c r="AD728" s="301"/>
      <c r="AE728" s="301"/>
      <c r="AF728" s="301"/>
      <c r="AG728" s="301"/>
      <c r="AH728" s="301"/>
      <c r="AI728" s="301"/>
      <c r="AJ728" s="301"/>
      <c r="AK728" s="301"/>
      <c r="AL728" s="301"/>
      <c r="AM728" s="301"/>
      <c r="AN728" s="301"/>
      <c r="AO728" s="301"/>
      <c r="AP728" s="301"/>
    </row>
    <row r="729" spans="10:42" ht="13.5" customHeight="1">
      <c r="J729" s="301"/>
      <c r="K729" s="301"/>
      <c r="L729" s="301"/>
      <c r="M729" s="301"/>
      <c r="N729" s="301"/>
      <c r="O729" s="301"/>
      <c r="P729" s="301"/>
      <c r="Q729" s="301"/>
      <c r="R729" s="301"/>
      <c r="S729" s="301"/>
      <c r="T729" s="301"/>
      <c r="U729" s="301"/>
      <c r="V729" s="301"/>
      <c r="W729" s="301"/>
      <c r="X729" s="301"/>
      <c r="Y729" s="301"/>
      <c r="Z729" s="301"/>
      <c r="AA729" s="301"/>
      <c r="AB729" s="301"/>
      <c r="AC729" s="301"/>
      <c r="AD729" s="301"/>
      <c r="AE729" s="301"/>
      <c r="AF729" s="301"/>
      <c r="AG729" s="301"/>
      <c r="AH729" s="301"/>
      <c r="AI729" s="301"/>
      <c r="AJ729" s="301"/>
      <c r="AK729" s="301"/>
      <c r="AL729" s="301"/>
      <c r="AM729" s="301"/>
      <c r="AN729" s="301"/>
      <c r="AO729" s="301"/>
      <c r="AP729" s="301"/>
    </row>
    <row r="730" spans="10:42" ht="13.5" customHeight="1">
      <c r="J730" s="301"/>
      <c r="K730" s="301"/>
      <c r="L730" s="301"/>
      <c r="M730" s="301"/>
      <c r="N730" s="301"/>
      <c r="O730" s="301"/>
      <c r="P730" s="301"/>
      <c r="Q730" s="301"/>
      <c r="R730" s="301"/>
      <c r="S730" s="301"/>
      <c r="T730" s="301"/>
      <c r="U730" s="301"/>
      <c r="V730" s="301"/>
      <c r="W730" s="301"/>
      <c r="X730" s="301"/>
      <c r="Y730" s="301"/>
      <c r="Z730" s="301"/>
      <c r="AA730" s="301"/>
      <c r="AB730" s="301"/>
      <c r="AC730" s="301"/>
      <c r="AD730" s="301"/>
      <c r="AE730" s="301"/>
      <c r="AF730" s="301"/>
      <c r="AG730" s="301"/>
      <c r="AH730" s="301"/>
      <c r="AI730" s="301"/>
      <c r="AJ730" s="301"/>
      <c r="AK730" s="301"/>
      <c r="AL730" s="301"/>
      <c r="AM730" s="301"/>
      <c r="AN730" s="301"/>
      <c r="AO730" s="301"/>
      <c r="AP730" s="301"/>
    </row>
    <row r="731" spans="10:42" ht="13.5" customHeight="1">
      <c r="J731" s="301"/>
      <c r="K731" s="301"/>
      <c r="L731" s="301"/>
      <c r="M731" s="301"/>
      <c r="N731" s="301"/>
      <c r="O731" s="301"/>
      <c r="P731" s="301"/>
      <c r="Q731" s="301"/>
      <c r="R731" s="301"/>
      <c r="S731" s="301"/>
      <c r="T731" s="301"/>
      <c r="U731" s="301"/>
      <c r="V731" s="301"/>
      <c r="W731" s="301"/>
      <c r="X731" s="301"/>
      <c r="Y731" s="301"/>
      <c r="Z731" s="301"/>
      <c r="AA731" s="301"/>
      <c r="AB731" s="301"/>
      <c r="AC731" s="301"/>
      <c r="AD731" s="301"/>
      <c r="AE731" s="301"/>
      <c r="AF731" s="301"/>
      <c r="AG731" s="301"/>
      <c r="AH731" s="301"/>
      <c r="AI731" s="301"/>
      <c r="AJ731" s="301"/>
      <c r="AK731" s="301"/>
      <c r="AL731" s="301"/>
      <c r="AM731" s="301"/>
      <c r="AN731" s="301"/>
      <c r="AO731" s="301"/>
      <c r="AP731" s="301"/>
    </row>
    <row r="732" spans="10:42" ht="13.5" customHeight="1">
      <c r="J732" s="301"/>
      <c r="K732" s="301"/>
      <c r="L732" s="301"/>
      <c r="M732" s="301"/>
      <c r="N732" s="301"/>
      <c r="O732" s="301"/>
      <c r="P732" s="301"/>
      <c r="Q732" s="301"/>
      <c r="R732" s="301"/>
      <c r="S732" s="301"/>
      <c r="T732" s="301"/>
      <c r="U732" s="301"/>
      <c r="V732" s="301"/>
      <c r="W732" s="301"/>
      <c r="X732" s="301"/>
      <c r="Y732" s="301"/>
      <c r="Z732" s="301"/>
      <c r="AA732" s="301"/>
      <c r="AB732" s="301"/>
      <c r="AC732" s="301"/>
      <c r="AD732" s="301"/>
      <c r="AE732" s="301"/>
      <c r="AF732" s="301"/>
      <c r="AG732" s="301"/>
      <c r="AH732" s="301"/>
      <c r="AI732" s="301"/>
      <c r="AJ732" s="301"/>
      <c r="AK732" s="301"/>
      <c r="AL732" s="301"/>
      <c r="AM732" s="301"/>
      <c r="AN732" s="301"/>
      <c r="AO732" s="301"/>
      <c r="AP732" s="301"/>
    </row>
    <row r="733" spans="10:42" ht="13.5" customHeight="1">
      <c r="J733" s="301"/>
      <c r="K733" s="301"/>
      <c r="L733" s="301"/>
      <c r="M733" s="301"/>
      <c r="N733" s="301"/>
      <c r="O733" s="301"/>
      <c r="P733" s="301"/>
      <c r="Q733" s="301"/>
      <c r="R733" s="301"/>
      <c r="S733" s="301"/>
      <c r="T733" s="301"/>
      <c r="U733" s="301"/>
      <c r="V733" s="301"/>
      <c r="W733" s="301"/>
      <c r="X733" s="301"/>
      <c r="Y733" s="301"/>
      <c r="Z733" s="301"/>
      <c r="AA733" s="301"/>
      <c r="AB733" s="301"/>
      <c r="AC733" s="301"/>
      <c r="AD733" s="301"/>
      <c r="AE733" s="301"/>
      <c r="AF733" s="301"/>
      <c r="AG733" s="301"/>
      <c r="AH733" s="301"/>
      <c r="AI733" s="301"/>
      <c r="AJ733" s="301"/>
      <c r="AK733" s="301"/>
      <c r="AL733" s="301"/>
      <c r="AM733" s="301"/>
      <c r="AN733" s="301"/>
      <c r="AO733" s="301"/>
      <c r="AP733" s="301"/>
    </row>
    <row r="734" spans="10:42" ht="13.5" customHeight="1">
      <c r="J734" s="301"/>
      <c r="K734" s="301"/>
      <c r="L734" s="301"/>
      <c r="M734" s="301"/>
      <c r="N734" s="301"/>
      <c r="O734" s="301"/>
      <c r="P734" s="301"/>
      <c r="Q734" s="301"/>
      <c r="R734" s="301"/>
      <c r="S734" s="301"/>
      <c r="T734" s="301"/>
      <c r="U734" s="301"/>
      <c r="V734" s="301"/>
      <c r="W734" s="301"/>
      <c r="X734" s="301"/>
      <c r="Y734" s="301"/>
      <c r="Z734" s="301"/>
      <c r="AA734" s="301"/>
      <c r="AB734" s="301"/>
      <c r="AC734" s="301"/>
      <c r="AD734" s="301"/>
      <c r="AE734" s="301"/>
      <c r="AF734" s="301"/>
      <c r="AG734" s="301"/>
      <c r="AH734" s="301"/>
      <c r="AI734" s="301"/>
      <c r="AJ734" s="301"/>
      <c r="AK734" s="301"/>
      <c r="AL734" s="301"/>
      <c r="AM734" s="301"/>
      <c r="AN734" s="301"/>
      <c r="AO734" s="301"/>
      <c r="AP734" s="301"/>
    </row>
    <row r="735" spans="10:42" ht="13.5" customHeight="1">
      <c r="J735" s="301"/>
      <c r="K735" s="301"/>
      <c r="L735" s="301"/>
      <c r="M735" s="301"/>
      <c r="N735" s="301"/>
      <c r="O735" s="301"/>
      <c r="P735" s="301"/>
      <c r="Q735" s="301"/>
      <c r="R735" s="301"/>
      <c r="S735" s="301"/>
      <c r="T735" s="301"/>
      <c r="U735" s="301"/>
      <c r="V735" s="301"/>
      <c r="W735" s="301"/>
      <c r="X735" s="301"/>
      <c r="Y735" s="301"/>
      <c r="Z735" s="301"/>
      <c r="AA735" s="301"/>
      <c r="AB735" s="301"/>
      <c r="AC735" s="301"/>
      <c r="AD735" s="301"/>
      <c r="AE735" s="301"/>
      <c r="AF735" s="301"/>
      <c r="AG735" s="301"/>
      <c r="AH735" s="301"/>
      <c r="AI735" s="301"/>
      <c r="AJ735" s="301"/>
      <c r="AK735" s="301"/>
      <c r="AL735" s="301"/>
      <c r="AM735" s="301"/>
      <c r="AN735" s="301"/>
      <c r="AO735" s="301"/>
      <c r="AP735" s="301"/>
    </row>
    <row r="736" spans="10:42" ht="13.5" customHeight="1">
      <c r="J736" s="301"/>
      <c r="K736" s="301"/>
      <c r="L736" s="301"/>
      <c r="M736" s="301"/>
      <c r="N736" s="301"/>
      <c r="O736" s="301"/>
      <c r="P736" s="301"/>
      <c r="Q736" s="301"/>
      <c r="R736" s="301"/>
      <c r="S736" s="301"/>
      <c r="T736" s="301"/>
      <c r="U736" s="301"/>
      <c r="V736" s="301"/>
      <c r="W736" s="301"/>
      <c r="X736" s="301"/>
      <c r="Y736" s="301"/>
      <c r="Z736" s="301"/>
      <c r="AA736" s="301"/>
      <c r="AB736" s="301"/>
      <c r="AC736" s="301"/>
      <c r="AD736" s="301"/>
      <c r="AE736" s="301"/>
      <c r="AF736" s="301"/>
      <c r="AG736" s="301"/>
      <c r="AH736" s="301"/>
      <c r="AI736" s="301"/>
      <c r="AJ736" s="301"/>
      <c r="AK736" s="301"/>
      <c r="AL736" s="301"/>
      <c r="AM736" s="301"/>
      <c r="AN736" s="301"/>
      <c r="AO736" s="301"/>
      <c r="AP736" s="301"/>
    </row>
    <row r="737" spans="10:42" ht="13.5" customHeight="1">
      <c r="J737" s="301"/>
      <c r="K737" s="301"/>
      <c r="L737" s="301"/>
      <c r="M737" s="301"/>
      <c r="N737" s="301"/>
      <c r="O737" s="301"/>
      <c r="P737" s="301"/>
      <c r="Q737" s="301"/>
      <c r="R737" s="301"/>
      <c r="S737" s="301"/>
      <c r="T737" s="301"/>
      <c r="U737" s="301"/>
      <c r="V737" s="301"/>
      <c r="W737" s="301"/>
      <c r="X737" s="301"/>
      <c r="Y737" s="301"/>
      <c r="Z737" s="301"/>
      <c r="AA737" s="301"/>
      <c r="AB737" s="301"/>
      <c r="AC737" s="301"/>
      <c r="AD737" s="301"/>
      <c r="AE737" s="301"/>
      <c r="AF737" s="301"/>
      <c r="AG737" s="301"/>
      <c r="AH737" s="301"/>
      <c r="AI737" s="301"/>
      <c r="AJ737" s="301"/>
      <c r="AK737" s="301"/>
      <c r="AL737" s="301"/>
      <c r="AM737" s="301"/>
      <c r="AN737" s="301"/>
      <c r="AO737" s="301"/>
      <c r="AP737" s="301"/>
    </row>
    <row r="738" spans="10:42" ht="13.5" customHeight="1">
      <c r="J738" s="301"/>
      <c r="K738" s="301"/>
      <c r="L738" s="301"/>
      <c r="M738" s="301"/>
      <c r="N738" s="301"/>
      <c r="O738" s="301"/>
      <c r="P738" s="301"/>
      <c r="Q738" s="301"/>
      <c r="R738" s="301"/>
      <c r="S738" s="301"/>
      <c r="T738" s="301"/>
      <c r="U738" s="301"/>
      <c r="V738" s="301"/>
      <c r="W738" s="301"/>
      <c r="X738" s="301"/>
      <c r="Y738" s="301"/>
      <c r="Z738" s="301"/>
      <c r="AA738" s="301"/>
      <c r="AB738" s="301"/>
      <c r="AC738" s="301"/>
      <c r="AD738" s="301"/>
      <c r="AE738" s="301"/>
      <c r="AF738" s="301"/>
      <c r="AG738" s="301"/>
      <c r="AH738" s="301"/>
      <c r="AI738" s="301"/>
      <c r="AJ738" s="301"/>
      <c r="AK738" s="301"/>
      <c r="AL738" s="301"/>
      <c r="AM738" s="301"/>
      <c r="AN738" s="301"/>
      <c r="AO738" s="301"/>
      <c r="AP738" s="301"/>
    </row>
    <row r="739" spans="10:42" ht="13.5" customHeight="1">
      <c r="J739" s="301"/>
      <c r="K739" s="301"/>
      <c r="L739" s="301"/>
      <c r="M739" s="301"/>
      <c r="N739" s="301"/>
      <c r="O739" s="301"/>
      <c r="P739" s="301"/>
      <c r="Q739" s="301"/>
      <c r="R739" s="301"/>
      <c r="S739" s="301"/>
      <c r="T739" s="301"/>
      <c r="U739" s="301"/>
      <c r="V739" s="301"/>
      <c r="W739" s="301"/>
      <c r="X739" s="301"/>
      <c r="Y739" s="301"/>
      <c r="Z739" s="301"/>
      <c r="AA739" s="301"/>
      <c r="AB739" s="301"/>
      <c r="AC739" s="301"/>
      <c r="AD739" s="301"/>
      <c r="AE739" s="301"/>
      <c r="AF739" s="301"/>
      <c r="AG739" s="301"/>
      <c r="AH739" s="301"/>
      <c r="AI739" s="301"/>
      <c r="AJ739" s="301"/>
      <c r="AK739" s="301"/>
      <c r="AL739" s="301"/>
      <c r="AM739" s="301"/>
      <c r="AN739" s="301"/>
      <c r="AO739" s="301"/>
      <c r="AP739" s="301"/>
    </row>
    <row r="740" spans="10:42" ht="13.5" customHeight="1">
      <c r="J740" s="301"/>
      <c r="K740" s="301"/>
      <c r="L740" s="301"/>
      <c r="M740" s="301"/>
      <c r="N740" s="301"/>
      <c r="O740" s="301"/>
      <c r="P740" s="301"/>
      <c r="Q740" s="301"/>
      <c r="R740" s="301"/>
      <c r="S740" s="301"/>
      <c r="T740" s="301"/>
      <c r="U740" s="301"/>
      <c r="V740" s="301"/>
      <c r="W740" s="301"/>
      <c r="X740" s="301"/>
      <c r="Y740" s="301"/>
      <c r="Z740" s="301"/>
      <c r="AA740" s="301"/>
      <c r="AB740" s="301"/>
      <c r="AC740" s="301"/>
      <c r="AD740" s="301"/>
      <c r="AE740" s="301"/>
      <c r="AF740" s="301"/>
      <c r="AG740" s="301"/>
      <c r="AH740" s="301"/>
      <c r="AI740" s="301"/>
      <c r="AJ740" s="301"/>
      <c r="AK740" s="301"/>
      <c r="AL740" s="301"/>
      <c r="AM740" s="301"/>
      <c r="AN740" s="301"/>
      <c r="AO740" s="301"/>
      <c r="AP740" s="301"/>
    </row>
    <row r="741" spans="10:42" ht="13.5" customHeight="1">
      <c r="J741" s="301"/>
      <c r="K741" s="301"/>
      <c r="L741" s="301"/>
      <c r="M741" s="301"/>
      <c r="N741" s="301"/>
      <c r="O741" s="301"/>
      <c r="P741" s="301"/>
      <c r="Q741" s="301"/>
      <c r="R741" s="301"/>
      <c r="S741" s="301"/>
      <c r="T741" s="301"/>
      <c r="U741" s="301"/>
      <c r="V741" s="301"/>
      <c r="W741" s="301"/>
      <c r="X741" s="301"/>
      <c r="Y741" s="301"/>
      <c r="Z741" s="301"/>
      <c r="AA741" s="301"/>
      <c r="AB741" s="301"/>
      <c r="AC741" s="301"/>
      <c r="AD741" s="301"/>
      <c r="AE741" s="301"/>
      <c r="AF741" s="301"/>
      <c r="AG741" s="301"/>
      <c r="AH741" s="301"/>
      <c r="AI741" s="301"/>
      <c r="AJ741" s="301"/>
      <c r="AK741" s="301"/>
      <c r="AL741" s="301"/>
      <c r="AM741" s="301"/>
      <c r="AN741" s="301"/>
      <c r="AO741" s="301"/>
      <c r="AP741" s="301"/>
    </row>
    <row r="742" spans="10:42" ht="13.5" customHeight="1">
      <c r="J742" s="301"/>
      <c r="K742" s="301"/>
      <c r="L742" s="301"/>
      <c r="M742" s="301"/>
      <c r="N742" s="301"/>
      <c r="O742" s="301"/>
      <c r="P742" s="301"/>
      <c r="Q742" s="301"/>
      <c r="R742" s="301"/>
      <c r="S742" s="301"/>
      <c r="T742" s="301"/>
      <c r="U742" s="301"/>
      <c r="V742" s="301"/>
      <c r="W742" s="301"/>
      <c r="X742" s="301"/>
      <c r="Y742" s="301"/>
      <c r="Z742" s="301"/>
      <c r="AA742" s="301"/>
      <c r="AB742" s="301"/>
      <c r="AC742" s="301"/>
      <c r="AD742" s="301"/>
      <c r="AE742" s="301"/>
      <c r="AF742" s="301"/>
      <c r="AG742" s="301"/>
      <c r="AH742" s="301"/>
      <c r="AI742" s="301"/>
      <c r="AJ742" s="301"/>
      <c r="AK742" s="301"/>
      <c r="AL742" s="301"/>
      <c r="AM742" s="301"/>
      <c r="AN742" s="301"/>
      <c r="AO742" s="301"/>
      <c r="AP742" s="301"/>
    </row>
    <row r="743" spans="10:42" ht="13.5" customHeight="1">
      <c r="J743" s="301"/>
      <c r="K743" s="301"/>
      <c r="L743" s="301"/>
      <c r="M743" s="301"/>
      <c r="N743" s="301"/>
      <c r="O743" s="301"/>
      <c r="P743" s="301"/>
      <c r="Q743" s="301"/>
      <c r="R743" s="301"/>
      <c r="S743" s="301"/>
      <c r="T743" s="301"/>
      <c r="U743" s="301"/>
      <c r="V743" s="301"/>
      <c r="W743" s="301"/>
      <c r="X743" s="301"/>
      <c r="Y743" s="301"/>
      <c r="Z743" s="301"/>
      <c r="AA743" s="301"/>
      <c r="AB743" s="301"/>
      <c r="AC743" s="301"/>
      <c r="AD743" s="301"/>
      <c r="AE743" s="301"/>
      <c r="AF743" s="301"/>
      <c r="AG743" s="301"/>
      <c r="AH743" s="301"/>
      <c r="AI743" s="301"/>
      <c r="AJ743" s="301"/>
      <c r="AK743" s="301"/>
      <c r="AL743" s="301"/>
      <c r="AM743" s="301"/>
      <c r="AN743" s="301"/>
      <c r="AO743" s="301"/>
      <c r="AP743" s="301"/>
    </row>
    <row r="744" spans="10:42" ht="13.5" customHeight="1">
      <c r="J744" s="301"/>
      <c r="K744" s="301"/>
      <c r="L744" s="301"/>
      <c r="M744" s="301"/>
      <c r="N744" s="301"/>
      <c r="O744" s="301"/>
      <c r="P744" s="301"/>
      <c r="Q744" s="301"/>
      <c r="R744" s="301"/>
      <c r="S744" s="301"/>
      <c r="T744" s="301"/>
      <c r="U744" s="301"/>
      <c r="V744" s="301"/>
      <c r="W744" s="301"/>
      <c r="X744" s="301"/>
      <c r="Y744" s="301"/>
      <c r="Z744" s="301"/>
      <c r="AA744" s="301"/>
      <c r="AB744" s="301"/>
      <c r="AC744" s="301"/>
      <c r="AD744" s="301"/>
      <c r="AE744" s="301"/>
      <c r="AF744" s="301"/>
      <c r="AG744" s="301"/>
      <c r="AH744" s="301"/>
      <c r="AI744" s="301"/>
      <c r="AJ744" s="301"/>
      <c r="AK744" s="301"/>
      <c r="AL744" s="301"/>
      <c r="AM744" s="301"/>
      <c r="AN744" s="301"/>
      <c r="AO744" s="301"/>
      <c r="AP744" s="301"/>
    </row>
    <row r="745" spans="10:42" ht="13.5" customHeight="1">
      <c r="J745" s="301"/>
      <c r="K745" s="301"/>
      <c r="L745" s="301"/>
      <c r="M745" s="301"/>
      <c r="N745" s="301"/>
      <c r="O745" s="301"/>
      <c r="P745" s="301"/>
      <c r="Q745" s="301"/>
      <c r="R745" s="301"/>
      <c r="S745" s="301"/>
      <c r="T745" s="301"/>
      <c r="U745" s="301"/>
      <c r="V745" s="301"/>
      <c r="W745" s="301"/>
      <c r="X745" s="301"/>
      <c r="Y745" s="301"/>
      <c r="Z745" s="301"/>
      <c r="AA745" s="301"/>
      <c r="AB745" s="301"/>
      <c r="AC745" s="301"/>
      <c r="AD745" s="301"/>
      <c r="AE745" s="301"/>
      <c r="AF745" s="301"/>
      <c r="AG745" s="301"/>
      <c r="AH745" s="301"/>
      <c r="AI745" s="301"/>
      <c r="AJ745" s="301"/>
      <c r="AK745" s="301"/>
      <c r="AL745" s="301"/>
      <c r="AM745" s="301"/>
      <c r="AN745" s="301"/>
      <c r="AO745" s="301"/>
      <c r="AP745" s="301"/>
    </row>
    <row r="746" spans="10:42" ht="13.5" customHeight="1">
      <c r="J746" s="301"/>
      <c r="K746" s="301"/>
      <c r="L746" s="301"/>
      <c r="M746" s="301"/>
      <c r="N746" s="301"/>
      <c r="O746" s="301"/>
      <c r="P746" s="301"/>
      <c r="Q746" s="301"/>
      <c r="R746" s="301"/>
      <c r="S746" s="301"/>
      <c r="T746" s="301"/>
      <c r="U746" s="301"/>
      <c r="V746" s="301"/>
      <c r="W746" s="301"/>
      <c r="X746" s="301"/>
      <c r="Y746" s="301"/>
      <c r="Z746" s="301"/>
      <c r="AA746" s="301"/>
      <c r="AB746" s="301"/>
      <c r="AC746" s="301"/>
      <c r="AD746" s="301"/>
      <c r="AE746" s="301"/>
      <c r="AF746" s="301"/>
      <c r="AG746" s="301"/>
      <c r="AH746" s="301"/>
      <c r="AI746" s="301"/>
      <c r="AJ746" s="301"/>
      <c r="AK746" s="301"/>
      <c r="AL746" s="301"/>
      <c r="AM746" s="301"/>
      <c r="AN746" s="301"/>
      <c r="AO746" s="301"/>
      <c r="AP746" s="301"/>
    </row>
    <row r="747" spans="10:42" ht="13.5" customHeight="1">
      <c r="J747" s="301"/>
      <c r="K747" s="301"/>
      <c r="L747" s="301"/>
      <c r="M747" s="301"/>
      <c r="N747" s="301"/>
      <c r="O747" s="301"/>
      <c r="P747" s="301"/>
      <c r="Q747" s="301"/>
      <c r="R747" s="301"/>
      <c r="S747" s="301"/>
      <c r="T747" s="301"/>
      <c r="U747" s="301"/>
      <c r="V747" s="301"/>
      <c r="W747" s="301"/>
      <c r="X747" s="301"/>
      <c r="Y747" s="301"/>
      <c r="Z747" s="301"/>
      <c r="AA747" s="301"/>
      <c r="AB747" s="301"/>
      <c r="AC747" s="301"/>
      <c r="AD747" s="301"/>
      <c r="AE747" s="301"/>
      <c r="AF747" s="301"/>
      <c r="AG747" s="301"/>
      <c r="AH747" s="301"/>
      <c r="AI747" s="301"/>
      <c r="AJ747" s="301"/>
      <c r="AK747" s="301"/>
      <c r="AL747" s="301"/>
      <c r="AM747" s="301"/>
      <c r="AN747" s="301"/>
      <c r="AO747" s="301"/>
      <c r="AP747" s="301"/>
    </row>
    <row r="748" spans="10:42" ht="13.5" customHeight="1">
      <c r="J748" s="301"/>
      <c r="K748" s="301"/>
      <c r="L748" s="301"/>
      <c r="M748" s="301"/>
      <c r="N748" s="301"/>
      <c r="O748" s="301"/>
      <c r="P748" s="301"/>
      <c r="Q748" s="301"/>
      <c r="R748" s="301"/>
      <c r="S748" s="301"/>
      <c r="T748" s="301"/>
      <c r="U748" s="301"/>
      <c r="V748" s="301"/>
      <c r="W748" s="301"/>
      <c r="X748" s="301"/>
      <c r="Y748" s="301"/>
      <c r="Z748" s="301"/>
      <c r="AA748" s="301"/>
      <c r="AB748" s="301"/>
      <c r="AC748" s="301"/>
      <c r="AD748" s="301"/>
      <c r="AE748" s="301"/>
      <c r="AF748" s="301"/>
      <c r="AG748" s="301"/>
      <c r="AH748" s="301"/>
      <c r="AI748" s="301"/>
      <c r="AJ748" s="301"/>
      <c r="AK748" s="301"/>
      <c r="AL748" s="301"/>
      <c r="AM748" s="301"/>
      <c r="AN748" s="301"/>
      <c r="AO748" s="301"/>
      <c r="AP748" s="301"/>
    </row>
    <row r="749" spans="10:42" ht="13.5" customHeight="1">
      <c r="J749" s="301"/>
      <c r="K749" s="301"/>
      <c r="L749" s="301"/>
      <c r="M749" s="301"/>
      <c r="N749" s="301"/>
      <c r="O749" s="301"/>
      <c r="P749" s="301"/>
      <c r="Q749" s="301"/>
      <c r="R749" s="301"/>
      <c r="S749" s="301"/>
      <c r="T749" s="301"/>
      <c r="U749" s="301"/>
      <c r="V749" s="301"/>
      <c r="W749" s="301"/>
      <c r="X749" s="301"/>
      <c r="Y749" s="301"/>
      <c r="Z749" s="301"/>
      <c r="AA749" s="301"/>
      <c r="AB749" s="301"/>
      <c r="AC749" s="301"/>
      <c r="AD749" s="301"/>
      <c r="AE749" s="301"/>
      <c r="AF749" s="301"/>
      <c r="AG749" s="301"/>
      <c r="AH749" s="301"/>
      <c r="AI749" s="301"/>
      <c r="AJ749" s="301"/>
      <c r="AK749" s="301"/>
      <c r="AL749" s="301"/>
      <c r="AM749" s="301"/>
      <c r="AN749" s="301"/>
      <c r="AO749" s="301"/>
      <c r="AP749" s="301"/>
    </row>
    <row r="750" spans="10:42" ht="13.5" customHeight="1">
      <c r="J750" s="301"/>
      <c r="K750" s="301"/>
      <c r="L750" s="301"/>
      <c r="M750" s="301"/>
      <c r="N750" s="301"/>
      <c r="O750" s="301"/>
      <c r="P750" s="301"/>
      <c r="Q750" s="301"/>
      <c r="R750" s="301"/>
      <c r="S750" s="301"/>
      <c r="T750" s="301"/>
      <c r="U750" s="301"/>
      <c r="V750" s="301"/>
      <c r="W750" s="301"/>
      <c r="X750" s="301"/>
      <c r="Y750" s="301"/>
      <c r="Z750" s="301"/>
      <c r="AA750" s="301"/>
      <c r="AB750" s="301"/>
      <c r="AC750" s="301"/>
      <c r="AD750" s="301"/>
      <c r="AE750" s="301"/>
      <c r="AF750" s="301"/>
      <c r="AG750" s="301"/>
      <c r="AH750" s="301"/>
      <c r="AI750" s="301"/>
      <c r="AJ750" s="301"/>
      <c r="AK750" s="301"/>
      <c r="AL750" s="301"/>
      <c r="AM750" s="301"/>
      <c r="AN750" s="301"/>
      <c r="AO750" s="301"/>
      <c r="AP750" s="301"/>
    </row>
    <row r="751" spans="10:42" ht="13.5" customHeight="1">
      <c r="J751" s="301"/>
      <c r="K751" s="301"/>
      <c r="L751" s="301"/>
      <c r="M751" s="301"/>
      <c r="N751" s="301"/>
      <c r="O751" s="301"/>
      <c r="P751" s="301"/>
      <c r="Q751" s="301"/>
      <c r="R751" s="301"/>
      <c r="S751" s="301"/>
      <c r="T751" s="301"/>
      <c r="U751" s="301"/>
      <c r="V751" s="301"/>
      <c r="W751" s="301"/>
      <c r="X751" s="301"/>
      <c r="Y751" s="301"/>
      <c r="Z751" s="301"/>
      <c r="AA751" s="301"/>
      <c r="AB751" s="301"/>
      <c r="AC751" s="301"/>
      <c r="AD751" s="301"/>
      <c r="AE751" s="301"/>
      <c r="AF751" s="301"/>
      <c r="AG751" s="301"/>
      <c r="AH751" s="301"/>
      <c r="AI751" s="301"/>
      <c r="AJ751" s="301"/>
      <c r="AK751" s="301"/>
      <c r="AL751" s="301"/>
      <c r="AM751" s="301"/>
      <c r="AN751" s="301"/>
      <c r="AO751" s="301"/>
      <c r="AP751" s="301"/>
    </row>
    <row r="752" spans="10:42" ht="13.5" customHeight="1">
      <c r="J752" s="301"/>
      <c r="K752" s="301"/>
      <c r="L752" s="301"/>
      <c r="M752" s="301"/>
      <c r="N752" s="301"/>
      <c r="O752" s="301"/>
      <c r="P752" s="301"/>
      <c r="Q752" s="301"/>
      <c r="R752" s="301"/>
      <c r="S752" s="301"/>
      <c r="T752" s="301"/>
      <c r="U752" s="301"/>
      <c r="V752" s="301"/>
      <c r="W752" s="301"/>
      <c r="X752" s="301"/>
      <c r="Y752" s="301"/>
      <c r="Z752" s="301"/>
      <c r="AA752" s="301"/>
      <c r="AB752" s="301"/>
      <c r="AC752" s="301"/>
      <c r="AD752" s="301"/>
      <c r="AE752" s="301"/>
      <c r="AF752" s="301"/>
      <c r="AG752" s="301"/>
      <c r="AH752" s="301"/>
      <c r="AI752" s="301"/>
      <c r="AJ752" s="301"/>
      <c r="AK752" s="301"/>
      <c r="AL752" s="301"/>
      <c r="AM752" s="301"/>
      <c r="AN752" s="301"/>
      <c r="AO752" s="301"/>
      <c r="AP752" s="301"/>
    </row>
    <row r="753" spans="10:42" ht="13.5" customHeight="1">
      <c r="J753" s="301"/>
      <c r="K753" s="301"/>
      <c r="L753" s="301"/>
      <c r="M753" s="301"/>
      <c r="N753" s="301"/>
      <c r="O753" s="301"/>
      <c r="P753" s="301"/>
      <c r="Q753" s="301"/>
      <c r="R753" s="301"/>
      <c r="S753" s="301"/>
      <c r="T753" s="301"/>
      <c r="U753" s="301"/>
      <c r="V753" s="301"/>
      <c r="W753" s="301"/>
      <c r="X753" s="301"/>
      <c r="Y753" s="301"/>
      <c r="Z753" s="301"/>
      <c r="AA753" s="301"/>
      <c r="AB753" s="301"/>
      <c r="AC753" s="301"/>
      <c r="AD753" s="301"/>
      <c r="AE753" s="301"/>
      <c r="AF753" s="301"/>
      <c r="AG753" s="301"/>
      <c r="AH753" s="301"/>
      <c r="AI753" s="301"/>
      <c r="AJ753" s="301"/>
      <c r="AK753" s="301"/>
      <c r="AL753" s="301"/>
      <c r="AM753" s="301"/>
      <c r="AN753" s="301"/>
      <c r="AO753" s="301"/>
      <c r="AP753" s="301"/>
    </row>
    <row r="754" spans="10:42" ht="13.5" customHeight="1">
      <c r="J754" s="301"/>
      <c r="K754" s="301"/>
      <c r="L754" s="301"/>
      <c r="M754" s="301"/>
      <c r="N754" s="301"/>
      <c r="O754" s="301"/>
      <c r="P754" s="301"/>
      <c r="Q754" s="301"/>
      <c r="R754" s="301"/>
      <c r="S754" s="301"/>
      <c r="T754" s="301"/>
      <c r="U754" s="301"/>
      <c r="V754" s="301"/>
      <c r="W754" s="301"/>
      <c r="X754" s="301"/>
      <c r="Y754" s="301"/>
      <c r="Z754" s="301"/>
      <c r="AA754" s="301"/>
      <c r="AB754" s="301"/>
      <c r="AC754" s="301"/>
      <c r="AD754" s="301"/>
      <c r="AE754" s="301"/>
      <c r="AF754" s="301"/>
      <c r="AG754" s="301"/>
      <c r="AH754" s="301"/>
      <c r="AI754" s="301"/>
      <c r="AJ754" s="301"/>
      <c r="AK754" s="301"/>
      <c r="AL754" s="301"/>
      <c r="AM754" s="301"/>
      <c r="AN754" s="301"/>
      <c r="AO754" s="301"/>
      <c r="AP754" s="301"/>
    </row>
    <row r="755" spans="10:42" ht="13.5" customHeight="1">
      <c r="J755" s="301"/>
      <c r="K755" s="301"/>
      <c r="L755" s="301"/>
      <c r="M755" s="301"/>
      <c r="N755" s="301"/>
      <c r="O755" s="301"/>
      <c r="P755" s="301"/>
      <c r="Q755" s="301"/>
      <c r="R755" s="301"/>
      <c r="S755" s="301"/>
      <c r="T755" s="301"/>
      <c r="U755" s="301"/>
      <c r="V755" s="301"/>
      <c r="W755" s="301"/>
      <c r="X755" s="301"/>
      <c r="Y755" s="301"/>
      <c r="Z755" s="301"/>
      <c r="AA755" s="301"/>
      <c r="AB755" s="301"/>
      <c r="AC755" s="301"/>
      <c r="AD755" s="301"/>
      <c r="AE755" s="301"/>
      <c r="AF755" s="301"/>
      <c r="AG755" s="301"/>
      <c r="AH755" s="301"/>
      <c r="AI755" s="301"/>
      <c r="AJ755" s="301"/>
      <c r="AK755" s="301"/>
      <c r="AL755" s="301"/>
      <c r="AM755" s="301"/>
      <c r="AN755" s="301"/>
      <c r="AO755" s="301"/>
      <c r="AP755" s="301"/>
    </row>
    <row r="756" spans="10:42" ht="13.5" customHeight="1">
      <c r="J756" s="301"/>
      <c r="K756" s="301"/>
      <c r="L756" s="301"/>
      <c r="M756" s="301"/>
      <c r="N756" s="301"/>
      <c r="O756" s="301"/>
      <c r="P756" s="301"/>
      <c r="Q756" s="301"/>
      <c r="R756" s="301"/>
      <c r="S756" s="301"/>
      <c r="T756" s="301"/>
      <c r="U756" s="301"/>
      <c r="V756" s="301"/>
      <c r="W756" s="301"/>
      <c r="X756" s="301"/>
      <c r="Y756" s="301"/>
      <c r="Z756" s="301"/>
      <c r="AA756" s="301"/>
      <c r="AB756" s="301"/>
      <c r="AC756" s="301"/>
      <c r="AD756" s="301"/>
      <c r="AE756" s="301"/>
      <c r="AF756" s="301"/>
      <c r="AG756" s="301"/>
      <c r="AH756" s="301"/>
      <c r="AI756" s="301"/>
      <c r="AJ756" s="301"/>
      <c r="AK756" s="301"/>
      <c r="AL756" s="301"/>
      <c r="AM756" s="301"/>
      <c r="AN756" s="301"/>
      <c r="AO756" s="301"/>
      <c r="AP756" s="301"/>
    </row>
    <row r="757" spans="10:42" ht="13.5" customHeight="1">
      <c r="J757" s="301"/>
      <c r="K757" s="301"/>
      <c r="L757" s="301"/>
      <c r="M757" s="301"/>
      <c r="N757" s="301"/>
      <c r="O757" s="301"/>
      <c r="P757" s="301"/>
      <c r="Q757" s="301"/>
      <c r="R757" s="301"/>
      <c r="S757" s="301"/>
      <c r="T757" s="301"/>
      <c r="U757" s="301"/>
      <c r="V757" s="301"/>
      <c r="W757" s="301"/>
      <c r="X757" s="301"/>
      <c r="Y757" s="301"/>
      <c r="Z757" s="301"/>
      <c r="AA757" s="301"/>
      <c r="AB757" s="301"/>
      <c r="AC757" s="301"/>
      <c r="AD757" s="301"/>
      <c r="AE757" s="301"/>
      <c r="AF757" s="301"/>
      <c r="AG757" s="301"/>
      <c r="AH757" s="301"/>
      <c r="AI757" s="301"/>
      <c r="AJ757" s="301"/>
      <c r="AK757" s="301"/>
      <c r="AL757" s="301"/>
      <c r="AM757" s="301"/>
      <c r="AN757" s="301"/>
      <c r="AO757" s="301"/>
      <c r="AP757" s="301"/>
    </row>
    <row r="758" spans="10:42" ht="13.5" customHeight="1">
      <c r="J758" s="301"/>
      <c r="K758" s="301"/>
      <c r="L758" s="301"/>
      <c r="M758" s="301"/>
      <c r="N758" s="301"/>
      <c r="O758" s="301"/>
      <c r="P758" s="301"/>
      <c r="Q758" s="301"/>
      <c r="R758" s="301"/>
      <c r="S758" s="301"/>
      <c r="T758" s="301"/>
      <c r="U758" s="301"/>
      <c r="V758" s="301"/>
      <c r="W758" s="301"/>
      <c r="X758" s="301"/>
      <c r="Y758" s="301"/>
      <c r="Z758" s="301"/>
      <c r="AA758" s="301"/>
      <c r="AB758" s="301"/>
      <c r="AC758" s="301"/>
      <c r="AD758" s="301"/>
      <c r="AE758" s="301"/>
      <c r="AF758" s="301"/>
      <c r="AG758" s="301"/>
      <c r="AH758" s="301"/>
      <c r="AI758" s="301"/>
      <c r="AJ758" s="301"/>
      <c r="AK758" s="301"/>
      <c r="AL758" s="301"/>
      <c r="AM758" s="301"/>
      <c r="AN758" s="301"/>
      <c r="AO758" s="301"/>
      <c r="AP758" s="301"/>
    </row>
    <row r="759" spans="10:42" ht="13.5" customHeight="1">
      <c r="J759" s="301"/>
      <c r="K759" s="301"/>
      <c r="L759" s="301"/>
      <c r="M759" s="301"/>
      <c r="N759" s="301"/>
      <c r="O759" s="301"/>
      <c r="P759" s="301"/>
      <c r="Q759" s="301"/>
      <c r="R759" s="301"/>
      <c r="S759" s="301"/>
      <c r="T759" s="301"/>
      <c r="U759" s="301"/>
      <c r="V759" s="301"/>
      <c r="W759" s="301"/>
      <c r="X759" s="301"/>
      <c r="Y759" s="301"/>
      <c r="Z759" s="301"/>
      <c r="AA759" s="301"/>
      <c r="AB759" s="301"/>
      <c r="AC759" s="301"/>
      <c r="AD759" s="301"/>
      <c r="AE759" s="301"/>
      <c r="AF759" s="301"/>
      <c r="AG759" s="301"/>
      <c r="AH759" s="301"/>
      <c r="AI759" s="301"/>
      <c r="AJ759" s="301"/>
      <c r="AK759" s="301"/>
      <c r="AL759" s="301"/>
      <c r="AM759" s="301"/>
      <c r="AN759" s="301"/>
      <c r="AO759" s="301"/>
      <c r="AP759" s="301"/>
    </row>
    <row r="760" spans="10:42" ht="13.5" customHeight="1">
      <c r="J760" s="301"/>
      <c r="K760" s="301"/>
      <c r="L760" s="301"/>
      <c r="M760" s="301"/>
      <c r="N760" s="301"/>
      <c r="O760" s="301"/>
      <c r="P760" s="301"/>
      <c r="Q760" s="301"/>
      <c r="R760" s="301"/>
      <c r="S760" s="301"/>
      <c r="T760" s="301"/>
      <c r="U760" s="301"/>
      <c r="V760" s="301"/>
      <c r="W760" s="301"/>
      <c r="X760" s="301"/>
      <c r="Y760" s="301"/>
      <c r="Z760" s="301"/>
      <c r="AA760" s="301"/>
      <c r="AB760" s="301"/>
      <c r="AC760" s="301"/>
      <c r="AD760" s="301"/>
      <c r="AE760" s="301"/>
      <c r="AF760" s="301"/>
      <c r="AG760" s="301"/>
      <c r="AH760" s="301"/>
      <c r="AI760" s="301"/>
      <c r="AJ760" s="301"/>
      <c r="AK760" s="301"/>
      <c r="AL760" s="301"/>
      <c r="AM760" s="301"/>
      <c r="AN760" s="301"/>
      <c r="AO760" s="301"/>
      <c r="AP760" s="301"/>
    </row>
    <row r="761" spans="10:42" ht="13.5" customHeight="1">
      <c r="J761" s="301"/>
      <c r="K761" s="301"/>
      <c r="L761" s="301"/>
      <c r="M761" s="301"/>
      <c r="N761" s="301"/>
      <c r="O761" s="301"/>
      <c r="P761" s="301"/>
      <c r="Q761" s="301"/>
      <c r="R761" s="301"/>
      <c r="S761" s="301"/>
      <c r="T761" s="301"/>
      <c r="U761" s="301"/>
      <c r="V761" s="301"/>
      <c r="W761" s="301"/>
      <c r="X761" s="301"/>
      <c r="Y761" s="301"/>
      <c r="Z761" s="301"/>
      <c r="AA761" s="301"/>
      <c r="AB761" s="301"/>
      <c r="AC761" s="301"/>
      <c r="AD761" s="301"/>
      <c r="AE761" s="301"/>
      <c r="AF761" s="301"/>
      <c r="AG761" s="301"/>
      <c r="AH761" s="301"/>
      <c r="AI761" s="301"/>
      <c r="AJ761" s="301"/>
      <c r="AK761" s="301"/>
      <c r="AL761" s="301"/>
      <c r="AM761" s="301"/>
      <c r="AN761" s="301"/>
      <c r="AO761" s="301"/>
      <c r="AP761" s="301"/>
    </row>
    <row r="762" spans="10:42" ht="13.5" customHeight="1">
      <c r="J762" s="301"/>
      <c r="K762" s="301"/>
      <c r="L762" s="301"/>
      <c r="M762" s="301"/>
      <c r="N762" s="301"/>
      <c r="O762" s="301"/>
      <c r="P762" s="301"/>
      <c r="Q762" s="301"/>
      <c r="R762" s="301"/>
      <c r="S762" s="301"/>
      <c r="T762" s="301"/>
      <c r="U762" s="301"/>
      <c r="V762" s="301"/>
      <c r="W762" s="301"/>
      <c r="X762" s="301"/>
      <c r="Y762" s="301"/>
      <c r="Z762" s="301"/>
      <c r="AA762" s="301"/>
      <c r="AB762" s="301"/>
      <c r="AC762" s="301"/>
      <c r="AD762" s="301"/>
      <c r="AE762" s="301"/>
      <c r="AF762" s="301"/>
      <c r="AG762" s="301"/>
      <c r="AH762" s="301"/>
      <c r="AI762" s="301"/>
      <c r="AJ762" s="301"/>
      <c r="AK762" s="301"/>
      <c r="AL762" s="301"/>
      <c r="AM762" s="301"/>
      <c r="AN762" s="301"/>
      <c r="AO762" s="301"/>
      <c r="AP762" s="301"/>
    </row>
    <row r="763" spans="10:42" ht="13.5" customHeight="1">
      <c r="J763" s="301"/>
      <c r="K763" s="301"/>
      <c r="L763" s="301"/>
      <c r="M763" s="301"/>
      <c r="N763" s="301"/>
      <c r="O763" s="301"/>
      <c r="P763" s="301"/>
      <c r="Q763" s="301"/>
      <c r="R763" s="301"/>
      <c r="S763" s="301"/>
      <c r="T763" s="301"/>
      <c r="U763" s="301"/>
      <c r="V763" s="301"/>
      <c r="W763" s="301"/>
      <c r="X763" s="301"/>
      <c r="Y763" s="301"/>
      <c r="Z763" s="301"/>
      <c r="AA763" s="301"/>
      <c r="AB763" s="301"/>
      <c r="AC763" s="301"/>
      <c r="AD763" s="301"/>
      <c r="AE763" s="301"/>
      <c r="AF763" s="301"/>
      <c r="AG763" s="301"/>
      <c r="AH763" s="301"/>
      <c r="AI763" s="301"/>
      <c r="AJ763" s="301"/>
      <c r="AK763" s="301"/>
      <c r="AL763" s="301"/>
      <c r="AM763" s="301"/>
      <c r="AN763" s="301"/>
      <c r="AO763" s="301"/>
      <c r="AP763" s="301"/>
    </row>
    <row r="764" spans="10:42" ht="13.5" customHeight="1">
      <c r="J764" s="301"/>
      <c r="K764" s="301"/>
      <c r="L764" s="301"/>
      <c r="M764" s="301"/>
      <c r="N764" s="301"/>
      <c r="O764" s="301"/>
      <c r="P764" s="301"/>
      <c r="Q764" s="301"/>
      <c r="R764" s="301"/>
      <c r="S764" s="301"/>
      <c r="T764" s="301"/>
      <c r="U764" s="301"/>
      <c r="V764" s="301"/>
      <c r="W764" s="301"/>
      <c r="X764" s="301"/>
      <c r="Y764" s="301"/>
      <c r="Z764" s="301"/>
      <c r="AA764" s="301"/>
      <c r="AB764" s="301"/>
      <c r="AC764" s="301"/>
      <c r="AD764" s="301"/>
      <c r="AE764" s="301"/>
      <c r="AF764" s="301"/>
      <c r="AG764" s="301"/>
      <c r="AH764" s="301"/>
      <c r="AI764" s="301"/>
      <c r="AJ764" s="301"/>
      <c r="AK764" s="301"/>
      <c r="AL764" s="301"/>
      <c r="AM764" s="301"/>
      <c r="AN764" s="301"/>
      <c r="AO764" s="301"/>
      <c r="AP764" s="301"/>
    </row>
    <row r="765" spans="10:42" ht="13.5" customHeight="1">
      <c r="J765" s="301"/>
      <c r="K765" s="301"/>
      <c r="L765" s="301"/>
      <c r="M765" s="301"/>
      <c r="N765" s="301"/>
      <c r="O765" s="301"/>
      <c r="P765" s="301"/>
      <c r="Q765" s="301"/>
      <c r="R765" s="301"/>
      <c r="S765" s="301"/>
      <c r="T765" s="301"/>
      <c r="U765" s="301"/>
      <c r="V765" s="301"/>
      <c r="W765" s="301"/>
      <c r="X765" s="301"/>
      <c r="Y765" s="301"/>
      <c r="Z765" s="301"/>
      <c r="AA765" s="301"/>
      <c r="AB765" s="301"/>
      <c r="AC765" s="301"/>
      <c r="AD765" s="301"/>
      <c r="AE765" s="301"/>
      <c r="AF765" s="301"/>
      <c r="AG765" s="301"/>
      <c r="AH765" s="301"/>
      <c r="AI765" s="301"/>
      <c r="AJ765" s="301"/>
      <c r="AK765" s="301"/>
      <c r="AL765" s="301"/>
      <c r="AM765" s="301"/>
      <c r="AN765" s="301"/>
      <c r="AO765" s="301"/>
      <c r="AP765" s="301"/>
    </row>
    <row r="766" spans="10:42" ht="13.5" customHeight="1">
      <c r="J766" s="301"/>
      <c r="K766" s="301"/>
      <c r="L766" s="301"/>
      <c r="M766" s="301"/>
      <c r="N766" s="301"/>
      <c r="O766" s="301"/>
      <c r="P766" s="301"/>
      <c r="Q766" s="301"/>
      <c r="R766" s="301"/>
      <c r="S766" s="301"/>
      <c r="T766" s="301"/>
      <c r="U766" s="301"/>
      <c r="V766" s="301"/>
      <c r="W766" s="301"/>
      <c r="X766" s="301"/>
      <c r="Y766" s="301"/>
      <c r="Z766" s="301"/>
      <c r="AA766" s="301"/>
      <c r="AB766" s="301"/>
      <c r="AC766" s="301"/>
      <c r="AD766" s="301"/>
      <c r="AE766" s="301"/>
      <c r="AF766" s="301"/>
      <c r="AG766" s="301"/>
      <c r="AH766" s="301"/>
      <c r="AI766" s="301"/>
      <c r="AJ766" s="301"/>
      <c r="AK766" s="301"/>
      <c r="AL766" s="301"/>
      <c r="AM766" s="301"/>
      <c r="AN766" s="301"/>
      <c r="AO766" s="301"/>
      <c r="AP766" s="301"/>
    </row>
    <row r="767" spans="10:42" ht="13.5" customHeight="1">
      <c r="J767" s="301"/>
      <c r="K767" s="301"/>
      <c r="L767" s="301"/>
      <c r="M767" s="301"/>
      <c r="N767" s="301"/>
      <c r="O767" s="301"/>
      <c r="P767" s="301"/>
      <c r="Q767" s="301"/>
      <c r="R767" s="301"/>
      <c r="S767" s="301"/>
      <c r="T767" s="301"/>
      <c r="U767" s="301"/>
      <c r="V767" s="301"/>
      <c r="W767" s="301"/>
      <c r="X767" s="301"/>
      <c r="Y767" s="301"/>
      <c r="Z767" s="301"/>
      <c r="AA767" s="301"/>
      <c r="AB767" s="301"/>
      <c r="AC767" s="301"/>
      <c r="AD767" s="301"/>
      <c r="AE767" s="301"/>
      <c r="AF767" s="301"/>
      <c r="AG767" s="301"/>
      <c r="AH767" s="301"/>
      <c r="AI767" s="301"/>
      <c r="AJ767" s="301"/>
      <c r="AK767" s="301"/>
      <c r="AL767" s="301"/>
      <c r="AM767" s="301"/>
      <c r="AN767" s="301"/>
      <c r="AO767" s="301"/>
      <c r="AP767" s="301"/>
    </row>
    <row r="768" spans="10:42" ht="13.5" customHeight="1">
      <c r="J768" s="301"/>
      <c r="K768" s="301"/>
      <c r="L768" s="301"/>
      <c r="M768" s="301"/>
      <c r="N768" s="301"/>
      <c r="O768" s="301"/>
      <c r="P768" s="301"/>
      <c r="Q768" s="301"/>
      <c r="R768" s="301"/>
      <c r="S768" s="301"/>
      <c r="T768" s="301"/>
      <c r="U768" s="301"/>
      <c r="V768" s="301"/>
      <c r="W768" s="301"/>
      <c r="X768" s="301"/>
      <c r="Y768" s="301"/>
      <c r="Z768" s="301"/>
      <c r="AA768" s="301"/>
      <c r="AB768" s="301"/>
      <c r="AC768" s="301"/>
      <c r="AD768" s="301"/>
      <c r="AE768" s="301"/>
      <c r="AF768" s="301"/>
      <c r="AG768" s="301"/>
      <c r="AH768" s="301"/>
      <c r="AI768" s="301"/>
      <c r="AJ768" s="301"/>
      <c r="AK768" s="301"/>
      <c r="AL768" s="301"/>
      <c r="AM768" s="301"/>
      <c r="AN768" s="301"/>
      <c r="AO768" s="301"/>
      <c r="AP768" s="301"/>
    </row>
    <row r="769" spans="10:42" ht="13.5" customHeight="1">
      <c r="J769" s="301"/>
      <c r="K769" s="301"/>
      <c r="L769" s="301"/>
      <c r="M769" s="301"/>
      <c r="N769" s="301"/>
      <c r="O769" s="301"/>
      <c r="P769" s="301"/>
      <c r="Q769" s="301"/>
      <c r="R769" s="301"/>
      <c r="S769" s="301"/>
      <c r="T769" s="301"/>
      <c r="U769" s="301"/>
      <c r="V769" s="301"/>
      <c r="W769" s="301"/>
      <c r="X769" s="301"/>
      <c r="Y769" s="301"/>
      <c r="Z769" s="301"/>
      <c r="AA769" s="301"/>
      <c r="AB769" s="301"/>
      <c r="AC769" s="301"/>
      <c r="AD769" s="301"/>
      <c r="AE769" s="301"/>
      <c r="AF769" s="301"/>
      <c r="AG769" s="301"/>
      <c r="AH769" s="301"/>
      <c r="AI769" s="301"/>
      <c r="AJ769" s="301"/>
      <c r="AK769" s="301"/>
      <c r="AL769" s="301"/>
      <c r="AM769" s="301"/>
      <c r="AN769" s="301"/>
      <c r="AO769" s="301"/>
      <c r="AP769" s="301"/>
    </row>
    <row r="770" spans="10:42" ht="13.5" customHeight="1">
      <c r="J770" s="301"/>
      <c r="K770" s="301"/>
      <c r="L770" s="301"/>
      <c r="M770" s="301"/>
      <c r="N770" s="301"/>
      <c r="O770" s="301"/>
      <c r="P770" s="301"/>
      <c r="Q770" s="301"/>
      <c r="R770" s="301"/>
      <c r="S770" s="301"/>
      <c r="T770" s="301"/>
      <c r="U770" s="301"/>
      <c r="V770" s="301"/>
      <c r="W770" s="301"/>
      <c r="X770" s="301"/>
      <c r="Y770" s="301"/>
      <c r="Z770" s="301"/>
      <c r="AA770" s="301"/>
      <c r="AB770" s="301"/>
      <c r="AC770" s="301"/>
      <c r="AD770" s="301"/>
      <c r="AE770" s="301"/>
      <c r="AF770" s="301"/>
      <c r="AG770" s="301"/>
      <c r="AH770" s="301"/>
      <c r="AI770" s="301"/>
      <c r="AJ770" s="301"/>
      <c r="AK770" s="301"/>
      <c r="AL770" s="301"/>
      <c r="AM770" s="301"/>
      <c r="AN770" s="301"/>
      <c r="AO770" s="301"/>
      <c r="AP770" s="301"/>
    </row>
    <row r="771" spans="10:42" ht="13.5" customHeight="1">
      <c r="J771" s="301"/>
      <c r="K771" s="301"/>
      <c r="L771" s="301"/>
      <c r="M771" s="301"/>
      <c r="N771" s="301"/>
      <c r="O771" s="301"/>
      <c r="P771" s="301"/>
      <c r="Q771" s="301"/>
      <c r="R771" s="301"/>
      <c r="S771" s="301"/>
      <c r="T771" s="301"/>
      <c r="U771" s="301"/>
      <c r="V771" s="301"/>
      <c r="W771" s="301"/>
      <c r="X771" s="301"/>
      <c r="Y771" s="301"/>
      <c r="Z771" s="301"/>
      <c r="AA771" s="301"/>
      <c r="AB771" s="301"/>
      <c r="AC771" s="301"/>
      <c r="AD771" s="301"/>
      <c r="AE771" s="301"/>
      <c r="AF771" s="301"/>
      <c r="AG771" s="301"/>
      <c r="AH771" s="301"/>
      <c r="AI771" s="301"/>
      <c r="AJ771" s="301"/>
      <c r="AK771" s="301"/>
      <c r="AL771" s="301"/>
      <c r="AM771" s="301"/>
      <c r="AN771" s="301"/>
      <c r="AO771" s="301"/>
      <c r="AP771" s="301"/>
    </row>
    <row r="772" spans="10:42" ht="13.5" customHeight="1">
      <c r="J772" s="301"/>
      <c r="K772" s="301"/>
      <c r="L772" s="301"/>
      <c r="M772" s="301"/>
      <c r="N772" s="301"/>
      <c r="O772" s="301"/>
      <c r="P772" s="301"/>
      <c r="Q772" s="301"/>
      <c r="R772" s="301"/>
      <c r="S772" s="301"/>
      <c r="T772" s="301"/>
      <c r="U772" s="301"/>
      <c r="V772" s="301"/>
      <c r="W772" s="301"/>
      <c r="X772" s="301"/>
      <c r="Y772" s="301"/>
      <c r="Z772" s="301"/>
      <c r="AA772" s="301"/>
      <c r="AB772" s="301"/>
      <c r="AC772" s="301"/>
      <c r="AD772" s="301"/>
      <c r="AE772" s="301"/>
      <c r="AF772" s="301"/>
      <c r="AG772" s="301"/>
      <c r="AH772" s="301"/>
      <c r="AI772" s="301"/>
      <c r="AJ772" s="301"/>
      <c r="AK772" s="301"/>
      <c r="AL772" s="301"/>
      <c r="AM772" s="301"/>
      <c r="AN772" s="301"/>
      <c r="AO772" s="301"/>
      <c r="AP772" s="301"/>
    </row>
    <row r="773" spans="10:42" ht="13.5" customHeight="1">
      <c r="J773" s="301"/>
      <c r="K773" s="301"/>
      <c r="L773" s="301"/>
      <c r="M773" s="301"/>
      <c r="N773" s="301"/>
      <c r="O773" s="301"/>
      <c r="P773" s="301"/>
      <c r="Q773" s="301"/>
      <c r="R773" s="301"/>
      <c r="S773" s="301"/>
      <c r="T773" s="301"/>
      <c r="U773" s="301"/>
      <c r="V773" s="301"/>
      <c r="W773" s="301"/>
      <c r="X773" s="301"/>
      <c r="Y773" s="301"/>
      <c r="Z773" s="301"/>
      <c r="AA773" s="301"/>
      <c r="AB773" s="301"/>
      <c r="AC773" s="301"/>
      <c r="AD773" s="301"/>
      <c r="AE773" s="301"/>
      <c r="AF773" s="301"/>
      <c r="AG773" s="301"/>
      <c r="AH773" s="301"/>
      <c r="AI773" s="301"/>
      <c r="AJ773" s="301"/>
      <c r="AK773" s="301"/>
      <c r="AL773" s="301"/>
      <c r="AM773" s="301"/>
      <c r="AN773" s="301"/>
      <c r="AO773" s="301"/>
      <c r="AP773" s="301"/>
    </row>
    <row r="774" spans="10:42" ht="13.5" customHeight="1">
      <c r="J774" s="301"/>
      <c r="K774" s="301"/>
      <c r="L774" s="301"/>
      <c r="M774" s="301"/>
      <c r="N774" s="301"/>
      <c r="O774" s="301"/>
      <c r="P774" s="301"/>
      <c r="Q774" s="301"/>
      <c r="R774" s="301"/>
      <c r="S774" s="301"/>
      <c r="T774" s="301"/>
      <c r="U774" s="301"/>
      <c r="V774" s="301"/>
      <c r="W774" s="301"/>
      <c r="X774" s="301"/>
      <c r="Y774" s="301"/>
      <c r="Z774" s="301"/>
      <c r="AA774" s="301"/>
      <c r="AB774" s="301"/>
      <c r="AC774" s="301"/>
      <c r="AD774" s="301"/>
      <c r="AE774" s="301"/>
      <c r="AF774" s="301"/>
      <c r="AG774" s="301"/>
      <c r="AH774" s="301"/>
      <c r="AI774" s="301"/>
      <c r="AJ774" s="301"/>
      <c r="AK774" s="301"/>
      <c r="AL774" s="301"/>
      <c r="AM774" s="301"/>
      <c r="AN774" s="301"/>
      <c r="AO774" s="301"/>
      <c r="AP774" s="301"/>
    </row>
    <row r="775" spans="10:42" ht="13.5" customHeight="1">
      <c r="J775" s="301"/>
      <c r="K775" s="301"/>
      <c r="L775" s="301"/>
      <c r="M775" s="301"/>
      <c r="N775" s="301"/>
      <c r="O775" s="301"/>
      <c r="P775" s="301"/>
      <c r="Q775" s="301"/>
      <c r="R775" s="301"/>
      <c r="S775" s="301"/>
      <c r="T775" s="301"/>
      <c r="U775" s="301"/>
      <c r="V775" s="301"/>
      <c r="W775" s="301"/>
      <c r="X775" s="301"/>
      <c r="Y775" s="301"/>
      <c r="Z775" s="301"/>
      <c r="AA775" s="301"/>
      <c r="AB775" s="301"/>
      <c r="AC775" s="301"/>
      <c r="AD775" s="301"/>
      <c r="AE775" s="301"/>
      <c r="AF775" s="301"/>
      <c r="AG775" s="301"/>
      <c r="AH775" s="301"/>
      <c r="AI775" s="301"/>
      <c r="AJ775" s="301"/>
      <c r="AK775" s="301"/>
      <c r="AL775" s="301"/>
      <c r="AM775" s="301"/>
      <c r="AN775" s="301"/>
      <c r="AO775" s="301"/>
      <c r="AP775" s="301"/>
    </row>
    <row r="776" spans="10:42" ht="13.5" customHeight="1">
      <c r="J776" s="301"/>
      <c r="K776" s="301"/>
      <c r="L776" s="301"/>
      <c r="M776" s="301"/>
      <c r="N776" s="301"/>
      <c r="O776" s="301"/>
      <c r="P776" s="301"/>
      <c r="Q776" s="301"/>
      <c r="R776" s="301"/>
      <c r="S776" s="301"/>
      <c r="T776" s="301"/>
      <c r="U776" s="301"/>
      <c r="V776" s="301"/>
      <c r="W776" s="301"/>
      <c r="X776" s="301"/>
      <c r="Y776" s="301"/>
      <c r="Z776" s="301"/>
      <c r="AA776" s="301"/>
      <c r="AB776" s="301"/>
      <c r="AC776" s="301"/>
      <c r="AD776" s="301"/>
      <c r="AE776" s="301"/>
      <c r="AF776" s="301"/>
      <c r="AG776" s="301"/>
      <c r="AH776" s="301"/>
      <c r="AI776" s="301"/>
      <c r="AJ776" s="301"/>
      <c r="AK776" s="301"/>
      <c r="AL776" s="301"/>
      <c r="AM776" s="301"/>
      <c r="AN776" s="301"/>
      <c r="AO776" s="301"/>
      <c r="AP776" s="301"/>
    </row>
    <row r="777" spans="10:42" ht="13.5" customHeight="1">
      <c r="J777" s="301"/>
      <c r="K777" s="301"/>
      <c r="L777" s="301"/>
      <c r="M777" s="301"/>
      <c r="N777" s="301"/>
      <c r="O777" s="301"/>
      <c r="P777" s="301"/>
      <c r="Q777" s="301"/>
      <c r="R777" s="301"/>
      <c r="S777" s="301"/>
      <c r="T777" s="301"/>
      <c r="U777" s="301"/>
      <c r="V777" s="301"/>
      <c r="W777" s="301"/>
      <c r="X777" s="301"/>
      <c r="Y777" s="301"/>
      <c r="Z777" s="301"/>
      <c r="AA777" s="301"/>
      <c r="AB777" s="301"/>
      <c r="AC777" s="301"/>
      <c r="AD777" s="301"/>
      <c r="AE777" s="301"/>
      <c r="AF777" s="301"/>
      <c r="AG777" s="301"/>
      <c r="AH777" s="301"/>
      <c r="AI777" s="301"/>
      <c r="AJ777" s="301"/>
      <c r="AK777" s="301"/>
      <c r="AL777" s="301"/>
      <c r="AM777" s="301"/>
      <c r="AN777" s="301"/>
      <c r="AO777" s="301"/>
      <c r="AP777" s="301"/>
    </row>
    <row r="778" spans="10:42" ht="13.5" customHeight="1">
      <c r="J778" s="301"/>
      <c r="K778" s="301"/>
      <c r="L778" s="301"/>
      <c r="M778" s="301"/>
      <c r="N778" s="301"/>
      <c r="O778" s="301"/>
      <c r="P778" s="301"/>
      <c r="Q778" s="301"/>
      <c r="R778" s="301"/>
      <c r="S778" s="301"/>
      <c r="T778" s="301"/>
      <c r="U778" s="301"/>
      <c r="V778" s="301"/>
      <c r="W778" s="301"/>
      <c r="X778" s="301"/>
      <c r="Y778" s="301"/>
      <c r="Z778" s="301"/>
      <c r="AA778" s="301"/>
      <c r="AB778" s="301"/>
      <c r="AC778" s="301"/>
      <c r="AD778" s="301"/>
      <c r="AE778" s="301"/>
      <c r="AF778" s="301"/>
      <c r="AG778" s="301"/>
      <c r="AH778" s="301"/>
      <c r="AI778" s="301"/>
      <c r="AJ778" s="301"/>
      <c r="AK778" s="301"/>
      <c r="AL778" s="301"/>
      <c r="AM778" s="301"/>
      <c r="AN778" s="301"/>
      <c r="AO778" s="301"/>
      <c r="AP778" s="301"/>
    </row>
    <row r="779" spans="10:42" ht="13.5" customHeight="1">
      <c r="J779" s="301"/>
      <c r="K779" s="301"/>
      <c r="L779" s="301"/>
      <c r="M779" s="301"/>
      <c r="N779" s="301"/>
      <c r="O779" s="301"/>
      <c r="P779" s="301"/>
      <c r="Q779" s="301"/>
      <c r="R779" s="301"/>
      <c r="S779" s="301"/>
      <c r="T779" s="301"/>
      <c r="U779" s="301"/>
      <c r="V779" s="301"/>
      <c r="W779" s="301"/>
      <c r="X779" s="301"/>
      <c r="Y779" s="301"/>
      <c r="Z779" s="301"/>
      <c r="AA779" s="301"/>
      <c r="AB779" s="301"/>
      <c r="AC779" s="301"/>
      <c r="AD779" s="301"/>
      <c r="AE779" s="301"/>
      <c r="AF779" s="301"/>
      <c r="AG779" s="301"/>
      <c r="AH779" s="301"/>
      <c r="AI779" s="301"/>
      <c r="AJ779" s="301"/>
      <c r="AK779" s="301"/>
      <c r="AL779" s="301"/>
      <c r="AM779" s="301"/>
      <c r="AN779" s="301"/>
      <c r="AO779" s="301"/>
      <c r="AP779" s="301"/>
    </row>
    <row r="780" spans="10:42" ht="13.5" customHeight="1">
      <c r="J780" s="301"/>
      <c r="K780" s="301"/>
      <c r="L780" s="301"/>
      <c r="M780" s="301"/>
      <c r="N780" s="301"/>
      <c r="O780" s="301"/>
      <c r="P780" s="301"/>
      <c r="Q780" s="301"/>
      <c r="R780" s="301"/>
      <c r="S780" s="301"/>
      <c r="T780" s="301"/>
      <c r="U780" s="301"/>
      <c r="V780" s="301"/>
      <c r="W780" s="301"/>
      <c r="X780" s="301"/>
      <c r="Y780" s="301"/>
      <c r="Z780" s="301"/>
      <c r="AA780" s="301"/>
      <c r="AB780" s="301"/>
      <c r="AC780" s="301"/>
      <c r="AD780" s="301"/>
      <c r="AE780" s="301"/>
      <c r="AF780" s="301"/>
      <c r="AG780" s="301"/>
      <c r="AH780" s="301"/>
      <c r="AI780" s="301"/>
      <c r="AJ780" s="301"/>
      <c r="AK780" s="301"/>
      <c r="AL780" s="301"/>
      <c r="AM780" s="301"/>
      <c r="AN780" s="301"/>
      <c r="AO780" s="301"/>
      <c r="AP780" s="301"/>
    </row>
    <row r="781" spans="10:42" ht="13.5" customHeight="1">
      <c r="J781" s="301"/>
      <c r="K781" s="301"/>
      <c r="L781" s="301"/>
      <c r="M781" s="301"/>
      <c r="N781" s="301"/>
      <c r="O781" s="301"/>
      <c r="P781" s="301"/>
      <c r="Q781" s="301"/>
      <c r="R781" s="301"/>
      <c r="S781" s="301"/>
      <c r="T781" s="301"/>
      <c r="U781" s="301"/>
      <c r="V781" s="301"/>
      <c r="W781" s="301"/>
      <c r="X781" s="301"/>
      <c r="Y781" s="301"/>
      <c r="Z781" s="301"/>
      <c r="AA781" s="301"/>
      <c r="AB781" s="301"/>
      <c r="AC781" s="301"/>
      <c r="AD781" s="301"/>
      <c r="AE781" s="301"/>
      <c r="AF781" s="301"/>
      <c r="AG781" s="301"/>
      <c r="AH781" s="301"/>
      <c r="AI781" s="301"/>
      <c r="AJ781" s="301"/>
      <c r="AK781" s="301"/>
      <c r="AL781" s="301"/>
      <c r="AM781" s="301"/>
      <c r="AN781" s="301"/>
      <c r="AO781" s="301"/>
      <c r="AP781" s="301"/>
    </row>
    <row r="782" spans="10:42" ht="13.5" customHeight="1">
      <c r="J782" s="301"/>
      <c r="K782" s="301"/>
      <c r="L782" s="301"/>
      <c r="M782" s="301"/>
      <c r="N782" s="301"/>
      <c r="O782" s="301"/>
      <c r="P782" s="301"/>
      <c r="Q782" s="301"/>
      <c r="R782" s="301"/>
      <c r="S782" s="301"/>
      <c r="T782" s="301"/>
      <c r="U782" s="301"/>
      <c r="V782" s="301"/>
      <c r="W782" s="301"/>
      <c r="X782" s="301"/>
      <c r="Y782" s="301"/>
      <c r="Z782" s="301"/>
      <c r="AA782" s="301"/>
      <c r="AB782" s="301"/>
      <c r="AC782" s="301"/>
      <c r="AD782" s="301"/>
      <c r="AE782" s="301"/>
      <c r="AF782" s="301"/>
      <c r="AG782" s="301"/>
      <c r="AH782" s="301"/>
      <c r="AI782" s="301"/>
      <c r="AJ782" s="301"/>
      <c r="AK782" s="301"/>
      <c r="AL782" s="301"/>
      <c r="AM782" s="301"/>
      <c r="AN782" s="301"/>
      <c r="AO782" s="301"/>
      <c r="AP782" s="301"/>
    </row>
    <row r="783" spans="10:42" ht="13.5" customHeight="1">
      <c r="J783" s="301"/>
      <c r="K783" s="301"/>
      <c r="L783" s="301"/>
      <c r="M783" s="301"/>
      <c r="N783" s="301"/>
      <c r="O783" s="301"/>
      <c r="P783" s="301"/>
      <c r="Q783" s="301"/>
      <c r="R783" s="301"/>
      <c r="S783" s="301"/>
      <c r="T783" s="301"/>
      <c r="U783" s="301"/>
      <c r="V783" s="301"/>
      <c r="W783" s="301"/>
      <c r="X783" s="301"/>
      <c r="Y783" s="301"/>
      <c r="Z783" s="301"/>
      <c r="AA783" s="301"/>
      <c r="AB783" s="301"/>
      <c r="AC783" s="301"/>
      <c r="AD783" s="301"/>
      <c r="AE783" s="301"/>
      <c r="AF783" s="301"/>
      <c r="AG783" s="301"/>
      <c r="AH783" s="301"/>
      <c r="AI783" s="301"/>
      <c r="AJ783" s="301"/>
      <c r="AK783" s="301"/>
      <c r="AL783" s="301"/>
      <c r="AM783" s="301"/>
      <c r="AN783" s="301"/>
      <c r="AO783" s="301"/>
      <c r="AP783" s="301"/>
    </row>
    <row r="784" spans="10:42" ht="13.5" customHeight="1">
      <c r="J784" s="301"/>
      <c r="K784" s="301"/>
      <c r="L784" s="301"/>
      <c r="M784" s="301"/>
      <c r="N784" s="301"/>
      <c r="O784" s="301"/>
      <c r="P784" s="301"/>
      <c r="Q784" s="301"/>
      <c r="R784" s="301"/>
      <c r="S784" s="301"/>
      <c r="T784" s="301"/>
      <c r="U784" s="301"/>
      <c r="V784" s="301"/>
      <c r="W784" s="301"/>
      <c r="X784" s="301"/>
      <c r="Y784" s="301"/>
      <c r="Z784" s="301"/>
      <c r="AA784" s="301"/>
      <c r="AB784" s="301"/>
      <c r="AC784" s="301"/>
      <c r="AD784" s="301"/>
      <c r="AE784" s="301"/>
      <c r="AF784" s="301"/>
      <c r="AG784" s="301"/>
      <c r="AH784" s="301"/>
      <c r="AI784" s="301"/>
      <c r="AJ784" s="301"/>
      <c r="AK784" s="301"/>
      <c r="AL784" s="301"/>
      <c r="AM784" s="301"/>
      <c r="AN784" s="301"/>
      <c r="AO784" s="301"/>
      <c r="AP784" s="301"/>
    </row>
    <row r="785" spans="10:42" ht="13.5" customHeight="1">
      <c r="J785" s="301"/>
      <c r="K785" s="301"/>
      <c r="L785" s="301"/>
      <c r="M785" s="301"/>
      <c r="N785" s="301"/>
      <c r="O785" s="301"/>
      <c r="P785" s="301"/>
      <c r="Q785" s="301"/>
      <c r="R785" s="301"/>
      <c r="S785" s="301"/>
      <c r="T785" s="301"/>
      <c r="U785" s="301"/>
      <c r="V785" s="301"/>
      <c r="W785" s="301"/>
      <c r="X785" s="301"/>
      <c r="Y785" s="301"/>
      <c r="Z785" s="301"/>
      <c r="AA785" s="301"/>
      <c r="AB785" s="301"/>
      <c r="AC785" s="301"/>
      <c r="AD785" s="301"/>
      <c r="AE785" s="301"/>
      <c r="AF785" s="301"/>
      <c r="AG785" s="301"/>
      <c r="AH785" s="301"/>
      <c r="AI785" s="301"/>
      <c r="AJ785" s="301"/>
      <c r="AK785" s="301"/>
      <c r="AL785" s="301"/>
      <c r="AM785" s="301"/>
      <c r="AN785" s="301"/>
      <c r="AO785" s="301"/>
      <c r="AP785" s="301"/>
    </row>
    <row r="786" spans="10:42" ht="13.5" customHeight="1">
      <c r="J786" s="301"/>
      <c r="K786" s="301"/>
      <c r="L786" s="301"/>
      <c r="M786" s="301"/>
      <c r="N786" s="301"/>
      <c r="O786" s="301"/>
      <c r="P786" s="301"/>
      <c r="Q786" s="301"/>
      <c r="R786" s="301"/>
      <c r="S786" s="301"/>
      <c r="T786" s="301"/>
      <c r="U786" s="301"/>
      <c r="V786" s="301"/>
      <c r="W786" s="301"/>
      <c r="X786" s="301"/>
      <c r="Y786" s="301"/>
      <c r="Z786" s="301"/>
      <c r="AA786" s="301"/>
      <c r="AB786" s="301"/>
      <c r="AC786" s="301"/>
      <c r="AD786" s="301"/>
      <c r="AE786" s="301"/>
      <c r="AF786" s="301"/>
      <c r="AG786" s="301"/>
      <c r="AH786" s="301"/>
      <c r="AI786" s="301"/>
      <c r="AJ786" s="301"/>
      <c r="AK786" s="301"/>
      <c r="AL786" s="301"/>
      <c r="AM786" s="301"/>
      <c r="AN786" s="301"/>
      <c r="AO786" s="301"/>
      <c r="AP786" s="301"/>
    </row>
    <row r="787" spans="10:42" ht="13.5" customHeight="1">
      <c r="J787" s="301"/>
      <c r="K787" s="301"/>
      <c r="L787" s="301"/>
      <c r="M787" s="301"/>
      <c r="N787" s="301"/>
      <c r="O787" s="301"/>
      <c r="P787" s="301"/>
      <c r="Q787" s="301"/>
      <c r="R787" s="301"/>
      <c r="S787" s="301"/>
      <c r="T787" s="301"/>
      <c r="U787" s="301"/>
      <c r="V787" s="301"/>
      <c r="W787" s="301"/>
      <c r="X787" s="301"/>
      <c r="Y787" s="301"/>
      <c r="Z787" s="301"/>
      <c r="AA787" s="301"/>
      <c r="AB787" s="301"/>
      <c r="AC787" s="301"/>
      <c r="AD787" s="301"/>
      <c r="AE787" s="301"/>
      <c r="AF787" s="301"/>
      <c r="AG787" s="301"/>
      <c r="AH787" s="301"/>
      <c r="AI787" s="301"/>
      <c r="AJ787" s="301"/>
      <c r="AK787" s="301"/>
      <c r="AL787" s="301"/>
      <c r="AM787" s="301"/>
      <c r="AN787" s="301"/>
      <c r="AO787" s="301"/>
      <c r="AP787" s="301"/>
    </row>
    <row r="788" spans="10:42" ht="13.5" customHeight="1">
      <c r="J788" s="301"/>
      <c r="K788" s="301"/>
      <c r="L788" s="301"/>
      <c r="M788" s="301"/>
      <c r="N788" s="301"/>
      <c r="O788" s="301"/>
      <c r="P788" s="301"/>
      <c r="Q788" s="301"/>
      <c r="R788" s="301"/>
      <c r="S788" s="301"/>
      <c r="T788" s="301"/>
      <c r="U788" s="301"/>
      <c r="V788" s="301"/>
      <c r="W788" s="301"/>
      <c r="X788" s="301"/>
      <c r="Y788" s="301"/>
      <c r="Z788" s="301"/>
      <c r="AA788" s="301"/>
      <c r="AB788" s="301"/>
      <c r="AC788" s="301"/>
      <c r="AD788" s="301"/>
      <c r="AE788" s="301"/>
      <c r="AF788" s="301"/>
      <c r="AG788" s="301"/>
      <c r="AH788" s="301"/>
      <c r="AI788" s="301"/>
      <c r="AJ788" s="301"/>
      <c r="AK788" s="301"/>
      <c r="AL788" s="301"/>
      <c r="AM788" s="301"/>
      <c r="AN788" s="301"/>
      <c r="AO788" s="301"/>
      <c r="AP788" s="301"/>
    </row>
    <row r="789" spans="10:42" ht="13.5" customHeight="1">
      <c r="J789" s="301"/>
      <c r="K789" s="301"/>
      <c r="L789" s="301"/>
      <c r="M789" s="301"/>
      <c r="N789" s="301"/>
      <c r="O789" s="301"/>
      <c r="P789" s="301"/>
      <c r="Q789" s="301"/>
      <c r="R789" s="301"/>
      <c r="S789" s="301"/>
      <c r="T789" s="301"/>
      <c r="U789" s="301"/>
      <c r="V789" s="301"/>
      <c r="W789" s="301"/>
      <c r="X789" s="301"/>
      <c r="Y789" s="301"/>
      <c r="Z789" s="301"/>
      <c r="AA789" s="301"/>
      <c r="AB789" s="301"/>
      <c r="AC789" s="301"/>
      <c r="AD789" s="301"/>
      <c r="AE789" s="301"/>
      <c r="AF789" s="301"/>
      <c r="AG789" s="301"/>
      <c r="AH789" s="301"/>
      <c r="AI789" s="301"/>
      <c r="AJ789" s="301"/>
      <c r="AK789" s="301"/>
      <c r="AL789" s="301"/>
      <c r="AM789" s="301"/>
      <c r="AN789" s="301"/>
      <c r="AO789" s="301"/>
      <c r="AP789" s="301"/>
    </row>
    <row r="790" spans="10:42" ht="13.5" customHeight="1">
      <c r="J790" s="301"/>
      <c r="K790" s="301"/>
      <c r="L790" s="301"/>
      <c r="M790" s="301"/>
      <c r="N790" s="301"/>
      <c r="O790" s="301"/>
      <c r="P790" s="301"/>
      <c r="Q790" s="301"/>
      <c r="R790" s="301"/>
      <c r="S790" s="301"/>
      <c r="T790" s="301"/>
      <c r="U790" s="301"/>
      <c r="V790" s="301"/>
      <c r="W790" s="301"/>
      <c r="X790" s="301"/>
      <c r="Y790" s="301"/>
      <c r="Z790" s="301"/>
      <c r="AA790" s="301"/>
      <c r="AB790" s="301"/>
      <c r="AC790" s="301"/>
      <c r="AD790" s="301"/>
      <c r="AE790" s="301"/>
      <c r="AF790" s="301"/>
      <c r="AG790" s="301"/>
      <c r="AH790" s="301"/>
      <c r="AI790" s="301"/>
      <c r="AJ790" s="301"/>
      <c r="AK790" s="301"/>
      <c r="AL790" s="301"/>
      <c r="AM790" s="301"/>
      <c r="AN790" s="301"/>
      <c r="AO790" s="301"/>
      <c r="AP790" s="301"/>
    </row>
    <row r="791" spans="10:42" ht="13.5" customHeight="1">
      <c r="J791" s="301"/>
      <c r="K791" s="301"/>
      <c r="L791" s="301"/>
      <c r="M791" s="301"/>
      <c r="N791" s="301"/>
      <c r="O791" s="301"/>
      <c r="P791" s="301"/>
      <c r="Q791" s="301"/>
      <c r="R791" s="301"/>
      <c r="S791" s="301"/>
      <c r="T791" s="301"/>
      <c r="U791" s="301"/>
      <c r="V791" s="301"/>
      <c r="W791" s="301"/>
      <c r="X791" s="301"/>
      <c r="Y791" s="301"/>
      <c r="Z791" s="301"/>
      <c r="AA791" s="301"/>
      <c r="AB791" s="301"/>
      <c r="AC791" s="301"/>
      <c r="AD791" s="301"/>
      <c r="AE791" s="301"/>
      <c r="AF791" s="301"/>
      <c r="AG791" s="301"/>
      <c r="AH791" s="301"/>
      <c r="AI791" s="301"/>
      <c r="AJ791" s="301"/>
      <c r="AK791" s="301"/>
      <c r="AL791" s="301"/>
      <c r="AM791" s="301"/>
      <c r="AN791" s="301"/>
      <c r="AO791" s="301"/>
      <c r="AP791" s="301"/>
    </row>
    <row r="792" spans="10:42" ht="13.5" customHeight="1">
      <c r="J792" s="301"/>
      <c r="K792" s="301"/>
      <c r="L792" s="301"/>
      <c r="M792" s="301"/>
      <c r="N792" s="301"/>
      <c r="O792" s="301"/>
      <c r="P792" s="301"/>
      <c r="Q792" s="301"/>
      <c r="R792" s="301"/>
      <c r="S792" s="301"/>
      <c r="T792" s="301"/>
      <c r="U792" s="301"/>
      <c r="V792" s="301"/>
      <c r="W792" s="301"/>
      <c r="X792" s="301"/>
      <c r="Y792" s="301"/>
      <c r="Z792" s="301"/>
      <c r="AA792" s="301"/>
      <c r="AB792" s="301"/>
      <c r="AC792" s="301"/>
      <c r="AD792" s="301"/>
      <c r="AE792" s="301"/>
      <c r="AF792" s="301"/>
      <c r="AG792" s="301"/>
      <c r="AH792" s="301"/>
      <c r="AI792" s="301"/>
      <c r="AJ792" s="301"/>
      <c r="AK792" s="301"/>
      <c r="AL792" s="301"/>
      <c r="AM792" s="301"/>
      <c r="AN792" s="301"/>
      <c r="AO792" s="301"/>
      <c r="AP792" s="301"/>
    </row>
    <row r="793" spans="10:42" ht="13.5" customHeight="1">
      <c r="J793" s="301"/>
      <c r="K793" s="301"/>
      <c r="L793" s="301"/>
      <c r="M793" s="301"/>
      <c r="N793" s="301"/>
      <c r="O793" s="301"/>
      <c r="P793" s="301"/>
      <c r="Q793" s="301"/>
      <c r="R793" s="301"/>
      <c r="S793" s="301"/>
      <c r="T793" s="301"/>
      <c r="U793" s="301"/>
      <c r="V793" s="301"/>
      <c r="W793" s="301"/>
      <c r="X793" s="301"/>
      <c r="Y793" s="301"/>
      <c r="Z793" s="301"/>
      <c r="AA793" s="301"/>
      <c r="AB793" s="301"/>
      <c r="AC793" s="301"/>
      <c r="AD793" s="301"/>
      <c r="AE793" s="301"/>
      <c r="AF793" s="301"/>
      <c r="AG793" s="301"/>
      <c r="AH793" s="301"/>
      <c r="AI793" s="301"/>
      <c r="AJ793" s="301"/>
      <c r="AK793" s="301"/>
      <c r="AL793" s="301"/>
      <c r="AM793" s="301"/>
      <c r="AN793" s="301"/>
      <c r="AO793" s="301"/>
      <c r="AP793" s="301"/>
    </row>
    <row r="794" spans="10:42" ht="13.5" customHeight="1">
      <c r="J794" s="301"/>
      <c r="K794" s="301"/>
      <c r="L794" s="301"/>
      <c r="M794" s="301"/>
      <c r="N794" s="301"/>
      <c r="O794" s="301"/>
      <c r="P794" s="301"/>
      <c r="Q794" s="301"/>
      <c r="R794" s="301"/>
      <c r="S794" s="301"/>
      <c r="T794" s="301"/>
      <c r="U794" s="301"/>
      <c r="V794" s="301"/>
      <c r="W794" s="301"/>
      <c r="X794" s="301"/>
      <c r="Y794" s="301"/>
      <c r="Z794" s="301"/>
      <c r="AA794" s="301"/>
      <c r="AB794" s="301"/>
      <c r="AC794" s="301"/>
      <c r="AD794" s="301"/>
      <c r="AE794" s="301"/>
      <c r="AF794" s="301"/>
      <c r="AG794" s="301"/>
      <c r="AH794" s="301"/>
      <c r="AI794" s="301"/>
      <c r="AJ794" s="301"/>
      <c r="AK794" s="301"/>
      <c r="AL794" s="301"/>
      <c r="AM794" s="301"/>
      <c r="AN794" s="301"/>
      <c r="AO794" s="301"/>
      <c r="AP794" s="301"/>
    </row>
    <row r="795" spans="10:42" ht="13.5" customHeight="1">
      <c r="J795" s="301"/>
      <c r="K795" s="301"/>
      <c r="L795" s="301"/>
      <c r="M795" s="301"/>
      <c r="N795" s="301"/>
      <c r="O795" s="301"/>
      <c r="P795" s="301"/>
      <c r="Q795" s="301"/>
      <c r="R795" s="301"/>
      <c r="S795" s="301"/>
      <c r="T795" s="301"/>
      <c r="U795" s="301"/>
      <c r="V795" s="301"/>
      <c r="W795" s="301"/>
      <c r="X795" s="301"/>
      <c r="Y795" s="301"/>
      <c r="Z795" s="301"/>
      <c r="AA795" s="301"/>
      <c r="AB795" s="301"/>
      <c r="AC795" s="301"/>
      <c r="AD795" s="301"/>
      <c r="AE795" s="301"/>
      <c r="AF795" s="301"/>
      <c r="AG795" s="301"/>
      <c r="AH795" s="301"/>
      <c r="AI795" s="301"/>
      <c r="AJ795" s="301"/>
      <c r="AK795" s="301"/>
      <c r="AL795" s="301"/>
      <c r="AM795" s="301"/>
      <c r="AN795" s="301"/>
      <c r="AO795" s="301"/>
      <c r="AP795" s="301"/>
    </row>
    <row r="796" spans="10:42" ht="13.5" customHeight="1">
      <c r="J796" s="301"/>
      <c r="K796" s="301"/>
      <c r="L796" s="301"/>
      <c r="M796" s="301"/>
      <c r="N796" s="301"/>
      <c r="O796" s="301"/>
      <c r="P796" s="301"/>
      <c r="Q796" s="301"/>
      <c r="R796" s="301"/>
      <c r="S796" s="301"/>
      <c r="T796" s="301"/>
      <c r="U796" s="301"/>
      <c r="V796" s="301"/>
      <c r="W796" s="301"/>
      <c r="X796" s="301"/>
      <c r="Y796" s="301"/>
      <c r="Z796" s="301"/>
      <c r="AA796" s="301"/>
      <c r="AB796" s="301"/>
      <c r="AC796" s="301"/>
      <c r="AD796" s="301"/>
      <c r="AE796" s="301"/>
      <c r="AF796" s="301"/>
      <c r="AG796" s="301"/>
      <c r="AH796" s="301"/>
      <c r="AI796" s="301"/>
      <c r="AJ796" s="301"/>
      <c r="AK796" s="301"/>
      <c r="AL796" s="301"/>
      <c r="AM796" s="301"/>
      <c r="AN796" s="301"/>
      <c r="AO796" s="301"/>
      <c r="AP796" s="301"/>
    </row>
    <row r="797" spans="10:42" ht="13.5" customHeight="1">
      <c r="J797" s="301"/>
      <c r="K797" s="301"/>
      <c r="L797" s="301"/>
      <c r="M797" s="301"/>
      <c r="N797" s="301"/>
      <c r="O797" s="301"/>
      <c r="P797" s="301"/>
      <c r="Q797" s="301"/>
      <c r="R797" s="301"/>
      <c r="S797" s="301"/>
      <c r="T797" s="301"/>
      <c r="U797" s="301"/>
      <c r="V797" s="301"/>
      <c r="W797" s="301"/>
      <c r="X797" s="301"/>
      <c r="Y797" s="301"/>
      <c r="Z797" s="301"/>
      <c r="AA797" s="301"/>
      <c r="AB797" s="301"/>
      <c r="AC797" s="301"/>
      <c r="AD797" s="301"/>
      <c r="AE797" s="301"/>
      <c r="AF797" s="301"/>
      <c r="AG797" s="301"/>
      <c r="AH797" s="301"/>
      <c r="AI797" s="301"/>
      <c r="AJ797" s="301"/>
      <c r="AK797" s="301"/>
      <c r="AL797" s="301"/>
      <c r="AM797" s="301"/>
      <c r="AN797" s="301"/>
      <c r="AO797" s="301"/>
      <c r="AP797" s="301"/>
    </row>
    <row r="798" spans="10:42" ht="13.5" customHeight="1">
      <c r="J798" s="301"/>
      <c r="K798" s="301"/>
      <c r="L798" s="301"/>
      <c r="M798" s="301"/>
      <c r="N798" s="301"/>
      <c r="O798" s="301"/>
      <c r="P798" s="301"/>
      <c r="Q798" s="301"/>
      <c r="R798" s="301"/>
      <c r="S798" s="301"/>
      <c r="T798" s="301"/>
      <c r="U798" s="301"/>
      <c r="V798" s="301"/>
      <c r="W798" s="301"/>
      <c r="X798" s="301"/>
      <c r="Y798" s="301"/>
      <c r="Z798" s="301"/>
      <c r="AA798" s="301"/>
      <c r="AB798" s="301"/>
      <c r="AC798" s="301"/>
      <c r="AD798" s="301"/>
      <c r="AE798" s="301"/>
      <c r="AF798" s="301"/>
      <c r="AG798" s="301"/>
      <c r="AH798" s="301"/>
      <c r="AI798" s="301"/>
      <c r="AJ798" s="301"/>
      <c r="AK798" s="301"/>
      <c r="AL798" s="301"/>
      <c r="AM798" s="301"/>
      <c r="AN798" s="301"/>
      <c r="AO798" s="301"/>
      <c r="AP798" s="301"/>
    </row>
    <row r="799" spans="10:42" ht="13.5" customHeight="1">
      <c r="J799" s="301"/>
      <c r="K799" s="301"/>
      <c r="L799" s="301"/>
      <c r="M799" s="301"/>
      <c r="N799" s="301"/>
      <c r="O799" s="301"/>
      <c r="P799" s="301"/>
      <c r="Q799" s="301"/>
      <c r="R799" s="301"/>
      <c r="S799" s="301"/>
      <c r="T799" s="301"/>
      <c r="U799" s="301"/>
      <c r="V799" s="301"/>
      <c r="W799" s="301"/>
      <c r="X799" s="301"/>
      <c r="Y799" s="301"/>
      <c r="Z799" s="301"/>
      <c r="AA799" s="301"/>
      <c r="AB799" s="301"/>
      <c r="AC799" s="301"/>
      <c r="AD799" s="301"/>
      <c r="AE799" s="301"/>
      <c r="AF799" s="301"/>
      <c r="AG799" s="301"/>
      <c r="AH799" s="301"/>
      <c r="AI799" s="301"/>
      <c r="AJ799" s="301"/>
      <c r="AK799" s="301"/>
      <c r="AL799" s="301"/>
      <c r="AM799" s="301"/>
      <c r="AN799" s="301"/>
      <c r="AO799" s="301"/>
      <c r="AP799" s="301"/>
    </row>
    <row r="800" spans="10:42" ht="13.5" customHeight="1">
      <c r="J800" s="301"/>
      <c r="K800" s="301"/>
      <c r="L800" s="301"/>
      <c r="M800" s="301"/>
      <c r="N800" s="301"/>
      <c r="O800" s="301"/>
      <c r="P800" s="301"/>
      <c r="Q800" s="301"/>
      <c r="R800" s="301"/>
      <c r="S800" s="301"/>
      <c r="T800" s="301"/>
      <c r="U800" s="301"/>
      <c r="V800" s="301"/>
      <c r="W800" s="301"/>
      <c r="X800" s="301"/>
      <c r="Y800" s="301"/>
      <c r="Z800" s="301"/>
      <c r="AA800" s="301"/>
      <c r="AB800" s="301"/>
      <c r="AC800" s="301"/>
      <c r="AD800" s="301"/>
      <c r="AE800" s="301"/>
      <c r="AF800" s="301"/>
      <c r="AG800" s="301"/>
      <c r="AH800" s="301"/>
      <c r="AI800" s="301"/>
      <c r="AJ800" s="301"/>
      <c r="AK800" s="301"/>
      <c r="AL800" s="301"/>
      <c r="AM800" s="301"/>
      <c r="AN800" s="301"/>
      <c r="AO800" s="301"/>
      <c r="AP800" s="301"/>
    </row>
    <row r="801" spans="10:42" ht="13.5" customHeight="1">
      <c r="J801" s="301"/>
      <c r="K801" s="301"/>
      <c r="L801" s="301"/>
      <c r="M801" s="301"/>
      <c r="N801" s="301"/>
      <c r="O801" s="301"/>
      <c r="P801" s="301"/>
      <c r="Q801" s="301"/>
      <c r="R801" s="301"/>
      <c r="S801" s="301"/>
      <c r="T801" s="301"/>
      <c r="U801" s="301"/>
      <c r="V801" s="301"/>
      <c r="W801" s="301"/>
      <c r="X801" s="301"/>
      <c r="Y801" s="301"/>
      <c r="Z801" s="301"/>
      <c r="AA801" s="301"/>
      <c r="AB801" s="301"/>
      <c r="AC801" s="301"/>
      <c r="AD801" s="301"/>
      <c r="AE801" s="301"/>
      <c r="AF801" s="301"/>
      <c r="AG801" s="301"/>
      <c r="AH801" s="301"/>
      <c r="AI801" s="301"/>
      <c r="AJ801" s="301"/>
      <c r="AK801" s="301"/>
      <c r="AL801" s="301"/>
      <c r="AM801" s="301"/>
      <c r="AN801" s="301"/>
      <c r="AO801" s="301"/>
      <c r="AP801" s="301"/>
    </row>
    <row r="802" spans="10:42" ht="13.5" customHeight="1">
      <c r="J802" s="301"/>
      <c r="K802" s="301"/>
      <c r="L802" s="301"/>
      <c r="M802" s="301"/>
      <c r="N802" s="301"/>
      <c r="O802" s="301"/>
      <c r="P802" s="301"/>
      <c r="Q802" s="301"/>
      <c r="R802" s="301"/>
      <c r="S802" s="301"/>
      <c r="T802" s="301"/>
      <c r="U802" s="301"/>
      <c r="V802" s="301"/>
      <c r="W802" s="301"/>
      <c r="X802" s="301"/>
      <c r="Y802" s="301"/>
      <c r="Z802" s="301"/>
      <c r="AA802" s="301"/>
      <c r="AB802" s="301"/>
      <c r="AC802" s="301"/>
      <c r="AD802" s="301"/>
      <c r="AE802" s="301"/>
      <c r="AF802" s="301"/>
      <c r="AG802" s="301"/>
      <c r="AH802" s="301"/>
      <c r="AI802" s="301"/>
      <c r="AJ802" s="301"/>
      <c r="AK802" s="301"/>
      <c r="AL802" s="301"/>
      <c r="AM802" s="301"/>
      <c r="AN802" s="301"/>
      <c r="AO802" s="301"/>
      <c r="AP802" s="301"/>
    </row>
    <row r="803" spans="10:42" ht="13.5" customHeight="1">
      <c r="J803" s="301"/>
      <c r="K803" s="301"/>
      <c r="L803" s="301"/>
      <c r="M803" s="301"/>
      <c r="N803" s="301"/>
      <c r="O803" s="301"/>
      <c r="P803" s="301"/>
      <c r="Q803" s="301"/>
      <c r="R803" s="301"/>
      <c r="S803" s="301"/>
      <c r="T803" s="301"/>
      <c r="U803" s="301"/>
      <c r="V803" s="301"/>
      <c r="W803" s="301"/>
      <c r="X803" s="301"/>
      <c r="Y803" s="301"/>
      <c r="Z803" s="301"/>
      <c r="AA803" s="301"/>
      <c r="AB803" s="301"/>
      <c r="AC803" s="301"/>
      <c r="AD803" s="301"/>
      <c r="AE803" s="301"/>
      <c r="AF803" s="301"/>
      <c r="AG803" s="301"/>
      <c r="AH803" s="301"/>
      <c r="AI803" s="301"/>
      <c r="AJ803" s="301"/>
      <c r="AK803" s="301"/>
      <c r="AL803" s="301"/>
      <c r="AM803" s="301"/>
      <c r="AN803" s="301"/>
      <c r="AO803" s="301"/>
      <c r="AP803" s="301"/>
    </row>
    <row r="804" spans="10:42" ht="13.5" customHeight="1">
      <c r="J804" s="301"/>
      <c r="K804" s="301"/>
      <c r="L804" s="301"/>
      <c r="M804" s="301"/>
      <c r="N804" s="301"/>
      <c r="O804" s="301"/>
      <c r="P804" s="301"/>
      <c r="Q804" s="301"/>
      <c r="R804" s="301"/>
      <c r="S804" s="301"/>
      <c r="T804" s="301"/>
      <c r="U804" s="301"/>
      <c r="V804" s="301"/>
      <c r="W804" s="301"/>
      <c r="X804" s="301"/>
      <c r="Y804" s="301"/>
      <c r="Z804" s="301"/>
      <c r="AA804" s="301"/>
      <c r="AB804" s="301"/>
      <c r="AC804" s="301"/>
      <c r="AD804" s="301"/>
      <c r="AE804" s="301"/>
      <c r="AF804" s="301"/>
      <c r="AG804" s="301"/>
      <c r="AH804" s="301"/>
      <c r="AI804" s="301"/>
      <c r="AJ804" s="301"/>
      <c r="AK804" s="301"/>
      <c r="AL804" s="301"/>
      <c r="AM804" s="301"/>
      <c r="AN804" s="301"/>
      <c r="AO804" s="301"/>
      <c r="AP804" s="301"/>
    </row>
    <row r="805" spans="10:42" ht="13.5" customHeight="1">
      <c r="J805" s="301"/>
      <c r="K805" s="301"/>
      <c r="L805" s="301"/>
      <c r="M805" s="301"/>
      <c r="N805" s="301"/>
      <c r="O805" s="301"/>
      <c r="P805" s="301"/>
      <c r="Q805" s="301"/>
      <c r="R805" s="301"/>
      <c r="S805" s="301"/>
      <c r="T805" s="301"/>
      <c r="U805" s="301"/>
      <c r="V805" s="301"/>
      <c r="W805" s="301"/>
      <c r="X805" s="301"/>
      <c r="Y805" s="301"/>
      <c r="Z805" s="301"/>
      <c r="AA805" s="301"/>
      <c r="AB805" s="301"/>
      <c r="AC805" s="301"/>
      <c r="AD805" s="301"/>
      <c r="AE805" s="301"/>
      <c r="AF805" s="301"/>
      <c r="AG805" s="301"/>
      <c r="AH805" s="301"/>
      <c r="AI805" s="301"/>
      <c r="AJ805" s="301"/>
      <c r="AK805" s="301"/>
      <c r="AL805" s="301"/>
      <c r="AM805" s="301"/>
      <c r="AN805" s="301"/>
      <c r="AO805" s="301"/>
      <c r="AP805" s="301"/>
    </row>
    <row r="806" spans="10:42" ht="13.5" customHeight="1">
      <c r="J806" s="301"/>
      <c r="K806" s="301"/>
      <c r="L806" s="301"/>
      <c r="M806" s="301"/>
      <c r="N806" s="301"/>
      <c r="O806" s="301"/>
      <c r="P806" s="301"/>
      <c r="Q806" s="301"/>
      <c r="R806" s="301"/>
      <c r="S806" s="301"/>
      <c r="T806" s="301"/>
      <c r="U806" s="301"/>
      <c r="V806" s="301"/>
      <c r="W806" s="301"/>
      <c r="X806" s="301"/>
      <c r="Y806" s="301"/>
      <c r="Z806" s="301"/>
      <c r="AA806" s="301"/>
      <c r="AB806" s="301"/>
      <c r="AC806" s="301"/>
      <c r="AD806" s="301"/>
      <c r="AE806" s="301"/>
      <c r="AF806" s="301"/>
      <c r="AG806" s="301"/>
      <c r="AH806" s="301"/>
      <c r="AI806" s="301"/>
      <c r="AJ806" s="301"/>
      <c r="AK806" s="301"/>
      <c r="AL806" s="301"/>
      <c r="AM806" s="301"/>
      <c r="AN806" s="301"/>
      <c r="AO806" s="301"/>
      <c r="AP806" s="301"/>
    </row>
    <row r="807" spans="10:42" ht="13.5" customHeight="1">
      <c r="J807" s="301"/>
      <c r="K807" s="301"/>
      <c r="L807" s="301"/>
      <c r="M807" s="301"/>
      <c r="N807" s="301"/>
      <c r="O807" s="301"/>
      <c r="P807" s="301"/>
      <c r="Q807" s="301"/>
      <c r="R807" s="301"/>
      <c r="S807" s="301"/>
      <c r="T807" s="301"/>
      <c r="U807" s="301"/>
      <c r="V807" s="301"/>
      <c r="W807" s="301"/>
      <c r="X807" s="301"/>
      <c r="Y807" s="301"/>
      <c r="Z807" s="301"/>
      <c r="AA807" s="301"/>
      <c r="AB807" s="301"/>
      <c r="AC807" s="301"/>
      <c r="AD807" s="301"/>
      <c r="AE807" s="301"/>
      <c r="AF807" s="301"/>
      <c r="AG807" s="301"/>
      <c r="AH807" s="301"/>
      <c r="AI807" s="301"/>
      <c r="AJ807" s="301"/>
      <c r="AK807" s="301"/>
      <c r="AL807" s="301"/>
      <c r="AM807" s="301"/>
      <c r="AN807" s="301"/>
      <c r="AO807" s="301"/>
      <c r="AP807" s="301"/>
    </row>
    <row r="808" spans="10:42" ht="13.5" customHeight="1">
      <c r="J808" s="301"/>
      <c r="K808" s="301"/>
      <c r="L808" s="301"/>
      <c r="M808" s="301"/>
      <c r="N808" s="301"/>
      <c r="O808" s="301"/>
      <c r="P808" s="301"/>
      <c r="Q808" s="301"/>
      <c r="R808" s="301"/>
      <c r="S808" s="301"/>
      <c r="T808" s="301"/>
      <c r="U808" s="301"/>
      <c r="V808" s="301"/>
      <c r="W808" s="301"/>
      <c r="X808" s="301"/>
      <c r="Y808" s="301"/>
      <c r="Z808" s="301"/>
      <c r="AA808" s="301"/>
      <c r="AB808" s="301"/>
      <c r="AC808" s="301"/>
      <c r="AD808" s="301"/>
      <c r="AE808" s="301"/>
      <c r="AF808" s="301"/>
      <c r="AG808" s="301"/>
      <c r="AH808" s="301"/>
      <c r="AI808" s="301"/>
      <c r="AJ808" s="301"/>
      <c r="AK808" s="301"/>
      <c r="AL808" s="301"/>
      <c r="AM808" s="301"/>
      <c r="AN808" s="301"/>
      <c r="AO808" s="301"/>
      <c r="AP808" s="301"/>
    </row>
    <row r="809" spans="10:42" ht="13.5" customHeight="1">
      <c r="J809" s="301"/>
      <c r="K809" s="301"/>
      <c r="L809" s="301"/>
      <c r="M809" s="301"/>
      <c r="N809" s="301"/>
      <c r="O809" s="301"/>
      <c r="P809" s="301"/>
      <c r="Q809" s="301"/>
      <c r="R809" s="301"/>
      <c r="S809" s="301"/>
      <c r="T809" s="301"/>
      <c r="U809" s="301"/>
      <c r="V809" s="301"/>
      <c r="W809" s="301"/>
      <c r="X809" s="301"/>
      <c r="Y809" s="301"/>
      <c r="Z809" s="301"/>
      <c r="AA809" s="301"/>
      <c r="AB809" s="301"/>
      <c r="AC809" s="301"/>
      <c r="AD809" s="301"/>
      <c r="AE809" s="301"/>
      <c r="AF809" s="301"/>
      <c r="AG809" s="301"/>
      <c r="AH809" s="301"/>
      <c r="AI809" s="301"/>
      <c r="AJ809" s="301"/>
      <c r="AK809" s="301"/>
      <c r="AL809" s="301"/>
      <c r="AM809" s="301"/>
      <c r="AN809" s="301"/>
      <c r="AO809" s="301"/>
      <c r="AP809" s="301"/>
    </row>
    <row r="810" spans="10:42" ht="13.5" customHeight="1">
      <c r="J810" s="301"/>
      <c r="K810" s="301"/>
      <c r="L810" s="301"/>
      <c r="M810" s="301"/>
      <c r="N810" s="301"/>
      <c r="O810" s="301"/>
      <c r="P810" s="301"/>
      <c r="Q810" s="301"/>
      <c r="R810" s="301"/>
      <c r="S810" s="301"/>
      <c r="T810" s="301"/>
      <c r="U810" s="301"/>
      <c r="V810" s="301"/>
      <c r="W810" s="301"/>
      <c r="X810" s="301"/>
      <c r="Y810" s="301"/>
      <c r="Z810" s="301"/>
      <c r="AA810" s="301"/>
      <c r="AB810" s="301"/>
      <c r="AC810" s="301"/>
      <c r="AD810" s="301"/>
      <c r="AE810" s="301"/>
      <c r="AF810" s="301"/>
      <c r="AG810" s="301"/>
      <c r="AH810" s="301"/>
      <c r="AI810" s="301"/>
      <c r="AJ810" s="301"/>
      <c r="AK810" s="301"/>
      <c r="AL810" s="301"/>
      <c r="AM810" s="301"/>
      <c r="AN810" s="301"/>
      <c r="AO810" s="301"/>
      <c r="AP810" s="301"/>
    </row>
    <row r="811" spans="10:42" ht="13.5" customHeight="1">
      <c r="J811" s="301"/>
      <c r="K811" s="301"/>
      <c r="L811" s="301"/>
      <c r="M811" s="301"/>
      <c r="N811" s="301"/>
      <c r="O811" s="301"/>
      <c r="P811" s="301"/>
      <c r="Q811" s="301"/>
      <c r="R811" s="301"/>
      <c r="S811" s="301"/>
      <c r="T811" s="301"/>
      <c r="U811" s="301"/>
      <c r="V811" s="301"/>
      <c r="W811" s="301"/>
      <c r="X811" s="301"/>
      <c r="Y811" s="301"/>
      <c r="Z811" s="301"/>
      <c r="AA811" s="301"/>
      <c r="AB811" s="301"/>
      <c r="AC811" s="301"/>
      <c r="AD811" s="301"/>
      <c r="AE811" s="301"/>
      <c r="AF811" s="301"/>
      <c r="AG811" s="301"/>
      <c r="AH811" s="301"/>
      <c r="AI811" s="301"/>
      <c r="AJ811" s="301"/>
      <c r="AK811" s="301"/>
      <c r="AL811" s="301"/>
      <c r="AM811" s="301"/>
      <c r="AN811" s="301"/>
      <c r="AO811" s="301"/>
      <c r="AP811" s="301"/>
    </row>
    <row r="812" spans="10:42" ht="13.5" customHeight="1">
      <c r="J812" s="301"/>
      <c r="K812" s="301"/>
      <c r="L812" s="301"/>
      <c r="M812" s="301"/>
      <c r="N812" s="301"/>
      <c r="O812" s="301"/>
      <c r="P812" s="301"/>
      <c r="Q812" s="301"/>
      <c r="R812" s="301"/>
      <c r="S812" s="301"/>
      <c r="T812" s="301"/>
      <c r="U812" s="301"/>
      <c r="V812" s="301"/>
      <c r="W812" s="301"/>
      <c r="X812" s="301"/>
      <c r="Y812" s="301"/>
      <c r="Z812" s="301"/>
      <c r="AA812" s="301"/>
      <c r="AB812" s="301"/>
      <c r="AC812" s="301"/>
      <c r="AD812" s="301"/>
      <c r="AE812" s="301"/>
      <c r="AF812" s="301"/>
      <c r="AG812" s="301"/>
      <c r="AH812" s="301"/>
      <c r="AI812" s="301"/>
      <c r="AJ812" s="301"/>
      <c r="AK812" s="301"/>
      <c r="AL812" s="301"/>
      <c r="AM812" s="301"/>
      <c r="AN812" s="301"/>
      <c r="AO812" s="301"/>
      <c r="AP812" s="301"/>
    </row>
    <row r="813" spans="10:42" ht="13.5" customHeight="1">
      <c r="J813" s="301"/>
      <c r="K813" s="301"/>
      <c r="L813" s="301"/>
      <c r="M813" s="301"/>
      <c r="N813" s="301"/>
      <c r="O813" s="301"/>
      <c r="P813" s="301"/>
      <c r="Q813" s="301"/>
      <c r="R813" s="301"/>
      <c r="S813" s="301"/>
      <c r="T813" s="301"/>
      <c r="U813" s="301"/>
      <c r="V813" s="301"/>
      <c r="W813" s="301"/>
      <c r="X813" s="301"/>
      <c r="Y813" s="301"/>
      <c r="Z813" s="301"/>
      <c r="AA813" s="301"/>
      <c r="AB813" s="301"/>
      <c r="AC813" s="301"/>
      <c r="AD813" s="301"/>
      <c r="AE813" s="301"/>
      <c r="AF813" s="301"/>
      <c r="AG813" s="301"/>
      <c r="AH813" s="301"/>
      <c r="AI813" s="301"/>
      <c r="AJ813" s="301"/>
      <c r="AK813" s="301"/>
      <c r="AL813" s="301"/>
      <c r="AM813" s="301"/>
      <c r="AN813" s="301"/>
      <c r="AO813" s="301"/>
      <c r="AP813" s="301"/>
    </row>
    <row r="814" spans="10:42" ht="13.5" customHeight="1">
      <c r="J814" s="301"/>
      <c r="K814" s="301"/>
      <c r="L814" s="301"/>
      <c r="M814" s="301"/>
      <c r="N814" s="301"/>
      <c r="O814" s="301"/>
      <c r="P814" s="301"/>
      <c r="Q814" s="301"/>
      <c r="R814" s="301"/>
      <c r="S814" s="301"/>
      <c r="T814" s="301"/>
      <c r="U814" s="301"/>
      <c r="V814" s="301"/>
      <c r="W814" s="301"/>
      <c r="X814" s="301"/>
      <c r="Y814" s="301"/>
      <c r="Z814" s="301"/>
      <c r="AA814" s="301"/>
      <c r="AB814" s="301"/>
      <c r="AC814" s="301"/>
      <c r="AD814" s="301"/>
      <c r="AE814" s="301"/>
      <c r="AF814" s="301"/>
      <c r="AG814" s="301"/>
      <c r="AH814" s="301"/>
      <c r="AI814" s="301"/>
      <c r="AJ814" s="301"/>
      <c r="AK814" s="301"/>
      <c r="AL814" s="301"/>
      <c r="AM814" s="301"/>
      <c r="AN814" s="301"/>
      <c r="AO814" s="301"/>
      <c r="AP814" s="301"/>
    </row>
    <row r="815" spans="10:42" ht="13.5" customHeight="1">
      <c r="J815" s="301"/>
      <c r="K815" s="301"/>
      <c r="L815" s="301"/>
      <c r="M815" s="301"/>
      <c r="N815" s="301"/>
      <c r="O815" s="301"/>
      <c r="P815" s="301"/>
      <c r="Q815" s="301"/>
      <c r="R815" s="301"/>
      <c r="S815" s="301"/>
      <c r="T815" s="301"/>
      <c r="U815" s="301"/>
      <c r="V815" s="301"/>
      <c r="W815" s="301"/>
      <c r="X815" s="301"/>
      <c r="Y815" s="301"/>
      <c r="Z815" s="301"/>
      <c r="AA815" s="301"/>
      <c r="AB815" s="301"/>
      <c r="AC815" s="301"/>
      <c r="AD815" s="301"/>
      <c r="AE815" s="301"/>
      <c r="AF815" s="301"/>
      <c r="AG815" s="301"/>
      <c r="AH815" s="301"/>
      <c r="AI815" s="301"/>
      <c r="AJ815" s="301"/>
      <c r="AK815" s="301"/>
      <c r="AL815" s="301"/>
      <c r="AM815" s="301"/>
      <c r="AN815" s="301"/>
      <c r="AO815" s="301"/>
      <c r="AP815" s="301"/>
    </row>
    <row r="816" spans="10:42" ht="13.5" customHeight="1">
      <c r="J816" s="301"/>
      <c r="K816" s="301"/>
      <c r="L816" s="301"/>
      <c r="M816" s="301"/>
      <c r="N816" s="301"/>
      <c r="O816" s="301"/>
      <c r="P816" s="301"/>
      <c r="Q816" s="301"/>
      <c r="R816" s="301"/>
      <c r="S816" s="301"/>
      <c r="T816" s="301"/>
      <c r="U816" s="301"/>
      <c r="V816" s="301"/>
      <c r="W816" s="301"/>
      <c r="X816" s="301"/>
      <c r="Y816" s="301"/>
      <c r="Z816" s="301"/>
      <c r="AA816" s="301"/>
      <c r="AB816" s="301"/>
      <c r="AC816" s="301"/>
      <c r="AD816" s="301"/>
      <c r="AE816" s="301"/>
      <c r="AF816" s="301"/>
      <c r="AG816" s="301"/>
      <c r="AH816" s="301"/>
      <c r="AI816" s="301"/>
      <c r="AJ816" s="301"/>
      <c r="AK816" s="301"/>
      <c r="AL816" s="301"/>
      <c r="AM816" s="301"/>
      <c r="AN816" s="301"/>
      <c r="AO816" s="301"/>
      <c r="AP816" s="301"/>
    </row>
    <row r="817" spans="10:42" ht="13.5" customHeight="1">
      <c r="J817" s="301"/>
      <c r="K817" s="301"/>
      <c r="L817" s="301"/>
      <c r="M817" s="301"/>
      <c r="N817" s="301"/>
      <c r="O817" s="301"/>
      <c r="P817" s="301"/>
      <c r="Q817" s="301"/>
      <c r="R817" s="301"/>
      <c r="S817" s="301"/>
      <c r="T817" s="301"/>
      <c r="U817" s="301"/>
      <c r="V817" s="301"/>
      <c r="W817" s="301"/>
      <c r="X817" s="301"/>
      <c r="Y817" s="301"/>
      <c r="Z817" s="301"/>
      <c r="AA817" s="301"/>
      <c r="AB817" s="301"/>
      <c r="AC817" s="301"/>
      <c r="AD817" s="301"/>
      <c r="AE817" s="301"/>
      <c r="AF817" s="301"/>
      <c r="AG817" s="301"/>
      <c r="AH817" s="301"/>
      <c r="AI817" s="301"/>
      <c r="AJ817" s="301"/>
      <c r="AK817" s="301"/>
      <c r="AL817" s="301"/>
      <c r="AM817" s="301"/>
      <c r="AN817" s="301"/>
      <c r="AO817" s="301"/>
      <c r="AP817" s="301"/>
    </row>
    <row r="818" spans="10:42" ht="13.5" customHeight="1">
      <c r="J818" s="301"/>
      <c r="K818" s="301"/>
      <c r="L818" s="301"/>
      <c r="M818" s="301"/>
      <c r="N818" s="301"/>
      <c r="O818" s="301"/>
      <c r="P818" s="301"/>
      <c r="Q818" s="301"/>
      <c r="R818" s="301"/>
      <c r="S818" s="301"/>
      <c r="T818" s="301"/>
      <c r="U818" s="301"/>
      <c r="V818" s="301"/>
      <c r="W818" s="301"/>
      <c r="X818" s="301"/>
      <c r="Y818" s="301"/>
      <c r="Z818" s="301"/>
      <c r="AA818" s="301"/>
      <c r="AB818" s="301"/>
      <c r="AC818" s="301"/>
      <c r="AD818" s="301"/>
      <c r="AE818" s="301"/>
      <c r="AF818" s="301"/>
      <c r="AG818" s="301"/>
      <c r="AH818" s="301"/>
      <c r="AI818" s="301"/>
      <c r="AJ818" s="301"/>
      <c r="AK818" s="301"/>
      <c r="AL818" s="301"/>
      <c r="AM818" s="301"/>
      <c r="AN818" s="301"/>
      <c r="AO818" s="301"/>
      <c r="AP818" s="301"/>
    </row>
    <row r="819" spans="10:42" ht="13.5" customHeight="1">
      <c r="J819" s="301"/>
      <c r="K819" s="301"/>
      <c r="L819" s="301"/>
      <c r="M819" s="301"/>
      <c r="N819" s="301"/>
      <c r="O819" s="301"/>
      <c r="P819" s="301"/>
      <c r="Q819" s="301"/>
      <c r="R819" s="301"/>
      <c r="S819" s="301"/>
      <c r="T819" s="301"/>
      <c r="U819" s="301"/>
      <c r="V819" s="301"/>
      <c r="W819" s="301"/>
      <c r="X819" s="301"/>
      <c r="Y819" s="301"/>
      <c r="Z819" s="301"/>
      <c r="AA819" s="301"/>
      <c r="AB819" s="301"/>
      <c r="AC819" s="301"/>
      <c r="AD819" s="301"/>
      <c r="AE819" s="301"/>
      <c r="AF819" s="301"/>
      <c r="AG819" s="301"/>
      <c r="AH819" s="301"/>
      <c r="AI819" s="301"/>
      <c r="AJ819" s="301"/>
      <c r="AK819" s="301"/>
      <c r="AL819" s="301"/>
      <c r="AM819" s="301"/>
      <c r="AN819" s="301"/>
      <c r="AO819" s="301"/>
      <c r="AP819" s="301"/>
    </row>
    <row r="820" spans="10:42" ht="13.5" customHeight="1">
      <c r="J820" s="301"/>
      <c r="K820" s="301"/>
      <c r="L820" s="301"/>
      <c r="M820" s="301"/>
      <c r="N820" s="301"/>
      <c r="O820" s="301"/>
      <c r="P820" s="301"/>
      <c r="Q820" s="301"/>
      <c r="R820" s="301"/>
      <c r="S820" s="301"/>
      <c r="T820" s="301"/>
      <c r="U820" s="301"/>
      <c r="V820" s="301"/>
      <c r="W820" s="301"/>
      <c r="X820" s="301"/>
      <c r="Y820" s="301"/>
      <c r="Z820" s="301"/>
      <c r="AA820" s="301"/>
      <c r="AB820" s="301"/>
      <c r="AC820" s="301"/>
      <c r="AD820" s="301"/>
      <c r="AE820" s="301"/>
      <c r="AF820" s="301"/>
      <c r="AG820" s="301"/>
      <c r="AH820" s="301"/>
      <c r="AI820" s="301"/>
      <c r="AJ820" s="301"/>
      <c r="AK820" s="301"/>
      <c r="AL820" s="301"/>
      <c r="AM820" s="301"/>
      <c r="AN820" s="301"/>
      <c r="AO820" s="301"/>
      <c r="AP820" s="301"/>
    </row>
    <row r="821" spans="10:42" ht="13.5" customHeight="1">
      <c r="J821" s="301"/>
      <c r="K821" s="301"/>
      <c r="L821" s="301"/>
      <c r="M821" s="301"/>
      <c r="N821" s="301"/>
      <c r="O821" s="301"/>
      <c r="P821" s="301"/>
      <c r="Q821" s="301"/>
      <c r="R821" s="301"/>
      <c r="S821" s="301"/>
      <c r="T821" s="301"/>
      <c r="U821" s="301"/>
      <c r="V821" s="301"/>
      <c r="W821" s="301"/>
      <c r="X821" s="301"/>
      <c r="Y821" s="301"/>
      <c r="Z821" s="301"/>
      <c r="AA821" s="301"/>
      <c r="AB821" s="301"/>
      <c r="AC821" s="301"/>
      <c r="AD821" s="301"/>
      <c r="AE821" s="301"/>
      <c r="AF821" s="301"/>
      <c r="AG821" s="301"/>
      <c r="AH821" s="301"/>
      <c r="AI821" s="301"/>
      <c r="AJ821" s="301"/>
      <c r="AK821" s="301"/>
      <c r="AL821" s="301"/>
      <c r="AM821" s="301"/>
      <c r="AN821" s="301"/>
      <c r="AO821" s="301"/>
      <c r="AP821" s="301"/>
    </row>
    <row r="822" spans="10:42" ht="13.5" customHeight="1">
      <c r="J822" s="301"/>
      <c r="K822" s="301"/>
      <c r="L822" s="301"/>
      <c r="M822" s="301"/>
      <c r="N822" s="301"/>
      <c r="O822" s="301"/>
      <c r="P822" s="301"/>
      <c r="Q822" s="301"/>
      <c r="R822" s="301"/>
      <c r="S822" s="301"/>
      <c r="T822" s="301"/>
      <c r="U822" s="301"/>
      <c r="V822" s="301"/>
      <c r="W822" s="301"/>
      <c r="X822" s="301"/>
      <c r="Y822" s="301"/>
      <c r="Z822" s="301"/>
      <c r="AA822" s="301"/>
      <c r="AB822" s="301"/>
      <c r="AC822" s="301"/>
      <c r="AD822" s="301"/>
      <c r="AE822" s="301"/>
      <c r="AF822" s="301"/>
      <c r="AG822" s="301"/>
      <c r="AH822" s="301"/>
      <c r="AI822" s="301"/>
      <c r="AJ822" s="301"/>
      <c r="AK822" s="301"/>
      <c r="AL822" s="301"/>
      <c r="AM822" s="301"/>
      <c r="AN822" s="301"/>
      <c r="AO822" s="301"/>
      <c r="AP822" s="301"/>
    </row>
    <row r="823" spans="10:42" ht="13.5" customHeight="1">
      <c r="J823" s="301"/>
      <c r="K823" s="301"/>
      <c r="L823" s="301"/>
      <c r="M823" s="301"/>
      <c r="N823" s="301"/>
      <c r="O823" s="301"/>
      <c r="P823" s="301"/>
      <c r="Q823" s="301"/>
      <c r="R823" s="301"/>
      <c r="S823" s="301"/>
      <c r="T823" s="301"/>
      <c r="U823" s="301"/>
      <c r="V823" s="301"/>
      <c r="W823" s="301"/>
      <c r="X823" s="301"/>
      <c r="Y823" s="301"/>
      <c r="Z823" s="301"/>
      <c r="AA823" s="301"/>
      <c r="AB823" s="301"/>
      <c r="AC823" s="301"/>
      <c r="AD823" s="301"/>
      <c r="AE823" s="301"/>
      <c r="AF823" s="301"/>
      <c r="AG823" s="301"/>
      <c r="AH823" s="301"/>
      <c r="AI823" s="301"/>
      <c r="AJ823" s="301"/>
      <c r="AK823" s="301"/>
      <c r="AL823" s="301"/>
      <c r="AM823" s="301"/>
      <c r="AN823" s="301"/>
      <c r="AO823" s="301"/>
      <c r="AP823" s="301"/>
    </row>
    <row r="824" spans="10:42" ht="13.5" customHeight="1">
      <c r="J824" s="301"/>
      <c r="K824" s="301"/>
      <c r="L824" s="301"/>
      <c r="M824" s="301"/>
      <c r="N824" s="301"/>
      <c r="O824" s="301"/>
      <c r="P824" s="301"/>
      <c r="Q824" s="301"/>
      <c r="R824" s="301"/>
      <c r="S824" s="301"/>
      <c r="T824" s="301"/>
      <c r="U824" s="301"/>
      <c r="V824" s="301"/>
      <c r="W824" s="301"/>
      <c r="X824" s="301"/>
      <c r="Y824" s="301"/>
      <c r="Z824" s="301"/>
      <c r="AA824" s="301"/>
      <c r="AB824" s="301"/>
      <c r="AC824" s="301"/>
      <c r="AD824" s="301"/>
      <c r="AE824" s="301"/>
      <c r="AF824" s="301"/>
      <c r="AG824" s="301"/>
      <c r="AH824" s="301"/>
      <c r="AI824" s="301"/>
      <c r="AJ824" s="301"/>
      <c r="AK824" s="301"/>
      <c r="AL824" s="301"/>
      <c r="AM824" s="301"/>
      <c r="AN824" s="301"/>
      <c r="AO824" s="301"/>
      <c r="AP824" s="301"/>
    </row>
    <row r="825" spans="10:42" ht="13.5" customHeight="1">
      <c r="J825" s="301"/>
      <c r="K825" s="301"/>
      <c r="L825" s="301"/>
      <c r="M825" s="301"/>
      <c r="N825" s="301"/>
      <c r="O825" s="301"/>
      <c r="P825" s="301"/>
      <c r="Q825" s="301"/>
      <c r="R825" s="301"/>
      <c r="S825" s="301"/>
      <c r="T825" s="301"/>
      <c r="U825" s="301"/>
      <c r="V825" s="301"/>
      <c r="W825" s="301"/>
      <c r="X825" s="301"/>
      <c r="Y825" s="301"/>
      <c r="Z825" s="301"/>
      <c r="AA825" s="301"/>
      <c r="AB825" s="301"/>
      <c r="AC825" s="301"/>
      <c r="AD825" s="301"/>
      <c r="AE825" s="301"/>
      <c r="AF825" s="301"/>
      <c r="AG825" s="301"/>
      <c r="AH825" s="301"/>
      <c r="AI825" s="301"/>
      <c r="AJ825" s="301"/>
      <c r="AK825" s="301"/>
      <c r="AL825" s="301"/>
      <c r="AM825" s="301"/>
      <c r="AN825" s="301"/>
      <c r="AO825" s="301"/>
      <c r="AP825" s="301"/>
    </row>
    <row r="826" spans="10:42" ht="13.5" customHeight="1">
      <c r="J826" s="301"/>
      <c r="K826" s="301"/>
      <c r="L826" s="301"/>
      <c r="M826" s="301"/>
      <c r="N826" s="301"/>
      <c r="O826" s="301"/>
      <c r="P826" s="301"/>
      <c r="Q826" s="301"/>
      <c r="R826" s="301"/>
      <c r="S826" s="301"/>
      <c r="T826" s="301"/>
      <c r="U826" s="301"/>
      <c r="V826" s="301"/>
      <c r="W826" s="301"/>
      <c r="X826" s="301"/>
      <c r="Y826" s="301"/>
      <c r="Z826" s="301"/>
      <c r="AA826" s="301"/>
      <c r="AB826" s="301"/>
      <c r="AC826" s="301"/>
      <c r="AD826" s="301"/>
      <c r="AE826" s="301"/>
      <c r="AF826" s="301"/>
      <c r="AG826" s="301"/>
      <c r="AH826" s="301"/>
      <c r="AI826" s="301"/>
      <c r="AJ826" s="301"/>
      <c r="AK826" s="301"/>
      <c r="AL826" s="301"/>
      <c r="AM826" s="301"/>
      <c r="AN826" s="301"/>
      <c r="AO826" s="301"/>
      <c r="AP826" s="301"/>
    </row>
    <row r="827" spans="10:42" ht="13.5" customHeight="1">
      <c r="J827" s="301"/>
      <c r="K827" s="301"/>
      <c r="L827" s="301"/>
      <c r="M827" s="301"/>
      <c r="N827" s="301"/>
      <c r="O827" s="301"/>
      <c r="P827" s="301"/>
      <c r="Q827" s="301"/>
      <c r="R827" s="301"/>
      <c r="S827" s="301"/>
      <c r="T827" s="301"/>
      <c r="U827" s="301"/>
      <c r="V827" s="301"/>
      <c r="W827" s="301"/>
      <c r="X827" s="301"/>
      <c r="Y827" s="301"/>
      <c r="Z827" s="301"/>
      <c r="AA827" s="301"/>
      <c r="AB827" s="301"/>
      <c r="AC827" s="301"/>
      <c r="AD827" s="301"/>
      <c r="AE827" s="301"/>
      <c r="AF827" s="301"/>
      <c r="AG827" s="301"/>
      <c r="AH827" s="301"/>
      <c r="AI827" s="301"/>
      <c r="AJ827" s="301"/>
      <c r="AK827" s="301"/>
      <c r="AL827" s="301"/>
      <c r="AM827" s="301"/>
      <c r="AN827" s="301"/>
      <c r="AO827" s="301"/>
      <c r="AP827" s="301"/>
    </row>
    <row r="828" spans="10:42" ht="13.5" customHeight="1">
      <c r="J828" s="301"/>
      <c r="K828" s="301"/>
      <c r="L828" s="301"/>
      <c r="M828" s="301"/>
      <c r="N828" s="301"/>
      <c r="O828" s="301"/>
      <c r="P828" s="301"/>
      <c r="Q828" s="301"/>
      <c r="R828" s="301"/>
      <c r="S828" s="301"/>
      <c r="T828" s="301"/>
      <c r="U828" s="301"/>
      <c r="V828" s="301"/>
      <c r="W828" s="301"/>
      <c r="X828" s="301"/>
      <c r="Y828" s="301"/>
      <c r="Z828" s="301"/>
      <c r="AA828" s="301"/>
      <c r="AB828" s="301"/>
      <c r="AC828" s="301"/>
      <c r="AD828" s="301"/>
      <c r="AE828" s="301"/>
      <c r="AF828" s="301"/>
      <c r="AG828" s="301"/>
      <c r="AH828" s="301"/>
      <c r="AI828" s="301"/>
      <c r="AJ828" s="301"/>
      <c r="AK828" s="301"/>
      <c r="AL828" s="301"/>
      <c r="AM828" s="301"/>
      <c r="AN828" s="301"/>
      <c r="AO828" s="301"/>
      <c r="AP828" s="301"/>
    </row>
    <row r="829" spans="10:42" ht="13.5" customHeight="1">
      <c r="J829" s="301"/>
      <c r="K829" s="301"/>
      <c r="L829" s="301"/>
      <c r="M829" s="301"/>
      <c r="N829" s="301"/>
      <c r="O829" s="301"/>
      <c r="P829" s="301"/>
      <c r="Q829" s="301"/>
      <c r="R829" s="301"/>
      <c r="S829" s="301"/>
      <c r="T829" s="301"/>
      <c r="U829" s="301"/>
      <c r="V829" s="301"/>
      <c r="W829" s="301"/>
      <c r="X829" s="301"/>
      <c r="Y829" s="301"/>
      <c r="Z829" s="301"/>
      <c r="AA829" s="301"/>
      <c r="AB829" s="301"/>
      <c r="AC829" s="301"/>
      <c r="AD829" s="301"/>
      <c r="AE829" s="301"/>
      <c r="AF829" s="301"/>
      <c r="AG829" s="301"/>
      <c r="AH829" s="301"/>
      <c r="AI829" s="301"/>
      <c r="AJ829" s="301"/>
      <c r="AK829" s="301"/>
      <c r="AL829" s="301"/>
      <c r="AM829" s="301"/>
      <c r="AN829" s="301"/>
      <c r="AO829" s="301"/>
      <c r="AP829" s="301"/>
    </row>
    <row r="830" spans="10:42" ht="13.5" customHeight="1">
      <c r="J830" s="301"/>
      <c r="K830" s="301"/>
      <c r="L830" s="301"/>
      <c r="M830" s="301"/>
      <c r="N830" s="301"/>
      <c r="O830" s="301"/>
      <c r="P830" s="301"/>
      <c r="Q830" s="301"/>
      <c r="R830" s="301"/>
      <c r="S830" s="301"/>
      <c r="T830" s="301"/>
      <c r="U830" s="301"/>
      <c r="V830" s="301"/>
      <c r="W830" s="301"/>
      <c r="X830" s="301"/>
      <c r="Y830" s="301"/>
      <c r="Z830" s="301"/>
      <c r="AA830" s="301"/>
      <c r="AB830" s="301"/>
      <c r="AC830" s="301"/>
      <c r="AD830" s="301"/>
      <c r="AE830" s="301"/>
      <c r="AF830" s="301"/>
      <c r="AG830" s="301"/>
      <c r="AH830" s="301"/>
      <c r="AI830" s="301"/>
      <c r="AJ830" s="301"/>
      <c r="AK830" s="301"/>
      <c r="AL830" s="301"/>
      <c r="AM830" s="301"/>
      <c r="AN830" s="301"/>
      <c r="AO830" s="301"/>
      <c r="AP830" s="301"/>
    </row>
    <row r="831" spans="10:42" ht="13.5" customHeight="1">
      <c r="J831" s="301"/>
      <c r="K831" s="301"/>
      <c r="L831" s="301"/>
      <c r="M831" s="301"/>
      <c r="N831" s="301"/>
      <c r="O831" s="301"/>
      <c r="P831" s="301"/>
      <c r="Q831" s="301"/>
      <c r="R831" s="301"/>
      <c r="S831" s="301"/>
      <c r="T831" s="301"/>
      <c r="U831" s="301"/>
      <c r="V831" s="301"/>
      <c r="W831" s="301"/>
      <c r="X831" s="301"/>
      <c r="Y831" s="301"/>
      <c r="Z831" s="301"/>
      <c r="AA831" s="301"/>
      <c r="AB831" s="301"/>
      <c r="AC831" s="301"/>
      <c r="AD831" s="301"/>
      <c r="AE831" s="301"/>
      <c r="AF831" s="301"/>
      <c r="AG831" s="301"/>
      <c r="AH831" s="301"/>
      <c r="AI831" s="301"/>
      <c r="AJ831" s="301"/>
      <c r="AK831" s="301"/>
      <c r="AL831" s="301"/>
      <c r="AM831" s="301"/>
      <c r="AN831" s="301"/>
      <c r="AO831" s="301"/>
      <c r="AP831" s="301"/>
    </row>
    <row r="832" spans="10:42" ht="13.5" customHeight="1">
      <c r="J832" s="301"/>
      <c r="K832" s="301"/>
      <c r="L832" s="301"/>
      <c r="M832" s="301"/>
      <c r="N832" s="301"/>
      <c r="O832" s="301"/>
      <c r="P832" s="301"/>
      <c r="Q832" s="301"/>
      <c r="R832" s="301"/>
      <c r="S832" s="301"/>
      <c r="T832" s="301"/>
      <c r="U832" s="301"/>
      <c r="V832" s="301"/>
      <c r="W832" s="301"/>
      <c r="X832" s="301"/>
      <c r="Y832" s="301"/>
      <c r="Z832" s="301"/>
      <c r="AA832" s="301"/>
      <c r="AB832" s="301"/>
      <c r="AC832" s="301"/>
      <c r="AD832" s="301"/>
      <c r="AE832" s="301"/>
      <c r="AF832" s="301"/>
      <c r="AG832" s="301"/>
      <c r="AH832" s="301"/>
      <c r="AI832" s="301"/>
      <c r="AJ832" s="301"/>
      <c r="AK832" s="301"/>
      <c r="AL832" s="301"/>
      <c r="AM832" s="301"/>
      <c r="AN832" s="301"/>
      <c r="AO832" s="301"/>
      <c r="AP832" s="301"/>
    </row>
    <row r="833" spans="10:42" ht="13.5" customHeight="1">
      <c r="J833" s="301"/>
      <c r="K833" s="301"/>
      <c r="L833" s="301"/>
      <c r="M833" s="301"/>
      <c r="N833" s="301"/>
      <c r="O833" s="301"/>
      <c r="P833" s="301"/>
      <c r="Q833" s="301"/>
      <c r="R833" s="301"/>
      <c r="S833" s="301"/>
      <c r="T833" s="301"/>
      <c r="U833" s="301"/>
      <c r="V833" s="301"/>
      <c r="W833" s="301"/>
      <c r="X833" s="301"/>
      <c r="Y833" s="301"/>
      <c r="Z833" s="301"/>
      <c r="AA833" s="301"/>
      <c r="AB833" s="301"/>
      <c r="AC833" s="301"/>
      <c r="AD833" s="301"/>
      <c r="AE833" s="301"/>
      <c r="AF833" s="301"/>
      <c r="AG833" s="301"/>
      <c r="AH833" s="301"/>
      <c r="AI833" s="301"/>
      <c r="AJ833" s="301"/>
      <c r="AK833" s="301"/>
      <c r="AL833" s="301"/>
      <c r="AM833" s="301"/>
      <c r="AN833" s="301"/>
      <c r="AO833" s="301"/>
      <c r="AP833" s="301"/>
    </row>
    <row r="834" spans="10:42" ht="13.5" customHeight="1">
      <c r="J834" s="301"/>
      <c r="K834" s="301"/>
      <c r="L834" s="301"/>
      <c r="M834" s="301"/>
      <c r="N834" s="301"/>
      <c r="O834" s="301"/>
      <c r="P834" s="301"/>
      <c r="Q834" s="301"/>
      <c r="R834" s="301"/>
      <c r="S834" s="301"/>
      <c r="T834" s="301"/>
      <c r="U834" s="301"/>
      <c r="V834" s="301"/>
      <c r="W834" s="301"/>
      <c r="X834" s="301"/>
      <c r="Y834" s="301"/>
      <c r="Z834" s="301"/>
      <c r="AA834" s="301"/>
      <c r="AB834" s="301"/>
      <c r="AC834" s="301"/>
      <c r="AD834" s="301"/>
      <c r="AE834" s="301"/>
      <c r="AF834" s="301"/>
      <c r="AG834" s="301"/>
      <c r="AH834" s="301"/>
      <c r="AI834" s="301"/>
      <c r="AJ834" s="301"/>
      <c r="AK834" s="301"/>
      <c r="AL834" s="301"/>
      <c r="AM834" s="301"/>
      <c r="AN834" s="301"/>
      <c r="AO834" s="301"/>
      <c r="AP834" s="301"/>
    </row>
    <row r="835" spans="10:42" ht="13.5" customHeight="1">
      <c r="J835" s="301"/>
      <c r="K835" s="301"/>
      <c r="L835" s="301"/>
      <c r="M835" s="301"/>
      <c r="N835" s="301"/>
      <c r="O835" s="301"/>
      <c r="P835" s="301"/>
      <c r="Q835" s="301"/>
      <c r="R835" s="301"/>
      <c r="S835" s="301"/>
      <c r="T835" s="301"/>
      <c r="U835" s="301"/>
      <c r="V835" s="301"/>
      <c r="W835" s="301"/>
      <c r="X835" s="301"/>
      <c r="Y835" s="301"/>
      <c r="Z835" s="301"/>
      <c r="AA835" s="301"/>
      <c r="AB835" s="301"/>
      <c r="AC835" s="301"/>
      <c r="AD835" s="301"/>
      <c r="AE835" s="301"/>
      <c r="AF835" s="301"/>
      <c r="AG835" s="301"/>
      <c r="AH835" s="301"/>
      <c r="AI835" s="301"/>
      <c r="AJ835" s="301"/>
      <c r="AK835" s="301"/>
      <c r="AL835" s="301"/>
      <c r="AM835" s="301"/>
      <c r="AN835" s="301"/>
      <c r="AO835" s="301"/>
      <c r="AP835" s="301"/>
    </row>
    <row r="836" spans="10:42" ht="13.5" customHeight="1">
      <c r="J836" s="301"/>
      <c r="K836" s="301"/>
      <c r="L836" s="301"/>
      <c r="M836" s="301"/>
      <c r="N836" s="301"/>
      <c r="O836" s="301"/>
      <c r="P836" s="301"/>
      <c r="Q836" s="301"/>
      <c r="R836" s="301"/>
      <c r="S836" s="301"/>
      <c r="T836" s="301"/>
      <c r="U836" s="301"/>
      <c r="V836" s="301"/>
      <c r="W836" s="301"/>
      <c r="X836" s="301"/>
      <c r="Y836" s="301"/>
      <c r="Z836" s="301"/>
      <c r="AA836" s="301"/>
      <c r="AB836" s="301"/>
      <c r="AC836" s="301"/>
      <c r="AD836" s="301"/>
      <c r="AE836" s="301"/>
      <c r="AF836" s="301"/>
      <c r="AG836" s="301"/>
      <c r="AH836" s="301"/>
      <c r="AI836" s="301"/>
      <c r="AJ836" s="301"/>
      <c r="AK836" s="301"/>
      <c r="AL836" s="301"/>
      <c r="AM836" s="301"/>
      <c r="AN836" s="301"/>
      <c r="AO836" s="301"/>
      <c r="AP836" s="301"/>
    </row>
    <row r="837" spans="10:42" ht="13.5" customHeight="1">
      <c r="J837" s="301"/>
      <c r="K837" s="301"/>
      <c r="L837" s="301"/>
      <c r="M837" s="301"/>
      <c r="N837" s="301"/>
      <c r="O837" s="301"/>
      <c r="P837" s="301"/>
      <c r="Q837" s="301"/>
      <c r="R837" s="301"/>
      <c r="S837" s="301"/>
      <c r="T837" s="301"/>
      <c r="U837" s="301"/>
      <c r="V837" s="301"/>
      <c r="W837" s="301"/>
      <c r="X837" s="301"/>
      <c r="Y837" s="301"/>
      <c r="Z837" s="301"/>
      <c r="AA837" s="301"/>
      <c r="AB837" s="301"/>
      <c r="AC837" s="301"/>
      <c r="AD837" s="301"/>
      <c r="AE837" s="301"/>
      <c r="AF837" s="301"/>
      <c r="AG837" s="301"/>
      <c r="AH837" s="301"/>
      <c r="AI837" s="301"/>
      <c r="AJ837" s="301"/>
      <c r="AK837" s="301"/>
      <c r="AL837" s="301"/>
      <c r="AM837" s="301"/>
      <c r="AN837" s="301"/>
      <c r="AO837" s="301"/>
      <c r="AP837" s="301"/>
    </row>
    <row r="838" spans="10:42" ht="13.5" customHeight="1">
      <c r="J838" s="301"/>
      <c r="K838" s="301"/>
      <c r="L838" s="301"/>
      <c r="M838" s="301"/>
      <c r="N838" s="301"/>
      <c r="O838" s="301"/>
      <c r="P838" s="301"/>
      <c r="Q838" s="301"/>
      <c r="R838" s="301"/>
      <c r="S838" s="301"/>
      <c r="T838" s="301"/>
      <c r="U838" s="301"/>
      <c r="V838" s="301"/>
      <c r="W838" s="301"/>
      <c r="X838" s="301"/>
      <c r="Y838" s="301"/>
      <c r="Z838" s="301"/>
      <c r="AA838" s="301"/>
      <c r="AB838" s="301"/>
      <c r="AC838" s="301"/>
      <c r="AD838" s="301"/>
      <c r="AE838" s="301"/>
      <c r="AF838" s="301"/>
      <c r="AG838" s="301"/>
      <c r="AH838" s="301"/>
      <c r="AI838" s="301"/>
      <c r="AJ838" s="301"/>
      <c r="AK838" s="301"/>
      <c r="AL838" s="301"/>
      <c r="AM838" s="301"/>
      <c r="AN838" s="301"/>
      <c r="AO838" s="301"/>
      <c r="AP838" s="301"/>
    </row>
    <row r="839" spans="10:42" ht="13.5" customHeight="1">
      <c r="J839" s="301"/>
      <c r="K839" s="301"/>
      <c r="L839" s="301"/>
      <c r="M839" s="301"/>
      <c r="N839" s="301"/>
      <c r="O839" s="301"/>
      <c r="P839" s="301"/>
      <c r="Q839" s="301"/>
      <c r="R839" s="301"/>
      <c r="S839" s="301"/>
      <c r="T839" s="301"/>
      <c r="U839" s="301"/>
      <c r="V839" s="301"/>
      <c r="W839" s="301"/>
      <c r="X839" s="301"/>
      <c r="Y839" s="301"/>
      <c r="Z839" s="301"/>
      <c r="AA839" s="301"/>
      <c r="AB839" s="301"/>
      <c r="AC839" s="301"/>
      <c r="AD839" s="301"/>
      <c r="AE839" s="301"/>
      <c r="AF839" s="301"/>
      <c r="AG839" s="301"/>
      <c r="AH839" s="301"/>
      <c r="AI839" s="301"/>
      <c r="AJ839" s="301"/>
      <c r="AK839" s="301"/>
      <c r="AL839" s="301"/>
      <c r="AM839" s="301"/>
      <c r="AN839" s="301"/>
      <c r="AO839" s="301"/>
      <c r="AP839" s="301"/>
    </row>
    <row r="840" spans="10:42" ht="13.5" customHeight="1">
      <c r="J840" s="301"/>
      <c r="K840" s="301"/>
      <c r="L840" s="301"/>
      <c r="M840" s="301"/>
      <c r="N840" s="301"/>
      <c r="O840" s="301"/>
      <c r="P840" s="301"/>
      <c r="Q840" s="301"/>
      <c r="R840" s="301"/>
      <c r="S840" s="301"/>
      <c r="T840" s="301"/>
      <c r="U840" s="301"/>
      <c r="V840" s="301"/>
      <c r="W840" s="301"/>
      <c r="X840" s="301"/>
      <c r="Y840" s="301"/>
      <c r="Z840" s="301"/>
      <c r="AA840" s="301"/>
      <c r="AB840" s="301"/>
      <c r="AC840" s="301"/>
      <c r="AD840" s="301"/>
      <c r="AE840" s="301"/>
      <c r="AF840" s="301"/>
      <c r="AG840" s="301"/>
      <c r="AH840" s="301"/>
      <c r="AI840" s="301"/>
      <c r="AJ840" s="301"/>
      <c r="AK840" s="301"/>
      <c r="AL840" s="301"/>
      <c r="AM840" s="301"/>
      <c r="AN840" s="301"/>
      <c r="AO840" s="301"/>
      <c r="AP840" s="301"/>
    </row>
    <row r="841" spans="10:42" ht="13.5" customHeight="1">
      <c r="J841" s="301"/>
      <c r="K841" s="301"/>
      <c r="L841" s="301"/>
      <c r="M841" s="301"/>
      <c r="N841" s="301"/>
      <c r="O841" s="301"/>
      <c r="P841" s="301"/>
      <c r="Q841" s="301"/>
      <c r="R841" s="301"/>
      <c r="S841" s="301"/>
      <c r="T841" s="301"/>
      <c r="U841" s="301"/>
      <c r="V841" s="301"/>
      <c r="W841" s="301"/>
      <c r="X841" s="301"/>
      <c r="Y841" s="301"/>
      <c r="Z841" s="301"/>
      <c r="AA841" s="301"/>
      <c r="AB841" s="301"/>
      <c r="AC841" s="301"/>
      <c r="AD841" s="301"/>
      <c r="AE841" s="301"/>
      <c r="AF841" s="301"/>
      <c r="AG841" s="301"/>
      <c r="AH841" s="301"/>
      <c r="AI841" s="301"/>
      <c r="AJ841" s="301"/>
      <c r="AK841" s="301"/>
      <c r="AL841" s="301"/>
      <c r="AM841" s="301"/>
      <c r="AN841" s="301"/>
      <c r="AO841" s="301"/>
      <c r="AP841" s="301"/>
    </row>
    <row r="842" spans="10:42" ht="13.5" customHeight="1">
      <c r="J842" s="301"/>
      <c r="K842" s="301"/>
      <c r="L842" s="301"/>
      <c r="M842" s="301"/>
      <c r="N842" s="301"/>
      <c r="O842" s="301"/>
      <c r="P842" s="301"/>
      <c r="Q842" s="301"/>
      <c r="R842" s="301"/>
      <c r="S842" s="301"/>
      <c r="T842" s="301"/>
      <c r="U842" s="301"/>
      <c r="V842" s="301"/>
      <c r="W842" s="301"/>
      <c r="X842" s="301"/>
      <c r="Y842" s="301"/>
      <c r="Z842" s="301"/>
      <c r="AA842" s="301"/>
      <c r="AB842" s="301"/>
      <c r="AC842" s="301"/>
      <c r="AD842" s="301"/>
      <c r="AE842" s="301"/>
      <c r="AF842" s="301"/>
      <c r="AG842" s="301"/>
      <c r="AH842" s="301"/>
      <c r="AI842" s="301"/>
      <c r="AJ842" s="301"/>
      <c r="AK842" s="301"/>
      <c r="AL842" s="301"/>
      <c r="AM842" s="301"/>
      <c r="AN842" s="301"/>
      <c r="AO842" s="301"/>
      <c r="AP842" s="301"/>
    </row>
    <row r="843" spans="10:42" ht="13.5" customHeight="1">
      <c r="J843" s="301"/>
      <c r="K843" s="301"/>
      <c r="L843" s="301"/>
      <c r="M843" s="301"/>
      <c r="N843" s="301"/>
      <c r="O843" s="301"/>
      <c r="P843" s="301"/>
      <c r="Q843" s="301"/>
      <c r="R843" s="301"/>
      <c r="S843" s="301"/>
      <c r="T843" s="301"/>
      <c r="U843" s="301"/>
      <c r="V843" s="301"/>
      <c r="W843" s="301"/>
      <c r="X843" s="301"/>
      <c r="Y843" s="301"/>
      <c r="Z843" s="301"/>
      <c r="AA843" s="301"/>
      <c r="AB843" s="301"/>
      <c r="AC843" s="301"/>
      <c r="AD843" s="301"/>
      <c r="AE843" s="301"/>
      <c r="AF843" s="301"/>
      <c r="AG843" s="301"/>
      <c r="AH843" s="301"/>
      <c r="AI843" s="301"/>
      <c r="AJ843" s="301"/>
      <c r="AK843" s="301"/>
      <c r="AL843" s="301"/>
      <c r="AM843" s="301"/>
      <c r="AN843" s="301"/>
      <c r="AO843" s="301"/>
      <c r="AP843" s="301"/>
    </row>
    <row r="844" spans="10:42" ht="13.5" customHeight="1">
      <c r="J844" s="301"/>
      <c r="K844" s="301"/>
      <c r="L844" s="301"/>
      <c r="M844" s="301"/>
      <c r="N844" s="301"/>
      <c r="O844" s="301"/>
      <c r="P844" s="301"/>
      <c r="Q844" s="301"/>
      <c r="R844" s="301"/>
      <c r="S844" s="301"/>
      <c r="T844" s="301"/>
      <c r="U844" s="301"/>
      <c r="V844" s="301"/>
      <c r="W844" s="301"/>
      <c r="X844" s="301"/>
      <c r="Y844" s="301"/>
      <c r="Z844" s="301"/>
      <c r="AA844" s="301"/>
      <c r="AB844" s="301"/>
      <c r="AC844" s="301"/>
      <c r="AD844" s="301"/>
      <c r="AE844" s="301"/>
      <c r="AF844" s="301"/>
      <c r="AG844" s="301"/>
      <c r="AH844" s="301"/>
      <c r="AI844" s="301"/>
      <c r="AJ844" s="301"/>
      <c r="AK844" s="301"/>
      <c r="AL844" s="301"/>
      <c r="AM844" s="301"/>
      <c r="AN844" s="301"/>
      <c r="AO844" s="301"/>
      <c r="AP844" s="301"/>
    </row>
    <row r="845" spans="10:42" ht="13.5" customHeight="1">
      <c r="J845" s="301"/>
      <c r="K845" s="301"/>
      <c r="L845" s="301"/>
      <c r="M845" s="301"/>
      <c r="N845" s="301"/>
      <c r="O845" s="301"/>
      <c r="P845" s="301"/>
      <c r="Q845" s="301"/>
      <c r="R845" s="301"/>
      <c r="S845" s="301"/>
      <c r="T845" s="301"/>
      <c r="U845" s="301"/>
      <c r="V845" s="301"/>
      <c r="W845" s="301"/>
      <c r="X845" s="301"/>
      <c r="Y845" s="301"/>
      <c r="Z845" s="301"/>
      <c r="AA845" s="301"/>
      <c r="AB845" s="301"/>
      <c r="AC845" s="301"/>
      <c r="AD845" s="301"/>
      <c r="AE845" s="301"/>
      <c r="AF845" s="301"/>
      <c r="AG845" s="301"/>
      <c r="AH845" s="301"/>
      <c r="AI845" s="301"/>
      <c r="AJ845" s="301"/>
      <c r="AK845" s="301"/>
      <c r="AL845" s="301"/>
      <c r="AM845" s="301"/>
      <c r="AN845" s="301"/>
      <c r="AO845" s="301"/>
      <c r="AP845" s="301"/>
    </row>
    <row r="846" spans="10:42" ht="13.5" customHeight="1">
      <c r="J846" s="301"/>
      <c r="K846" s="301"/>
      <c r="L846" s="301"/>
      <c r="M846" s="301"/>
      <c r="N846" s="301"/>
      <c r="O846" s="301"/>
      <c r="P846" s="301"/>
      <c r="Q846" s="301"/>
      <c r="R846" s="301"/>
      <c r="S846" s="301"/>
      <c r="T846" s="301"/>
      <c r="U846" s="301"/>
      <c r="V846" s="301"/>
      <c r="W846" s="301"/>
      <c r="X846" s="301"/>
      <c r="Y846" s="301"/>
      <c r="Z846" s="301"/>
      <c r="AA846" s="301"/>
      <c r="AB846" s="301"/>
      <c r="AC846" s="301"/>
      <c r="AD846" s="301"/>
      <c r="AE846" s="301"/>
      <c r="AF846" s="301"/>
      <c r="AG846" s="301"/>
      <c r="AH846" s="301"/>
      <c r="AI846" s="301"/>
      <c r="AJ846" s="301"/>
      <c r="AK846" s="301"/>
      <c r="AL846" s="301"/>
      <c r="AM846" s="301"/>
      <c r="AN846" s="301"/>
      <c r="AO846" s="301"/>
      <c r="AP846" s="301"/>
    </row>
    <row r="847" spans="10:42" ht="13.5" customHeight="1">
      <c r="J847" s="301"/>
      <c r="K847" s="301"/>
      <c r="L847" s="301"/>
      <c r="M847" s="301"/>
      <c r="N847" s="301"/>
      <c r="O847" s="301"/>
      <c r="P847" s="301"/>
      <c r="Q847" s="301"/>
      <c r="R847" s="301"/>
      <c r="S847" s="301"/>
      <c r="T847" s="301"/>
      <c r="U847" s="301"/>
      <c r="V847" s="301"/>
      <c r="W847" s="301"/>
      <c r="X847" s="301"/>
      <c r="Y847" s="301"/>
      <c r="Z847" s="301"/>
      <c r="AA847" s="301"/>
      <c r="AB847" s="301"/>
      <c r="AC847" s="301"/>
      <c r="AD847" s="301"/>
      <c r="AE847" s="301"/>
      <c r="AF847" s="301"/>
      <c r="AG847" s="301"/>
      <c r="AH847" s="301"/>
      <c r="AI847" s="301"/>
      <c r="AJ847" s="301"/>
      <c r="AK847" s="301"/>
      <c r="AL847" s="301"/>
      <c r="AM847" s="301"/>
      <c r="AN847" s="301"/>
      <c r="AO847" s="301"/>
      <c r="AP847" s="301"/>
    </row>
    <row r="848" spans="10:42" ht="13.5" customHeight="1">
      <c r="J848" s="301"/>
      <c r="K848" s="301"/>
      <c r="L848" s="301"/>
      <c r="M848" s="301"/>
      <c r="N848" s="301"/>
      <c r="O848" s="301"/>
      <c r="P848" s="301"/>
      <c r="Q848" s="301"/>
      <c r="R848" s="301"/>
      <c r="S848" s="301"/>
      <c r="T848" s="301"/>
      <c r="U848" s="301"/>
      <c r="V848" s="301"/>
      <c r="W848" s="301"/>
      <c r="X848" s="301"/>
      <c r="Y848" s="301"/>
      <c r="Z848" s="301"/>
      <c r="AA848" s="301"/>
      <c r="AB848" s="301"/>
      <c r="AC848" s="301"/>
      <c r="AD848" s="301"/>
      <c r="AE848" s="301"/>
      <c r="AF848" s="301"/>
      <c r="AG848" s="301"/>
      <c r="AH848" s="301"/>
      <c r="AI848" s="301"/>
      <c r="AJ848" s="301"/>
      <c r="AK848" s="301"/>
      <c r="AL848" s="301"/>
      <c r="AM848" s="301"/>
      <c r="AN848" s="301"/>
      <c r="AO848" s="301"/>
      <c r="AP848" s="301"/>
    </row>
    <row r="849" spans="10:42" ht="13.5" customHeight="1">
      <c r="J849" s="301"/>
      <c r="K849" s="301"/>
      <c r="L849" s="301"/>
      <c r="M849" s="301"/>
      <c r="N849" s="301"/>
      <c r="O849" s="301"/>
      <c r="P849" s="301"/>
      <c r="Q849" s="301"/>
      <c r="R849" s="301"/>
      <c r="S849" s="301"/>
      <c r="T849" s="301"/>
      <c r="U849" s="301"/>
      <c r="V849" s="301"/>
      <c r="W849" s="301"/>
      <c r="X849" s="301"/>
      <c r="Y849" s="301"/>
      <c r="Z849" s="301"/>
      <c r="AA849" s="301"/>
      <c r="AB849" s="301"/>
      <c r="AC849" s="301"/>
      <c r="AD849" s="301"/>
      <c r="AE849" s="301"/>
      <c r="AF849" s="301"/>
      <c r="AG849" s="301"/>
      <c r="AH849" s="301"/>
      <c r="AI849" s="301"/>
      <c r="AJ849" s="301"/>
      <c r="AK849" s="301"/>
      <c r="AL849" s="301"/>
      <c r="AM849" s="301"/>
      <c r="AN849" s="301"/>
      <c r="AO849" s="301"/>
      <c r="AP849" s="301"/>
    </row>
    <row r="850" spans="10:42" ht="13.5" customHeight="1">
      <c r="J850" s="301"/>
      <c r="K850" s="301"/>
      <c r="L850" s="301"/>
      <c r="M850" s="301"/>
      <c r="N850" s="301"/>
      <c r="O850" s="301"/>
      <c r="P850" s="301"/>
      <c r="Q850" s="301"/>
      <c r="R850" s="301"/>
      <c r="S850" s="301"/>
      <c r="T850" s="301"/>
      <c r="U850" s="301"/>
      <c r="V850" s="301"/>
      <c r="W850" s="301"/>
      <c r="X850" s="301"/>
      <c r="Y850" s="301"/>
      <c r="Z850" s="301"/>
      <c r="AA850" s="301"/>
      <c r="AB850" s="301"/>
      <c r="AC850" s="301"/>
      <c r="AD850" s="301"/>
      <c r="AE850" s="301"/>
      <c r="AF850" s="301"/>
      <c r="AG850" s="301"/>
      <c r="AH850" s="301"/>
      <c r="AI850" s="301"/>
      <c r="AJ850" s="301"/>
      <c r="AK850" s="301"/>
      <c r="AL850" s="301"/>
      <c r="AM850" s="301"/>
      <c r="AN850" s="301"/>
      <c r="AO850" s="301"/>
      <c r="AP850" s="301"/>
    </row>
    <row r="851" spans="10:42" ht="13.5" customHeight="1">
      <c r="J851" s="301"/>
      <c r="K851" s="301"/>
      <c r="L851" s="301"/>
      <c r="M851" s="301"/>
      <c r="N851" s="301"/>
      <c r="O851" s="301"/>
      <c r="P851" s="301"/>
      <c r="Q851" s="301"/>
      <c r="R851" s="301"/>
      <c r="S851" s="301"/>
      <c r="T851" s="301"/>
      <c r="U851" s="301"/>
      <c r="V851" s="301"/>
      <c r="W851" s="301"/>
      <c r="X851" s="301"/>
      <c r="Y851" s="301"/>
      <c r="Z851" s="301"/>
      <c r="AA851" s="301"/>
      <c r="AB851" s="301"/>
      <c r="AC851" s="301"/>
      <c r="AD851" s="301"/>
      <c r="AE851" s="301"/>
      <c r="AF851" s="301"/>
      <c r="AG851" s="301"/>
      <c r="AH851" s="301"/>
      <c r="AI851" s="301"/>
      <c r="AJ851" s="301"/>
      <c r="AK851" s="301"/>
      <c r="AL851" s="301"/>
      <c r="AM851" s="301"/>
      <c r="AN851" s="301"/>
      <c r="AO851" s="301"/>
      <c r="AP851" s="301"/>
    </row>
    <row r="852" spans="10:42" ht="13.5" customHeight="1">
      <c r="J852" s="301"/>
      <c r="K852" s="301"/>
      <c r="L852" s="301"/>
      <c r="M852" s="301"/>
      <c r="N852" s="301"/>
      <c r="O852" s="301"/>
      <c r="P852" s="301"/>
      <c r="Q852" s="301"/>
      <c r="R852" s="301"/>
      <c r="S852" s="301"/>
      <c r="T852" s="301"/>
      <c r="U852" s="301"/>
      <c r="V852" s="301"/>
      <c r="W852" s="301"/>
      <c r="X852" s="301"/>
      <c r="Y852" s="301"/>
      <c r="Z852" s="301"/>
      <c r="AA852" s="301"/>
      <c r="AB852" s="301"/>
      <c r="AC852" s="301"/>
      <c r="AD852" s="301"/>
      <c r="AE852" s="301"/>
      <c r="AF852" s="301"/>
      <c r="AG852" s="301"/>
      <c r="AH852" s="301"/>
      <c r="AI852" s="301"/>
      <c r="AJ852" s="301"/>
      <c r="AK852" s="301"/>
      <c r="AL852" s="301"/>
      <c r="AM852" s="301"/>
      <c r="AN852" s="301"/>
      <c r="AO852" s="301"/>
      <c r="AP852" s="301"/>
    </row>
    <row r="853" spans="10:42" ht="13.5" customHeight="1">
      <c r="J853" s="301"/>
      <c r="K853" s="301"/>
      <c r="L853" s="301"/>
      <c r="M853" s="301"/>
      <c r="N853" s="301"/>
      <c r="O853" s="301"/>
      <c r="P853" s="301"/>
      <c r="Q853" s="301"/>
      <c r="R853" s="301"/>
      <c r="S853" s="301"/>
      <c r="T853" s="301"/>
      <c r="U853" s="301"/>
      <c r="V853" s="301"/>
      <c r="W853" s="301"/>
      <c r="X853" s="301"/>
      <c r="Y853" s="301"/>
      <c r="Z853" s="301"/>
      <c r="AA853" s="301"/>
      <c r="AB853" s="301"/>
      <c r="AC853" s="301"/>
      <c r="AD853" s="301"/>
      <c r="AE853" s="301"/>
      <c r="AF853" s="301"/>
      <c r="AG853" s="301"/>
      <c r="AH853" s="301"/>
      <c r="AI853" s="301"/>
      <c r="AJ853" s="301"/>
      <c r="AK853" s="301"/>
      <c r="AL853" s="301"/>
      <c r="AM853" s="301"/>
      <c r="AN853" s="301"/>
      <c r="AO853" s="301"/>
      <c r="AP853" s="301"/>
    </row>
    <row r="854" spans="10:42" ht="13.5" customHeight="1">
      <c r="J854" s="301"/>
      <c r="K854" s="301"/>
      <c r="L854" s="301"/>
      <c r="M854" s="301"/>
      <c r="N854" s="301"/>
      <c r="O854" s="301"/>
      <c r="P854" s="301"/>
      <c r="Q854" s="301"/>
      <c r="R854" s="301"/>
      <c r="S854" s="301"/>
      <c r="T854" s="301"/>
      <c r="U854" s="301"/>
      <c r="V854" s="301"/>
      <c r="W854" s="301"/>
      <c r="X854" s="301"/>
      <c r="Y854" s="301"/>
      <c r="Z854" s="301"/>
      <c r="AA854" s="301"/>
      <c r="AB854" s="301"/>
      <c r="AC854" s="301"/>
      <c r="AD854" s="301"/>
      <c r="AE854" s="301"/>
      <c r="AF854" s="301"/>
      <c r="AG854" s="301"/>
      <c r="AH854" s="301"/>
      <c r="AI854" s="301"/>
      <c r="AJ854" s="301"/>
      <c r="AK854" s="301"/>
      <c r="AL854" s="301"/>
      <c r="AM854" s="301"/>
      <c r="AN854" s="301"/>
      <c r="AO854" s="301"/>
      <c r="AP854" s="301"/>
    </row>
    <row r="855" spans="10:42" ht="13.5" customHeight="1">
      <c r="J855" s="301"/>
      <c r="K855" s="301"/>
      <c r="L855" s="301"/>
      <c r="M855" s="301"/>
      <c r="N855" s="301"/>
      <c r="O855" s="301"/>
      <c r="P855" s="301"/>
      <c r="Q855" s="301"/>
      <c r="R855" s="301"/>
      <c r="S855" s="301"/>
      <c r="T855" s="301"/>
      <c r="U855" s="301"/>
      <c r="V855" s="301"/>
      <c r="W855" s="301"/>
      <c r="X855" s="301"/>
      <c r="Y855" s="301"/>
      <c r="Z855" s="301"/>
      <c r="AA855" s="301"/>
      <c r="AB855" s="301"/>
      <c r="AC855" s="301"/>
      <c r="AD855" s="301"/>
      <c r="AE855" s="301"/>
      <c r="AF855" s="301"/>
      <c r="AG855" s="301"/>
      <c r="AH855" s="301"/>
      <c r="AI855" s="301"/>
      <c r="AJ855" s="301"/>
      <c r="AK855" s="301"/>
      <c r="AL855" s="301"/>
      <c r="AM855" s="301"/>
      <c r="AN855" s="301"/>
      <c r="AO855" s="301"/>
      <c r="AP855" s="301"/>
    </row>
    <row r="856" spans="10:42" ht="13.5" customHeight="1">
      <c r="J856" s="301"/>
      <c r="K856" s="301"/>
      <c r="L856" s="301"/>
      <c r="M856" s="301"/>
      <c r="N856" s="301"/>
      <c r="O856" s="301"/>
      <c r="P856" s="301"/>
      <c r="Q856" s="301"/>
      <c r="R856" s="301"/>
      <c r="S856" s="301"/>
      <c r="T856" s="301"/>
      <c r="U856" s="301"/>
      <c r="V856" s="301"/>
      <c r="W856" s="301"/>
      <c r="X856" s="301"/>
      <c r="Y856" s="301"/>
      <c r="Z856" s="301"/>
      <c r="AA856" s="301"/>
      <c r="AB856" s="301"/>
      <c r="AC856" s="301"/>
      <c r="AD856" s="301"/>
      <c r="AE856" s="301"/>
      <c r="AF856" s="301"/>
      <c r="AG856" s="301"/>
      <c r="AH856" s="301"/>
      <c r="AI856" s="301"/>
      <c r="AJ856" s="301"/>
      <c r="AK856" s="301"/>
      <c r="AL856" s="301"/>
      <c r="AM856" s="301"/>
      <c r="AN856" s="301"/>
      <c r="AO856" s="301"/>
      <c r="AP856" s="301"/>
    </row>
    <row r="857" spans="10:42" ht="13.5" customHeight="1">
      <c r="J857" s="301"/>
      <c r="K857" s="301"/>
      <c r="L857" s="301"/>
      <c r="M857" s="301"/>
      <c r="N857" s="301"/>
      <c r="O857" s="301"/>
      <c r="P857" s="301"/>
      <c r="Q857" s="301"/>
      <c r="R857" s="301"/>
      <c r="S857" s="301"/>
      <c r="T857" s="301"/>
      <c r="U857" s="301"/>
      <c r="V857" s="301"/>
      <c r="W857" s="301"/>
      <c r="X857" s="301"/>
      <c r="Y857" s="301"/>
      <c r="Z857" s="301"/>
      <c r="AA857" s="301"/>
      <c r="AB857" s="301"/>
      <c r="AC857" s="301"/>
      <c r="AD857" s="301"/>
      <c r="AE857" s="301"/>
      <c r="AF857" s="301"/>
      <c r="AG857" s="301"/>
      <c r="AH857" s="301"/>
      <c r="AI857" s="301"/>
      <c r="AJ857" s="301"/>
      <c r="AK857" s="301"/>
      <c r="AL857" s="301"/>
      <c r="AM857" s="301"/>
      <c r="AN857" s="301"/>
      <c r="AO857" s="301"/>
      <c r="AP857" s="301"/>
    </row>
    <row r="858" spans="10:42" ht="13.5" customHeight="1">
      <c r="J858" s="301"/>
      <c r="K858" s="301"/>
      <c r="L858" s="301"/>
      <c r="M858" s="301"/>
      <c r="N858" s="301"/>
      <c r="O858" s="301"/>
      <c r="P858" s="301"/>
      <c r="Q858" s="301"/>
      <c r="R858" s="301"/>
      <c r="S858" s="301"/>
      <c r="T858" s="301"/>
      <c r="U858" s="301"/>
      <c r="V858" s="301"/>
      <c r="W858" s="301"/>
      <c r="X858" s="301"/>
      <c r="Y858" s="301"/>
      <c r="Z858" s="301"/>
      <c r="AA858" s="301"/>
      <c r="AB858" s="301"/>
      <c r="AC858" s="301"/>
      <c r="AD858" s="301"/>
      <c r="AE858" s="301"/>
      <c r="AF858" s="301"/>
      <c r="AG858" s="301"/>
      <c r="AH858" s="301"/>
      <c r="AI858" s="301"/>
      <c r="AJ858" s="301"/>
      <c r="AK858" s="301"/>
      <c r="AL858" s="301"/>
      <c r="AM858" s="301"/>
      <c r="AN858" s="301"/>
      <c r="AO858" s="301"/>
      <c r="AP858" s="301"/>
    </row>
    <row r="859" spans="10:42" ht="13.5" customHeight="1">
      <c r="J859" s="301"/>
      <c r="K859" s="301"/>
      <c r="L859" s="301"/>
      <c r="M859" s="301"/>
      <c r="N859" s="301"/>
      <c r="O859" s="301"/>
      <c r="P859" s="301"/>
      <c r="Q859" s="301"/>
      <c r="R859" s="301"/>
      <c r="S859" s="301"/>
      <c r="T859" s="301"/>
      <c r="U859" s="301"/>
      <c r="V859" s="301"/>
      <c r="W859" s="301"/>
      <c r="X859" s="301"/>
      <c r="Y859" s="301"/>
      <c r="Z859" s="301"/>
      <c r="AA859" s="301"/>
      <c r="AB859" s="301"/>
      <c r="AC859" s="301"/>
      <c r="AD859" s="301"/>
      <c r="AE859" s="301"/>
      <c r="AF859" s="301"/>
      <c r="AG859" s="301"/>
      <c r="AH859" s="301"/>
      <c r="AI859" s="301"/>
      <c r="AJ859" s="301"/>
      <c r="AK859" s="301"/>
      <c r="AL859" s="301"/>
      <c r="AM859" s="301"/>
      <c r="AN859" s="301"/>
      <c r="AO859" s="301"/>
      <c r="AP859" s="301"/>
    </row>
    <row r="860" spans="10:42" ht="13.5" customHeight="1">
      <c r="J860" s="301"/>
      <c r="K860" s="301"/>
      <c r="L860" s="301"/>
      <c r="M860" s="301"/>
      <c r="N860" s="301"/>
      <c r="O860" s="301"/>
      <c r="P860" s="301"/>
      <c r="Q860" s="301"/>
      <c r="R860" s="301"/>
      <c r="S860" s="301"/>
      <c r="T860" s="301"/>
      <c r="U860" s="301"/>
      <c r="V860" s="301"/>
      <c r="W860" s="301"/>
      <c r="X860" s="301"/>
      <c r="Y860" s="301"/>
      <c r="Z860" s="301"/>
      <c r="AA860" s="301"/>
      <c r="AB860" s="301"/>
      <c r="AC860" s="301"/>
      <c r="AD860" s="301"/>
      <c r="AE860" s="301"/>
      <c r="AF860" s="301"/>
      <c r="AG860" s="301"/>
      <c r="AH860" s="301"/>
      <c r="AI860" s="301"/>
      <c r="AJ860" s="301"/>
      <c r="AK860" s="301"/>
      <c r="AL860" s="301"/>
      <c r="AM860" s="301"/>
      <c r="AN860" s="301"/>
      <c r="AO860" s="301"/>
      <c r="AP860" s="301"/>
    </row>
    <row r="861" spans="10:42" ht="13.5" customHeight="1">
      <c r="J861" s="301"/>
      <c r="K861" s="301"/>
      <c r="L861" s="301"/>
      <c r="M861" s="301"/>
      <c r="N861" s="301"/>
      <c r="O861" s="301"/>
      <c r="P861" s="301"/>
      <c r="Q861" s="301"/>
      <c r="R861" s="301"/>
      <c r="S861" s="301"/>
      <c r="T861" s="301"/>
      <c r="U861" s="301"/>
      <c r="V861" s="301"/>
      <c r="W861" s="301"/>
      <c r="X861" s="301"/>
      <c r="Y861" s="301"/>
      <c r="Z861" s="301"/>
      <c r="AA861" s="301"/>
      <c r="AB861" s="301"/>
      <c r="AC861" s="301"/>
      <c r="AD861" s="301"/>
      <c r="AE861" s="301"/>
      <c r="AF861" s="301"/>
      <c r="AG861" s="301"/>
      <c r="AH861" s="301"/>
      <c r="AI861" s="301"/>
      <c r="AJ861" s="301"/>
      <c r="AK861" s="301"/>
      <c r="AL861" s="301"/>
      <c r="AM861" s="301"/>
      <c r="AN861" s="301"/>
      <c r="AO861" s="301"/>
      <c r="AP861" s="301"/>
    </row>
    <row r="862" spans="10:42" ht="13.5" customHeight="1">
      <c r="J862" s="301"/>
      <c r="K862" s="301"/>
      <c r="L862" s="301"/>
      <c r="M862" s="301"/>
      <c r="N862" s="301"/>
      <c r="O862" s="301"/>
      <c r="P862" s="301"/>
      <c r="Q862" s="301"/>
      <c r="R862" s="301"/>
      <c r="S862" s="301"/>
      <c r="T862" s="301"/>
      <c r="U862" s="301"/>
      <c r="V862" s="301"/>
      <c r="W862" s="301"/>
      <c r="X862" s="301"/>
      <c r="Y862" s="301"/>
      <c r="Z862" s="301"/>
      <c r="AA862" s="301"/>
      <c r="AB862" s="301"/>
      <c r="AC862" s="301"/>
      <c r="AD862" s="301"/>
      <c r="AE862" s="301"/>
      <c r="AF862" s="301"/>
      <c r="AG862" s="301"/>
      <c r="AH862" s="301"/>
      <c r="AI862" s="301"/>
      <c r="AJ862" s="301"/>
      <c r="AK862" s="301"/>
      <c r="AL862" s="301"/>
      <c r="AM862" s="301"/>
      <c r="AN862" s="301"/>
      <c r="AO862" s="301"/>
      <c r="AP862" s="301"/>
    </row>
    <row r="863" spans="10:42" ht="13.5" customHeight="1">
      <c r="J863" s="301"/>
      <c r="K863" s="301"/>
      <c r="L863" s="301"/>
      <c r="M863" s="301"/>
      <c r="N863" s="301"/>
      <c r="O863" s="301"/>
      <c r="P863" s="301"/>
      <c r="Q863" s="301"/>
      <c r="R863" s="301"/>
      <c r="S863" s="301"/>
      <c r="T863" s="301"/>
      <c r="U863" s="301"/>
      <c r="V863" s="301"/>
      <c r="W863" s="301"/>
      <c r="X863" s="301"/>
      <c r="Y863" s="301"/>
      <c r="Z863" s="301"/>
      <c r="AA863" s="301"/>
      <c r="AB863" s="301"/>
      <c r="AC863" s="301"/>
      <c r="AD863" s="301"/>
      <c r="AE863" s="301"/>
      <c r="AF863" s="301"/>
      <c r="AG863" s="301"/>
      <c r="AH863" s="301"/>
      <c r="AI863" s="301"/>
      <c r="AJ863" s="301"/>
      <c r="AK863" s="301"/>
      <c r="AL863" s="301"/>
      <c r="AM863" s="301"/>
      <c r="AN863" s="301"/>
      <c r="AO863" s="301"/>
      <c r="AP863" s="301"/>
    </row>
    <row r="864" spans="10:42" ht="13.5" customHeight="1">
      <c r="J864" s="301"/>
      <c r="K864" s="301"/>
      <c r="L864" s="301"/>
      <c r="M864" s="301"/>
      <c r="N864" s="301"/>
      <c r="O864" s="301"/>
      <c r="P864" s="301"/>
      <c r="Q864" s="301"/>
      <c r="R864" s="301"/>
      <c r="S864" s="301"/>
      <c r="T864" s="301"/>
      <c r="U864" s="301"/>
      <c r="V864" s="301"/>
      <c r="W864" s="301"/>
      <c r="X864" s="301"/>
      <c r="Y864" s="301"/>
      <c r="Z864" s="301"/>
      <c r="AA864" s="301"/>
      <c r="AB864" s="301"/>
      <c r="AC864" s="301"/>
      <c r="AD864" s="301"/>
      <c r="AE864" s="301"/>
      <c r="AF864" s="301"/>
      <c r="AG864" s="301"/>
      <c r="AH864" s="301"/>
      <c r="AI864" s="301"/>
      <c r="AJ864" s="301"/>
      <c r="AK864" s="301"/>
      <c r="AL864" s="301"/>
      <c r="AM864" s="301"/>
      <c r="AN864" s="301"/>
      <c r="AO864" s="301"/>
      <c r="AP864" s="301"/>
    </row>
    <row r="865" spans="10:42" ht="13.5" customHeight="1">
      <c r="J865" s="301"/>
      <c r="K865" s="301"/>
      <c r="L865" s="301"/>
      <c r="M865" s="301"/>
      <c r="N865" s="301"/>
      <c r="O865" s="301"/>
      <c r="P865" s="301"/>
      <c r="Q865" s="301"/>
      <c r="R865" s="301"/>
      <c r="S865" s="301"/>
      <c r="T865" s="301"/>
      <c r="U865" s="301"/>
      <c r="V865" s="301"/>
      <c r="W865" s="301"/>
      <c r="X865" s="301"/>
      <c r="Y865" s="301"/>
      <c r="Z865" s="301"/>
      <c r="AA865" s="301"/>
      <c r="AB865" s="301"/>
      <c r="AC865" s="301"/>
      <c r="AD865" s="301"/>
      <c r="AE865" s="301"/>
      <c r="AF865" s="301"/>
      <c r="AG865" s="301"/>
      <c r="AH865" s="301"/>
      <c r="AI865" s="301"/>
      <c r="AJ865" s="301"/>
      <c r="AK865" s="301"/>
      <c r="AL865" s="301"/>
      <c r="AM865" s="301"/>
      <c r="AN865" s="301"/>
      <c r="AO865" s="301"/>
      <c r="AP865" s="301"/>
    </row>
    <row r="866" spans="10:42" ht="13.5" customHeight="1">
      <c r="J866" s="301"/>
      <c r="K866" s="301"/>
      <c r="L866" s="301"/>
      <c r="M866" s="301"/>
      <c r="N866" s="301"/>
      <c r="O866" s="301"/>
      <c r="P866" s="301"/>
      <c r="Q866" s="301"/>
      <c r="R866" s="301"/>
      <c r="S866" s="301"/>
      <c r="T866" s="301"/>
      <c r="U866" s="301"/>
      <c r="V866" s="301"/>
      <c r="W866" s="301"/>
      <c r="X866" s="301"/>
      <c r="Y866" s="301"/>
      <c r="Z866" s="301"/>
      <c r="AA866" s="301"/>
      <c r="AB866" s="301"/>
      <c r="AC866" s="301"/>
      <c r="AD866" s="301"/>
      <c r="AE866" s="301"/>
      <c r="AF866" s="301"/>
      <c r="AG866" s="301"/>
      <c r="AH866" s="301"/>
      <c r="AI866" s="301"/>
      <c r="AJ866" s="301"/>
      <c r="AK866" s="301"/>
      <c r="AL866" s="301"/>
      <c r="AM866" s="301"/>
      <c r="AN866" s="301"/>
      <c r="AO866" s="301"/>
      <c r="AP866" s="301"/>
    </row>
    <row r="867" spans="10:42" ht="13.5" customHeight="1">
      <c r="J867" s="301"/>
      <c r="K867" s="301"/>
      <c r="L867" s="301"/>
      <c r="M867" s="301"/>
      <c r="N867" s="301"/>
      <c r="O867" s="301"/>
      <c r="P867" s="301"/>
      <c r="Q867" s="301"/>
      <c r="R867" s="301"/>
      <c r="S867" s="301"/>
      <c r="T867" s="301"/>
      <c r="U867" s="301"/>
      <c r="V867" s="301"/>
      <c r="W867" s="301"/>
      <c r="X867" s="301"/>
      <c r="Y867" s="301"/>
      <c r="Z867" s="301"/>
      <c r="AA867" s="301"/>
      <c r="AB867" s="301"/>
      <c r="AC867" s="301"/>
      <c r="AD867" s="301"/>
      <c r="AE867" s="301"/>
      <c r="AF867" s="301"/>
      <c r="AG867" s="301"/>
      <c r="AH867" s="301"/>
      <c r="AI867" s="301"/>
      <c r="AJ867" s="301"/>
      <c r="AK867" s="301"/>
      <c r="AL867" s="301"/>
      <c r="AM867" s="301"/>
      <c r="AN867" s="301"/>
      <c r="AO867" s="301"/>
      <c r="AP867" s="301"/>
    </row>
    <row r="868" spans="10:42" ht="13.5" customHeight="1">
      <c r="J868" s="301"/>
      <c r="K868" s="301"/>
      <c r="L868" s="301"/>
      <c r="M868" s="301"/>
      <c r="N868" s="301"/>
      <c r="O868" s="301"/>
      <c r="P868" s="301"/>
      <c r="Q868" s="301"/>
      <c r="R868" s="301"/>
      <c r="S868" s="301"/>
      <c r="T868" s="301"/>
      <c r="U868" s="301"/>
      <c r="V868" s="301"/>
      <c r="W868" s="301"/>
      <c r="X868" s="301"/>
      <c r="Y868" s="301"/>
      <c r="Z868" s="301"/>
      <c r="AA868" s="301"/>
      <c r="AB868" s="301"/>
      <c r="AC868" s="301"/>
      <c r="AD868" s="301"/>
      <c r="AE868" s="301"/>
      <c r="AF868" s="301"/>
      <c r="AG868" s="301"/>
      <c r="AH868" s="301"/>
      <c r="AI868" s="301"/>
      <c r="AJ868" s="301"/>
      <c r="AK868" s="301"/>
      <c r="AL868" s="301"/>
      <c r="AM868" s="301"/>
      <c r="AN868" s="301"/>
      <c r="AO868" s="301"/>
      <c r="AP868" s="301"/>
    </row>
    <row r="869" spans="10:42" ht="13.5" customHeight="1">
      <c r="J869" s="301"/>
      <c r="K869" s="301"/>
      <c r="L869" s="301"/>
      <c r="M869" s="301"/>
      <c r="N869" s="301"/>
      <c r="O869" s="301"/>
      <c r="P869" s="301"/>
      <c r="Q869" s="301"/>
      <c r="R869" s="301"/>
      <c r="S869" s="301"/>
      <c r="T869" s="301"/>
      <c r="U869" s="301"/>
      <c r="V869" s="301"/>
      <c r="W869" s="301"/>
      <c r="X869" s="301"/>
      <c r="Y869" s="301"/>
      <c r="Z869" s="301"/>
      <c r="AA869" s="301"/>
      <c r="AB869" s="301"/>
      <c r="AC869" s="301"/>
      <c r="AD869" s="301"/>
      <c r="AE869" s="301"/>
      <c r="AF869" s="301"/>
      <c r="AG869" s="301"/>
      <c r="AH869" s="301"/>
      <c r="AI869" s="301"/>
      <c r="AJ869" s="301"/>
      <c r="AK869" s="301"/>
      <c r="AL869" s="301"/>
      <c r="AM869" s="301"/>
      <c r="AN869" s="301"/>
      <c r="AO869" s="301"/>
      <c r="AP869" s="301"/>
    </row>
    <row r="870" spans="10:42" ht="13.5" customHeight="1">
      <c r="J870" s="301"/>
      <c r="K870" s="301"/>
      <c r="L870" s="301"/>
      <c r="M870" s="301"/>
      <c r="N870" s="301"/>
      <c r="O870" s="301"/>
      <c r="P870" s="301"/>
      <c r="Q870" s="301"/>
      <c r="R870" s="301"/>
      <c r="S870" s="301"/>
      <c r="T870" s="301"/>
      <c r="U870" s="301"/>
      <c r="V870" s="301"/>
      <c r="W870" s="301"/>
      <c r="X870" s="301"/>
      <c r="Y870" s="301"/>
      <c r="Z870" s="301"/>
      <c r="AA870" s="301"/>
      <c r="AB870" s="301"/>
      <c r="AC870" s="301"/>
      <c r="AD870" s="301"/>
      <c r="AE870" s="301"/>
      <c r="AF870" s="301"/>
      <c r="AG870" s="301"/>
      <c r="AH870" s="301"/>
      <c r="AI870" s="301"/>
      <c r="AJ870" s="301"/>
      <c r="AK870" s="301"/>
      <c r="AL870" s="301"/>
      <c r="AM870" s="301"/>
      <c r="AN870" s="301"/>
      <c r="AO870" s="301"/>
      <c r="AP870" s="301"/>
    </row>
    <row r="871" spans="10:42" ht="13.5" customHeight="1">
      <c r="J871" s="301"/>
      <c r="K871" s="301"/>
      <c r="L871" s="301"/>
      <c r="M871" s="301"/>
      <c r="N871" s="301"/>
      <c r="O871" s="301"/>
      <c r="P871" s="301"/>
      <c r="Q871" s="301"/>
      <c r="R871" s="301"/>
      <c r="S871" s="301"/>
      <c r="T871" s="301"/>
      <c r="U871" s="301"/>
      <c r="V871" s="301"/>
      <c r="W871" s="301"/>
      <c r="X871" s="301"/>
      <c r="Y871" s="301"/>
      <c r="Z871" s="301"/>
      <c r="AA871" s="301"/>
      <c r="AB871" s="301"/>
      <c r="AC871" s="301"/>
      <c r="AD871" s="301"/>
      <c r="AE871" s="301"/>
      <c r="AF871" s="301"/>
      <c r="AG871" s="301"/>
      <c r="AH871" s="301"/>
      <c r="AI871" s="301"/>
      <c r="AJ871" s="301"/>
      <c r="AK871" s="301"/>
      <c r="AL871" s="301"/>
      <c r="AM871" s="301"/>
      <c r="AN871" s="301"/>
      <c r="AO871" s="301"/>
      <c r="AP871" s="301"/>
    </row>
    <row r="872" spans="10:42" ht="13.5" customHeight="1">
      <c r="J872" s="301"/>
      <c r="K872" s="301"/>
      <c r="L872" s="301"/>
      <c r="M872" s="301"/>
      <c r="N872" s="301"/>
      <c r="O872" s="301"/>
      <c r="P872" s="301"/>
      <c r="Q872" s="301"/>
      <c r="R872" s="301"/>
      <c r="S872" s="301"/>
      <c r="T872" s="301"/>
      <c r="U872" s="301"/>
      <c r="V872" s="301"/>
      <c r="W872" s="301"/>
      <c r="X872" s="301"/>
      <c r="Y872" s="301"/>
      <c r="Z872" s="301"/>
      <c r="AA872" s="301"/>
      <c r="AB872" s="301"/>
      <c r="AC872" s="301"/>
      <c r="AD872" s="301"/>
      <c r="AE872" s="301"/>
      <c r="AF872" s="301"/>
      <c r="AG872" s="301"/>
      <c r="AH872" s="301"/>
      <c r="AI872" s="301"/>
      <c r="AJ872" s="301"/>
      <c r="AK872" s="301"/>
      <c r="AL872" s="301"/>
      <c r="AM872" s="301"/>
      <c r="AN872" s="301"/>
      <c r="AO872" s="301"/>
      <c r="AP872" s="301"/>
    </row>
    <row r="873" spans="10:42" ht="13.5" customHeight="1">
      <c r="J873" s="301"/>
      <c r="K873" s="301"/>
      <c r="L873" s="301"/>
      <c r="M873" s="301"/>
      <c r="N873" s="301"/>
      <c r="O873" s="301"/>
      <c r="P873" s="301"/>
      <c r="Q873" s="301"/>
      <c r="R873" s="301"/>
      <c r="S873" s="301"/>
      <c r="T873" s="301"/>
      <c r="U873" s="301"/>
      <c r="V873" s="301"/>
      <c r="W873" s="301"/>
      <c r="X873" s="301"/>
      <c r="Y873" s="301"/>
      <c r="Z873" s="301"/>
      <c r="AA873" s="301"/>
      <c r="AB873" s="301"/>
      <c r="AC873" s="301"/>
      <c r="AD873" s="301"/>
      <c r="AE873" s="301"/>
      <c r="AF873" s="301"/>
      <c r="AG873" s="301"/>
      <c r="AH873" s="301"/>
      <c r="AI873" s="301"/>
      <c r="AJ873" s="301"/>
      <c r="AK873" s="301"/>
      <c r="AL873" s="301"/>
      <c r="AM873" s="301"/>
      <c r="AN873" s="301"/>
      <c r="AO873" s="301"/>
      <c r="AP873" s="301"/>
    </row>
    <row r="874" spans="10:42" ht="13.5" customHeight="1">
      <c r="J874" s="301"/>
      <c r="K874" s="301"/>
      <c r="L874" s="301"/>
      <c r="M874" s="301"/>
      <c r="N874" s="301"/>
      <c r="O874" s="301"/>
      <c r="P874" s="301"/>
      <c r="Q874" s="301"/>
      <c r="R874" s="301"/>
      <c r="S874" s="301"/>
      <c r="T874" s="301"/>
      <c r="U874" s="301"/>
      <c r="V874" s="301"/>
      <c r="W874" s="301"/>
      <c r="X874" s="301"/>
      <c r="Y874" s="301"/>
      <c r="Z874" s="301"/>
      <c r="AA874" s="301"/>
      <c r="AB874" s="301"/>
      <c r="AC874" s="301"/>
      <c r="AD874" s="301"/>
      <c r="AE874" s="301"/>
      <c r="AF874" s="301"/>
      <c r="AG874" s="301"/>
      <c r="AH874" s="301"/>
      <c r="AI874" s="301"/>
      <c r="AJ874" s="301"/>
      <c r="AK874" s="301"/>
      <c r="AL874" s="301"/>
      <c r="AM874" s="301"/>
      <c r="AN874" s="301"/>
      <c r="AO874" s="301"/>
      <c r="AP874" s="301"/>
    </row>
    <row r="875" spans="10:42" ht="13.5" customHeight="1">
      <c r="J875" s="301"/>
      <c r="K875" s="301"/>
      <c r="L875" s="301"/>
      <c r="M875" s="301"/>
      <c r="N875" s="301"/>
      <c r="O875" s="301"/>
      <c r="P875" s="301"/>
      <c r="Q875" s="301"/>
      <c r="R875" s="301"/>
      <c r="S875" s="301"/>
      <c r="T875" s="301"/>
      <c r="U875" s="301"/>
      <c r="V875" s="301"/>
      <c r="W875" s="301"/>
      <c r="X875" s="301"/>
      <c r="Y875" s="301"/>
      <c r="Z875" s="301"/>
      <c r="AA875" s="301"/>
      <c r="AB875" s="301"/>
      <c r="AC875" s="301"/>
      <c r="AD875" s="301"/>
      <c r="AE875" s="301"/>
      <c r="AF875" s="301"/>
      <c r="AG875" s="301"/>
      <c r="AH875" s="301"/>
      <c r="AI875" s="301"/>
      <c r="AJ875" s="301"/>
      <c r="AK875" s="301"/>
      <c r="AL875" s="301"/>
      <c r="AM875" s="301"/>
      <c r="AN875" s="301"/>
      <c r="AO875" s="301"/>
      <c r="AP875" s="301"/>
    </row>
    <row r="876" spans="10:42" ht="13.5" customHeight="1">
      <c r="J876" s="301"/>
      <c r="K876" s="301"/>
      <c r="L876" s="301"/>
      <c r="M876" s="301"/>
      <c r="N876" s="301"/>
      <c r="O876" s="301"/>
      <c r="P876" s="301"/>
      <c r="Q876" s="301"/>
      <c r="R876" s="301"/>
      <c r="S876" s="301"/>
      <c r="T876" s="301"/>
      <c r="U876" s="301"/>
      <c r="V876" s="301"/>
      <c r="W876" s="301"/>
      <c r="X876" s="301"/>
      <c r="Y876" s="301"/>
      <c r="Z876" s="301"/>
      <c r="AA876" s="301"/>
      <c r="AB876" s="301"/>
      <c r="AC876" s="301"/>
      <c r="AD876" s="301"/>
      <c r="AE876" s="301"/>
      <c r="AF876" s="301"/>
      <c r="AG876" s="301"/>
      <c r="AH876" s="301"/>
      <c r="AI876" s="301"/>
      <c r="AJ876" s="301"/>
      <c r="AK876" s="301"/>
      <c r="AL876" s="301"/>
      <c r="AM876" s="301"/>
      <c r="AN876" s="301"/>
      <c r="AO876" s="301"/>
      <c r="AP876" s="301"/>
    </row>
    <row r="877" spans="10:42" ht="13.5" customHeight="1">
      <c r="J877" s="301"/>
      <c r="K877" s="301"/>
      <c r="L877" s="301"/>
      <c r="M877" s="301"/>
      <c r="N877" s="301"/>
      <c r="O877" s="301"/>
      <c r="P877" s="301"/>
      <c r="Q877" s="301"/>
      <c r="R877" s="301"/>
      <c r="S877" s="301"/>
      <c r="T877" s="301"/>
      <c r="U877" s="301"/>
      <c r="V877" s="301"/>
      <c r="W877" s="301"/>
      <c r="X877" s="301"/>
      <c r="Y877" s="301"/>
      <c r="Z877" s="301"/>
      <c r="AA877" s="301"/>
      <c r="AB877" s="301"/>
      <c r="AC877" s="301"/>
      <c r="AD877" s="301"/>
      <c r="AE877" s="301"/>
      <c r="AF877" s="301"/>
      <c r="AG877" s="301"/>
      <c r="AH877" s="301"/>
      <c r="AI877" s="301"/>
      <c r="AJ877" s="301"/>
      <c r="AK877" s="301"/>
      <c r="AL877" s="301"/>
      <c r="AM877" s="301"/>
      <c r="AN877" s="301"/>
      <c r="AO877" s="301"/>
      <c r="AP877" s="301"/>
    </row>
    <row r="878" spans="10:42" ht="13.5" customHeight="1">
      <c r="J878" s="301"/>
      <c r="K878" s="301"/>
      <c r="L878" s="301"/>
      <c r="M878" s="301"/>
      <c r="N878" s="301"/>
      <c r="O878" s="301"/>
      <c r="P878" s="301"/>
      <c r="Q878" s="301"/>
      <c r="R878" s="301"/>
      <c r="S878" s="301"/>
      <c r="T878" s="301"/>
      <c r="U878" s="301"/>
      <c r="V878" s="301"/>
      <c r="W878" s="301"/>
      <c r="X878" s="301"/>
      <c r="Y878" s="301"/>
      <c r="Z878" s="301"/>
      <c r="AA878" s="301"/>
      <c r="AB878" s="301"/>
      <c r="AC878" s="301"/>
      <c r="AD878" s="301"/>
      <c r="AE878" s="301"/>
      <c r="AF878" s="301"/>
      <c r="AG878" s="301"/>
      <c r="AH878" s="301"/>
      <c r="AI878" s="301"/>
      <c r="AJ878" s="301"/>
      <c r="AK878" s="301"/>
      <c r="AL878" s="301"/>
      <c r="AM878" s="301"/>
      <c r="AN878" s="301"/>
      <c r="AO878" s="301"/>
      <c r="AP878" s="301"/>
    </row>
    <row r="879" spans="10:42" ht="13.5" customHeight="1">
      <c r="J879" s="301"/>
      <c r="K879" s="301"/>
      <c r="L879" s="301"/>
      <c r="M879" s="301"/>
      <c r="N879" s="301"/>
      <c r="O879" s="301"/>
      <c r="P879" s="301"/>
      <c r="Q879" s="301"/>
      <c r="R879" s="301"/>
      <c r="S879" s="301"/>
      <c r="T879" s="301"/>
      <c r="U879" s="301"/>
      <c r="V879" s="301"/>
      <c r="W879" s="301"/>
      <c r="X879" s="301"/>
      <c r="Y879" s="301"/>
      <c r="Z879" s="301"/>
      <c r="AA879" s="301"/>
      <c r="AB879" s="301"/>
      <c r="AC879" s="301"/>
      <c r="AD879" s="301"/>
      <c r="AE879" s="301"/>
      <c r="AF879" s="301"/>
      <c r="AG879" s="301"/>
      <c r="AH879" s="301"/>
      <c r="AI879" s="301"/>
      <c r="AJ879" s="301"/>
      <c r="AK879" s="301"/>
      <c r="AL879" s="301"/>
      <c r="AM879" s="301"/>
      <c r="AN879" s="301"/>
      <c r="AO879" s="301"/>
      <c r="AP879" s="301"/>
    </row>
    <row r="880" spans="10:42" ht="13.5" customHeight="1">
      <c r="J880" s="301"/>
      <c r="K880" s="301"/>
      <c r="L880" s="301"/>
      <c r="M880" s="301"/>
      <c r="N880" s="301"/>
      <c r="O880" s="301"/>
      <c r="P880" s="301"/>
      <c r="Q880" s="301"/>
      <c r="R880" s="301"/>
      <c r="S880" s="301"/>
      <c r="T880" s="301"/>
      <c r="U880" s="301"/>
      <c r="V880" s="301"/>
      <c r="W880" s="301"/>
      <c r="X880" s="301"/>
      <c r="Y880" s="301"/>
      <c r="Z880" s="301"/>
      <c r="AA880" s="301"/>
      <c r="AB880" s="301"/>
      <c r="AC880" s="301"/>
      <c r="AD880" s="301"/>
      <c r="AE880" s="301"/>
      <c r="AF880" s="301"/>
      <c r="AG880" s="301"/>
      <c r="AH880" s="301"/>
      <c r="AI880" s="301"/>
      <c r="AJ880" s="301"/>
      <c r="AK880" s="301"/>
      <c r="AL880" s="301"/>
      <c r="AM880" s="301"/>
      <c r="AN880" s="301"/>
      <c r="AO880" s="301"/>
      <c r="AP880" s="301"/>
    </row>
    <row r="881" spans="10:42" ht="13.5" customHeight="1">
      <c r="J881" s="301"/>
      <c r="K881" s="301"/>
      <c r="L881" s="301"/>
      <c r="M881" s="301"/>
      <c r="N881" s="301"/>
      <c r="O881" s="301"/>
      <c r="P881" s="301"/>
      <c r="Q881" s="301"/>
      <c r="R881" s="301"/>
      <c r="S881" s="301"/>
      <c r="T881" s="301"/>
      <c r="U881" s="301"/>
      <c r="V881" s="301"/>
      <c r="W881" s="301"/>
      <c r="X881" s="301"/>
      <c r="Y881" s="301"/>
      <c r="Z881" s="301"/>
      <c r="AA881" s="301"/>
      <c r="AB881" s="301"/>
      <c r="AC881" s="301"/>
      <c r="AD881" s="301"/>
      <c r="AE881" s="301"/>
      <c r="AF881" s="301"/>
      <c r="AG881" s="301"/>
      <c r="AH881" s="301"/>
      <c r="AI881" s="301"/>
      <c r="AJ881" s="301"/>
      <c r="AK881" s="301"/>
      <c r="AL881" s="301"/>
      <c r="AM881" s="301"/>
      <c r="AN881" s="301"/>
      <c r="AO881" s="301"/>
      <c r="AP881" s="301"/>
    </row>
    <row r="882" spans="10:42" ht="13.5" customHeight="1">
      <c r="J882" s="301"/>
      <c r="K882" s="301"/>
      <c r="L882" s="301"/>
      <c r="M882" s="301"/>
      <c r="N882" s="301"/>
      <c r="O882" s="301"/>
      <c r="P882" s="301"/>
      <c r="Q882" s="301"/>
      <c r="R882" s="301"/>
      <c r="S882" s="301"/>
      <c r="T882" s="301"/>
      <c r="U882" s="301"/>
      <c r="V882" s="301"/>
      <c r="W882" s="301"/>
      <c r="X882" s="301"/>
      <c r="Y882" s="301"/>
      <c r="Z882" s="301"/>
      <c r="AA882" s="301"/>
      <c r="AB882" s="301"/>
      <c r="AC882" s="301"/>
      <c r="AD882" s="301"/>
      <c r="AE882" s="301"/>
      <c r="AF882" s="301"/>
      <c r="AG882" s="301"/>
      <c r="AH882" s="301"/>
      <c r="AI882" s="301"/>
      <c r="AJ882" s="301"/>
      <c r="AK882" s="301"/>
      <c r="AL882" s="301"/>
      <c r="AM882" s="301"/>
      <c r="AN882" s="301"/>
      <c r="AO882" s="301"/>
      <c r="AP882" s="301"/>
    </row>
    <row r="883" spans="10:42" ht="13.5" customHeight="1">
      <c r="J883" s="301"/>
      <c r="K883" s="301"/>
      <c r="L883" s="301"/>
      <c r="M883" s="301"/>
      <c r="N883" s="301"/>
      <c r="O883" s="301"/>
      <c r="P883" s="301"/>
      <c r="Q883" s="301"/>
      <c r="R883" s="301"/>
      <c r="S883" s="301"/>
      <c r="T883" s="301"/>
      <c r="U883" s="301"/>
      <c r="V883" s="301"/>
      <c r="W883" s="301"/>
      <c r="X883" s="301"/>
      <c r="Y883" s="301"/>
      <c r="Z883" s="301"/>
      <c r="AA883" s="301"/>
      <c r="AB883" s="301"/>
      <c r="AC883" s="301"/>
      <c r="AD883" s="301"/>
      <c r="AE883" s="301"/>
      <c r="AF883" s="301"/>
      <c r="AG883" s="301"/>
      <c r="AH883" s="301"/>
      <c r="AI883" s="301"/>
      <c r="AJ883" s="301"/>
      <c r="AK883" s="301"/>
      <c r="AL883" s="301"/>
      <c r="AM883" s="301"/>
      <c r="AN883" s="301"/>
      <c r="AO883" s="301"/>
      <c r="AP883" s="301"/>
    </row>
    <row r="884" spans="10:42" ht="13.5" customHeight="1">
      <c r="J884" s="301"/>
      <c r="K884" s="301"/>
      <c r="L884" s="301"/>
      <c r="M884" s="301"/>
      <c r="N884" s="301"/>
      <c r="O884" s="301"/>
      <c r="P884" s="301"/>
      <c r="Q884" s="301"/>
      <c r="R884" s="301"/>
      <c r="S884" s="301"/>
      <c r="T884" s="301"/>
      <c r="U884" s="301"/>
      <c r="V884" s="301"/>
      <c r="W884" s="301"/>
      <c r="X884" s="301"/>
      <c r="Y884" s="301"/>
      <c r="Z884" s="301"/>
      <c r="AA884" s="301"/>
      <c r="AB884" s="301"/>
      <c r="AC884" s="301"/>
      <c r="AD884" s="301"/>
      <c r="AE884" s="301"/>
      <c r="AF884" s="301"/>
      <c r="AG884" s="301"/>
      <c r="AH884" s="301"/>
      <c r="AI884" s="301"/>
      <c r="AJ884" s="301"/>
      <c r="AK884" s="301"/>
      <c r="AL884" s="301"/>
      <c r="AM884" s="301"/>
      <c r="AN884" s="301"/>
      <c r="AO884" s="301"/>
      <c r="AP884" s="301"/>
    </row>
    <row r="885" spans="10:42" ht="13.5" customHeight="1">
      <c r="J885" s="301"/>
      <c r="K885" s="301"/>
      <c r="L885" s="301"/>
      <c r="M885" s="301"/>
      <c r="N885" s="301"/>
      <c r="O885" s="301"/>
      <c r="P885" s="301"/>
      <c r="Q885" s="301"/>
      <c r="R885" s="301"/>
      <c r="S885" s="301"/>
      <c r="T885" s="301"/>
      <c r="U885" s="301"/>
      <c r="V885" s="301"/>
      <c r="W885" s="301"/>
      <c r="X885" s="301"/>
      <c r="Y885" s="301"/>
      <c r="Z885" s="301"/>
      <c r="AA885" s="301"/>
      <c r="AB885" s="301"/>
      <c r="AC885" s="301"/>
      <c r="AD885" s="301"/>
      <c r="AE885" s="301"/>
      <c r="AF885" s="301"/>
      <c r="AG885" s="301"/>
      <c r="AH885" s="301"/>
      <c r="AI885" s="301"/>
      <c r="AJ885" s="301"/>
      <c r="AK885" s="301"/>
      <c r="AL885" s="301"/>
      <c r="AM885" s="301"/>
      <c r="AN885" s="301"/>
      <c r="AO885" s="301"/>
      <c r="AP885" s="301"/>
    </row>
    <row r="886" spans="10:42" ht="13.5" customHeight="1">
      <c r="J886" s="301"/>
      <c r="K886" s="301"/>
      <c r="L886" s="301"/>
      <c r="M886" s="301"/>
      <c r="N886" s="301"/>
      <c r="O886" s="301"/>
      <c r="P886" s="301"/>
      <c r="Q886" s="301"/>
      <c r="R886" s="301"/>
      <c r="S886" s="301"/>
      <c r="T886" s="301"/>
      <c r="U886" s="301"/>
      <c r="V886" s="301"/>
      <c r="W886" s="301"/>
      <c r="X886" s="301"/>
      <c r="Y886" s="301"/>
      <c r="Z886" s="301"/>
      <c r="AA886" s="301"/>
      <c r="AB886" s="301"/>
      <c r="AC886" s="301"/>
      <c r="AD886" s="301"/>
      <c r="AE886" s="301"/>
      <c r="AF886" s="301"/>
      <c r="AG886" s="301"/>
      <c r="AH886" s="301"/>
      <c r="AI886" s="301"/>
      <c r="AJ886" s="301"/>
      <c r="AK886" s="301"/>
      <c r="AL886" s="301"/>
      <c r="AM886" s="301"/>
      <c r="AN886" s="301"/>
      <c r="AO886" s="301"/>
      <c r="AP886" s="301"/>
    </row>
    <row r="887" spans="10:42" ht="13.5" customHeight="1">
      <c r="J887" s="301"/>
      <c r="K887" s="301"/>
      <c r="L887" s="301"/>
      <c r="M887" s="301"/>
      <c r="N887" s="301"/>
      <c r="O887" s="301"/>
      <c r="P887" s="301"/>
      <c r="Q887" s="301"/>
      <c r="R887" s="301"/>
      <c r="S887" s="301"/>
      <c r="T887" s="301"/>
      <c r="U887" s="301"/>
      <c r="V887" s="301"/>
      <c r="W887" s="301"/>
      <c r="X887" s="301"/>
      <c r="Y887" s="301"/>
      <c r="Z887" s="301"/>
      <c r="AA887" s="301"/>
      <c r="AB887" s="301"/>
      <c r="AC887" s="301"/>
      <c r="AD887" s="301"/>
      <c r="AE887" s="301"/>
      <c r="AF887" s="301"/>
      <c r="AG887" s="301"/>
      <c r="AH887" s="301"/>
      <c r="AI887" s="301"/>
      <c r="AJ887" s="301"/>
      <c r="AK887" s="301"/>
      <c r="AL887" s="301"/>
      <c r="AM887" s="301"/>
      <c r="AN887" s="301"/>
      <c r="AO887" s="301"/>
      <c r="AP887" s="301"/>
    </row>
    <row r="888" spans="10:42" ht="13.5" customHeight="1">
      <c r="J888" s="301"/>
      <c r="K888" s="301"/>
      <c r="L888" s="301"/>
      <c r="M888" s="301"/>
      <c r="N888" s="301"/>
      <c r="O888" s="301"/>
      <c r="P888" s="301"/>
      <c r="Q888" s="301"/>
      <c r="R888" s="301"/>
      <c r="S888" s="301"/>
      <c r="T888" s="301"/>
      <c r="U888" s="301"/>
      <c r="V888" s="301"/>
      <c r="W888" s="301"/>
      <c r="X888" s="301"/>
      <c r="Y888" s="301"/>
      <c r="Z888" s="301"/>
      <c r="AA888" s="301"/>
      <c r="AB888" s="301"/>
      <c r="AC888" s="301"/>
      <c r="AD888" s="301"/>
      <c r="AE888" s="301"/>
      <c r="AF888" s="301"/>
      <c r="AG888" s="301"/>
      <c r="AH888" s="301"/>
      <c r="AI888" s="301"/>
      <c r="AJ888" s="301"/>
      <c r="AK888" s="301"/>
      <c r="AL888" s="301"/>
      <c r="AM888" s="301"/>
      <c r="AN888" s="301"/>
      <c r="AO888" s="301"/>
      <c r="AP888" s="301"/>
    </row>
    <row r="889" spans="10:42" ht="13.5" customHeight="1">
      <c r="J889" s="301"/>
      <c r="K889" s="301"/>
      <c r="L889" s="301"/>
      <c r="M889" s="301"/>
      <c r="N889" s="301"/>
      <c r="O889" s="301"/>
      <c r="P889" s="301"/>
      <c r="Q889" s="301"/>
      <c r="R889" s="301"/>
      <c r="S889" s="301"/>
      <c r="T889" s="301"/>
      <c r="U889" s="301"/>
      <c r="V889" s="301"/>
      <c r="W889" s="301"/>
      <c r="X889" s="301"/>
      <c r="Y889" s="301"/>
      <c r="Z889" s="301"/>
      <c r="AA889" s="301"/>
      <c r="AB889" s="301"/>
      <c r="AC889" s="301"/>
      <c r="AD889" s="301"/>
      <c r="AE889" s="301"/>
      <c r="AF889" s="301"/>
      <c r="AG889" s="301"/>
      <c r="AH889" s="301"/>
      <c r="AI889" s="301"/>
      <c r="AJ889" s="301"/>
      <c r="AK889" s="301"/>
      <c r="AL889" s="301"/>
      <c r="AM889" s="301"/>
      <c r="AN889" s="301"/>
      <c r="AO889" s="301"/>
      <c r="AP889" s="301"/>
    </row>
    <row r="890" spans="10:42" ht="13.5" customHeight="1">
      <c r="J890" s="301"/>
      <c r="K890" s="301"/>
      <c r="L890" s="301"/>
      <c r="M890" s="301"/>
      <c r="N890" s="301"/>
      <c r="O890" s="301"/>
      <c r="P890" s="301"/>
      <c r="Q890" s="301"/>
      <c r="R890" s="301"/>
      <c r="S890" s="301"/>
      <c r="T890" s="301"/>
      <c r="U890" s="301"/>
      <c r="V890" s="301"/>
      <c r="W890" s="301"/>
      <c r="X890" s="301"/>
      <c r="Y890" s="301"/>
      <c r="Z890" s="301"/>
      <c r="AA890" s="301"/>
      <c r="AB890" s="301"/>
      <c r="AC890" s="301"/>
      <c r="AD890" s="301"/>
      <c r="AE890" s="301"/>
      <c r="AF890" s="301"/>
      <c r="AG890" s="301"/>
      <c r="AH890" s="301"/>
      <c r="AI890" s="301"/>
      <c r="AJ890" s="301"/>
      <c r="AK890" s="301"/>
      <c r="AL890" s="301"/>
      <c r="AM890" s="301"/>
      <c r="AN890" s="301"/>
      <c r="AO890" s="301"/>
      <c r="AP890" s="301"/>
    </row>
    <row r="891" spans="10:42" ht="13.5" customHeight="1">
      <c r="J891" s="301"/>
      <c r="K891" s="301"/>
      <c r="L891" s="301"/>
      <c r="M891" s="301"/>
      <c r="N891" s="301"/>
      <c r="O891" s="301"/>
      <c r="P891" s="301"/>
      <c r="Q891" s="301"/>
      <c r="R891" s="301"/>
      <c r="S891" s="301"/>
      <c r="T891" s="301"/>
      <c r="U891" s="301"/>
      <c r="V891" s="301"/>
      <c r="W891" s="301"/>
      <c r="X891" s="301"/>
      <c r="Y891" s="301"/>
      <c r="Z891" s="301"/>
      <c r="AA891" s="301"/>
      <c r="AB891" s="301"/>
      <c r="AC891" s="301"/>
      <c r="AD891" s="301"/>
      <c r="AE891" s="301"/>
      <c r="AF891" s="301"/>
      <c r="AG891" s="301"/>
      <c r="AH891" s="301"/>
      <c r="AI891" s="301"/>
      <c r="AJ891" s="301"/>
      <c r="AK891" s="301"/>
      <c r="AL891" s="301"/>
      <c r="AM891" s="301"/>
      <c r="AN891" s="301"/>
      <c r="AO891" s="301"/>
      <c r="AP891" s="301"/>
    </row>
    <row r="892" spans="10:42" ht="13.5" customHeight="1">
      <c r="J892" s="301"/>
      <c r="K892" s="301"/>
      <c r="L892" s="301"/>
      <c r="M892" s="301"/>
      <c r="N892" s="301"/>
      <c r="O892" s="301"/>
      <c r="P892" s="301"/>
      <c r="Q892" s="301"/>
      <c r="R892" s="301"/>
      <c r="S892" s="301"/>
      <c r="T892" s="301"/>
      <c r="U892" s="301"/>
      <c r="V892" s="301"/>
      <c r="W892" s="301"/>
      <c r="X892" s="301"/>
      <c r="Y892" s="301"/>
      <c r="Z892" s="301"/>
      <c r="AA892" s="301"/>
      <c r="AB892" s="301"/>
      <c r="AC892" s="301"/>
      <c r="AD892" s="301"/>
      <c r="AE892" s="301"/>
      <c r="AF892" s="301"/>
      <c r="AG892" s="301"/>
      <c r="AH892" s="301"/>
      <c r="AI892" s="301"/>
      <c r="AJ892" s="301"/>
      <c r="AK892" s="301"/>
      <c r="AL892" s="301"/>
      <c r="AM892" s="301"/>
      <c r="AN892" s="301"/>
      <c r="AO892" s="301"/>
      <c r="AP892" s="301"/>
    </row>
    <row r="893" spans="10:42" ht="13.5" customHeight="1">
      <c r="J893" s="301"/>
      <c r="K893" s="301"/>
      <c r="L893" s="301"/>
      <c r="M893" s="301"/>
      <c r="N893" s="301"/>
      <c r="O893" s="301"/>
      <c r="P893" s="301"/>
      <c r="Q893" s="301"/>
      <c r="R893" s="301"/>
      <c r="S893" s="301"/>
      <c r="T893" s="301"/>
      <c r="U893" s="301"/>
      <c r="V893" s="301"/>
      <c r="W893" s="301"/>
      <c r="X893" s="301"/>
      <c r="Y893" s="301"/>
      <c r="Z893" s="301"/>
      <c r="AA893" s="301"/>
      <c r="AB893" s="301"/>
      <c r="AC893" s="301"/>
      <c r="AD893" s="301"/>
      <c r="AE893" s="301"/>
      <c r="AF893" s="301"/>
      <c r="AG893" s="301"/>
      <c r="AH893" s="301"/>
      <c r="AI893" s="301"/>
      <c r="AJ893" s="301"/>
      <c r="AK893" s="301"/>
      <c r="AL893" s="301"/>
      <c r="AM893" s="301"/>
      <c r="AN893" s="301"/>
      <c r="AO893" s="301"/>
      <c r="AP893" s="301"/>
    </row>
    <row r="894" spans="10:42" ht="13.5" customHeight="1">
      <c r="J894" s="301"/>
      <c r="K894" s="301"/>
      <c r="L894" s="301"/>
      <c r="M894" s="301"/>
      <c r="N894" s="301"/>
      <c r="O894" s="301"/>
      <c r="P894" s="301"/>
      <c r="Q894" s="301"/>
      <c r="R894" s="301"/>
      <c r="S894" s="301"/>
      <c r="T894" s="301"/>
      <c r="U894" s="301"/>
      <c r="V894" s="301"/>
      <c r="W894" s="301"/>
      <c r="X894" s="301"/>
      <c r="Y894" s="301"/>
      <c r="Z894" s="301"/>
      <c r="AA894" s="301"/>
      <c r="AB894" s="301"/>
      <c r="AC894" s="301"/>
      <c r="AD894" s="301"/>
      <c r="AE894" s="301"/>
      <c r="AF894" s="301"/>
      <c r="AG894" s="301"/>
      <c r="AH894" s="301"/>
      <c r="AI894" s="301"/>
      <c r="AJ894" s="301"/>
      <c r="AK894" s="301"/>
      <c r="AL894" s="301"/>
      <c r="AM894" s="301"/>
      <c r="AN894" s="301"/>
      <c r="AO894" s="301"/>
      <c r="AP894" s="301"/>
    </row>
    <row r="895" spans="10:42" ht="13.5" customHeight="1">
      <c r="J895" s="301"/>
      <c r="K895" s="301"/>
      <c r="L895" s="301"/>
      <c r="M895" s="301"/>
      <c r="N895" s="301"/>
      <c r="O895" s="301"/>
      <c r="P895" s="301"/>
      <c r="Q895" s="301"/>
      <c r="R895" s="301"/>
      <c r="S895" s="301"/>
      <c r="T895" s="301"/>
      <c r="U895" s="301"/>
      <c r="V895" s="301"/>
      <c r="W895" s="301"/>
      <c r="X895" s="301"/>
      <c r="Y895" s="301"/>
      <c r="Z895" s="301"/>
      <c r="AA895" s="301"/>
      <c r="AB895" s="301"/>
      <c r="AC895" s="301"/>
      <c r="AD895" s="301"/>
      <c r="AE895" s="301"/>
      <c r="AF895" s="301"/>
      <c r="AG895" s="301"/>
      <c r="AH895" s="301"/>
      <c r="AI895" s="301"/>
      <c r="AJ895" s="301"/>
      <c r="AK895" s="301"/>
      <c r="AL895" s="301"/>
      <c r="AM895" s="301"/>
      <c r="AN895" s="301"/>
      <c r="AO895" s="301"/>
      <c r="AP895" s="301"/>
    </row>
    <row r="896" spans="10:42" ht="13.5" customHeight="1">
      <c r="J896" s="301"/>
      <c r="K896" s="301"/>
      <c r="L896" s="301"/>
      <c r="M896" s="301"/>
      <c r="N896" s="301"/>
      <c r="O896" s="301"/>
      <c r="P896" s="301"/>
      <c r="Q896" s="301"/>
      <c r="R896" s="301"/>
      <c r="S896" s="301"/>
      <c r="T896" s="301"/>
      <c r="U896" s="301"/>
      <c r="V896" s="301"/>
      <c r="W896" s="301"/>
      <c r="X896" s="301"/>
      <c r="Y896" s="301"/>
      <c r="Z896" s="301"/>
      <c r="AA896" s="301"/>
      <c r="AB896" s="301"/>
      <c r="AC896" s="301"/>
      <c r="AD896" s="301"/>
      <c r="AE896" s="301"/>
      <c r="AF896" s="301"/>
      <c r="AG896" s="301"/>
      <c r="AH896" s="301"/>
      <c r="AI896" s="301"/>
      <c r="AJ896" s="301"/>
      <c r="AK896" s="301"/>
      <c r="AL896" s="301"/>
      <c r="AM896" s="301"/>
      <c r="AN896" s="301"/>
      <c r="AO896" s="301"/>
      <c r="AP896" s="301"/>
    </row>
    <row r="897" spans="10:42" ht="13.5" customHeight="1">
      <c r="J897" s="301"/>
      <c r="K897" s="301"/>
      <c r="L897" s="301"/>
      <c r="M897" s="301"/>
      <c r="N897" s="301"/>
      <c r="O897" s="301"/>
      <c r="P897" s="301"/>
      <c r="Q897" s="301"/>
      <c r="R897" s="301"/>
      <c r="S897" s="301"/>
      <c r="T897" s="301"/>
      <c r="U897" s="301"/>
      <c r="V897" s="301"/>
      <c r="W897" s="301"/>
      <c r="X897" s="301"/>
      <c r="Y897" s="301"/>
      <c r="Z897" s="301"/>
      <c r="AA897" s="301"/>
      <c r="AB897" s="301"/>
      <c r="AC897" s="301"/>
      <c r="AD897" s="301"/>
      <c r="AE897" s="301"/>
      <c r="AF897" s="301"/>
      <c r="AG897" s="301"/>
      <c r="AH897" s="301"/>
      <c r="AI897" s="301"/>
      <c r="AJ897" s="301"/>
      <c r="AK897" s="301"/>
      <c r="AL897" s="301"/>
      <c r="AM897" s="301"/>
      <c r="AN897" s="301"/>
      <c r="AO897" s="301"/>
      <c r="AP897" s="301"/>
    </row>
    <row r="898" spans="10:42" ht="13.5" customHeight="1">
      <c r="J898" s="301"/>
      <c r="K898" s="301"/>
      <c r="L898" s="301"/>
      <c r="M898" s="301"/>
      <c r="N898" s="301"/>
      <c r="O898" s="301"/>
      <c r="P898" s="301"/>
      <c r="Q898" s="301"/>
      <c r="R898" s="301"/>
      <c r="S898" s="301"/>
      <c r="T898" s="301"/>
      <c r="U898" s="301"/>
      <c r="V898" s="301"/>
      <c r="W898" s="301"/>
      <c r="X898" s="301"/>
      <c r="Y898" s="301"/>
      <c r="Z898" s="301"/>
      <c r="AA898" s="301"/>
      <c r="AB898" s="301"/>
      <c r="AC898" s="301"/>
      <c r="AD898" s="301"/>
      <c r="AE898" s="301"/>
      <c r="AF898" s="301"/>
      <c r="AG898" s="301"/>
      <c r="AH898" s="301"/>
      <c r="AI898" s="301"/>
      <c r="AJ898" s="301"/>
      <c r="AK898" s="301"/>
      <c r="AL898" s="301"/>
      <c r="AM898" s="301"/>
      <c r="AN898" s="301"/>
      <c r="AO898" s="301"/>
      <c r="AP898" s="301"/>
    </row>
    <row r="899" spans="10:42" ht="13.5" customHeight="1">
      <c r="J899" s="301"/>
      <c r="K899" s="301"/>
      <c r="L899" s="301"/>
      <c r="M899" s="301"/>
      <c r="N899" s="301"/>
      <c r="O899" s="301"/>
      <c r="P899" s="301"/>
      <c r="Q899" s="301"/>
      <c r="R899" s="301"/>
      <c r="S899" s="301"/>
      <c r="T899" s="301"/>
      <c r="U899" s="301"/>
      <c r="V899" s="301"/>
      <c r="W899" s="301"/>
      <c r="X899" s="301"/>
      <c r="Y899" s="301"/>
      <c r="Z899" s="301"/>
      <c r="AA899" s="301"/>
      <c r="AB899" s="301"/>
      <c r="AC899" s="301"/>
      <c r="AD899" s="301"/>
      <c r="AE899" s="301"/>
      <c r="AF899" s="301"/>
      <c r="AG899" s="301"/>
      <c r="AH899" s="301"/>
      <c r="AI899" s="301"/>
      <c r="AJ899" s="301"/>
      <c r="AK899" s="301"/>
      <c r="AL899" s="301"/>
      <c r="AM899" s="301"/>
      <c r="AN899" s="301"/>
      <c r="AO899" s="301"/>
      <c r="AP899" s="301"/>
    </row>
    <row r="900" spans="10:42" ht="13.5" customHeight="1">
      <c r="J900" s="301"/>
      <c r="K900" s="301"/>
      <c r="L900" s="301"/>
      <c r="M900" s="301"/>
      <c r="N900" s="301"/>
      <c r="O900" s="301"/>
      <c r="P900" s="301"/>
      <c r="Q900" s="301"/>
      <c r="R900" s="301"/>
      <c r="S900" s="301"/>
      <c r="T900" s="301"/>
      <c r="U900" s="301"/>
      <c r="V900" s="301"/>
      <c r="W900" s="301"/>
      <c r="X900" s="301"/>
      <c r="Y900" s="301"/>
      <c r="Z900" s="301"/>
      <c r="AA900" s="301"/>
      <c r="AB900" s="301"/>
      <c r="AC900" s="301"/>
      <c r="AD900" s="301"/>
      <c r="AE900" s="301"/>
      <c r="AF900" s="301"/>
      <c r="AG900" s="301"/>
      <c r="AH900" s="301"/>
      <c r="AI900" s="301"/>
      <c r="AJ900" s="301"/>
      <c r="AK900" s="301"/>
      <c r="AL900" s="301"/>
      <c r="AM900" s="301"/>
      <c r="AN900" s="301"/>
      <c r="AO900" s="301"/>
      <c r="AP900" s="301"/>
    </row>
    <row r="901" spans="10:42" ht="13.5" customHeight="1">
      <c r="J901" s="301"/>
      <c r="K901" s="301"/>
      <c r="L901" s="301"/>
      <c r="M901" s="301"/>
      <c r="N901" s="301"/>
      <c r="O901" s="301"/>
      <c r="P901" s="301"/>
      <c r="Q901" s="301"/>
      <c r="R901" s="301"/>
      <c r="S901" s="301"/>
      <c r="T901" s="301"/>
      <c r="U901" s="301"/>
      <c r="V901" s="301"/>
      <c r="W901" s="301"/>
      <c r="X901" s="301"/>
      <c r="Y901" s="301"/>
      <c r="Z901" s="301"/>
      <c r="AA901" s="301"/>
      <c r="AB901" s="301"/>
      <c r="AC901" s="301"/>
      <c r="AD901" s="301"/>
      <c r="AE901" s="301"/>
      <c r="AF901" s="301"/>
      <c r="AG901" s="301"/>
      <c r="AH901" s="301"/>
      <c r="AI901" s="301"/>
      <c r="AJ901" s="301"/>
      <c r="AK901" s="301"/>
      <c r="AL901" s="301"/>
      <c r="AM901" s="301"/>
      <c r="AN901" s="301"/>
      <c r="AO901" s="301"/>
      <c r="AP901" s="301"/>
    </row>
    <row r="902" spans="10:42" ht="13.5" customHeight="1">
      <c r="J902" s="301"/>
      <c r="K902" s="301"/>
      <c r="L902" s="301"/>
      <c r="M902" s="301"/>
      <c r="N902" s="301"/>
      <c r="O902" s="301"/>
      <c r="P902" s="301"/>
      <c r="Q902" s="301"/>
      <c r="R902" s="301"/>
      <c r="S902" s="301"/>
      <c r="T902" s="301"/>
      <c r="U902" s="301"/>
      <c r="V902" s="301"/>
      <c r="W902" s="301"/>
      <c r="X902" s="301"/>
      <c r="Y902" s="301"/>
      <c r="Z902" s="301"/>
      <c r="AA902" s="301"/>
      <c r="AB902" s="301"/>
      <c r="AC902" s="301"/>
      <c r="AD902" s="301"/>
      <c r="AE902" s="301"/>
      <c r="AF902" s="301"/>
      <c r="AG902" s="301"/>
      <c r="AH902" s="301"/>
      <c r="AI902" s="301"/>
      <c r="AJ902" s="301"/>
      <c r="AK902" s="301"/>
      <c r="AL902" s="301"/>
      <c r="AM902" s="301"/>
      <c r="AN902" s="301"/>
      <c r="AO902" s="301"/>
      <c r="AP902" s="301"/>
    </row>
    <row r="903" spans="10:42" ht="13.5" customHeight="1">
      <c r="J903" s="301"/>
      <c r="K903" s="301"/>
      <c r="L903" s="301"/>
      <c r="M903" s="301"/>
      <c r="N903" s="301"/>
      <c r="O903" s="301"/>
      <c r="P903" s="301"/>
      <c r="Q903" s="301"/>
      <c r="R903" s="301"/>
      <c r="S903" s="301"/>
      <c r="T903" s="301"/>
      <c r="U903" s="301"/>
      <c r="V903" s="301"/>
      <c r="W903" s="301"/>
      <c r="X903" s="301"/>
      <c r="Y903" s="301"/>
      <c r="Z903" s="301"/>
      <c r="AA903" s="301"/>
      <c r="AB903" s="301"/>
      <c r="AC903" s="301"/>
      <c r="AD903" s="301"/>
      <c r="AE903" s="301"/>
      <c r="AF903" s="301"/>
      <c r="AG903" s="301"/>
      <c r="AH903" s="301"/>
      <c r="AI903" s="301"/>
      <c r="AJ903" s="301"/>
      <c r="AK903" s="301"/>
      <c r="AL903" s="301"/>
      <c r="AM903" s="301"/>
      <c r="AN903" s="301"/>
      <c r="AO903" s="301"/>
      <c r="AP903" s="301"/>
    </row>
    <row r="904" spans="10:42" ht="13.5" customHeight="1">
      <c r="J904" s="301"/>
      <c r="K904" s="301"/>
      <c r="L904" s="301"/>
      <c r="M904" s="301"/>
      <c r="N904" s="301"/>
      <c r="O904" s="301"/>
      <c r="P904" s="301"/>
      <c r="Q904" s="301"/>
      <c r="R904" s="301"/>
      <c r="S904" s="301"/>
      <c r="T904" s="301"/>
      <c r="U904" s="301"/>
      <c r="V904" s="301"/>
      <c r="W904" s="301"/>
      <c r="X904" s="301"/>
      <c r="Y904" s="301"/>
      <c r="Z904" s="301"/>
      <c r="AA904" s="301"/>
      <c r="AB904" s="301"/>
      <c r="AC904" s="301"/>
      <c r="AD904" s="301"/>
      <c r="AE904" s="301"/>
      <c r="AF904" s="301"/>
      <c r="AG904" s="301"/>
      <c r="AH904" s="301"/>
      <c r="AI904" s="301"/>
      <c r="AJ904" s="301"/>
      <c r="AK904" s="301"/>
      <c r="AL904" s="301"/>
      <c r="AM904" s="301"/>
      <c r="AN904" s="301"/>
      <c r="AO904" s="301"/>
      <c r="AP904" s="301"/>
    </row>
    <row r="905" spans="10:42" ht="13.5" customHeight="1">
      <c r="J905" s="301"/>
      <c r="K905" s="301"/>
      <c r="L905" s="301"/>
      <c r="M905" s="301"/>
      <c r="N905" s="301"/>
      <c r="O905" s="301"/>
      <c r="P905" s="301"/>
      <c r="Q905" s="301"/>
      <c r="R905" s="301"/>
      <c r="S905" s="301"/>
      <c r="T905" s="301"/>
      <c r="U905" s="301"/>
      <c r="V905" s="301"/>
      <c r="W905" s="301"/>
      <c r="X905" s="301"/>
      <c r="Y905" s="301"/>
      <c r="Z905" s="301"/>
      <c r="AA905" s="301"/>
      <c r="AB905" s="301"/>
      <c r="AC905" s="301"/>
      <c r="AD905" s="301"/>
      <c r="AE905" s="301"/>
      <c r="AF905" s="301"/>
      <c r="AG905" s="301"/>
      <c r="AH905" s="301"/>
      <c r="AI905" s="301"/>
      <c r="AJ905" s="301"/>
      <c r="AK905" s="301"/>
      <c r="AL905" s="301"/>
      <c r="AM905" s="301"/>
      <c r="AN905" s="301"/>
      <c r="AO905" s="301"/>
      <c r="AP905" s="301"/>
    </row>
    <row r="906" spans="10:42" ht="13.5" customHeight="1">
      <c r="J906" s="301"/>
      <c r="K906" s="301"/>
      <c r="L906" s="301"/>
      <c r="M906" s="301"/>
      <c r="N906" s="301"/>
      <c r="O906" s="301"/>
      <c r="P906" s="301"/>
      <c r="Q906" s="301"/>
      <c r="R906" s="301"/>
      <c r="S906" s="301"/>
      <c r="T906" s="301"/>
      <c r="U906" s="301"/>
      <c r="V906" s="301"/>
      <c r="W906" s="301"/>
      <c r="X906" s="301"/>
      <c r="Y906" s="301"/>
      <c r="Z906" s="301"/>
      <c r="AA906" s="301"/>
      <c r="AB906" s="301"/>
      <c r="AC906" s="301"/>
      <c r="AD906" s="301"/>
      <c r="AE906" s="301"/>
      <c r="AF906" s="301"/>
      <c r="AG906" s="301"/>
      <c r="AH906" s="301"/>
      <c r="AI906" s="301"/>
      <c r="AJ906" s="301"/>
      <c r="AK906" s="301"/>
      <c r="AL906" s="301"/>
      <c r="AM906" s="301"/>
      <c r="AN906" s="301"/>
      <c r="AO906" s="301"/>
      <c r="AP906" s="301"/>
    </row>
    <row r="907" spans="10:42" ht="13.5" customHeight="1">
      <c r="J907" s="301"/>
      <c r="K907" s="301"/>
      <c r="L907" s="301"/>
      <c r="M907" s="301"/>
      <c r="N907" s="301"/>
      <c r="O907" s="301"/>
      <c r="P907" s="301"/>
      <c r="Q907" s="301"/>
      <c r="R907" s="301"/>
      <c r="S907" s="301"/>
      <c r="T907" s="301"/>
      <c r="U907" s="301"/>
      <c r="V907" s="301"/>
      <c r="W907" s="301"/>
      <c r="X907" s="301"/>
      <c r="Y907" s="301"/>
      <c r="Z907" s="301"/>
      <c r="AA907" s="301"/>
      <c r="AB907" s="301"/>
      <c r="AC907" s="301"/>
      <c r="AD907" s="301"/>
      <c r="AE907" s="301"/>
      <c r="AF907" s="301"/>
      <c r="AG907" s="301"/>
      <c r="AH907" s="301"/>
      <c r="AI907" s="301"/>
      <c r="AJ907" s="301"/>
      <c r="AK907" s="301"/>
      <c r="AL907" s="301"/>
      <c r="AM907" s="301"/>
      <c r="AN907" s="301"/>
      <c r="AO907" s="301"/>
      <c r="AP907" s="301"/>
    </row>
    <row r="908" spans="10:42" ht="13.5" customHeight="1">
      <c r="J908" s="301"/>
      <c r="K908" s="301"/>
      <c r="L908" s="301"/>
      <c r="M908" s="301"/>
      <c r="N908" s="301"/>
      <c r="O908" s="301"/>
      <c r="P908" s="301"/>
      <c r="Q908" s="301"/>
      <c r="R908" s="301"/>
      <c r="S908" s="301"/>
      <c r="T908" s="301"/>
      <c r="U908" s="301"/>
      <c r="V908" s="301"/>
      <c r="W908" s="301"/>
      <c r="X908" s="301"/>
      <c r="Y908" s="301"/>
      <c r="Z908" s="301"/>
      <c r="AA908" s="301"/>
      <c r="AB908" s="301"/>
      <c r="AC908" s="301"/>
      <c r="AD908" s="301"/>
      <c r="AE908" s="301"/>
      <c r="AF908" s="301"/>
      <c r="AG908" s="301"/>
      <c r="AH908" s="301"/>
      <c r="AI908" s="301"/>
      <c r="AJ908" s="301"/>
      <c r="AK908" s="301"/>
      <c r="AL908" s="301"/>
      <c r="AM908" s="301"/>
      <c r="AN908" s="301"/>
      <c r="AO908" s="301"/>
      <c r="AP908" s="301"/>
    </row>
    <row r="909" spans="10:42" ht="13.5" customHeight="1">
      <c r="J909" s="301"/>
      <c r="K909" s="301"/>
      <c r="L909" s="301"/>
      <c r="M909" s="301"/>
      <c r="N909" s="301"/>
      <c r="O909" s="301"/>
      <c r="P909" s="301"/>
      <c r="Q909" s="301"/>
      <c r="R909" s="301"/>
      <c r="S909" s="301"/>
      <c r="T909" s="301"/>
      <c r="U909" s="301"/>
      <c r="V909" s="301"/>
      <c r="W909" s="301"/>
      <c r="X909" s="301"/>
      <c r="Y909" s="301"/>
      <c r="Z909" s="301"/>
      <c r="AA909" s="301"/>
      <c r="AB909" s="301"/>
      <c r="AC909" s="301"/>
      <c r="AD909" s="301"/>
      <c r="AE909" s="301"/>
      <c r="AF909" s="301"/>
      <c r="AG909" s="301"/>
      <c r="AH909" s="301"/>
      <c r="AI909" s="301"/>
      <c r="AJ909" s="301"/>
      <c r="AK909" s="301"/>
      <c r="AL909" s="301"/>
      <c r="AM909" s="301"/>
      <c r="AN909" s="301"/>
      <c r="AO909" s="301"/>
      <c r="AP909" s="301"/>
    </row>
    <row r="910" spans="10:42" ht="13.5" customHeight="1">
      <c r="J910" s="301"/>
      <c r="K910" s="301"/>
      <c r="L910" s="301"/>
      <c r="M910" s="301"/>
      <c r="N910" s="301"/>
      <c r="O910" s="301"/>
      <c r="P910" s="301"/>
      <c r="Q910" s="301"/>
      <c r="R910" s="301"/>
      <c r="S910" s="301"/>
      <c r="T910" s="301"/>
      <c r="U910" s="301"/>
      <c r="V910" s="301"/>
      <c r="W910" s="301"/>
      <c r="X910" s="301"/>
      <c r="Y910" s="301"/>
      <c r="Z910" s="301"/>
      <c r="AA910" s="301"/>
      <c r="AB910" s="301"/>
      <c r="AC910" s="301"/>
      <c r="AD910" s="301"/>
      <c r="AE910" s="301"/>
      <c r="AF910" s="301"/>
      <c r="AG910" s="301"/>
      <c r="AH910" s="301"/>
      <c r="AI910" s="301"/>
      <c r="AJ910" s="301"/>
      <c r="AK910" s="301"/>
      <c r="AL910" s="301"/>
      <c r="AM910" s="301"/>
      <c r="AN910" s="301"/>
      <c r="AO910" s="301"/>
      <c r="AP910" s="301"/>
    </row>
    <row r="911" spans="10:42" ht="13.5" customHeight="1">
      <c r="J911" s="301"/>
      <c r="K911" s="301"/>
      <c r="L911" s="301"/>
      <c r="M911" s="301"/>
      <c r="N911" s="301"/>
      <c r="O911" s="301"/>
      <c r="P911" s="301"/>
      <c r="Q911" s="301"/>
      <c r="R911" s="301"/>
      <c r="S911" s="301"/>
      <c r="T911" s="301"/>
      <c r="U911" s="301"/>
      <c r="V911" s="301"/>
      <c r="W911" s="301"/>
      <c r="X911" s="301"/>
      <c r="Y911" s="301"/>
      <c r="Z911" s="301"/>
      <c r="AA911" s="301"/>
      <c r="AB911" s="301"/>
      <c r="AC911" s="301"/>
      <c r="AD911" s="301"/>
      <c r="AE911" s="301"/>
      <c r="AF911" s="301"/>
      <c r="AG911" s="301"/>
      <c r="AH911" s="301"/>
      <c r="AI911" s="301"/>
      <c r="AJ911" s="301"/>
      <c r="AK911" s="301"/>
      <c r="AL911" s="301"/>
      <c r="AM911" s="301"/>
      <c r="AN911" s="301"/>
      <c r="AO911" s="301"/>
      <c r="AP911" s="301"/>
    </row>
    <row r="912" spans="10:42" ht="13.5" customHeight="1">
      <c r="J912" s="301"/>
      <c r="K912" s="301"/>
      <c r="L912" s="301"/>
      <c r="M912" s="301"/>
      <c r="N912" s="301"/>
      <c r="O912" s="301"/>
      <c r="P912" s="301"/>
      <c r="Q912" s="301"/>
      <c r="R912" s="301"/>
      <c r="S912" s="301"/>
      <c r="T912" s="301"/>
      <c r="U912" s="301"/>
      <c r="V912" s="301"/>
      <c r="W912" s="301"/>
      <c r="X912" s="301"/>
      <c r="Y912" s="301"/>
      <c r="Z912" s="301"/>
      <c r="AA912" s="301"/>
      <c r="AB912" s="301"/>
      <c r="AC912" s="301"/>
      <c r="AD912" s="301"/>
      <c r="AE912" s="301"/>
      <c r="AF912" s="301"/>
      <c r="AG912" s="301"/>
      <c r="AH912" s="301"/>
      <c r="AI912" s="301"/>
      <c r="AJ912" s="301"/>
      <c r="AK912" s="301"/>
      <c r="AL912" s="301"/>
      <c r="AM912" s="301"/>
      <c r="AN912" s="301"/>
      <c r="AO912" s="301"/>
      <c r="AP912" s="301"/>
    </row>
    <row r="913" spans="10:42" ht="13.5" customHeight="1">
      <c r="J913" s="301"/>
      <c r="K913" s="301"/>
      <c r="L913" s="301"/>
      <c r="M913" s="301"/>
      <c r="N913" s="301"/>
      <c r="O913" s="301"/>
      <c r="P913" s="301"/>
      <c r="Q913" s="301"/>
      <c r="R913" s="301"/>
      <c r="S913" s="301"/>
      <c r="T913" s="301"/>
      <c r="U913" s="301"/>
      <c r="V913" s="301"/>
      <c r="W913" s="301"/>
      <c r="X913" s="301"/>
      <c r="Y913" s="301"/>
      <c r="Z913" s="301"/>
      <c r="AA913" s="301"/>
      <c r="AB913" s="301"/>
      <c r="AC913" s="301"/>
      <c r="AD913" s="301"/>
      <c r="AE913" s="301"/>
      <c r="AF913" s="301"/>
      <c r="AG913" s="301"/>
      <c r="AH913" s="301"/>
      <c r="AI913" s="301"/>
      <c r="AJ913" s="301"/>
      <c r="AK913" s="301"/>
      <c r="AL913" s="301"/>
      <c r="AM913" s="301"/>
      <c r="AN913" s="301"/>
      <c r="AO913" s="301"/>
      <c r="AP913" s="301"/>
    </row>
    <row r="914" spans="10:42" ht="13.5" customHeight="1">
      <c r="J914" s="301"/>
      <c r="K914" s="301"/>
      <c r="L914" s="301"/>
      <c r="M914" s="301"/>
      <c r="N914" s="301"/>
      <c r="O914" s="301"/>
      <c r="P914" s="301"/>
      <c r="Q914" s="301"/>
      <c r="R914" s="301"/>
      <c r="S914" s="301"/>
      <c r="T914" s="301"/>
      <c r="U914" s="301"/>
      <c r="V914" s="301"/>
      <c r="W914" s="301"/>
      <c r="X914" s="301"/>
      <c r="Y914" s="301"/>
      <c r="Z914" s="301"/>
      <c r="AA914" s="301"/>
      <c r="AB914" s="301"/>
      <c r="AC914" s="301"/>
      <c r="AD914" s="301"/>
      <c r="AE914" s="301"/>
      <c r="AF914" s="301"/>
      <c r="AG914" s="301"/>
      <c r="AH914" s="301"/>
      <c r="AI914" s="301"/>
      <c r="AJ914" s="301"/>
      <c r="AK914" s="301"/>
      <c r="AL914" s="301"/>
      <c r="AM914" s="301"/>
      <c r="AN914" s="301"/>
      <c r="AO914" s="301"/>
      <c r="AP914" s="301"/>
    </row>
    <row r="915" spans="10:42" ht="13.5" customHeight="1">
      <c r="J915" s="301"/>
      <c r="K915" s="301"/>
      <c r="L915" s="301"/>
      <c r="M915" s="301"/>
      <c r="N915" s="301"/>
      <c r="O915" s="301"/>
      <c r="P915" s="301"/>
      <c r="Q915" s="301"/>
      <c r="R915" s="301"/>
      <c r="S915" s="301"/>
      <c r="T915" s="301"/>
      <c r="U915" s="301"/>
      <c r="V915" s="301"/>
      <c r="W915" s="301"/>
      <c r="X915" s="301"/>
      <c r="Y915" s="301"/>
      <c r="Z915" s="301"/>
      <c r="AA915" s="301"/>
      <c r="AB915" s="301"/>
      <c r="AC915" s="301"/>
      <c r="AD915" s="301"/>
      <c r="AE915" s="301"/>
      <c r="AF915" s="301"/>
      <c r="AG915" s="301"/>
      <c r="AH915" s="301"/>
      <c r="AI915" s="301"/>
      <c r="AJ915" s="301"/>
      <c r="AK915" s="301"/>
      <c r="AL915" s="301"/>
      <c r="AM915" s="301"/>
      <c r="AN915" s="301"/>
      <c r="AO915" s="301"/>
      <c r="AP915" s="301"/>
    </row>
    <row r="916" spans="10:42" ht="13.5" customHeight="1">
      <c r="J916" s="301"/>
      <c r="K916" s="301"/>
      <c r="L916" s="301"/>
      <c r="M916" s="301"/>
      <c r="N916" s="301"/>
      <c r="O916" s="301"/>
      <c r="P916" s="301"/>
      <c r="Q916" s="301"/>
      <c r="R916" s="301"/>
      <c r="S916" s="301"/>
      <c r="T916" s="301"/>
      <c r="U916" s="301"/>
      <c r="V916" s="301"/>
      <c r="W916" s="301"/>
      <c r="X916" s="301"/>
      <c r="Y916" s="301"/>
      <c r="Z916" s="301"/>
      <c r="AA916" s="301"/>
      <c r="AB916" s="301"/>
      <c r="AC916" s="301"/>
      <c r="AD916" s="301"/>
      <c r="AE916" s="301"/>
      <c r="AF916" s="301"/>
      <c r="AG916" s="301"/>
      <c r="AH916" s="301"/>
      <c r="AI916" s="301"/>
      <c r="AJ916" s="301"/>
      <c r="AK916" s="301"/>
      <c r="AL916" s="301"/>
      <c r="AM916" s="301"/>
      <c r="AN916" s="301"/>
      <c r="AO916" s="301"/>
      <c r="AP916" s="301"/>
    </row>
    <row r="917" spans="10:42" ht="13.5" customHeight="1">
      <c r="J917" s="301"/>
      <c r="K917" s="301"/>
      <c r="L917" s="301"/>
      <c r="M917" s="301"/>
      <c r="N917" s="301"/>
      <c r="O917" s="301"/>
      <c r="P917" s="301"/>
      <c r="Q917" s="301"/>
      <c r="R917" s="301"/>
      <c r="S917" s="301"/>
      <c r="T917" s="301"/>
      <c r="U917" s="301"/>
      <c r="V917" s="301"/>
      <c r="W917" s="301"/>
      <c r="X917" s="301"/>
      <c r="Y917" s="301"/>
      <c r="Z917" s="301"/>
      <c r="AA917" s="301"/>
      <c r="AB917" s="301"/>
      <c r="AC917" s="301"/>
      <c r="AD917" s="301"/>
      <c r="AE917" s="301"/>
      <c r="AF917" s="301"/>
      <c r="AG917" s="301"/>
      <c r="AH917" s="301"/>
      <c r="AI917" s="301"/>
      <c r="AJ917" s="301"/>
      <c r="AK917" s="301"/>
      <c r="AL917" s="301"/>
      <c r="AM917" s="301"/>
      <c r="AN917" s="301"/>
      <c r="AO917" s="301"/>
      <c r="AP917" s="301"/>
    </row>
    <row r="918" spans="10:42" ht="13.5" customHeight="1">
      <c r="J918" s="301"/>
      <c r="K918" s="301"/>
      <c r="L918" s="301"/>
      <c r="M918" s="301"/>
      <c r="N918" s="301"/>
      <c r="O918" s="301"/>
      <c r="P918" s="301"/>
      <c r="Q918" s="301"/>
      <c r="R918" s="301"/>
      <c r="S918" s="301"/>
      <c r="T918" s="301"/>
      <c r="U918" s="301"/>
      <c r="V918" s="301"/>
      <c r="W918" s="301"/>
      <c r="X918" s="301"/>
      <c r="Y918" s="301"/>
      <c r="Z918" s="301"/>
      <c r="AA918" s="301"/>
      <c r="AB918" s="301"/>
      <c r="AC918" s="301"/>
      <c r="AD918" s="301"/>
      <c r="AE918" s="301"/>
      <c r="AF918" s="301"/>
      <c r="AG918" s="301"/>
      <c r="AH918" s="301"/>
      <c r="AI918" s="301"/>
      <c r="AJ918" s="301"/>
      <c r="AK918" s="301"/>
      <c r="AL918" s="301"/>
      <c r="AM918" s="301"/>
      <c r="AN918" s="301"/>
      <c r="AO918" s="301"/>
      <c r="AP918" s="301"/>
    </row>
    <row r="919" spans="10:42" ht="13.5" customHeight="1">
      <c r="J919" s="301"/>
      <c r="K919" s="301"/>
      <c r="L919" s="301"/>
      <c r="M919" s="301"/>
      <c r="N919" s="301"/>
      <c r="O919" s="301"/>
      <c r="P919" s="301"/>
      <c r="Q919" s="301"/>
      <c r="R919" s="301"/>
      <c r="S919" s="301"/>
      <c r="T919" s="301"/>
      <c r="U919" s="301"/>
      <c r="V919" s="301"/>
      <c r="W919" s="301"/>
      <c r="X919" s="301"/>
      <c r="Y919" s="301"/>
      <c r="Z919" s="301"/>
      <c r="AA919" s="301"/>
      <c r="AB919" s="301"/>
      <c r="AC919" s="301"/>
      <c r="AD919" s="301"/>
      <c r="AE919" s="301"/>
      <c r="AF919" s="301"/>
      <c r="AG919" s="301"/>
      <c r="AH919" s="301"/>
      <c r="AI919" s="301"/>
      <c r="AJ919" s="301"/>
      <c r="AK919" s="301"/>
      <c r="AL919" s="301"/>
      <c r="AM919" s="301"/>
      <c r="AN919" s="301"/>
      <c r="AO919" s="301"/>
      <c r="AP919" s="301"/>
    </row>
    <row r="920" spans="10:42" ht="13.5" customHeight="1">
      <c r="J920" s="301"/>
      <c r="K920" s="301"/>
      <c r="L920" s="301"/>
      <c r="M920" s="301"/>
      <c r="N920" s="301"/>
      <c r="O920" s="301"/>
      <c r="P920" s="301"/>
      <c r="Q920" s="301"/>
      <c r="R920" s="301"/>
      <c r="S920" s="301"/>
      <c r="T920" s="301"/>
      <c r="U920" s="301"/>
      <c r="V920" s="301"/>
      <c r="W920" s="301"/>
      <c r="X920" s="301"/>
      <c r="Y920" s="301"/>
      <c r="Z920" s="301"/>
      <c r="AA920" s="301"/>
      <c r="AB920" s="301"/>
      <c r="AC920" s="301"/>
      <c r="AD920" s="301"/>
      <c r="AE920" s="301"/>
      <c r="AF920" s="301"/>
      <c r="AG920" s="301"/>
      <c r="AH920" s="301"/>
      <c r="AI920" s="301"/>
      <c r="AJ920" s="301"/>
      <c r="AK920" s="301"/>
      <c r="AL920" s="301"/>
      <c r="AM920" s="301"/>
      <c r="AN920" s="301"/>
      <c r="AO920" s="301"/>
      <c r="AP920" s="301"/>
    </row>
    <row r="921" spans="10:42" ht="13.5" customHeight="1">
      <c r="J921" s="301"/>
      <c r="K921" s="301"/>
      <c r="L921" s="301"/>
      <c r="M921" s="301"/>
      <c r="N921" s="301"/>
      <c r="O921" s="301"/>
      <c r="P921" s="301"/>
      <c r="Q921" s="301"/>
      <c r="R921" s="301"/>
      <c r="S921" s="301"/>
      <c r="T921" s="301"/>
      <c r="U921" s="301"/>
      <c r="V921" s="301"/>
      <c r="W921" s="301"/>
      <c r="X921" s="301"/>
      <c r="Y921" s="301"/>
      <c r="Z921" s="301"/>
      <c r="AA921" s="301"/>
      <c r="AB921" s="301"/>
      <c r="AC921" s="301"/>
      <c r="AD921" s="301"/>
      <c r="AE921" s="301"/>
      <c r="AF921" s="301"/>
      <c r="AG921" s="301"/>
      <c r="AH921" s="301"/>
      <c r="AI921" s="301"/>
      <c r="AJ921" s="301"/>
      <c r="AK921" s="301"/>
      <c r="AL921" s="301"/>
      <c r="AM921" s="301"/>
      <c r="AN921" s="301"/>
      <c r="AO921" s="301"/>
      <c r="AP921" s="301"/>
    </row>
    <row r="922" spans="10:42" ht="13.5" customHeight="1">
      <c r="J922" s="301"/>
      <c r="K922" s="301"/>
      <c r="L922" s="301"/>
      <c r="M922" s="301"/>
      <c r="N922" s="301"/>
      <c r="O922" s="301"/>
      <c r="P922" s="301"/>
      <c r="Q922" s="301"/>
      <c r="R922" s="301"/>
      <c r="S922" s="301"/>
      <c r="T922" s="301"/>
      <c r="U922" s="301"/>
      <c r="V922" s="301"/>
      <c r="W922" s="301"/>
      <c r="X922" s="301"/>
      <c r="Y922" s="301"/>
      <c r="Z922" s="301"/>
      <c r="AA922" s="301"/>
      <c r="AB922" s="301"/>
      <c r="AC922" s="301"/>
      <c r="AD922" s="301"/>
      <c r="AE922" s="301"/>
      <c r="AF922" s="301"/>
      <c r="AG922" s="301"/>
      <c r="AH922" s="301"/>
      <c r="AI922" s="301"/>
      <c r="AJ922" s="301"/>
      <c r="AK922" s="301"/>
      <c r="AL922" s="301"/>
      <c r="AM922" s="301"/>
      <c r="AN922" s="301"/>
      <c r="AO922" s="301"/>
      <c r="AP922" s="301"/>
    </row>
    <row r="923" spans="10:42" ht="13.5" customHeight="1">
      <c r="J923" s="301"/>
      <c r="K923" s="301"/>
      <c r="L923" s="301"/>
      <c r="M923" s="301"/>
      <c r="N923" s="301"/>
      <c r="O923" s="301"/>
      <c r="P923" s="301"/>
      <c r="Q923" s="301"/>
      <c r="R923" s="301"/>
      <c r="S923" s="301"/>
      <c r="T923" s="301"/>
      <c r="U923" s="301"/>
      <c r="V923" s="301"/>
      <c r="W923" s="301"/>
      <c r="X923" s="301"/>
      <c r="Y923" s="301"/>
      <c r="Z923" s="301"/>
      <c r="AA923" s="301"/>
      <c r="AB923" s="301"/>
      <c r="AC923" s="301"/>
      <c r="AD923" s="301"/>
      <c r="AE923" s="301"/>
      <c r="AF923" s="301"/>
      <c r="AG923" s="301"/>
      <c r="AH923" s="301"/>
      <c r="AI923" s="301"/>
      <c r="AJ923" s="301"/>
      <c r="AK923" s="301"/>
      <c r="AL923" s="301"/>
      <c r="AM923" s="301"/>
      <c r="AN923" s="301"/>
      <c r="AO923" s="301"/>
      <c r="AP923" s="301"/>
    </row>
    <row r="924" spans="10:42" ht="13.5" customHeight="1">
      <c r="J924" s="301"/>
      <c r="K924" s="301"/>
      <c r="L924" s="301"/>
      <c r="M924" s="301"/>
      <c r="N924" s="301"/>
      <c r="O924" s="301"/>
      <c r="P924" s="301"/>
      <c r="Q924" s="301"/>
      <c r="R924" s="301"/>
      <c r="S924" s="301"/>
      <c r="T924" s="301"/>
      <c r="U924" s="301"/>
      <c r="V924" s="301"/>
      <c r="W924" s="301"/>
      <c r="X924" s="301"/>
      <c r="Y924" s="301"/>
      <c r="Z924" s="301"/>
      <c r="AA924" s="301"/>
      <c r="AB924" s="301"/>
      <c r="AC924" s="301"/>
      <c r="AD924" s="301"/>
      <c r="AE924" s="301"/>
      <c r="AF924" s="301"/>
      <c r="AG924" s="301"/>
      <c r="AH924" s="301"/>
      <c r="AI924" s="301"/>
      <c r="AJ924" s="301"/>
      <c r="AK924" s="301"/>
      <c r="AL924" s="301"/>
      <c r="AM924" s="301"/>
      <c r="AN924" s="301"/>
      <c r="AO924" s="301"/>
      <c r="AP924" s="301"/>
    </row>
    <row r="925" spans="10:42" ht="13.5" customHeight="1">
      <c r="J925" s="301"/>
      <c r="K925" s="301"/>
      <c r="L925" s="301"/>
      <c r="M925" s="301"/>
      <c r="N925" s="301"/>
      <c r="O925" s="301"/>
      <c r="P925" s="301"/>
      <c r="Q925" s="301"/>
      <c r="R925" s="301"/>
      <c r="S925" s="301"/>
      <c r="T925" s="301"/>
      <c r="U925" s="301"/>
      <c r="V925" s="301"/>
      <c r="W925" s="301"/>
      <c r="X925" s="301"/>
      <c r="Y925" s="301"/>
      <c r="Z925" s="301"/>
      <c r="AA925" s="301"/>
      <c r="AB925" s="301"/>
      <c r="AC925" s="301"/>
      <c r="AD925" s="301"/>
      <c r="AE925" s="301"/>
      <c r="AF925" s="301"/>
      <c r="AG925" s="301"/>
      <c r="AH925" s="301"/>
      <c r="AI925" s="301"/>
      <c r="AJ925" s="301"/>
      <c r="AK925" s="301"/>
      <c r="AL925" s="301"/>
      <c r="AM925" s="301"/>
      <c r="AN925" s="301"/>
      <c r="AO925" s="301"/>
      <c r="AP925" s="301"/>
    </row>
    <row r="926" spans="10:42" ht="13.5" customHeight="1">
      <c r="J926" s="301"/>
      <c r="K926" s="301"/>
      <c r="L926" s="301"/>
      <c r="M926" s="301"/>
      <c r="N926" s="301"/>
      <c r="O926" s="301"/>
      <c r="P926" s="301"/>
      <c r="Q926" s="301"/>
      <c r="R926" s="301"/>
      <c r="S926" s="301"/>
      <c r="T926" s="301"/>
      <c r="U926" s="301"/>
      <c r="V926" s="301"/>
      <c r="W926" s="301"/>
      <c r="X926" s="301"/>
      <c r="Y926" s="301"/>
      <c r="Z926" s="301"/>
      <c r="AA926" s="301"/>
      <c r="AB926" s="301"/>
      <c r="AC926" s="301"/>
      <c r="AD926" s="301"/>
      <c r="AE926" s="301"/>
      <c r="AF926" s="301"/>
      <c r="AG926" s="301"/>
      <c r="AH926" s="301"/>
      <c r="AI926" s="301"/>
      <c r="AJ926" s="301"/>
      <c r="AK926" s="301"/>
      <c r="AL926" s="301"/>
      <c r="AM926" s="301"/>
      <c r="AN926" s="301"/>
      <c r="AO926" s="301"/>
      <c r="AP926" s="301"/>
    </row>
    <row r="927" spans="10:42" ht="13.5" customHeight="1">
      <c r="J927" s="301"/>
      <c r="K927" s="301"/>
      <c r="L927" s="301"/>
      <c r="M927" s="301"/>
      <c r="N927" s="301"/>
      <c r="O927" s="301"/>
      <c r="P927" s="301"/>
      <c r="Q927" s="301"/>
      <c r="R927" s="301"/>
      <c r="S927" s="301"/>
      <c r="T927" s="301"/>
      <c r="U927" s="301"/>
      <c r="V927" s="301"/>
      <c r="W927" s="301"/>
      <c r="X927" s="301"/>
      <c r="Y927" s="301"/>
      <c r="Z927" s="301"/>
      <c r="AA927" s="301"/>
      <c r="AB927" s="301"/>
      <c r="AC927" s="301"/>
      <c r="AD927" s="301"/>
      <c r="AE927" s="301"/>
      <c r="AF927" s="301"/>
      <c r="AG927" s="301"/>
      <c r="AH927" s="301"/>
      <c r="AI927" s="301"/>
      <c r="AJ927" s="301"/>
      <c r="AK927" s="301"/>
      <c r="AL927" s="301"/>
      <c r="AM927" s="301"/>
      <c r="AN927" s="301"/>
      <c r="AO927" s="301"/>
      <c r="AP927" s="301"/>
    </row>
    <row r="928" spans="10:42" ht="13.5" customHeight="1">
      <c r="J928" s="301"/>
      <c r="K928" s="301"/>
      <c r="L928" s="301"/>
      <c r="M928" s="301"/>
      <c r="N928" s="301"/>
      <c r="O928" s="301"/>
      <c r="P928" s="301"/>
      <c r="Q928" s="301"/>
      <c r="R928" s="301"/>
      <c r="S928" s="301"/>
      <c r="T928" s="301"/>
      <c r="U928" s="301"/>
      <c r="V928" s="301"/>
      <c r="W928" s="301"/>
      <c r="X928" s="301"/>
      <c r="Y928" s="301"/>
      <c r="Z928" s="301"/>
      <c r="AA928" s="301"/>
      <c r="AB928" s="301"/>
      <c r="AC928" s="301"/>
      <c r="AD928" s="301"/>
      <c r="AE928" s="301"/>
      <c r="AF928" s="301"/>
      <c r="AG928" s="301"/>
      <c r="AH928" s="301"/>
      <c r="AI928" s="301"/>
      <c r="AJ928" s="301"/>
      <c r="AK928" s="301"/>
      <c r="AL928" s="301"/>
      <c r="AM928" s="301"/>
      <c r="AN928" s="301"/>
      <c r="AO928" s="301"/>
      <c r="AP928" s="301"/>
    </row>
    <row r="929" spans="10:42" ht="13.5" customHeight="1">
      <c r="J929" s="301"/>
      <c r="K929" s="301"/>
      <c r="L929" s="301"/>
      <c r="M929" s="301"/>
      <c r="N929" s="301"/>
      <c r="O929" s="301"/>
      <c r="P929" s="301"/>
      <c r="Q929" s="301"/>
      <c r="R929" s="301"/>
      <c r="S929" s="301"/>
      <c r="T929" s="301"/>
      <c r="U929" s="301"/>
      <c r="V929" s="301"/>
      <c r="W929" s="301"/>
      <c r="X929" s="301"/>
      <c r="Y929" s="301"/>
      <c r="Z929" s="301"/>
      <c r="AA929" s="301"/>
      <c r="AB929" s="301"/>
      <c r="AC929" s="301"/>
      <c r="AD929" s="301"/>
      <c r="AE929" s="301"/>
      <c r="AF929" s="301"/>
      <c r="AG929" s="301"/>
      <c r="AH929" s="301"/>
      <c r="AI929" s="301"/>
      <c r="AJ929" s="301"/>
      <c r="AK929" s="301"/>
      <c r="AL929" s="301"/>
      <c r="AM929" s="301"/>
      <c r="AN929" s="301"/>
      <c r="AO929" s="301"/>
      <c r="AP929" s="301"/>
    </row>
    <row r="930" spans="10:42" ht="13.5" customHeight="1">
      <c r="J930" s="301"/>
      <c r="K930" s="301"/>
      <c r="L930" s="301"/>
      <c r="M930" s="301"/>
      <c r="N930" s="301"/>
      <c r="O930" s="301"/>
      <c r="P930" s="301"/>
      <c r="Q930" s="301"/>
      <c r="R930" s="301"/>
      <c r="S930" s="301"/>
      <c r="T930" s="301"/>
      <c r="U930" s="301"/>
      <c r="V930" s="301"/>
      <c r="W930" s="301"/>
      <c r="X930" s="301"/>
      <c r="Y930" s="301"/>
      <c r="Z930" s="301"/>
      <c r="AA930" s="301"/>
      <c r="AB930" s="301"/>
      <c r="AC930" s="301"/>
      <c r="AD930" s="301"/>
      <c r="AE930" s="301"/>
      <c r="AF930" s="301"/>
      <c r="AG930" s="301"/>
      <c r="AH930" s="301"/>
      <c r="AI930" s="301"/>
      <c r="AJ930" s="301"/>
      <c r="AK930" s="301"/>
      <c r="AL930" s="301"/>
      <c r="AM930" s="301"/>
      <c r="AN930" s="301"/>
      <c r="AO930" s="301"/>
      <c r="AP930" s="301"/>
    </row>
    <row r="931" spans="10:42" ht="13.5" customHeight="1">
      <c r="J931" s="301"/>
      <c r="K931" s="301"/>
      <c r="L931" s="301"/>
      <c r="M931" s="301"/>
      <c r="N931" s="301"/>
      <c r="O931" s="301"/>
      <c r="P931" s="301"/>
      <c r="Q931" s="301"/>
      <c r="R931" s="301"/>
      <c r="S931" s="301"/>
      <c r="T931" s="301"/>
      <c r="U931" s="301"/>
      <c r="V931" s="301"/>
      <c r="W931" s="301"/>
      <c r="X931" s="301"/>
      <c r="Y931" s="301"/>
      <c r="Z931" s="301"/>
      <c r="AA931" s="301"/>
      <c r="AB931" s="301"/>
      <c r="AC931" s="301"/>
      <c r="AD931" s="301"/>
      <c r="AE931" s="301"/>
      <c r="AF931" s="301"/>
      <c r="AG931" s="301"/>
      <c r="AH931" s="301"/>
      <c r="AI931" s="301"/>
      <c r="AJ931" s="301"/>
      <c r="AK931" s="301"/>
      <c r="AL931" s="301"/>
      <c r="AM931" s="301"/>
      <c r="AN931" s="301"/>
      <c r="AO931" s="301"/>
      <c r="AP931" s="301"/>
    </row>
    <row r="932" spans="10:42" ht="13.5" customHeight="1">
      <c r="J932" s="301"/>
      <c r="K932" s="301"/>
      <c r="L932" s="301"/>
      <c r="M932" s="301"/>
      <c r="N932" s="301"/>
      <c r="O932" s="301"/>
      <c r="P932" s="301"/>
      <c r="Q932" s="301"/>
      <c r="R932" s="301"/>
      <c r="S932" s="301"/>
      <c r="T932" s="301"/>
      <c r="U932" s="301"/>
      <c r="V932" s="301"/>
      <c r="W932" s="301"/>
      <c r="X932" s="301"/>
      <c r="Y932" s="301"/>
      <c r="Z932" s="301"/>
      <c r="AA932" s="301"/>
      <c r="AB932" s="301"/>
      <c r="AC932" s="301"/>
      <c r="AD932" s="301"/>
      <c r="AE932" s="301"/>
      <c r="AF932" s="301"/>
      <c r="AG932" s="301"/>
      <c r="AH932" s="301"/>
      <c r="AI932" s="301"/>
      <c r="AJ932" s="301"/>
      <c r="AK932" s="301"/>
      <c r="AL932" s="301"/>
      <c r="AM932" s="301"/>
      <c r="AN932" s="301"/>
      <c r="AO932" s="301"/>
      <c r="AP932" s="301"/>
    </row>
    <row r="933" spans="10:42" ht="13.5" customHeight="1">
      <c r="J933" s="301"/>
      <c r="K933" s="301"/>
      <c r="L933" s="301"/>
      <c r="M933" s="301"/>
      <c r="N933" s="301"/>
      <c r="O933" s="301"/>
      <c r="P933" s="301"/>
      <c r="Q933" s="301"/>
      <c r="R933" s="301"/>
      <c r="S933" s="301"/>
      <c r="T933" s="301"/>
      <c r="U933" s="301"/>
      <c r="V933" s="301"/>
      <c r="W933" s="301"/>
      <c r="X933" s="301"/>
      <c r="Y933" s="301"/>
      <c r="Z933" s="301"/>
      <c r="AA933" s="301"/>
      <c r="AB933" s="301"/>
      <c r="AC933" s="301"/>
      <c r="AD933" s="301"/>
      <c r="AE933" s="301"/>
      <c r="AF933" s="301"/>
      <c r="AG933" s="301"/>
      <c r="AH933" s="301"/>
      <c r="AI933" s="301"/>
      <c r="AJ933" s="301"/>
      <c r="AK933" s="301"/>
      <c r="AL933" s="301"/>
      <c r="AM933" s="301"/>
      <c r="AN933" s="301"/>
      <c r="AO933" s="301"/>
      <c r="AP933" s="301"/>
    </row>
    <row r="934" spans="10:42" ht="13.5" customHeight="1">
      <c r="J934" s="301"/>
      <c r="K934" s="301"/>
      <c r="L934" s="301"/>
      <c r="M934" s="301"/>
      <c r="N934" s="301"/>
      <c r="O934" s="301"/>
      <c r="P934" s="301"/>
      <c r="Q934" s="301"/>
      <c r="R934" s="301"/>
      <c r="S934" s="301"/>
      <c r="T934" s="301"/>
      <c r="U934" s="301"/>
      <c r="V934" s="301"/>
      <c r="W934" s="301"/>
      <c r="X934" s="301"/>
      <c r="Y934" s="301"/>
      <c r="Z934" s="301"/>
      <c r="AA934" s="301"/>
      <c r="AB934" s="301"/>
      <c r="AC934" s="301"/>
      <c r="AD934" s="301"/>
      <c r="AE934" s="301"/>
      <c r="AF934" s="301"/>
      <c r="AG934" s="301"/>
      <c r="AH934" s="301"/>
      <c r="AI934" s="301"/>
      <c r="AJ934" s="301"/>
      <c r="AK934" s="301"/>
      <c r="AL934" s="301"/>
      <c r="AM934" s="301"/>
      <c r="AN934" s="301"/>
      <c r="AO934" s="301"/>
      <c r="AP934" s="301"/>
    </row>
    <row r="935" spans="10:42" ht="13.5" customHeight="1">
      <c r="J935" s="301"/>
      <c r="K935" s="301"/>
      <c r="L935" s="301"/>
      <c r="M935" s="301"/>
      <c r="N935" s="301"/>
      <c r="O935" s="301"/>
      <c r="P935" s="301"/>
      <c r="Q935" s="301"/>
      <c r="R935" s="301"/>
      <c r="S935" s="301"/>
      <c r="T935" s="301"/>
      <c r="U935" s="301"/>
      <c r="V935" s="301"/>
      <c r="W935" s="301"/>
      <c r="X935" s="301"/>
      <c r="Y935" s="301"/>
      <c r="Z935" s="301"/>
      <c r="AA935" s="301"/>
      <c r="AB935" s="301"/>
      <c r="AC935" s="301"/>
      <c r="AD935" s="301"/>
      <c r="AE935" s="301"/>
      <c r="AF935" s="301"/>
      <c r="AG935" s="301"/>
      <c r="AH935" s="301"/>
      <c r="AI935" s="301"/>
      <c r="AJ935" s="301"/>
      <c r="AK935" s="301"/>
      <c r="AL935" s="301"/>
      <c r="AM935" s="301"/>
      <c r="AN935" s="301"/>
      <c r="AO935" s="301"/>
      <c r="AP935" s="301"/>
    </row>
    <row r="936" spans="10:42" ht="13.5" customHeight="1">
      <c r="J936" s="301"/>
      <c r="K936" s="301"/>
      <c r="L936" s="301"/>
      <c r="M936" s="301"/>
      <c r="N936" s="301"/>
      <c r="O936" s="301"/>
      <c r="P936" s="301"/>
      <c r="Q936" s="301"/>
      <c r="R936" s="301"/>
      <c r="S936" s="301"/>
      <c r="T936" s="301"/>
      <c r="U936" s="301"/>
      <c r="V936" s="301"/>
      <c r="W936" s="301"/>
      <c r="X936" s="301"/>
      <c r="Y936" s="301"/>
      <c r="Z936" s="301"/>
      <c r="AA936" s="301"/>
      <c r="AB936" s="301"/>
      <c r="AC936" s="301"/>
      <c r="AD936" s="301"/>
      <c r="AE936" s="301"/>
      <c r="AF936" s="301"/>
      <c r="AG936" s="301"/>
      <c r="AH936" s="301"/>
      <c r="AI936" s="301"/>
      <c r="AJ936" s="301"/>
      <c r="AK936" s="301"/>
      <c r="AL936" s="301"/>
      <c r="AM936" s="301"/>
      <c r="AN936" s="301"/>
      <c r="AO936" s="301"/>
      <c r="AP936" s="301"/>
    </row>
    <row r="937" spans="10:42" ht="13.5" customHeight="1">
      <c r="J937" s="301"/>
      <c r="K937" s="301"/>
      <c r="L937" s="301"/>
      <c r="M937" s="301"/>
      <c r="N937" s="301"/>
      <c r="O937" s="301"/>
      <c r="P937" s="301"/>
      <c r="Q937" s="301"/>
      <c r="R937" s="301"/>
      <c r="S937" s="301"/>
      <c r="T937" s="301"/>
      <c r="U937" s="301"/>
      <c r="V937" s="301"/>
      <c r="W937" s="301"/>
      <c r="X937" s="301"/>
      <c r="Y937" s="301"/>
      <c r="Z937" s="301"/>
      <c r="AA937" s="301"/>
      <c r="AB937" s="301"/>
      <c r="AC937" s="301"/>
      <c r="AD937" s="301"/>
      <c r="AE937" s="301"/>
      <c r="AF937" s="301"/>
      <c r="AG937" s="301"/>
      <c r="AH937" s="301"/>
      <c r="AI937" s="301"/>
      <c r="AJ937" s="301"/>
      <c r="AK937" s="301"/>
      <c r="AL937" s="301"/>
      <c r="AM937" s="301"/>
      <c r="AN937" s="301"/>
      <c r="AO937" s="301"/>
      <c r="AP937" s="301"/>
    </row>
    <row r="938" spans="10:42" ht="13.5" customHeight="1">
      <c r="J938" s="301"/>
      <c r="K938" s="301"/>
      <c r="L938" s="301"/>
      <c r="M938" s="301"/>
      <c r="N938" s="301"/>
      <c r="O938" s="301"/>
      <c r="P938" s="301"/>
      <c r="Q938" s="301"/>
      <c r="R938" s="301"/>
      <c r="S938" s="301"/>
      <c r="T938" s="301"/>
      <c r="U938" s="301"/>
      <c r="V938" s="301"/>
      <c r="W938" s="301"/>
      <c r="X938" s="301"/>
      <c r="Y938" s="301"/>
      <c r="Z938" s="301"/>
      <c r="AA938" s="301"/>
      <c r="AB938" s="301"/>
      <c r="AC938" s="301"/>
      <c r="AD938" s="301"/>
      <c r="AE938" s="301"/>
      <c r="AF938" s="301"/>
      <c r="AG938" s="301"/>
      <c r="AH938" s="301"/>
      <c r="AI938" s="301"/>
      <c r="AJ938" s="301"/>
      <c r="AK938" s="301"/>
      <c r="AL938" s="301"/>
      <c r="AM938" s="301"/>
      <c r="AN938" s="301"/>
      <c r="AO938" s="301"/>
      <c r="AP938" s="301"/>
    </row>
    <row r="939" spans="10:42" ht="13.5" customHeight="1">
      <c r="J939" s="301"/>
      <c r="K939" s="301"/>
      <c r="L939" s="301"/>
      <c r="M939" s="301"/>
      <c r="N939" s="301"/>
      <c r="O939" s="301"/>
      <c r="P939" s="301"/>
      <c r="Q939" s="301"/>
      <c r="R939" s="301"/>
      <c r="S939" s="301"/>
      <c r="T939" s="301"/>
      <c r="U939" s="301"/>
      <c r="V939" s="301"/>
      <c r="W939" s="301"/>
      <c r="X939" s="301"/>
      <c r="Y939" s="301"/>
      <c r="Z939" s="301"/>
      <c r="AA939" s="301"/>
      <c r="AB939" s="301"/>
      <c r="AC939" s="301"/>
      <c r="AD939" s="301"/>
      <c r="AE939" s="301"/>
      <c r="AF939" s="301"/>
      <c r="AG939" s="301"/>
      <c r="AH939" s="301"/>
      <c r="AI939" s="301"/>
      <c r="AJ939" s="301"/>
      <c r="AK939" s="301"/>
      <c r="AL939" s="301"/>
      <c r="AM939" s="301"/>
      <c r="AN939" s="301"/>
      <c r="AO939" s="301"/>
      <c r="AP939" s="301"/>
    </row>
    <row r="940" spans="10:42" ht="13.5" customHeight="1">
      <c r="J940" s="301"/>
      <c r="K940" s="301"/>
      <c r="L940" s="301"/>
      <c r="M940" s="301"/>
      <c r="N940" s="301"/>
      <c r="O940" s="301"/>
      <c r="P940" s="301"/>
      <c r="Q940" s="301"/>
      <c r="R940" s="301"/>
      <c r="S940" s="301"/>
      <c r="T940" s="301"/>
      <c r="U940" s="301"/>
      <c r="V940" s="301"/>
      <c r="W940" s="301"/>
      <c r="X940" s="301"/>
      <c r="Y940" s="301"/>
      <c r="Z940" s="301"/>
      <c r="AA940" s="301"/>
      <c r="AB940" s="301"/>
      <c r="AC940" s="301"/>
      <c r="AD940" s="301"/>
      <c r="AE940" s="301"/>
      <c r="AF940" s="301"/>
      <c r="AG940" s="301"/>
      <c r="AH940" s="301"/>
      <c r="AI940" s="301"/>
      <c r="AJ940" s="301"/>
      <c r="AK940" s="301"/>
      <c r="AL940" s="301"/>
      <c r="AM940" s="301"/>
      <c r="AN940" s="301"/>
      <c r="AO940" s="301"/>
      <c r="AP940" s="301"/>
    </row>
    <row r="941" spans="10:42" ht="13.5" customHeight="1">
      <c r="J941" s="301"/>
      <c r="K941" s="301"/>
      <c r="L941" s="301"/>
      <c r="M941" s="301"/>
      <c r="N941" s="301"/>
      <c r="O941" s="301"/>
      <c r="P941" s="301"/>
      <c r="Q941" s="301"/>
      <c r="R941" s="301"/>
      <c r="S941" s="301"/>
      <c r="T941" s="301"/>
      <c r="U941" s="301"/>
      <c r="V941" s="301"/>
      <c r="W941" s="301"/>
      <c r="X941" s="301"/>
      <c r="Y941" s="301"/>
      <c r="Z941" s="301"/>
      <c r="AA941" s="301"/>
      <c r="AB941" s="301"/>
      <c r="AC941" s="301"/>
      <c r="AD941" s="301"/>
      <c r="AE941" s="301"/>
      <c r="AF941" s="301"/>
      <c r="AG941" s="301"/>
      <c r="AH941" s="301"/>
      <c r="AI941" s="301"/>
      <c r="AJ941" s="301"/>
      <c r="AK941" s="301"/>
      <c r="AL941" s="301"/>
      <c r="AM941" s="301"/>
      <c r="AN941" s="301"/>
      <c r="AO941" s="301"/>
      <c r="AP941" s="301"/>
    </row>
    <row r="942" spans="10:42" ht="13.5" customHeight="1">
      <c r="J942" s="301"/>
      <c r="K942" s="301"/>
      <c r="L942" s="301"/>
      <c r="M942" s="301"/>
      <c r="N942" s="301"/>
      <c r="O942" s="301"/>
      <c r="P942" s="301"/>
      <c r="Q942" s="301"/>
      <c r="R942" s="301"/>
      <c r="S942" s="301"/>
      <c r="T942" s="301"/>
      <c r="U942" s="301"/>
      <c r="V942" s="301"/>
      <c r="W942" s="301"/>
      <c r="X942" s="301"/>
      <c r="Y942" s="301"/>
      <c r="Z942" s="301"/>
      <c r="AA942" s="301"/>
      <c r="AB942" s="301"/>
      <c r="AC942" s="301"/>
      <c r="AD942" s="301"/>
      <c r="AE942" s="301"/>
      <c r="AF942" s="301"/>
      <c r="AG942" s="301"/>
      <c r="AH942" s="301"/>
      <c r="AI942" s="301"/>
      <c r="AJ942" s="301"/>
      <c r="AK942" s="301"/>
      <c r="AL942" s="301"/>
      <c r="AM942" s="301"/>
      <c r="AN942" s="301"/>
      <c r="AO942" s="301"/>
      <c r="AP942" s="301"/>
    </row>
    <row r="943" spans="10:42" ht="13.5" customHeight="1">
      <c r="J943" s="301"/>
      <c r="K943" s="301"/>
      <c r="L943" s="301"/>
      <c r="M943" s="301"/>
      <c r="N943" s="301"/>
      <c r="O943" s="301"/>
      <c r="P943" s="301"/>
      <c r="Q943" s="301"/>
      <c r="R943" s="301"/>
      <c r="S943" s="301"/>
      <c r="T943" s="301"/>
      <c r="U943" s="301"/>
      <c r="V943" s="301"/>
      <c r="W943" s="301"/>
      <c r="X943" s="301"/>
      <c r="Y943" s="301"/>
      <c r="Z943" s="301"/>
      <c r="AA943" s="301"/>
      <c r="AB943" s="301"/>
      <c r="AC943" s="301"/>
      <c r="AD943" s="301"/>
      <c r="AE943" s="301"/>
      <c r="AF943" s="301"/>
      <c r="AG943" s="301"/>
      <c r="AH943" s="301"/>
      <c r="AI943" s="301"/>
      <c r="AJ943" s="301"/>
      <c r="AK943" s="301"/>
      <c r="AL943" s="301"/>
      <c r="AM943" s="301"/>
      <c r="AN943" s="301"/>
      <c r="AO943" s="301"/>
      <c r="AP943" s="301"/>
    </row>
    <row r="944" spans="10:42" ht="13.5" customHeight="1">
      <c r="J944" s="301"/>
      <c r="K944" s="301"/>
      <c r="L944" s="301"/>
      <c r="M944" s="301"/>
      <c r="N944" s="301"/>
      <c r="O944" s="301"/>
      <c r="P944" s="301"/>
      <c r="Q944" s="301"/>
      <c r="R944" s="301"/>
      <c r="S944" s="301"/>
      <c r="T944" s="301"/>
      <c r="U944" s="301"/>
      <c r="V944" s="301"/>
      <c r="W944" s="301"/>
      <c r="X944" s="301"/>
      <c r="Y944" s="301"/>
      <c r="Z944" s="301"/>
      <c r="AA944" s="301"/>
      <c r="AB944" s="301"/>
      <c r="AC944" s="301"/>
      <c r="AD944" s="301"/>
      <c r="AE944" s="301"/>
      <c r="AF944" s="301"/>
      <c r="AG944" s="301"/>
      <c r="AH944" s="301"/>
      <c r="AI944" s="301"/>
      <c r="AJ944" s="301"/>
      <c r="AK944" s="301"/>
      <c r="AL944" s="301"/>
      <c r="AM944" s="301"/>
      <c r="AN944" s="301"/>
      <c r="AO944" s="301"/>
      <c r="AP944" s="301"/>
    </row>
    <row r="945" spans="10:42" ht="13.5" customHeight="1">
      <c r="J945" s="301"/>
      <c r="K945" s="301"/>
      <c r="L945" s="301"/>
      <c r="M945" s="301"/>
      <c r="N945" s="301"/>
      <c r="O945" s="301"/>
      <c r="P945" s="301"/>
      <c r="Q945" s="301"/>
      <c r="R945" s="301"/>
      <c r="S945" s="301"/>
      <c r="T945" s="301"/>
      <c r="U945" s="301"/>
      <c r="V945" s="301"/>
      <c r="W945" s="301"/>
      <c r="X945" s="301"/>
      <c r="Y945" s="301"/>
      <c r="Z945" s="301"/>
      <c r="AA945" s="301"/>
      <c r="AB945" s="301"/>
      <c r="AC945" s="301"/>
      <c r="AD945" s="301"/>
      <c r="AE945" s="301"/>
      <c r="AF945" s="301"/>
      <c r="AG945" s="301"/>
      <c r="AH945" s="301"/>
      <c r="AI945" s="301"/>
      <c r="AJ945" s="301"/>
      <c r="AK945" s="301"/>
      <c r="AL945" s="301"/>
      <c r="AM945" s="301"/>
      <c r="AN945" s="301"/>
      <c r="AO945" s="301"/>
      <c r="AP945" s="301"/>
    </row>
    <row r="946" spans="10:42" ht="13.5" customHeight="1">
      <c r="J946" s="301"/>
      <c r="K946" s="301"/>
      <c r="L946" s="301"/>
      <c r="M946" s="301"/>
      <c r="N946" s="301"/>
      <c r="O946" s="301"/>
      <c r="P946" s="301"/>
      <c r="Q946" s="301"/>
      <c r="R946" s="301"/>
      <c r="S946" s="301"/>
      <c r="T946" s="301"/>
      <c r="U946" s="301"/>
      <c r="V946" s="301"/>
      <c r="W946" s="301"/>
      <c r="X946" s="301"/>
      <c r="Y946" s="301"/>
      <c r="Z946" s="301"/>
      <c r="AA946" s="301"/>
      <c r="AB946" s="301"/>
      <c r="AC946" s="301"/>
      <c r="AD946" s="301"/>
      <c r="AE946" s="301"/>
      <c r="AF946" s="301"/>
      <c r="AG946" s="301"/>
      <c r="AH946" s="301"/>
      <c r="AI946" s="301"/>
      <c r="AJ946" s="301"/>
      <c r="AK946" s="301"/>
      <c r="AL946" s="301"/>
      <c r="AM946" s="301"/>
      <c r="AN946" s="301"/>
      <c r="AO946" s="301"/>
      <c r="AP946" s="301"/>
    </row>
    <row r="947" spans="10:42" ht="13.5" customHeight="1">
      <c r="J947" s="301"/>
      <c r="K947" s="301"/>
      <c r="L947" s="301"/>
      <c r="M947" s="301"/>
      <c r="N947" s="301"/>
      <c r="O947" s="301"/>
      <c r="P947" s="301"/>
      <c r="Q947" s="301"/>
      <c r="R947" s="301"/>
      <c r="S947" s="301"/>
      <c r="T947" s="301"/>
      <c r="U947" s="301"/>
      <c r="V947" s="301"/>
      <c r="W947" s="301"/>
      <c r="X947" s="301"/>
      <c r="Y947" s="301"/>
      <c r="Z947" s="301"/>
      <c r="AA947" s="301"/>
      <c r="AB947" s="301"/>
      <c r="AC947" s="301"/>
      <c r="AD947" s="301"/>
      <c r="AE947" s="301"/>
      <c r="AF947" s="301"/>
      <c r="AG947" s="301"/>
      <c r="AH947" s="301"/>
      <c r="AI947" s="301"/>
      <c r="AJ947" s="301"/>
      <c r="AK947" s="301"/>
      <c r="AL947" s="301"/>
      <c r="AM947" s="301"/>
      <c r="AN947" s="301"/>
      <c r="AO947" s="301"/>
      <c r="AP947" s="301"/>
    </row>
    <row r="948" spans="10:42" ht="13.5" customHeight="1">
      <c r="J948" s="301"/>
      <c r="K948" s="301"/>
      <c r="L948" s="301"/>
      <c r="M948" s="301"/>
      <c r="N948" s="301"/>
      <c r="O948" s="301"/>
      <c r="P948" s="301"/>
      <c r="Q948" s="301"/>
      <c r="R948" s="301"/>
      <c r="S948" s="301"/>
      <c r="T948" s="301"/>
      <c r="U948" s="301"/>
      <c r="V948" s="301"/>
      <c r="W948" s="301"/>
      <c r="X948" s="301"/>
      <c r="Y948" s="301"/>
      <c r="Z948" s="301"/>
      <c r="AA948" s="301"/>
      <c r="AB948" s="301"/>
      <c r="AC948" s="301"/>
      <c r="AD948" s="301"/>
      <c r="AE948" s="301"/>
      <c r="AF948" s="301"/>
      <c r="AG948" s="301"/>
      <c r="AH948" s="301"/>
      <c r="AI948" s="301"/>
      <c r="AJ948" s="301"/>
      <c r="AK948" s="301"/>
      <c r="AL948" s="301"/>
      <c r="AM948" s="301"/>
      <c r="AN948" s="301"/>
      <c r="AO948" s="301"/>
      <c r="AP948" s="301"/>
    </row>
    <row r="949" spans="10:42" ht="13.5" customHeight="1">
      <c r="J949" s="301"/>
      <c r="K949" s="301"/>
      <c r="L949" s="301"/>
      <c r="M949" s="301"/>
      <c r="N949" s="301"/>
      <c r="O949" s="301"/>
      <c r="P949" s="301"/>
      <c r="Q949" s="301"/>
      <c r="R949" s="301"/>
      <c r="S949" s="301"/>
      <c r="T949" s="301"/>
      <c r="U949" s="301"/>
      <c r="V949" s="301"/>
      <c r="W949" s="301"/>
      <c r="X949" s="301"/>
      <c r="Y949" s="301"/>
      <c r="Z949" s="301"/>
      <c r="AA949" s="301"/>
      <c r="AB949" s="301"/>
      <c r="AC949" s="301"/>
      <c r="AD949" s="301"/>
      <c r="AE949" s="301"/>
      <c r="AF949" s="301"/>
      <c r="AG949" s="301"/>
      <c r="AH949" s="301"/>
      <c r="AI949" s="301"/>
      <c r="AJ949" s="301"/>
      <c r="AK949" s="301"/>
      <c r="AL949" s="301"/>
      <c r="AM949" s="301"/>
      <c r="AN949" s="301"/>
      <c r="AO949" s="301"/>
      <c r="AP949" s="301"/>
    </row>
    <row r="950" spans="10:42" ht="13.5" customHeight="1">
      <c r="J950" s="301"/>
      <c r="K950" s="301"/>
      <c r="L950" s="301"/>
      <c r="M950" s="301"/>
      <c r="N950" s="301"/>
      <c r="O950" s="301"/>
      <c r="P950" s="301"/>
      <c r="Q950" s="301"/>
      <c r="R950" s="301"/>
      <c r="S950" s="301"/>
      <c r="T950" s="301"/>
      <c r="U950" s="301"/>
      <c r="V950" s="301"/>
      <c r="W950" s="301"/>
      <c r="X950" s="301"/>
      <c r="Y950" s="301"/>
      <c r="Z950" s="301"/>
      <c r="AA950" s="301"/>
      <c r="AB950" s="301"/>
      <c r="AC950" s="301"/>
      <c r="AD950" s="301"/>
      <c r="AE950" s="301"/>
      <c r="AF950" s="301"/>
      <c r="AG950" s="301"/>
      <c r="AH950" s="301"/>
      <c r="AI950" s="301"/>
      <c r="AJ950" s="301"/>
      <c r="AK950" s="301"/>
      <c r="AL950" s="301"/>
      <c r="AM950" s="301"/>
      <c r="AN950" s="301"/>
      <c r="AO950" s="301"/>
      <c r="AP950" s="301"/>
    </row>
    <row r="951" spans="10:42" ht="13.5" customHeight="1">
      <c r="J951" s="301"/>
      <c r="K951" s="301"/>
      <c r="L951" s="301"/>
      <c r="M951" s="301"/>
      <c r="N951" s="301"/>
      <c r="O951" s="301"/>
      <c r="P951" s="301"/>
      <c r="Q951" s="301"/>
      <c r="R951" s="301"/>
      <c r="S951" s="301"/>
      <c r="T951" s="301"/>
      <c r="U951" s="301"/>
      <c r="V951" s="301"/>
      <c r="W951" s="301"/>
      <c r="X951" s="301"/>
      <c r="Y951" s="301"/>
      <c r="Z951" s="301"/>
      <c r="AA951" s="301"/>
      <c r="AB951" s="301"/>
      <c r="AC951" s="301"/>
      <c r="AD951" s="301"/>
      <c r="AE951" s="301"/>
      <c r="AF951" s="301"/>
      <c r="AG951" s="301"/>
      <c r="AH951" s="301"/>
      <c r="AI951" s="301"/>
      <c r="AJ951" s="301"/>
      <c r="AK951" s="301"/>
      <c r="AL951" s="301"/>
      <c r="AM951" s="301"/>
      <c r="AN951" s="301"/>
      <c r="AO951" s="301"/>
      <c r="AP951" s="301"/>
    </row>
    <row r="952" spans="10:42" ht="13.5" customHeight="1">
      <c r="J952" s="301"/>
      <c r="K952" s="301"/>
      <c r="L952" s="301"/>
      <c r="M952" s="301"/>
      <c r="N952" s="301"/>
      <c r="O952" s="301"/>
      <c r="P952" s="301"/>
      <c r="Q952" s="301"/>
      <c r="R952" s="301"/>
      <c r="S952" s="301"/>
      <c r="T952" s="301"/>
      <c r="U952" s="301"/>
      <c r="V952" s="301"/>
      <c r="W952" s="301"/>
      <c r="X952" s="301"/>
      <c r="Y952" s="301"/>
      <c r="Z952" s="301"/>
      <c r="AA952" s="301"/>
      <c r="AB952" s="301"/>
      <c r="AC952" s="301"/>
      <c r="AD952" s="301"/>
      <c r="AE952" s="301"/>
      <c r="AF952" s="301"/>
      <c r="AG952" s="301"/>
      <c r="AH952" s="301"/>
      <c r="AI952" s="301"/>
      <c r="AJ952" s="301"/>
      <c r="AK952" s="301"/>
      <c r="AL952" s="301"/>
      <c r="AM952" s="301"/>
      <c r="AN952" s="301"/>
      <c r="AO952" s="301"/>
      <c r="AP952" s="301"/>
    </row>
    <row r="953" spans="10:42" ht="13.5" customHeight="1">
      <c r="J953" s="301"/>
      <c r="K953" s="301"/>
      <c r="L953" s="301"/>
      <c r="M953" s="301"/>
      <c r="N953" s="301"/>
      <c r="O953" s="301"/>
      <c r="P953" s="301"/>
      <c r="Q953" s="301"/>
      <c r="R953" s="301"/>
      <c r="S953" s="301"/>
      <c r="T953" s="301"/>
      <c r="U953" s="301"/>
      <c r="V953" s="301"/>
      <c r="W953" s="301"/>
      <c r="X953" s="301"/>
      <c r="Y953" s="301"/>
      <c r="Z953" s="301"/>
      <c r="AA953" s="301"/>
      <c r="AB953" s="301"/>
      <c r="AC953" s="301"/>
      <c r="AD953" s="301"/>
      <c r="AE953" s="301"/>
      <c r="AF953" s="301"/>
      <c r="AG953" s="301"/>
      <c r="AH953" s="301"/>
      <c r="AI953" s="301"/>
      <c r="AJ953" s="301"/>
      <c r="AK953" s="301"/>
      <c r="AL953" s="301"/>
      <c r="AM953" s="301"/>
      <c r="AN953" s="301"/>
      <c r="AO953" s="301"/>
      <c r="AP953" s="301"/>
    </row>
    <row r="954" spans="10:42" ht="13.5" customHeight="1">
      <c r="J954" s="301"/>
      <c r="K954" s="301"/>
      <c r="L954" s="301"/>
      <c r="M954" s="301"/>
      <c r="N954" s="301"/>
      <c r="O954" s="301"/>
      <c r="P954" s="301"/>
      <c r="Q954" s="301"/>
      <c r="R954" s="301"/>
      <c r="S954" s="301"/>
      <c r="T954" s="301"/>
      <c r="U954" s="301"/>
      <c r="V954" s="301"/>
      <c r="W954" s="301"/>
      <c r="X954" s="301"/>
      <c r="Y954" s="301"/>
      <c r="Z954" s="301"/>
      <c r="AA954" s="301"/>
      <c r="AB954" s="301"/>
      <c r="AC954" s="301"/>
      <c r="AD954" s="301"/>
      <c r="AE954" s="301"/>
      <c r="AF954" s="301"/>
      <c r="AG954" s="301"/>
      <c r="AH954" s="301"/>
      <c r="AI954" s="301"/>
      <c r="AJ954" s="301"/>
      <c r="AK954" s="301"/>
      <c r="AL954" s="301"/>
      <c r="AM954" s="301"/>
      <c r="AN954" s="301"/>
      <c r="AO954" s="301"/>
      <c r="AP954" s="301"/>
    </row>
    <row r="955" spans="10:42" ht="13.5" customHeight="1">
      <c r="J955" s="301"/>
      <c r="K955" s="301"/>
      <c r="L955" s="301"/>
      <c r="M955" s="301"/>
      <c r="N955" s="301"/>
      <c r="O955" s="301"/>
      <c r="P955" s="301"/>
      <c r="Q955" s="301"/>
      <c r="R955" s="301"/>
      <c r="S955" s="301"/>
      <c r="T955" s="301"/>
      <c r="U955" s="301"/>
      <c r="V955" s="301"/>
      <c r="W955" s="301"/>
      <c r="X955" s="301"/>
      <c r="Y955" s="301"/>
      <c r="Z955" s="301"/>
      <c r="AA955" s="301"/>
      <c r="AB955" s="301"/>
      <c r="AC955" s="301"/>
      <c r="AD955" s="301"/>
      <c r="AE955" s="301"/>
      <c r="AF955" s="301"/>
      <c r="AG955" s="301"/>
      <c r="AH955" s="301"/>
      <c r="AI955" s="301"/>
      <c r="AJ955" s="301"/>
      <c r="AK955" s="301"/>
      <c r="AL955" s="301"/>
      <c r="AM955" s="301"/>
      <c r="AN955" s="301"/>
      <c r="AO955" s="301"/>
      <c r="AP955" s="301"/>
    </row>
    <row r="956" spans="10:42" ht="13.5" customHeight="1">
      <c r="J956" s="301"/>
      <c r="K956" s="301"/>
      <c r="L956" s="301"/>
      <c r="M956" s="301"/>
      <c r="N956" s="301"/>
      <c r="O956" s="301"/>
      <c r="P956" s="301"/>
      <c r="Q956" s="301"/>
      <c r="R956" s="301"/>
      <c r="S956" s="301"/>
      <c r="T956" s="301"/>
      <c r="U956" s="301"/>
      <c r="V956" s="301"/>
      <c r="W956" s="301"/>
      <c r="X956" s="301"/>
      <c r="Y956" s="301"/>
      <c r="Z956" s="301"/>
      <c r="AA956" s="301"/>
      <c r="AB956" s="301"/>
      <c r="AC956" s="301"/>
      <c r="AD956" s="301"/>
      <c r="AE956" s="301"/>
      <c r="AF956" s="301"/>
      <c r="AG956" s="301"/>
      <c r="AH956" s="301"/>
      <c r="AI956" s="301"/>
      <c r="AJ956" s="301"/>
      <c r="AK956" s="301"/>
      <c r="AL956" s="301"/>
      <c r="AM956" s="301"/>
      <c r="AN956" s="301"/>
      <c r="AO956" s="301"/>
      <c r="AP956" s="301"/>
    </row>
    <row r="957" spans="10:42" ht="13.5" customHeight="1">
      <c r="J957" s="301"/>
      <c r="K957" s="301"/>
      <c r="L957" s="301"/>
      <c r="M957" s="301"/>
      <c r="N957" s="301"/>
      <c r="O957" s="301"/>
      <c r="P957" s="301"/>
      <c r="Q957" s="301"/>
      <c r="R957" s="301"/>
      <c r="S957" s="301"/>
      <c r="T957" s="301"/>
      <c r="U957" s="301"/>
      <c r="V957" s="301"/>
      <c r="W957" s="301"/>
      <c r="X957" s="301"/>
      <c r="Y957" s="301"/>
      <c r="Z957" s="301"/>
      <c r="AA957" s="301"/>
      <c r="AB957" s="301"/>
      <c r="AC957" s="301"/>
      <c r="AD957" s="301"/>
      <c r="AE957" s="301"/>
      <c r="AF957" s="301"/>
      <c r="AG957" s="301"/>
      <c r="AH957" s="301"/>
      <c r="AI957" s="301"/>
      <c r="AJ957" s="301"/>
      <c r="AK957" s="301"/>
      <c r="AL957" s="301"/>
      <c r="AM957" s="301"/>
      <c r="AN957" s="301"/>
      <c r="AO957" s="301"/>
      <c r="AP957" s="301"/>
    </row>
    <row r="958" spans="10:42" ht="13.5" customHeight="1">
      <c r="J958" s="301"/>
      <c r="K958" s="301"/>
      <c r="L958" s="301"/>
      <c r="M958" s="301"/>
      <c r="N958" s="301"/>
      <c r="O958" s="301"/>
      <c r="P958" s="301"/>
      <c r="Q958" s="301"/>
      <c r="R958" s="301"/>
      <c r="S958" s="301"/>
      <c r="T958" s="301"/>
      <c r="U958" s="301"/>
      <c r="V958" s="301"/>
      <c r="W958" s="301"/>
      <c r="X958" s="301"/>
      <c r="Y958" s="301"/>
      <c r="Z958" s="301"/>
      <c r="AA958" s="301"/>
      <c r="AB958" s="301"/>
      <c r="AC958" s="301"/>
      <c r="AD958" s="301"/>
      <c r="AE958" s="301"/>
      <c r="AF958" s="301"/>
      <c r="AG958" s="301"/>
      <c r="AH958" s="301"/>
      <c r="AI958" s="301"/>
      <c r="AJ958" s="301"/>
      <c r="AK958" s="301"/>
      <c r="AL958" s="301"/>
      <c r="AM958" s="301"/>
      <c r="AN958" s="301"/>
      <c r="AO958" s="301"/>
      <c r="AP958" s="301"/>
    </row>
    <row r="959" spans="10:42" ht="13.5" customHeight="1">
      <c r="J959" s="301"/>
      <c r="K959" s="301"/>
      <c r="L959" s="301"/>
      <c r="M959" s="301"/>
      <c r="N959" s="301"/>
      <c r="O959" s="301"/>
      <c r="P959" s="301"/>
      <c r="Q959" s="301"/>
      <c r="R959" s="301"/>
      <c r="S959" s="301"/>
      <c r="T959" s="301"/>
      <c r="U959" s="301"/>
      <c r="V959" s="301"/>
      <c r="W959" s="301"/>
      <c r="X959" s="301"/>
      <c r="Y959" s="301"/>
      <c r="Z959" s="301"/>
      <c r="AA959" s="301"/>
      <c r="AB959" s="301"/>
      <c r="AC959" s="301"/>
      <c r="AD959" s="301"/>
      <c r="AE959" s="301"/>
      <c r="AF959" s="301"/>
      <c r="AG959" s="301"/>
      <c r="AH959" s="301"/>
      <c r="AI959" s="301"/>
      <c r="AJ959" s="301"/>
      <c r="AK959" s="301"/>
      <c r="AL959" s="301"/>
      <c r="AM959" s="301"/>
      <c r="AN959" s="301"/>
      <c r="AO959" s="301"/>
      <c r="AP959" s="301"/>
    </row>
    <row r="960" spans="10:42" ht="13.5" customHeight="1">
      <c r="J960" s="301"/>
      <c r="K960" s="301"/>
      <c r="L960" s="301"/>
      <c r="M960" s="301"/>
      <c r="N960" s="301"/>
      <c r="O960" s="301"/>
      <c r="P960" s="301"/>
      <c r="Q960" s="301"/>
      <c r="R960" s="301"/>
      <c r="S960" s="301"/>
      <c r="T960" s="301"/>
      <c r="U960" s="301"/>
      <c r="V960" s="301"/>
      <c r="W960" s="301"/>
      <c r="X960" s="301"/>
      <c r="Y960" s="301"/>
      <c r="Z960" s="301"/>
      <c r="AA960" s="301"/>
      <c r="AB960" s="301"/>
      <c r="AC960" s="301"/>
      <c r="AD960" s="301"/>
      <c r="AE960" s="301"/>
      <c r="AF960" s="301"/>
      <c r="AG960" s="301"/>
      <c r="AH960" s="301"/>
      <c r="AI960" s="301"/>
      <c r="AJ960" s="301"/>
      <c r="AK960" s="301"/>
      <c r="AL960" s="301"/>
      <c r="AM960" s="301"/>
      <c r="AN960" s="301"/>
      <c r="AO960" s="301"/>
      <c r="AP960" s="301"/>
    </row>
    <row r="961" spans="10:42" ht="13.5" customHeight="1">
      <c r="J961" s="301"/>
      <c r="K961" s="301"/>
      <c r="L961" s="301"/>
      <c r="M961" s="301"/>
      <c r="N961" s="301"/>
      <c r="O961" s="301"/>
      <c r="P961" s="301"/>
      <c r="Q961" s="301"/>
      <c r="R961" s="301"/>
      <c r="S961" s="301"/>
      <c r="T961" s="301"/>
      <c r="U961" s="301"/>
      <c r="V961" s="301"/>
      <c r="W961" s="301"/>
      <c r="X961" s="301"/>
      <c r="Y961" s="301"/>
      <c r="Z961" s="301"/>
      <c r="AA961" s="301"/>
      <c r="AB961" s="301"/>
      <c r="AC961" s="301"/>
      <c r="AD961" s="301"/>
      <c r="AE961" s="301"/>
      <c r="AF961" s="301"/>
      <c r="AG961" s="301"/>
      <c r="AH961" s="301"/>
      <c r="AI961" s="301"/>
      <c r="AJ961" s="301"/>
      <c r="AK961" s="301"/>
      <c r="AL961" s="301"/>
      <c r="AM961" s="301"/>
      <c r="AN961" s="301"/>
      <c r="AO961" s="301"/>
      <c r="AP961" s="301"/>
    </row>
    <row r="962" spans="10:42" ht="13.5" customHeight="1">
      <c r="J962" s="301"/>
      <c r="K962" s="301"/>
      <c r="L962" s="301"/>
      <c r="M962" s="301"/>
      <c r="N962" s="301"/>
      <c r="O962" s="301"/>
      <c r="P962" s="301"/>
      <c r="Q962" s="301"/>
      <c r="R962" s="301"/>
      <c r="S962" s="301"/>
      <c r="T962" s="301"/>
      <c r="U962" s="301"/>
      <c r="V962" s="301"/>
      <c r="W962" s="301"/>
      <c r="X962" s="301"/>
      <c r="Y962" s="301"/>
      <c r="Z962" s="301"/>
      <c r="AA962" s="301"/>
      <c r="AB962" s="301"/>
      <c r="AC962" s="301"/>
      <c r="AD962" s="301"/>
      <c r="AE962" s="301"/>
      <c r="AF962" s="301"/>
      <c r="AG962" s="301"/>
      <c r="AH962" s="301"/>
      <c r="AI962" s="301"/>
      <c r="AJ962" s="301"/>
      <c r="AK962" s="301"/>
      <c r="AL962" s="301"/>
      <c r="AM962" s="301"/>
      <c r="AN962" s="301"/>
      <c r="AO962" s="301"/>
      <c r="AP962" s="301"/>
    </row>
    <row r="963" spans="10:42" ht="13.5" customHeight="1">
      <c r="J963" s="301"/>
      <c r="K963" s="301"/>
      <c r="L963" s="301"/>
      <c r="M963" s="301"/>
      <c r="N963" s="301"/>
      <c r="O963" s="301"/>
      <c r="P963" s="301"/>
      <c r="Q963" s="301"/>
      <c r="R963" s="301"/>
      <c r="S963" s="301"/>
      <c r="T963" s="301"/>
      <c r="U963" s="301"/>
      <c r="V963" s="301"/>
      <c r="W963" s="301"/>
      <c r="X963" s="301"/>
      <c r="Y963" s="301"/>
      <c r="Z963" s="301"/>
      <c r="AA963" s="301"/>
      <c r="AB963" s="301"/>
      <c r="AC963" s="301"/>
      <c r="AD963" s="301"/>
      <c r="AE963" s="301"/>
      <c r="AF963" s="301"/>
      <c r="AG963" s="301"/>
      <c r="AH963" s="301"/>
      <c r="AI963" s="301"/>
      <c r="AJ963" s="301"/>
      <c r="AK963" s="301"/>
      <c r="AL963" s="301"/>
      <c r="AM963" s="301"/>
      <c r="AN963" s="301"/>
      <c r="AO963" s="301"/>
      <c r="AP963" s="301"/>
    </row>
    <row r="964" spans="10:42" ht="13.5" customHeight="1">
      <c r="J964" s="301"/>
      <c r="K964" s="301"/>
      <c r="L964" s="301"/>
      <c r="M964" s="301"/>
      <c r="N964" s="301"/>
      <c r="O964" s="301"/>
      <c r="P964" s="301"/>
      <c r="Q964" s="301"/>
      <c r="R964" s="301"/>
      <c r="S964" s="301"/>
      <c r="T964" s="301"/>
      <c r="U964" s="301"/>
      <c r="V964" s="301"/>
      <c r="W964" s="301"/>
      <c r="X964" s="301"/>
      <c r="Y964" s="301"/>
      <c r="Z964" s="301"/>
      <c r="AA964" s="301"/>
      <c r="AB964" s="301"/>
      <c r="AC964" s="301"/>
      <c r="AD964" s="301"/>
      <c r="AE964" s="301"/>
      <c r="AF964" s="301"/>
      <c r="AG964" s="301"/>
      <c r="AH964" s="301"/>
      <c r="AI964" s="301"/>
      <c r="AJ964" s="301"/>
      <c r="AK964" s="301"/>
      <c r="AL964" s="301"/>
      <c r="AM964" s="301"/>
      <c r="AN964" s="301"/>
      <c r="AO964" s="301"/>
      <c r="AP964" s="301"/>
    </row>
    <row r="965" spans="10:42" ht="13.5" customHeight="1">
      <c r="J965" s="301"/>
      <c r="K965" s="301"/>
      <c r="L965" s="301"/>
      <c r="M965" s="301"/>
      <c r="N965" s="301"/>
      <c r="O965" s="301"/>
      <c r="P965" s="301"/>
      <c r="Q965" s="301"/>
      <c r="R965" s="301"/>
      <c r="S965" s="301"/>
      <c r="T965" s="301"/>
      <c r="U965" s="301"/>
      <c r="V965" s="301"/>
      <c r="W965" s="301"/>
      <c r="X965" s="301"/>
      <c r="Y965" s="301"/>
      <c r="Z965" s="301"/>
      <c r="AA965" s="301"/>
      <c r="AB965" s="301"/>
      <c r="AC965" s="301"/>
      <c r="AD965" s="301"/>
      <c r="AE965" s="301"/>
      <c r="AF965" s="301"/>
      <c r="AG965" s="301"/>
      <c r="AH965" s="301"/>
      <c r="AI965" s="301"/>
      <c r="AJ965" s="301"/>
      <c r="AK965" s="301"/>
      <c r="AL965" s="301"/>
      <c r="AM965" s="301"/>
      <c r="AN965" s="301"/>
      <c r="AO965" s="301"/>
      <c r="AP965" s="301"/>
    </row>
    <row r="966" spans="10:42" ht="13.5" customHeight="1">
      <c r="J966" s="301"/>
      <c r="K966" s="301"/>
      <c r="L966" s="301"/>
      <c r="M966" s="301"/>
      <c r="N966" s="301"/>
      <c r="O966" s="301"/>
      <c r="P966" s="301"/>
      <c r="Q966" s="301"/>
      <c r="R966" s="301"/>
      <c r="S966" s="301"/>
      <c r="T966" s="301"/>
      <c r="U966" s="301"/>
      <c r="V966" s="301"/>
      <c r="W966" s="301"/>
      <c r="X966" s="301"/>
      <c r="Y966" s="301"/>
      <c r="Z966" s="301"/>
      <c r="AA966" s="301"/>
      <c r="AB966" s="301"/>
      <c r="AC966" s="301"/>
      <c r="AD966" s="301"/>
      <c r="AE966" s="301"/>
      <c r="AF966" s="301"/>
      <c r="AG966" s="301"/>
      <c r="AH966" s="301"/>
      <c r="AI966" s="301"/>
      <c r="AJ966" s="301"/>
      <c r="AK966" s="301"/>
      <c r="AL966" s="301"/>
      <c r="AM966" s="301"/>
      <c r="AN966" s="301"/>
      <c r="AO966" s="301"/>
      <c r="AP966" s="301"/>
    </row>
    <row r="967" spans="10:42" ht="13.5" customHeight="1">
      <c r="J967" s="301"/>
      <c r="K967" s="301"/>
      <c r="L967" s="301"/>
      <c r="M967" s="301"/>
      <c r="N967" s="301"/>
      <c r="O967" s="301"/>
      <c r="P967" s="301"/>
      <c r="Q967" s="301"/>
      <c r="R967" s="301"/>
      <c r="S967" s="301"/>
      <c r="T967" s="301"/>
      <c r="U967" s="301"/>
      <c r="V967" s="301"/>
      <c r="W967" s="301"/>
      <c r="X967" s="301"/>
      <c r="Y967" s="301"/>
      <c r="Z967" s="301"/>
      <c r="AA967" s="301"/>
      <c r="AB967" s="301"/>
      <c r="AC967" s="301"/>
      <c r="AD967" s="301"/>
      <c r="AE967" s="301"/>
      <c r="AF967" s="301"/>
      <c r="AG967" s="301"/>
      <c r="AH967" s="301"/>
      <c r="AI967" s="301"/>
      <c r="AJ967" s="301"/>
      <c r="AK967" s="301"/>
      <c r="AL967" s="301"/>
      <c r="AM967" s="301"/>
      <c r="AN967" s="301"/>
      <c r="AO967" s="301"/>
      <c r="AP967" s="301"/>
    </row>
    <row r="968" spans="10:42" ht="13.5" customHeight="1">
      <c r="J968" s="301"/>
      <c r="K968" s="301"/>
      <c r="L968" s="301"/>
      <c r="M968" s="301"/>
      <c r="N968" s="301"/>
      <c r="O968" s="301"/>
      <c r="P968" s="301"/>
      <c r="Q968" s="301"/>
      <c r="R968" s="301"/>
      <c r="S968" s="301"/>
      <c r="T968" s="301"/>
      <c r="U968" s="301"/>
      <c r="V968" s="301"/>
      <c r="W968" s="301"/>
      <c r="X968" s="301"/>
      <c r="Y968" s="301"/>
      <c r="Z968" s="301"/>
      <c r="AA968" s="301"/>
      <c r="AB968" s="301"/>
      <c r="AC968" s="301"/>
      <c r="AD968" s="301"/>
      <c r="AE968" s="301"/>
      <c r="AF968" s="301"/>
      <c r="AG968" s="301"/>
      <c r="AH968" s="301"/>
      <c r="AI968" s="301"/>
      <c r="AJ968" s="301"/>
      <c r="AK968" s="301"/>
      <c r="AL968" s="301"/>
      <c r="AM968" s="301"/>
      <c r="AN968" s="301"/>
      <c r="AO968" s="301"/>
      <c r="AP968" s="301"/>
    </row>
    <row r="969" spans="10:42" ht="13.5" customHeight="1">
      <c r="J969" s="301"/>
      <c r="K969" s="301"/>
      <c r="L969" s="301"/>
      <c r="M969" s="301"/>
      <c r="N969" s="301"/>
      <c r="O969" s="301"/>
      <c r="P969" s="301"/>
      <c r="Q969" s="301"/>
      <c r="R969" s="301"/>
      <c r="S969" s="301"/>
      <c r="T969" s="301"/>
      <c r="U969" s="301"/>
      <c r="V969" s="301"/>
      <c r="W969" s="301"/>
      <c r="X969" s="301"/>
      <c r="Y969" s="301"/>
      <c r="Z969" s="301"/>
      <c r="AA969" s="301"/>
      <c r="AB969" s="301"/>
      <c r="AC969" s="301"/>
      <c r="AD969" s="301"/>
      <c r="AE969" s="301"/>
      <c r="AF969" s="301"/>
      <c r="AG969" s="301"/>
      <c r="AH969" s="301"/>
      <c r="AI969" s="301"/>
      <c r="AJ969" s="301"/>
      <c r="AK969" s="301"/>
      <c r="AL969" s="301"/>
      <c r="AM969" s="301"/>
      <c r="AN969" s="301"/>
      <c r="AO969" s="301"/>
      <c r="AP969" s="301"/>
    </row>
    <row r="970" spans="10:42" ht="13.5" customHeight="1">
      <c r="J970" s="301"/>
      <c r="K970" s="301"/>
      <c r="L970" s="301"/>
      <c r="M970" s="301"/>
      <c r="N970" s="301"/>
      <c r="O970" s="301"/>
      <c r="P970" s="301"/>
      <c r="Q970" s="301"/>
      <c r="R970" s="301"/>
      <c r="S970" s="301"/>
      <c r="T970" s="301"/>
      <c r="U970" s="301"/>
      <c r="V970" s="301"/>
      <c r="W970" s="301"/>
      <c r="X970" s="301"/>
      <c r="Y970" s="301"/>
      <c r="Z970" s="301"/>
      <c r="AA970" s="301"/>
      <c r="AB970" s="301"/>
      <c r="AC970" s="301"/>
      <c r="AD970" s="301"/>
      <c r="AE970" s="301"/>
      <c r="AF970" s="301"/>
      <c r="AG970" s="301"/>
      <c r="AH970" s="301"/>
      <c r="AI970" s="301"/>
      <c r="AJ970" s="301"/>
      <c r="AK970" s="301"/>
      <c r="AL970" s="301"/>
      <c r="AM970" s="301"/>
      <c r="AN970" s="301"/>
      <c r="AO970" s="301"/>
      <c r="AP970" s="301"/>
    </row>
    <row r="971" spans="10:42" ht="13.5" customHeight="1">
      <c r="J971" s="301"/>
      <c r="K971" s="301"/>
      <c r="L971" s="301"/>
      <c r="M971" s="301"/>
      <c r="N971" s="301"/>
      <c r="O971" s="301"/>
      <c r="P971" s="301"/>
      <c r="Q971" s="301"/>
      <c r="R971" s="301"/>
      <c r="S971" s="301"/>
      <c r="T971" s="301"/>
      <c r="U971" s="301"/>
      <c r="V971" s="301"/>
      <c r="W971" s="301"/>
      <c r="X971" s="301"/>
      <c r="Y971" s="301"/>
      <c r="Z971" s="301"/>
      <c r="AA971" s="301"/>
      <c r="AB971" s="301"/>
      <c r="AC971" s="301"/>
      <c r="AD971" s="301"/>
      <c r="AE971" s="301"/>
      <c r="AF971" s="301"/>
      <c r="AG971" s="301"/>
      <c r="AH971" s="301"/>
      <c r="AI971" s="301"/>
      <c r="AJ971" s="301"/>
      <c r="AK971" s="301"/>
      <c r="AL971" s="301"/>
      <c r="AM971" s="301"/>
      <c r="AN971" s="301"/>
      <c r="AO971" s="301"/>
      <c r="AP971" s="301"/>
    </row>
    <row r="972" spans="10:42" ht="13.5" customHeight="1">
      <c r="J972" s="301"/>
      <c r="K972" s="301"/>
      <c r="L972" s="301"/>
      <c r="M972" s="301"/>
      <c r="N972" s="301"/>
      <c r="O972" s="301"/>
      <c r="P972" s="301"/>
      <c r="Q972" s="301"/>
      <c r="R972" s="301"/>
      <c r="S972" s="301"/>
      <c r="T972" s="301"/>
      <c r="U972" s="301"/>
      <c r="V972" s="301"/>
      <c r="W972" s="301"/>
      <c r="X972" s="301"/>
      <c r="Y972" s="301"/>
      <c r="Z972" s="301"/>
      <c r="AA972" s="301"/>
      <c r="AB972" s="301"/>
      <c r="AC972" s="301"/>
      <c r="AD972" s="301"/>
      <c r="AE972" s="301"/>
      <c r="AF972" s="301"/>
      <c r="AG972" s="301"/>
      <c r="AH972" s="301"/>
      <c r="AI972" s="301"/>
      <c r="AJ972" s="301"/>
      <c r="AK972" s="301"/>
      <c r="AL972" s="301"/>
      <c r="AM972" s="301"/>
      <c r="AN972" s="301"/>
      <c r="AO972" s="301"/>
      <c r="AP972" s="301"/>
    </row>
    <row r="973" spans="10:42" ht="13.5" customHeight="1">
      <c r="J973" s="301"/>
      <c r="K973" s="301"/>
      <c r="L973" s="301"/>
      <c r="M973" s="301"/>
      <c r="N973" s="301"/>
      <c r="O973" s="301"/>
      <c r="P973" s="301"/>
      <c r="Q973" s="301"/>
      <c r="R973" s="301"/>
      <c r="S973" s="301"/>
      <c r="T973" s="301"/>
      <c r="U973" s="301"/>
      <c r="V973" s="301"/>
      <c r="W973" s="301"/>
      <c r="X973" s="301"/>
      <c r="Y973" s="301"/>
      <c r="Z973" s="301"/>
      <c r="AA973" s="301"/>
      <c r="AB973" s="301"/>
      <c r="AC973" s="301"/>
      <c r="AD973" s="301"/>
      <c r="AE973" s="301"/>
      <c r="AF973" s="301"/>
      <c r="AG973" s="301"/>
      <c r="AH973" s="301"/>
      <c r="AI973" s="301"/>
      <c r="AJ973" s="301"/>
      <c r="AK973" s="301"/>
      <c r="AL973" s="301"/>
      <c r="AM973" s="301"/>
      <c r="AN973" s="301"/>
      <c r="AO973" s="301"/>
      <c r="AP973" s="301"/>
    </row>
    <row r="974" spans="10:42" ht="13.5" customHeight="1">
      <c r="J974" s="301"/>
      <c r="K974" s="301"/>
      <c r="L974" s="301"/>
      <c r="M974" s="301"/>
      <c r="N974" s="301"/>
      <c r="O974" s="301"/>
      <c r="P974" s="301"/>
      <c r="Q974" s="301"/>
      <c r="R974" s="301"/>
      <c r="S974" s="301"/>
      <c r="T974" s="301"/>
      <c r="U974" s="301"/>
      <c r="V974" s="301"/>
      <c r="W974" s="301"/>
      <c r="X974" s="301"/>
      <c r="Y974" s="301"/>
      <c r="Z974" s="301"/>
      <c r="AA974" s="301"/>
      <c r="AB974" s="301"/>
      <c r="AC974" s="301"/>
      <c r="AD974" s="301"/>
      <c r="AE974" s="301"/>
      <c r="AF974" s="301"/>
      <c r="AG974" s="301"/>
      <c r="AH974" s="301"/>
      <c r="AI974" s="301"/>
      <c r="AJ974" s="301"/>
      <c r="AK974" s="301"/>
      <c r="AL974" s="301"/>
      <c r="AM974" s="301"/>
      <c r="AN974" s="301"/>
      <c r="AO974" s="301"/>
      <c r="AP974" s="301"/>
    </row>
    <row r="975" spans="10:42" ht="13.5" customHeight="1">
      <c r="J975" s="301"/>
      <c r="K975" s="301"/>
      <c r="L975" s="301"/>
      <c r="M975" s="301"/>
      <c r="N975" s="301"/>
      <c r="O975" s="301"/>
      <c r="P975" s="301"/>
      <c r="Q975" s="301"/>
      <c r="R975" s="301"/>
      <c r="S975" s="301"/>
      <c r="T975" s="301"/>
      <c r="U975" s="301"/>
      <c r="V975" s="301"/>
      <c r="W975" s="301"/>
      <c r="X975" s="301"/>
      <c r="Y975" s="301"/>
      <c r="Z975" s="301"/>
      <c r="AA975" s="301"/>
      <c r="AB975" s="301"/>
      <c r="AC975" s="301"/>
      <c r="AD975" s="301"/>
      <c r="AE975" s="301"/>
      <c r="AF975" s="301"/>
      <c r="AG975" s="301"/>
      <c r="AH975" s="301"/>
      <c r="AI975" s="301"/>
      <c r="AJ975" s="301"/>
      <c r="AK975" s="301"/>
      <c r="AL975" s="301"/>
      <c r="AM975" s="301"/>
      <c r="AN975" s="301"/>
      <c r="AO975" s="301"/>
      <c r="AP975" s="301"/>
    </row>
    <row r="976" spans="10:42" ht="13.5" customHeight="1">
      <c r="J976" s="301"/>
      <c r="K976" s="301"/>
      <c r="L976" s="301"/>
      <c r="M976" s="301"/>
      <c r="N976" s="301"/>
      <c r="O976" s="301"/>
      <c r="P976" s="301"/>
      <c r="Q976" s="301"/>
      <c r="R976" s="301"/>
      <c r="S976" s="301"/>
      <c r="T976" s="301"/>
      <c r="U976" s="301"/>
      <c r="V976" s="301"/>
      <c r="W976" s="301"/>
      <c r="X976" s="301"/>
      <c r="Y976" s="301"/>
      <c r="Z976" s="301"/>
      <c r="AA976" s="301"/>
      <c r="AB976" s="301"/>
      <c r="AC976" s="301"/>
      <c r="AD976" s="301"/>
      <c r="AE976" s="301"/>
      <c r="AF976" s="301"/>
      <c r="AG976" s="301"/>
      <c r="AH976" s="301"/>
      <c r="AI976" s="301"/>
      <c r="AJ976" s="301"/>
      <c r="AK976" s="301"/>
      <c r="AL976" s="301"/>
      <c r="AM976" s="301"/>
      <c r="AN976" s="301"/>
      <c r="AO976" s="301"/>
      <c r="AP976" s="301"/>
    </row>
    <row r="977" spans="10:42" ht="13.5" customHeight="1">
      <c r="J977" s="301"/>
      <c r="K977" s="301"/>
      <c r="L977" s="301"/>
      <c r="M977" s="301"/>
      <c r="N977" s="301"/>
      <c r="O977" s="301"/>
      <c r="P977" s="301"/>
      <c r="Q977" s="301"/>
      <c r="R977" s="301"/>
      <c r="S977" s="301"/>
      <c r="T977" s="301"/>
      <c r="U977" s="301"/>
      <c r="V977" s="301"/>
      <c r="W977" s="301"/>
      <c r="X977" s="301"/>
      <c r="Y977" s="301"/>
      <c r="Z977" s="301"/>
      <c r="AA977" s="301"/>
      <c r="AB977" s="301"/>
      <c r="AC977" s="301"/>
      <c r="AD977" s="301"/>
      <c r="AE977" s="301"/>
      <c r="AF977" s="301"/>
      <c r="AG977" s="301"/>
      <c r="AH977" s="301"/>
      <c r="AI977" s="301"/>
      <c r="AJ977" s="301"/>
      <c r="AK977" s="301"/>
      <c r="AL977" s="301"/>
      <c r="AM977" s="301"/>
      <c r="AN977" s="301"/>
      <c r="AO977" s="301"/>
      <c r="AP977" s="301"/>
    </row>
    <row r="978" spans="10:42" ht="13.5" customHeight="1">
      <c r="J978" s="301"/>
      <c r="K978" s="301"/>
      <c r="L978" s="301"/>
      <c r="M978" s="301"/>
      <c r="N978" s="301"/>
      <c r="O978" s="301"/>
      <c r="P978" s="301"/>
      <c r="Q978" s="301"/>
      <c r="R978" s="301"/>
      <c r="S978" s="301"/>
      <c r="T978" s="301"/>
      <c r="U978" s="301"/>
      <c r="V978" s="301"/>
      <c r="W978" s="301"/>
      <c r="X978" s="301"/>
      <c r="Y978" s="301"/>
      <c r="Z978" s="301"/>
      <c r="AA978" s="301"/>
      <c r="AB978" s="301"/>
      <c r="AC978" s="301"/>
      <c r="AD978" s="301"/>
      <c r="AE978" s="301"/>
      <c r="AF978" s="301"/>
      <c r="AG978" s="301"/>
      <c r="AH978" s="301"/>
      <c r="AI978" s="301"/>
      <c r="AJ978" s="301"/>
      <c r="AK978" s="301"/>
      <c r="AL978" s="301"/>
      <c r="AM978" s="301"/>
      <c r="AN978" s="301"/>
      <c r="AO978" s="301"/>
      <c r="AP978" s="301"/>
    </row>
    <row r="979" spans="10:42" ht="13.5" customHeight="1">
      <c r="J979" s="301"/>
      <c r="K979" s="301"/>
      <c r="L979" s="301"/>
      <c r="M979" s="301"/>
      <c r="N979" s="301"/>
      <c r="O979" s="301"/>
      <c r="P979" s="301"/>
      <c r="Q979" s="301"/>
      <c r="R979" s="301"/>
      <c r="S979" s="301"/>
      <c r="T979" s="301"/>
      <c r="U979" s="301"/>
      <c r="V979" s="301"/>
      <c r="W979" s="301"/>
      <c r="X979" s="301"/>
      <c r="Y979" s="301"/>
      <c r="Z979" s="301"/>
      <c r="AA979" s="301"/>
      <c r="AB979" s="301"/>
      <c r="AC979" s="301"/>
      <c r="AD979" s="301"/>
      <c r="AE979" s="301"/>
      <c r="AF979" s="301"/>
      <c r="AG979" s="301"/>
      <c r="AH979" s="301"/>
      <c r="AI979" s="301"/>
      <c r="AJ979" s="301"/>
      <c r="AK979" s="301"/>
      <c r="AL979" s="301"/>
      <c r="AM979" s="301"/>
      <c r="AN979" s="301"/>
      <c r="AO979" s="301"/>
      <c r="AP979" s="301"/>
    </row>
    <row r="980" spans="10:42" ht="13.5" customHeight="1">
      <c r="J980" s="301"/>
      <c r="K980" s="301"/>
      <c r="L980" s="301"/>
      <c r="M980" s="301"/>
      <c r="N980" s="301"/>
      <c r="O980" s="301"/>
      <c r="P980" s="301"/>
      <c r="Q980" s="301"/>
      <c r="R980" s="301"/>
      <c r="S980" s="301"/>
      <c r="T980" s="301"/>
      <c r="U980" s="301"/>
      <c r="V980" s="301"/>
      <c r="W980" s="301"/>
      <c r="X980" s="301"/>
      <c r="Y980" s="301"/>
      <c r="Z980" s="301"/>
      <c r="AA980" s="301"/>
      <c r="AB980" s="301"/>
      <c r="AC980" s="301"/>
      <c r="AD980" s="301"/>
      <c r="AE980" s="301"/>
      <c r="AF980" s="301"/>
      <c r="AG980" s="301"/>
      <c r="AH980" s="301"/>
      <c r="AI980" s="301"/>
      <c r="AJ980" s="301"/>
      <c r="AK980" s="301"/>
      <c r="AL980" s="301"/>
      <c r="AM980" s="301"/>
      <c r="AN980" s="301"/>
      <c r="AO980" s="301"/>
      <c r="AP980" s="301"/>
    </row>
    <row r="981" spans="10:42" ht="13.5" customHeight="1">
      <c r="J981" s="301"/>
      <c r="K981" s="301"/>
      <c r="L981" s="301"/>
      <c r="M981" s="301"/>
      <c r="N981" s="301"/>
      <c r="O981" s="301"/>
      <c r="P981" s="301"/>
      <c r="Q981" s="301"/>
      <c r="R981" s="301"/>
      <c r="S981" s="301"/>
      <c r="T981" s="301"/>
      <c r="U981" s="301"/>
      <c r="V981" s="301"/>
      <c r="W981" s="301"/>
      <c r="X981" s="301"/>
      <c r="Y981" s="301"/>
      <c r="Z981" s="301"/>
      <c r="AA981" s="301"/>
      <c r="AB981" s="301"/>
      <c r="AC981" s="301"/>
      <c r="AD981" s="301"/>
      <c r="AE981" s="301"/>
      <c r="AF981" s="301"/>
      <c r="AG981" s="301"/>
      <c r="AH981" s="301"/>
      <c r="AI981" s="301"/>
      <c r="AJ981" s="301"/>
      <c r="AK981" s="301"/>
      <c r="AL981" s="301"/>
      <c r="AM981" s="301"/>
      <c r="AN981" s="301"/>
      <c r="AO981" s="301"/>
      <c r="AP981" s="301"/>
    </row>
    <row r="982" spans="10:42" ht="13.5" customHeight="1">
      <c r="J982" s="301"/>
      <c r="K982" s="301"/>
      <c r="L982" s="301"/>
      <c r="M982" s="301"/>
      <c r="N982" s="301"/>
      <c r="O982" s="301"/>
      <c r="P982" s="301"/>
      <c r="Q982" s="301"/>
      <c r="R982" s="301"/>
      <c r="S982" s="301"/>
      <c r="T982" s="301"/>
      <c r="U982" s="301"/>
      <c r="V982" s="301"/>
      <c r="W982" s="301"/>
      <c r="X982" s="301"/>
      <c r="Y982" s="301"/>
      <c r="Z982" s="301"/>
      <c r="AA982" s="301"/>
      <c r="AB982" s="301"/>
      <c r="AC982" s="301"/>
      <c r="AD982" s="301"/>
      <c r="AE982" s="301"/>
      <c r="AF982" s="301"/>
      <c r="AG982" s="301"/>
      <c r="AH982" s="301"/>
      <c r="AI982" s="301"/>
      <c r="AJ982" s="301"/>
      <c r="AK982" s="301"/>
      <c r="AL982" s="301"/>
      <c r="AM982" s="301"/>
      <c r="AN982" s="301"/>
      <c r="AO982" s="301"/>
      <c r="AP982" s="301"/>
    </row>
    <row r="983" spans="10:42" ht="13.5" customHeight="1">
      <c r="J983" s="301"/>
      <c r="K983" s="301"/>
      <c r="L983" s="301"/>
      <c r="M983" s="301"/>
      <c r="N983" s="301"/>
      <c r="O983" s="301"/>
      <c r="P983" s="301"/>
      <c r="Q983" s="301"/>
      <c r="R983" s="301"/>
      <c r="S983" s="301"/>
      <c r="T983" s="301"/>
      <c r="U983" s="301"/>
      <c r="V983" s="301"/>
      <c r="W983" s="301"/>
      <c r="X983" s="301"/>
      <c r="Y983" s="301"/>
      <c r="Z983" s="301"/>
      <c r="AA983" s="301"/>
      <c r="AB983" s="301"/>
      <c r="AC983" s="301"/>
      <c r="AD983" s="301"/>
      <c r="AE983" s="301"/>
      <c r="AF983" s="301"/>
      <c r="AG983" s="301"/>
      <c r="AH983" s="301"/>
      <c r="AI983" s="301"/>
      <c r="AJ983" s="301"/>
      <c r="AK983" s="301"/>
      <c r="AL983" s="301"/>
      <c r="AM983" s="301"/>
      <c r="AN983" s="301"/>
      <c r="AO983" s="301"/>
      <c r="AP983" s="301"/>
    </row>
    <row r="984" spans="10:42" ht="13.5" customHeight="1">
      <c r="J984" s="301"/>
      <c r="K984" s="301"/>
      <c r="L984" s="301"/>
      <c r="M984" s="301"/>
      <c r="N984" s="301"/>
      <c r="O984" s="301"/>
      <c r="P984" s="301"/>
      <c r="Q984" s="301"/>
      <c r="R984" s="301"/>
      <c r="S984" s="301"/>
      <c r="T984" s="301"/>
      <c r="U984" s="301"/>
      <c r="V984" s="301"/>
      <c r="W984" s="301"/>
      <c r="X984" s="301"/>
      <c r="Y984" s="301"/>
      <c r="Z984" s="301"/>
      <c r="AA984" s="301"/>
      <c r="AB984" s="301"/>
      <c r="AC984" s="301"/>
      <c r="AD984" s="301"/>
      <c r="AE984" s="301"/>
      <c r="AF984" s="301"/>
      <c r="AG984" s="301"/>
      <c r="AH984" s="301"/>
      <c r="AI984" s="301"/>
      <c r="AJ984" s="301"/>
      <c r="AK984" s="301"/>
      <c r="AL984" s="301"/>
      <c r="AM984" s="301"/>
      <c r="AN984" s="301"/>
      <c r="AO984" s="301"/>
      <c r="AP984" s="301"/>
    </row>
    <row r="985" spans="10:42" ht="13.5" customHeight="1">
      <c r="J985" s="301"/>
      <c r="K985" s="301"/>
      <c r="L985" s="301"/>
      <c r="M985" s="301"/>
      <c r="N985" s="301"/>
      <c r="O985" s="301"/>
      <c r="P985" s="301"/>
      <c r="Q985" s="301"/>
      <c r="R985" s="301"/>
      <c r="S985" s="301"/>
      <c r="T985" s="301"/>
      <c r="U985" s="301"/>
      <c r="V985" s="301"/>
      <c r="W985" s="301"/>
      <c r="X985" s="301"/>
      <c r="Y985" s="301"/>
      <c r="Z985" s="301"/>
      <c r="AA985" s="301"/>
      <c r="AB985" s="301"/>
      <c r="AC985" s="301"/>
      <c r="AD985" s="301"/>
      <c r="AE985" s="301"/>
      <c r="AF985" s="301"/>
      <c r="AG985" s="301"/>
      <c r="AH985" s="301"/>
      <c r="AI985" s="301"/>
      <c r="AJ985" s="301"/>
      <c r="AK985" s="301"/>
      <c r="AL985" s="301"/>
      <c r="AM985" s="301"/>
      <c r="AN985" s="301"/>
      <c r="AO985" s="301"/>
      <c r="AP985" s="301"/>
    </row>
    <row r="986" spans="10:42" ht="13.5" customHeight="1">
      <c r="J986" s="301"/>
      <c r="K986" s="301"/>
      <c r="L986" s="301"/>
      <c r="M986" s="301"/>
      <c r="N986" s="301"/>
      <c r="O986" s="301"/>
      <c r="P986" s="301"/>
      <c r="Q986" s="301"/>
      <c r="R986" s="301"/>
      <c r="S986" s="301"/>
      <c r="T986" s="301"/>
      <c r="U986" s="301"/>
      <c r="V986" s="301"/>
      <c r="W986" s="301"/>
      <c r="X986" s="301"/>
      <c r="Y986" s="301"/>
      <c r="Z986" s="301"/>
      <c r="AA986" s="301"/>
      <c r="AB986" s="301"/>
      <c r="AC986" s="301"/>
      <c r="AD986" s="301"/>
      <c r="AE986" s="301"/>
      <c r="AF986" s="301"/>
      <c r="AG986" s="301"/>
      <c r="AH986" s="301"/>
      <c r="AI986" s="301"/>
      <c r="AJ986" s="301"/>
      <c r="AK986" s="301"/>
      <c r="AL986" s="301"/>
      <c r="AM986" s="301"/>
      <c r="AN986" s="301"/>
      <c r="AO986" s="301"/>
      <c r="AP986" s="301"/>
    </row>
    <row r="987" spans="10:42" ht="13.5" customHeight="1">
      <c r="J987" s="301"/>
      <c r="K987" s="301"/>
      <c r="L987" s="301"/>
      <c r="M987" s="301"/>
      <c r="N987" s="301"/>
      <c r="O987" s="301"/>
      <c r="P987" s="301"/>
      <c r="Q987" s="301"/>
      <c r="R987" s="301"/>
      <c r="S987" s="301"/>
      <c r="T987" s="301"/>
      <c r="U987" s="301"/>
      <c r="V987" s="301"/>
      <c r="W987" s="301"/>
      <c r="X987" s="301"/>
      <c r="Y987" s="301"/>
      <c r="Z987" s="301"/>
      <c r="AA987" s="301"/>
      <c r="AB987" s="301"/>
      <c r="AC987" s="301"/>
      <c r="AD987" s="301"/>
      <c r="AE987" s="301"/>
      <c r="AF987" s="301"/>
      <c r="AG987" s="301"/>
      <c r="AH987" s="301"/>
      <c r="AI987" s="301"/>
      <c r="AJ987" s="301"/>
      <c r="AK987" s="301"/>
      <c r="AL987" s="301"/>
      <c r="AM987" s="301"/>
      <c r="AN987" s="301"/>
      <c r="AO987" s="301"/>
      <c r="AP987" s="301"/>
    </row>
    <row r="988" spans="10:42" ht="13.5" customHeight="1">
      <c r="J988" s="301"/>
      <c r="K988" s="301"/>
      <c r="L988" s="301"/>
      <c r="M988" s="301"/>
      <c r="N988" s="301"/>
      <c r="O988" s="301"/>
      <c r="P988" s="301"/>
      <c r="Q988" s="301"/>
      <c r="R988" s="301"/>
      <c r="S988" s="301"/>
      <c r="T988" s="301"/>
      <c r="U988" s="301"/>
      <c r="V988" s="301"/>
      <c r="W988" s="301"/>
      <c r="X988" s="301"/>
      <c r="Y988" s="301"/>
      <c r="Z988" s="301"/>
      <c r="AA988" s="301"/>
      <c r="AB988" s="301"/>
      <c r="AC988" s="301"/>
      <c r="AD988" s="301"/>
      <c r="AE988" s="301"/>
      <c r="AF988" s="301"/>
      <c r="AG988" s="301"/>
      <c r="AH988" s="301"/>
      <c r="AI988" s="301"/>
      <c r="AJ988" s="301"/>
      <c r="AK988" s="301"/>
      <c r="AL988" s="301"/>
      <c r="AM988" s="301"/>
      <c r="AN988" s="301"/>
      <c r="AO988" s="301"/>
      <c r="AP988" s="301"/>
    </row>
    <row r="989" spans="10:42" ht="13.5" customHeight="1">
      <c r="J989" s="301"/>
      <c r="K989" s="301"/>
      <c r="L989" s="301"/>
      <c r="M989" s="301"/>
      <c r="N989" s="301"/>
      <c r="O989" s="301"/>
      <c r="P989" s="301"/>
      <c r="Q989" s="301"/>
      <c r="R989" s="301"/>
      <c r="S989" s="301"/>
      <c r="T989" s="301"/>
      <c r="U989" s="301"/>
      <c r="V989" s="301"/>
      <c r="W989" s="301"/>
      <c r="X989" s="301"/>
      <c r="Y989" s="301"/>
      <c r="Z989" s="301"/>
      <c r="AA989" s="301"/>
      <c r="AB989" s="301"/>
      <c r="AC989" s="301"/>
      <c r="AD989" s="301"/>
      <c r="AE989" s="301"/>
      <c r="AF989" s="301"/>
      <c r="AG989" s="301"/>
      <c r="AH989" s="301"/>
      <c r="AI989" s="301"/>
      <c r="AJ989" s="301"/>
      <c r="AK989" s="301"/>
      <c r="AL989" s="301"/>
      <c r="AM989" s="301"/>
      <c r="AN989" s="301"/>
      <c r="AO989" s="301"/>
      <c r="AP989" s="301"/>
    </row>
    <row r="990" spans="10:42" ht="13.5" customHeight="1">
      <c r="J990" s="301"/>
      <c r="K990" s="301"/>
      <c r="L990" s="301"/>
      <c r="M990" s="301"/>
      <c r="N990" s="301"/>
      <c r="O990" s="301"/>
      <c r="P990" s="301"/>
      <c r="Q990" s="301"/>
      <c r="R990" s="301"/>
      <c r="S990" s="301"/>
      <c r="T990" s="301"/>
      <c r="U990" s="301"/>
      <c r="V990" s="301"/>
      <c r="W990" s="301"/>
      <c r="X990" s="301"/>
      <c r="Y990" s="301"/>
      <c r="Z990" s="301"/>
      <c r="AA990" s="301"/>
      <c r="AB990" s="301"/>
      <c r="AC990" s="301"/>
      <c r="AD990" s="301"/>
      <c r="AE990" s="301"/>
      <c r="AF990" s="301"/>
      <c r="AG990" s="301"/>
      <c r="AH990" s="301"/>
      <c r="AI990" s="301"/>
      <c r="AJ990" s="301"/>
      <c r="AK990" s="301"/>
      <c r="AL990" s="301"/>
      <c r="AM990" s="301"/>
      <c r="AN990" s="301"/>
      <c r="AO990" s="301"/>
      <c r="AP990" s="301"/>
    </row>
    <row r="991" spans="10:42" ht="13.5" customHeight="1">
      <c r="J991" s="301"/>
      <c r="K991" s="301"/>
      <c r="L991" s="301"/>
      <c r="M991" s="301"/>
      <c r="N991" s="301"/>
      <c r="O991" s="301"/>
      <c r="P991" s="301"/>
      <c r="Q991" s="301"/>
      <c r="R991" s="301"/>
      <c r="S991" s="301"/>
      <c r="T991" s="301"/>
      <c r="U991" s="301"/>
      <c r="V991" s="301"/>
      <c r="W991" s="301"/>
      <c r="X991" s="301"/>
      <c r="Y991" s="301"/>
      <c r="Z991" s="301"/>
      <c r="AA991" s="301"/>
      <c r="AB991" s="301"/>
      <c r="AC991" s="301"/>
      <c r="AD991" s="301"/>
      <c r="AE991" s="301"/>
      <c r="AF991" s="301"/>
      <c r="AG991" s="301"/>
      <c r="AH991" s="301"/>
      <c r="AI991" s="301"/>
      <c r="AJ991" s="301"/>
      <c r="AK991" s="301"/>
      <c r="AL991" s="301"/>
      <c r="AM991" s="301"/>
      <c r="AN991" s="301"/>
      <c r="AO991" s="301"/>
      <c r="AP991" s="301"/>
    </row>
    <row r="992" spans="10:42" ht="13.5" customHeight="1">
      <c r="J992" s="301"/>
      <c r="K992" s="301"/>
      <c r="L992" s="301"/>
      <c r="M992" s="301"/>
      <c r="N992" s="301"/>
      <c r="O992" s="301"/>
      <c r="P992" s="301"/>
      <c r="Q992" s="301"/>
      <c r="R992" s="301"/>
      <c r="S992" s="301"/>
      <c r="T992" s="301"/>
      <c r="U992" s="301"/>
      <c r="V992" s="301"/>
      <c r="W992" s="301"/>
      <c r="X992" s="301"/>
      <c r="Y992" s="301"/>
      <c r="Z992" s="301"/>
      <c r="AA992" s="301"/>
      <c r="AB992" s="301"/>
      <c r="AC992" s="301"/>
      <c r="AD992" s="301"/>
      <c r="AE992" s="301"/>
      <c r="AF992" s="301"/>
      <c r="AG992" s="301"/>
      <c r="AH992" s="301"/>
      <c r="AI992" s="301"/>
      <c r="AJ992" s="301"/>
      <c r="AK992" s="301"/>
      <c r="AL992" s="301"/>
      <c r="AM992" s="301"/>
      <c r="AN992" s="301"/>
      <c r="AO992" s="301"/>
      <c r="AP992" s="301"/>
    </row>
    <row r="993" spans="10:42" ht="13.5" customHeight="1">
      <c r="J993" s="301"/>
      <c r="K993" s="301"/>
      <c r="L993" s="301"/>
      <c r="M993" s="301"/>
      <c r="N993" s="301"/>
      <c r="O993" s="301"/>
      <c r="P993" s="301"/>
      <c r="Q993" s="301"/>
      <c r="R993" s="301"/>
      <c r="S993" s="301"/>
      <c r="T993" s="301"/>
      <c r="U993" s="301"/>
      <c r="V993" s="301"/>
      <c r="W993" s="301"/>
      <c r="X993" s="301"/>
      <c r="Y993" s="301"/>
      <c r="Z993" s="301"/>
      <c r="AA993" s="301"/>
      <c r="AB993" s="301"/>
      <c r="AC993" s="301"/>
      <c r="AD993" s="301"/>
      <c r="AE993" s="301"/>
      <c r="AF993" s="301"/>
      <c r="AG993" s="301"/>
      <c r="AH993" s="301"/>
      <c r="AI993" s="301"/>
      <c r="AJ993" s="301"/>
      <c r="AK993" s="301"/>
      <c r="AL993" s="301"/>
      <c r="AM993" s="301"/>
      <c r="AN993" s="301"/>
      <c r="AO993" s="301"/>
      <c r="AP993" s="301"/>
    </row>
    <row r="994" spans="10:42" ht="13.5" customHeight="1">
      <c r="J994" s="301"/>
      <c r="K994" s="301"/>
      <c r="L994" s="301"/>
      <c r="M994" s="301"/>
      <c r="N994" s="301"/>
      <c r="O994" s="301"/>
      <c r="P994" s="301"/>
      <c r="Q994" s="301"/>
      <c r="R994" s="301"/>
      <c r="S994" s="301"/>
      <c r="T994" s="301"/>
      <c r="U994" s="301"/>
      <c r="V994" s="301"/>
      <c r="W994" s="301"/>
      <c r="X994" s="301"/>
      <c r="Y994" s="301"/>
      <c r="Z994" s="301"/>
      <c r="AA994" s="301"/>
      <c r="AB994" s="301"/>
      <c r="AC994" s="301"/>
      <c r="AD994" s="301"/>
      <c r="AE994" s="301"/>
      <c r="AF994" s="301"/>
      <c r="AG994" s="301"/>
      <c r="AH994" s="301"/>
      <c r="AI994" s="301"/>
      <c r="AJ994" s="301"/>
      <c r="AK994" s="301"/>
      <c r="AL994" s="301"/>
      <c r="AM994" s="301"/>
      <c r="AN994" s="301"/>
      <c r="AO994" s="301"/>
      <c r="AP994" s="301"/>
    </row>
    <row r="995" spans="10:42" ht="13.5" customHeight="1">
      <c r="J995" s="301"/>
      <c r="K995" s="301"/>
      <c r="L995" s="301"/>
      <c r="M995" s="301"/>
      <c r="N995" s="301"/>
      <c r="O995" s="301"/>
      <c r="P995" s="301"/>
      <c r="Q995" s="301"/>
      <c r="R995" s="301"/>
      <c r="S995" s="301"/>
      <c r="T995" s="301"/>
      <c r="U995" s="301"/>
      <c r="V995" s="301"/>
      <c r="W995" s="301"/>
      <c r="X995" s="301"/>
      <c r="Y995" s="301"/>
      <c r="Z995" s="301"/>
      <c r="AA995" s="301"/>
      <c r="AB995" s="301"/>
      <c r="AC995" s="301"/>
      <c r="AD995" s="301"/>
      <c r="AE995" s="301"/>
      <c r="AF995" s="301"/>
      <c r="AG995" s="301"/>
      <c r="AH995" s="301"/>
      <c r="AI995" s="301"/>
      <c r="AJ995" s="301"/>
      <c r="AK995" s="301"/>
      <c r="AL995" s="301"/>
      <c r="AM995" s="301"/>
      <c r="AN995" s="301"/>
      <c r="AO995" s="301"/>
      <c r="AP995" s="301"/>
    </row>
    <row r="996" spans="10:42" ht="13.5" customHeight="1">
      <c r="J996" s="301"/>
      <c r="K996" s="301"/>
      <c r="L996" s="301"/>
      <c r="M996" s="301"/>
      <c r="N996" s="301"/>
      <c r="O996" s="301"/>
      <c r="P996" s="301"/>
      <c r="Q996" s="301"/>
      <c r="R996" s="301"/>
      <c r="S996" s="301"/>
      <c r="T996" s="301"/>
      <c r="U996" s="301"/>
      <c r="V996" s="301"/>
      <c r="W996" s="301"/>
      <c r="X996" s="301"/>
      <c r="Y996" s="301"/>
      <c r="Z996" s="301"/>
      <c r="AA996" s="301"/>
      <c r="AB996" s="301"/>
      <c r="AC996" s="301"/>
      <c r="AD996" s="301"/>
      <c r="AE996" s="301"/>
      <c r="AF996" s="301"/>
      <c r="AG996" s="301"/>
      <c r="AH996" s="301"/>
      <c r="AI996" s="301"/>
      <c r="AJ996" s="301"/>
      <c r="AK996" s="301"/>
      <c r="AL996" s="301"/>
      <c r="AM996" s="301"/>
      <c r="AN996" s="301"/>
      <c r="AO996" s="301"/>
      <c r="AP996" s="301"/>
    </row>
    <row r="997" spans="10:42" ht="13.5" customHeight="1">
      <c r="J997" s="301"/>
      <c r="K997" s="301"/>
      <c r="L997" s="301"/>
      <c r="M997" s="301"/>
      <c r="N997" s="301"/>
      <c r="O997" s="301"/>
      <c r="P997" s="301"/>
      <c r="Q997" s="301"/>
      <c r="R997" s="301"/>
      <c r="S997" s="301"/>
      <c r="T997" s="301"/>
      <c r="U997" s="301"/>
      <c r="V997" s="301"/>
      <c r="W997" s="301"/>
      <c r="X997" s="301"/>
      <c r="Y997" s="301"/>
      <c r="Z997" s="301"/>
      <c r="AA997" s="301"/>
      <c r="AB997" s="301"/>
      <c r="AC997" s="301"/>
      <c r="AD997" s="301"/>
      <c r="AE997" s="301"/>
      <c r="AF997" s="301"/>
      <c r="AG997" s="301"/>
      <c r="AH997" s="301"/>
      <c r="AI997" s="301"/>
      <c r="AJ997" s="301"/>
      <c r="AK997" s="301"/>
      <c r="AL997" s="301"/>
      <c r="AM997" s="301"/>
      <c r="AN997" s="301"/>
      <c r="AO997" s="301"/>
      <c r="AP997" s="301"/>
    </row>
    <row r="998" spans="10:42" ht="13.5" customHeight="1">
      <c r="J998" s="301"/>
      <c r="K998" s="301"/>
      <c r="L998" s="301"/>
      <c r="M998" s="301"/>
      <c r="N998" s="301"/>
      <c r="O998" s="301"/>
      <c r="P998" s="301"/>
      <c r="Q998" s="301"/>
      <c r="R998" s="301"/>
      <c r="S998" s="301"/>
      <c r="T998" s="301"/>
      <c r="U998" s="301"/>
      <c r="V998" s="301"/>
      <c r="W998" s="301"/>
      <c r="X998" s="301"/>
      <c r="Y998" s="301"/>
      <c r="Z998" s="301"/>
      <c r="AA998" s="301"/>
      <c r="AB998" s="301"/>
      <c r="AC998" s="301"/>
      <c r="AD998" s="301"/>
      <c r="AE998" s="301"/>
      <c r="AF998" s="301"/>
      <c r="AG998" s="301"/>
      <c r="AH998" s="301"/>
      <c r="AI998" s="301"/>
      <c r="AJ998" s="301"/>
      <c r="AK998" s="301"/>
      <c r="AL998" s="301"/>
      <c r="AM998" s="301"/>
      <c r="AN998" s="301"/>
      <c r="AO998" s="301"/>
      <c r="AP998" s="301"/>
    </row>
    <row r="999" spans="10:42" ht="13.5" customHeight="1">
      <c r="J999" s="301"/>
      <c r="K999" s="301"/>
      <c r="L999" s="301"/>
      <c r="M999" s="301"/>
      <c r="N999" s="301"/>
      <c r="O999" s="301"/>
      <c r="P999" s="301"/>
      <c r="Q999" s="301"/>
      <c r="R999" s="301"/>
      <c r="S999" s="301"/>
      <c r="T999" s="301"/>
      <c r="U999" s="301"/>
      <c r="V999" s="301"/>
      <c r="W999" s="301"/>
      <c r="X999" s="301"/>
      <c r="Y999" s="301"/>
      <c r="Z999" s="301"/>
      <c r="AA999" s="301"/>
      <c r="AB999" s="301"/>
      <c r="AC999" s="301"/>
      <c r="AD999" s="301"/>
      <c r="AE999" s="301"/>
      <c r="AF999" s="301"/>
      <c r="AG999" s="301"/>
      <c r="AH999" s="301"/>
      <c r="AI999" s="301"/>
      <c r="AJ999" s="301"/>
      <c r="AK999" s="301"/>
      <c r="AL999" s="301"/>
      <c r="AM999" s="301"/>
      <c r="AN999" s="301"/>
      <c r="AO999" s="301"/>
      <c r="AP999" s="301"/>
    </row>
    <row r="1000" spans="10:42" ht="13.5" customHeight="1">
      <c r="J1000" s="301"/>
      <c r="K1000" s="301"/>
      <c r="L1000" s="301"/>
      <c r="M1000" s="301"/>
      <c r="N1000" s="301"/>
      <c r="O1000" s="301"/>
      <c r="P1000" s="301"/>
      <c r="Q1000" s="301"/>
      <c r="R1000" s="301"/>
      <c r="S1000" s="301"/>
      <c r="T1000" s="301"/>
      <c r="U1000" s="301"/>
      <c r="V1000" s="301"/>
      <c r="W1000" s="301"/>
      <c r="X1000" s="301"/>
      <c r="Y1000" s="301"/>
      <c r="Z1000" s="301"/>
      <c r="AA1000" s="301"/>
      <c r="AB1000" s="301"/>
      <c r="AC1000" s="301"/>
      <c r="AD1000" s="301"/>
      <c r="AE1000" s="301"/>
      <c r="AF1000" s="301"/>
      <c r="AG1000" s="301"/>
      <c r="AH1000" s="301"/>
      <c r="AI1000" s="301"/>
      <c r="AJ1000" s="301"/>
      <c r="AK1000" s="301"/>
      <c r="AL1000" s="301"/>
      <c r="AM1000" s="301"/>
      <c r="AN1000" s="301"/>
      <c r="AO1000" s="301"/>
      <c r="AP1000" s="301"/>
    </row>
  </sheetData>
  <mergeCells count="3">
    <mergeCell ref="B1:L1"/>
    <mergeCell ref="N1:X1"/>
    <mergeCell ref="Z1:AJ1"/>
  </mergeCells>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55" workbookViewId="0">
      <selection activeCell="E78" sqref="E78"/>
    </sheetView>
  </sheetViews>
  <sheetFormatPr defaultColWidth="12.59765625" defaultRowHeight="15" customHeight="1"/>
  <cols>
    <col min="1" max="5" width="8.59765625" customWidth="1"/>
    <col min="6" max="13" width="8.69921875" customWidth="1"/>
    <col min="14" max="26" width="8.59765625" customWidth="1"/>
  </cols>
  <sheetData>
    <row r="1" spans="1:26" ht="13.5" customHeight="1">
      <c r="A1" s="259"/>
      <c r="B1" s="562" t="s">
        <v>5</v>
      </c>
      <c r="C1" s="507"/>
      <c r="D1" s="507"/>
      <c r="E1" s="508"/>
      <c r="F1" s="563" t="s">
        <v>6</v>
      </c>
      <c r="G1" s="507"/>
      <c r="H1" s="508"/>
      <c r="I1" s="564" t="s">
        <v>7</v>
      </c>
      <c r="J1" s="507"/>
      <c r="K1" s="508"/>
      <c r="L1" s="259"/>
      <c r="M1" s="494" t="s">
        <v>1323</v>
      </c>
      <c r="N1" s="259"/>
      <c r="O1" s="259"/>
      <c r="P1" s="259"/>
      <c r="R1" s="494" t="s">
        <v>1324</v>
      </c>
      <c r="S1" s="259"/>
      <c r="T1" s="259"/>
      <c r="U1" s="259"/>
      <c r="V1" s="259"/>
      <c r="W1" s="259"/>
      <c r="X1" s="259"/>
      <c r="Y1" s="259"/>
      <c r="Z1" s="259"/>
    </row>
    <row r="2" spans="1:26" ht="13.5" customHeight="1">
      <c r="A2" s="301" t="s">
        <v>9</v>
      </c>
      <c r="B2" s="337" t="s">
        <v>1130</v>
      </c>
      <c r="C2" s="337" t="s">
        <v>1131</v>
      </c>
      <c r="D2" s="338" t="s">
        <v>1132</v>
      </c>
      <c r="E2" s="338" t="s">
        <v>1133</v>
      </c>
      <c r="F2" s="337" t="s">
        <v>1130</v>
      </c>
      <c r="G2" s="337" t="s">
        <v>1131</v>
      </c>
      <c r="H2" s="338" t="s">
        <v>1133</v>
      </c>
      <c r="I2" s="337" t="s">
        <v>1130</v>
      </c>
      <c r="J2" s="337" t="s">
        <v>1131</v>
      </c>
      <c r="K2" s="338" t="s">
        <v>1133</v>
      </c>
      <c r="M2" s="301" t="s">
        <v>9</v>
      </c>
      <c r="N2" s="354" t="s">
        <v>1162</v>
      </c>
      <c r="O2" s="354" t="s">
        <v>1164</v>
      </c>
      <c r="P2" s="354" t="s">
        <v>1163</v>
      </c>
      <c r="R2" s="301" t="s">
        <v>9</v>
      </c>
      <c r="S2" s="354" t="s">
        <v>1162</v>
      </c>
      <c r="T2" s="354" t="s">
        <v>1164</v>
      </c>
      <c r="U2" s="354" t="s">
        <v>1163</v>
      </c>
    </row>
    <row r="3" spans="1:26" ht="13.5" customHeight="1">
      <c r="A3" s="305">
        <v>37346</v>
      </c>
      <c r="B3" s="337">
        <v>10.203802021823027</v>
      </c>
      <c r="C3" s="337"/>
      <c r="D3" s="338">
        <v>3.3622242424242401</v>
      </c>
      <c r="E3" s="339">
        <v>6.86</v>
      </c>
      <c r="F3" s="337">
        <v>10.203802021823027</v>
      </c>
      <c r="G3" s="337"/>
      <c r="H3" s="339">
        <v>6.86</v>
      </c>
      <c r="I3" s="337">
        <v>10.203802021823027</v>
      </c>
      <c r="J3" s="337"/>
      <c r="K3" s="339">
        <v>6.86</v>
      </c>
      <c r="M3" s="305">
        <v>37346</v>
      </c>
      <c r="N3" s="495">
        <v>10.203802021823027</v>
      </c>
      <c r="O3" s="495">
        <v>10.203802021823027</v>
      </c>
      <c r="P3" s="495">
        <v>10.203802021823027</v>
      </c>
      <c r="R3" s="488">
        <v>37346</v>
      </c>
      <c r="S3" s="337"/>
      <c r="T3" s="337"/>
      <c r="U3" s="337"/>
    </row>
    <row r="4" spans="1:26" ht="13.5" customHeight="1">
      <c r="A4" s="305">
        <v>37437</v>
      </c>
      <c r="B4" s="337">
        <v>10.971615479063095</v>
      </c>
      <c r="C4" s="337"/>
      <c r="D4" s="338">
        <v>3.4460137085137101</v>
      </c>
      <c r="E4" s="339">
        <v>7.03</v>
      </c>
      <c r="F4" s="337">
        <v>10.971615479063095</v>
      </c>
      <c r="G4" s="337"/>
      <c r="H4" s="339">
        <v>7.03</v>
      </c>
      <c r="I4" s="337">
        <v>10.971615479063095</v>
      </c>
      <c r="J4" s="337"/>
      <c r="K4" s="339">
        <v>7.03</v>
      </c>
      <c r="M4" s="305">
        <v>37437</v>
      </c>
      <c r="N4" s="495">
        <v>10.971615479063095</v>
      </c>
      <c r="O4" s="495">
        <v>10.971615479063095</v>
      </c>
      <c r="P4" s="495">
        <v>10.971615479063095</v>
      </c>
      <c r="R4" s="488">
        <v>37437</v>
      </c>
      <c r="S4" s="337"/>
      <c r="T4" s="337"/>
      <c r="U4" s="337"/>
    </row>
    <row r="5" spans="1:26" ht="13.5" customHeight="1">
      <c r="A5" s="305">
        <v>37529</v>
      </c>
      <c r="B5" s="337">
        <v>11.196896711463111</v>
      </c>
      <c r="C5" s="337"/>
      <c r="D5" s="338">
        <v>3.35735064935065</v>
      </c>
      <c r="E5" s="339">
        <v>7.22</v>
      </c>
      <c r="F5" s="337">
        <v>11.196896711463111</v>
      </c>
      <c r="G5" s="337"/>
      <c r="H5" s="339">
        <v>7.22</v>
      </c>
      <c r="I5" s="337">
        <v>11.196896711463111</v>
      </c>
      <c r="J5" s="337"/>
      <c r="K5" s="339">
        <v>7.22</v>
      </c>
      <c r="M5" s="305">
        <v>37529</v>
      </c>
      <c r="N5" s="495">
        <v>11.196896711463111</v>
      </c>
      <c r="O5" s="495">
        <v>11.196896711463111</v>
      </c>
      <c r="P5" s="495">
        <v>11.196896711463111</v>
      </c>
      <c r="R5" s="488">
        <v>37529</v>
      </c>
      <c r="S5" s="337"/>
      <c r="T5" s="337"/>
      <c r="U5" s="337"/>
    </row>
    <row r="6" spans="1:26" ht="13.5" customHeight="1">
      <c r="A6" s="305">
        <v>37621</v>
      </c>
      <c r="B6" s="337">
        <v>10.376249236273903</v>
      </c>
      <c r="C6" s="337"/>
      <c r="D6" s="338">
        <v>3.1088179089026902</v>
      </c>
      <c r="E6" s="339">
        <v>6.81</v>
      </c>
      <c r="F6" s="337">
        <v>10.376249236273903</v>
      </c>
      <c r="G6" s="337"/>
      <c r="H6" s="339">
        <v>6.81</v>
      </c>
      <c r="I6" s="337">
        <v>10.376249236273903</v>
      </c>
      <c r="J6" s="337"/>
      <c r="K6" s="339">
        <v>6.81</v>
      </c>
      <c r="M6" s="305">
        <v>37621</v>
      </c>
      <c r="N6" s="495">
        <v>10.376249236273903</v>
      </c>
      <c r="O6" s="495">
        <v>10.376249236273903</v>
      </c>
      <c r="P6" s="495">
        <v>10.376249236273903</v>
      </c>
      <c r="R6" s="488">
        <v>37621</v>
      </c>
      <c r="S6" s="337"/>
      <c r="T6" s="337"/>
      <c r="U6" s="337"/>
    </row>
    <row r="7" spans="1:26" ht="13.5" customHeight="1">
      <c r="A7" s="305">
        <v>37711</v>
      </c>
      <c r="B7" s="337">
        <v>9.7543611623486743</v>
      </c>
      <c r="C7" s="337"/>
      <c r="D7" s="338">
        <v>2.6830735209235201</v>
      </c>
      <c r="E7" s="339">
        <v>6.18</v>
      </c>
      <c r="F7" s="337">
        <v>9.7543611623486743</v>
      </c>
      <c r="G7" s="337"/>
      <c r="H7" s="339">
        <v>6.18</v>
      </c>
      <c r="I7" s="337">
        <v>9.7543611623486743</v>
      </c>
      <c r="J7" s="337"/>
      <c r="K7" s="339">
        <v>6.18</v>
      </c>
      <c r="M7" s="305">
        <v>37711</v>
      </c>
      <c r="N7" s="495">
        <v>9.7543611623486743</v>
      </c>
      <c r="O7" s="495">
        <v>9.7543611623486743</v>
      </c>
      <c r="P7" s="495">
        <v>9.7543611623486743</v>
      </c>
      <c r="R7" s="488">
        <v>37711</v>
      </c>
      <c r="S7" s="337"/>
      <c r="T7" s="337"/>
      <c r="U7" s="337"/>
    </row>
    <row r="8" spans="1:26" ht="13.5" customHeight="1">
      <c r="A8" s="305">
        <v>37802</v>
      </c>
      <c r="B8" s="337">
        <v>9.7662938063104683</v>
      </c>
      <c r="C8" s="337"/>
      <c r="D8" s="338">
        <v>2.3619103174603202</v>
      </c>
      <c r="E8" s="339">
        <v>5.89</v>
      </c>
      <c r="F8" s="337">
        <v>9.7662938063104683</v>
      </c>
      <c r="G8" s="337"/>
      <c r="H8" s="339">
        <v>5.89</v>
      </c>
      <c r="I8" s="337">
        <v>9.7662938063104683</v>
      </c>
      <c r="J8" s="337"/>
      <c r="K8" s="339">
        <v>5.89</v>
      </c>
      <c r="M8" s="305">
        <v>37802</v>
      </c>
      <c r="N8" s="495">
        <v>9.7662938063104683</v>
      </c>
      <c r="O8" s="495">
        <v>9.7662938063104683</v>
      </c>
      <c r="P8" s="495">
        <v>9.7662938063104683</v>
      </c>
      <c r="R8" s="488">
        <v>37802</v>
      </c>
      <c r="S8" s="337"/>
      <c r="T8" s="337"/>
      <c r="U8" s="337"/>
    </row>
    <row r="9" spans="1:26" ht="13.5" customHeight="1">
      <c r="A9" s="305">
        <v>37894</v>
      </c>
      <c r="B9" s="337">
        <v>10.317305232046301</v>
      </c>
      <c r="C9" s="337"/>
      <c r="D9" s="338">
        <v>2.1392634105025401</v>
      </c>
      <c r="E9" s="339">
        <v>5.7</v>
      </c>
      <c r="F9" s="337">
        <v>10.317305232046301</v>
      </c>
      <c r="G9" s="337"/>
      <c r="H9" s="339">
        <v>5.7</v>
      </c>
      <c r="I9" s="337">
        <v>10.317305232046301</v>
      </c>
      <c r="J9" s="337"/>
      <c r="K9" s="339">
        <v>5.7</v>
      </c>
      <c r="M9" s="305">
        <v>37894</v>
      </c>
      <c r="N9" s="495">
        <v>10.317305232046301</v>
      </c>
      <c r="O9" s="495">
        <v>10.317305232046301</v>
      </c>
      <c r="P9" s="495">
        <v>10.317305232046301</v>
      </c>
      <c r="R9" s="488">
        <v>37894</v>
      </c>
      <c r="S9" s="337"/>
      <c r="T9" s="337"/>
      <c r="U9" s="337"/>
    </row>
    <row r="10" spans="1:26" ht="13.5" customHeight="1">
      <c r="A10" s="305">
        <v>37986</v>
      </c>
      <c r="B10" s="337">
        <v>9.6760175120490395</v>
      </c>
      <c r="C10" s="337"/>
      <c r="D10" s="338">
        <v>2.1496495169082102</v>
      </c>
      <c r="E10" s="339">
        <v>5.48</v>
      </c>
      <c r="F10" s="337">
        <v>9.6760175120490395</v>
      </c>
      <c r="G10" s="337"/>
      <c r="H10" s="339">
        <v>5.48</v>
      </c>
      <c r="I10" s="337">
        <v>9.6760175120490395</v>
      </c>
      <c r="J10" s="337"/>
      <c r="K10" s="339">
        <v>5.48</v>
      </c>
      <c r="M10" s="305">
        <v>37986</v>
      </c>
      <c r="N10" s="495">
        <v>9.6760175120490395</v>
      </c>
      <c r="O10" s="495">
        <v>9.6760175120490395</v>
      </c>
      <c r="P10" s="495">
        <v>9.6760175120490395</v>
      </c>
      <c r="R10" s="488">
        <v>37986</v>
      </c>
      <c r="S10" s="337"/>
      <c r="T10" s="337"/>
      <c r="U10" s="337"/>
    </row>
    <row r="11" spans="1:26" ht="13.5" customHeight="1">
      <c r="A11" s="305">
        <v>38077</v>
      </c>
      <c r="B11" s="337">
        <v>8.897918571524583</v>
      </c>
      <c r="C11" s="337"/>
      <c r="D11" s="338">
        <v>2.0629507591442402</v>
      </c>
      <c r="E11" s="339">
        <v>5.57</v>
      </c>
      <c r="F11" s="337">
        <v>8.897918571524583</v>
      </c>
      <c r="G11" s="337"/>
      <c r="H11" s="339">
        <v>5.57</v>
      </c>
      <c r="I11" s="337">
        <v>8.897918571524583</v>
      </c>
      <c r="J11" s="337"/>
      <c r="K11" s="339">
        <v>5.57</v>
      </c>
      <c r="M11" s="305">
        <v>38077</v>
      </c>
      <c r="N11" s="495">
        <v>8.897918571524583</v>
      </c>
      <c r="O11" s="495">
        <v>8.897918571524583</v>
      </c>
      <c r="P11" s="495">
        <v>8.897918571524583</v>
      </c>
      <c r="R11" s="488">
        <v>38077</v>
      </c>
      <c r="S11" s="337"/>
      <c r="T11" s="337"/>
      <c r="U11" s="337"/>
    </row>
    <row r="12" spans="1:26" ht="13.5" customHeight="1">
      <c r="A12" s="305">
        <v>38168</v>
      </c>
      <c r="B12" s="337">
        <v>9.5021468879323923</v>
      </c>
      <c r="C12" s="337"/>
      <c r="D12" s="338">
        <v>2.0824296536796498</v>
      </c>
      <c r="E12" s="339">
        <v>5.54</v>
      </c>
      <c r="F12" s="337">
        <v>9.5021468879323923</v>
      </c>
      <c r="G12" s="337"/>
      <c r="H12" s="339">
        <v>5.54</v>
      </c>
      <c r="I12" s="337">
        <v>9.5021468879323923</v>
      </c>
      <c r="J12" s="337"/>
      <c r="K12" s="339">
        <v>5.54</v>
      </c>
      <c r="M12" s="305">
        <v>38168</v>
      </c>
      <c r="N12" s="495">
        <v>9.5021468879323923</v>
      </c>
      <c r="O12" s="495">
        <v>9.5021468879323923</v>
      </c>
      <c r="P12" s="495">
        <v>9.5021468879323923</v>
      </c>
      <c r="R12" s="488">
        <v>38168</v>
      </c>
      <c r="S12" s="337"/>
      <c r="T12" s="337"/>
      <c r="U12" s="337"/>
    </row>
    <row r="13" spans="1:26" ht="13.5" customHeight="1">
      <c r="A13" s="305">
        <v>38260</v>
      </c>
      <c r="B13" s="337">
        <v>10.077823022838334</v>
      </c>
      <c r="C13" s="337"/>
      <c r="D13" s="338">
        <v>2.1163030303030301</v>
      </c>
      <c r="E13" s="339">
        <v>5.68</v>
      </c>
      <c r="F13" s="337">
        <v>10.077823022838334</v>
      </c>
      <c r="G13" s="337"/>
      <c r="H13" s="339">
        <v>5.68</v>
      </c>
      <c r="I13" s="337">
        <v>10.077823022838334</v>
      </c>
      <c r="J13" s="337"/>
      <c r="K13" s="339">
        <v>5.68</v>
      </c>
      <c r="M13" s="305">
        <v>38260</v>
      </c>
      <c r="N13" s="495">
        <v>10.077823022838334</v>
      </c>
      <c r="O13" s="495">
        <v>10.077823022838334</v>
      </c>
      <c r="P13" s="495">
        <v>10.077823022838334</v>
      </c>
      <c r="R13" s="488">
        <v>38260</v>
      </c>
      <c r="S13" s="337"/>
      <c r="T13" s="337"/>
      <c r="U13" s="337"/>
    </row>
    <row r="14" spans="1:26" ht="13.5" customHeight="1">
      <c r="A14" s="305">
        <v>38352</v>
      </c>
      <c r="B14" s="337">
        <v>9.6316071020483118</v>
      </c>
      <c r="C14" s="337"/>
      <c r="D14" s="338">
        <v>2.1636084760649998</v>
      </c>
      <c r="E14" s="339">
        <v>5.27</v>
      </c>
      <c r="F14" s="337">
        <v>9.6316071020483118</v>
      </c>
      <c r="G14" s="337"/>
      <c r="H14" s="339">
        <v>5.27</v>
      </c>
      <c r="I14" s="337">
        <v>9.6316071020483118</v>
      </c>
      <c r="J14" s="337"/>
      <c r="K14" s="339">
        <v>5.27</v>
      </c>
      <c r="M14" s="305">
        <v>38352</v>
      </c>
      <c r="N14" s="495">
        <v>9.6316071020483118</v>
      </c>
      <c r="O14" s="495">
        <v>9.6316071020483118</v>
      </c>
      <c r="P14" s="495">
        <v>9.6316071020483118</v>
      </c>
      <c r="R14" s="488">
        <v>38352</v>
      </c>
      <c r="S14" s="337"/>
      <c r="T14" s="337"/>
      <c r="U14" s="337"/>
    </row>
    <row r="15" spans="1:26" ht="13.5" customHeight="1">
      <c r="A15" s="305">
        <v>38442</v>
      </c>
      <c r="B15" s="337">
        <v>9.1284850891557383</v>
      </c>
      <c r="C15" s="337"/>
      <c r="D15" s="338">
        <v>2.1403230158730202</v>
      </c>
      <c r="E15" s="339">
        <v>4.75</v>
      </c>
      <c r="F15" s="337">
        <v>9.1284850891557383</v>
      </c>
      <c r="G15" s="337"/>
      <c r="H15" s="339">
        <v>4.75</v>
      </c>
      <c r="I15" s="337">
        <v>9.1284850891557383</v>
      </c>
      <c r="J15" s="337"/>
      <c r="K15" s="339">
        <v>4.75</v>
      </c>
      <c r="M15" s="305">
        <v>38442</v>
      </c>
      <c r="N15" s="495">
        <v>9.1284850891557383</v>
      </c>
      <c r="O15" s="495">
        <v>9.1284850891557383</v>
      </c>
      <c r="P15" s="495">
        <v>9.1284850891557383</v>
      </c>
      <c r="R15" s="488">
        <v>38442</v>
      </c>
      <c r="S15" s="337"/>
      <c r="T15" s="337"/>
      <c r="U15" s="337"/>
    </row>
    <row r="16" spans="1:26" ht="13.5" customHeight="1">
      <c r="A16" s="305">
        <v>38533</v>
      </c>
      <c r="B16" s="337">
        <v>9.1043223166424667</v>
      </c>
      <c r="C16" s="337"/>
      <c r="D16" s="338">
        <v>2.1246399711399699</v>
      </c>
      <c r="E16" s="339">
        <v>4.37</v>
      </c>
      <c r="F16" s="337">
        <v>9.1043223166424667</v>
      </c>
      <c r="G16" s="337"/>
      <c r="H16" s="339">
        <v>4.37</v>
      </c>
      <c r="I16" s="337">
        <v>9.1043223166424667</v>
      </c>
      <c r="J16" s="337"/>
      <c r="K16" s="339">
        <v>4.37</v>
      </c>
      <c r="M16" s="305">
        <v>38533</v>
      </c>
      <c r="N16" s="495">
        <v>9.1043223166424667</v>
      </c>
      <c r="O16" s="495">
        <v>9.1043223166424667</v>
      </c>
      <c r="P16" s="495">
        <v>9.1043223166424667</v>
      </c>
      <c r="R16" s="488">
        <v>38533</v>
      </c>
      <c r="S16" s="337"/>
      <c r="T16" s="337"/>
      <c r="U16" s="337"/>
    </row>
    <row r="17" spans="1:21" ht="13.5" customHeight="1">
      <c r="A17" s="305">
        <v>38625</v>
      </c>
      <c r="B17" s="337">
        <v>9.4685691361919577</v>
      </c>
      <c r="C17" s="337"/>
      <c r="D17" s="338">
        <v>2.1303477319781701</v>
      </c>
      <c r="E17" s="339">
        <v>4.28</v>
      </c>
      <c r="F17" s="337">
        <v>9.4685691361919577</v>
      </c>
      <c r="G17" s="337"/>
      <c r="H17" s="339">
        <v>4.28</v>
      </c>
      <c r="I17" s="337">
        <v>9.4685691361919577</v>
      </c>
      <c r="J17" s="337"/>
      <c r="K17" s="339">
        <v>4.28</v>
      </c>
      <c r="M17" s="305">
        <v>38625</v>
      </c>
      <c r="N17" s="495">
        <v>9.4685691361919577</v>
      </c>
      <c r="O17" s="495">
        <v>9.4685691361919577</v>
      </c>
      <c r="P17" s="495">
        <v>9.4685691361919577</v>
      </c>
      <c r="R17" s="488">
        <v>38625</v>
      </c>
      <c r="S17" s="337"/>
      <c r="T17" s="337"/>
      <c r="U17" s="337"/>
    </row>
    <row r="18" spans="1:21" ht="13.5" customHeight="1">
      <c r="A18" s="305">
        <v>38717</v>
      </c>
      <c r="B18" s="337">
        <v>8.5849364469215868</v>
      </c>
      <c r="C18" s="337">
        <v>6.3156164567222994</v>
      </c>
      <c r="D18" s="338">
        <v>2.3434466089466102</v>
      </c>
      <c r="E18" s="339">
        <v>4.42</v>
      </c>
      <c r="F18" s="337">
        <v>8.5849364469215868</v>
      </c>
      <c r="G18" s="337">
        <v>6.3156164567222994</v>
      </c>
      <c r="H18" s="339">
        <v>4.42</v>
      </c>
      <c r="I18" s="337">
        <v>8.5849364469215868</v>
      </c>
      <c r="J18" s="337">
        <v>6.3156164567222994</v>
      </c>
      <c r="K18" s="339">
        <v>4.42</v>
      </c>
      <c r="M18" s="305">
        <v>38717</v>
      </c>
      <c r="N18" s="495">
        <v>8.5849364469215868</v>
      </c>
      <c r="O18" s="495">
        <v>8.5849364469215868</v>
      </c>
      <c r="P18" s="495">
        <v>8.5849364469215868</v>
      </c>
      <c r="R18" s="488">
        <v>38717</v>
      </c>
      <c r="S18" s="337">
        <v>6.3156164567222994</v>
      </c>
      <c r="T18" s="337">
        <v>6.3156164567222994</v>
      </c>
      <c r="U18" s="337">
        <v>6.3156164567222994</v>
      </c>
    </row>
    <row r="19" spans="1:21" ht="13.5" customHeight="1">
      <c r="A19" s="305">
        <v>38807</v>
      </c>
      <c r="B19" s="337">
        <v>8.1891794632643098</v>
      </c>
      <c r="C19" s="337">
        <v>6.8025216141603089</v>
      </c>
      <c r="D19" s="338">
        <v>2.61154683794466</v>
      </c>
      <c r="E19" s="339">
        <v>3.91</v>
      </c>
      <c r="F19" s="337">
        <v>8.1891794632643098</v>
      </c>
      <c r="G19" s="337">
        <v>6.8025216141603089</v>
      </c>
      <c r="H19" s="339">
        <v>3.91</v>
      </c>
      <c r="I19" s="337">
        <v>8.1891794632643098</v>
      </c>
      <c r="J19" s="337">
        <v>6.8025216141603089</v>
      </c>
      <c r="K19" s="339">
        <v>3.91</v>
      </c>
      <c r="M19" s="305">
        <v>38807</v>
      </c>
      <c r="N19" s="495">
        <v>8.1891794632643098</v>
      </c>
      <c r="O19" s="495">
        <v>8.1891794632643098</v>
      </c>
      <c r="P19" s="495">
        <v>8.1891794632643098</v>
      </c>
      <c r="R19" s="488">
        <v>38807</v>
      </c>
      <c r="S19" s="337">
        <v>6.8025216141603089</v>
      </c>
      <c r="T19" s="337">
        <v>6.8025216141603089</v>
      </c>
      <c r="U19" s="337">
        <v>6.8025216141603089</v>
      </c>
    </row>
    <row r="20" spans="1:21" ht="13.5" customHeight="1">
      <c r="A20" s="305">
        <v>38898</v>
      </c>
      <c r="B20" s="337">
        <v>8.9117407172703835</v>
      </c>
      <c r="C20" s="337">
        <v>6.7024130577264698</v>
      </c>
      <c r="D20" s="338">
        <v>2.8894865319865302</v>
      </c>
      <c r="E20" s="339">
        <v>4.51</v>
      </c>
      <c r="F20" s="337">
        <v>8.9117407172703835</v>
      </c>
      <c r="G20" s="337">
        <v>6.7024130577264698</v>
      </c>
      <c r="H20" s="339">
        <v>4.51</v>
      </c>
      <c r="I20" s="337">
        <v>8.9117407172703835</v>
      </c>
      <c r="J20" s="337">
        <v>6.7024130577264698</v>
      </c>
      <c r="K20" s="339">
        <v>4.51</v>
      </c>
      <c r="M20" s="305">
        <v>38898</v>
      </c>
      <c r="N20" s="495">
        <v>8.9117407172703835</v>
      </c>
      <c r="O20" s="495">
        <v>8.9117407172703835</v>
      </c>
      <c r="P20" s="495">
        <v>8.9117407172703835</v>
      </c>
      <c r="R20" s="488">
        <v>38898</v>
      </c>
      <c r="S20" s="337">
        <v>6.7024130577264698</v>
      </c>
      <c r="T20" s="337">
        <v>6.7024130577264698</v>
      </c>
      <c r="U20" s="337">
        <v>6.7024130577264698</v>
      </c>
    </row>
    <row r="21" spans="1:21" ht="13.5" customHeight="1">
      <c r="A21" s="305">
        <v>38990</v>
      </c>
      <c r="B21" s="337">
        <v>8.9353107794524576</v>
      </c>
      <c r="C21" s="337">
        <v>7.1506196753550544</v>
      </c>
      <c r="D21" s="338">
        <v>3.22134989648033</v>
      </c>
      <c r="E21" s="339">
        <v>4.6900000000000004</v>
      </c>
      <c r="F21" s="337">
        <v>8.9353107794524576</v>
      </c>
      <c r="G21" s="337">
        <v>7.1506196753550544</v>
      </c>
      <c r="H21" s="339">
        <v>4.6900000000000004</v>
      </c>
      <c r="I21" s="337">
        <v>8.9353107794524576</v>
      </c>
      <c r="J21" s="337">
        <v>7.1506196753550544</v>
      </c>
      <c r="K21" s="339">
        <v>4.6900000000000004</v>
      </c>
      <c r="M21" s="305">
        <v>38990</v>
      </c>
      <c r="N21" s="495">
        <v>8.9353107794524576</v>
      </c>
      <c r="O21" s="495">
        <v>8.9353107794524576</v>
      </c>
      <c r="P21" s="495">
        <v>8.9353107794524576</v>
      </c>
      <c r="R21" s="488">
        <v>38990</v>
      </c>
      <c r="S21" s="337">
        <v>7.1506196753550544</v>
      </c>
      <c r="T21" s="337">
        <v>7.1506196753550544</v>
      </c>
      <c r="U21" s="337">
        <v>7.1506196753550544</v>
      </c>
    </row>
    <row r="22" spans="1:21" ht="13.5" customHeight="1">
      <c r="A22" s="305">
        <v>39082</v>
      </c>
      <c r="B22" s="337">
        <v>8.7935166132953935</v>
      </c>
      <c r="C22" s="337">
        <v>6.6005280834442237</v>
      </c>
      <c r="D22" s="338">
        <v>3.5944641148325398</v>
      </c>
      <c r="E22" s="339">
        <v>4.72</v>
      </c>
      <c r="F22" s="337">
        <v>8.7935166132953935</v>
      </c>
      <c r="G22" s="337">
        <v>6.6005280834442237</v>
      </c>
      <c r="H22" s="339">
        <v>4.72</v>
      </c>
      <c r="I22" s="337">
        <v>8.7935166132953935</v>
      </c>
      <c r="J22" s="337">
        <v>6.6005280834442237</v>
      </c>
      <c r="K22" s="339">
        <v>4.72</v>
      </c>
      <c r="M22" s="305">
        <v>39082</v>
      </c>
      <c r="N22" s="495">
        <v>8.7935166132953935</v>
      </c>
      <c r="O22" s="495">
        <v>8.7935166132953935</v>
      </c>
      <c r="P22" s="495">
        <v>8.7935166132953935</v>
      </c>
      <c r="R22" s="488">
        <v>39082</v>
      </c>
      <c r="S22" s="337">
        <v>6.6005280834442237</v>
      </c>
      <c r="T22" s="337">
        <v>6.6005280834442237</v>
      </c>
      <c r="U22" s="337">
        <v>6.6005280834442237</v>
      </c>
    </row>
    <row r="23" spans="1:21" ht="13.5" customHeight="1">
      <c r="A23" s="305">
        <v>39172</v>
      </c>
      <c r="B23" s="337">
        <v>8.1968071315474091</v>
      </c>
      <c r="C23" s="337">
        <v>6.8954213452860724</v>
      </c>
      <c r="D23" s="338">
        <v>3.8203242424242401</v>
      </c>
      <c r="E23" s="339">
        <v>4.4800000000000004</v>
      </c>
      <c r="F23" s="337">
        <v>8.1968071315474091</v>
      </c>
      <c r="G23" s="337">
        <v>6.8954213452860724</v>
      </c>
      <c r="H23" s="339">
        <v>4.4800000000000004</v>
      </c>
      <c r="I23" s="337">
        <v>8.1968071315474091</v>
      </c>
      <c r="J23" s="337">
        <v>6.8954213452860724</v>
      </c>
      <c r="K23" s="339">
        <v>4.4800000000000004</v>
      </c>
      <c r="M23" s="305">
        <v>39172</v>
      </c>
      <c r="N23" s="495">
        <v>8.1968071315474091</v>
      </c>
      <c r="O23" s="495">
        <v>8.1968071315474091</v>
      </c>
      <c r="P23" s="495">
        <v>8.1968071315474091</v>
      </c>
      <c r="R23" s="488">
        <v>39172</v>
      </c>
      <c r="S23" s="337">
        <v>6.8954213452860724</v>
      </c>
      <c r="T23" s="337">
        <v>6.8954213452860724</v>
      </c>
      <c r="U23" s="337">
        <v>6.8954213452860724</v>
      </c>
    </row>
    <row r="24" spans="1:21" ht="13.5" customHeight="1">
      <c r="A24" s="305">
        <v>39263</v>
      </c>
      <c r="B24" s="337">
        <v>8.813725503792103</v>
      </c>
      <c r="C24" s="337">
        <v>7.036892576508615</v>
      </c>
      <c r="D24" s="338">
        <v>4.06479623300676</v>
      </c>
      <c r="E24" s="339">
        <v>4.88</v>
      </c>
      <c r="F24" s="337">
        <v>8.813725503792103</v>
      </c>
      <c r="G24" s="337">
        <v>7.036892576508615</v>
      </c>
      <c r="H24" s="339">
        <v>4.88</v>
      </c>
      <c r="I24" s="337">
        <v>8.813725503792103</v>
      </c>
      <c r="J24" s="337">
        <v>7.036892576508615</v>
      </c>
      <c r="K24" s="339">
        <v>4.88</v>
      </c>
      <c r="M24" s="305">
        <v>39263</v>
      </c>
      <c r="N24" s="495">
        <v>8.813725503792103</v>
      </c>
      <c r="O24" s="495">
        <v>8.813725503792103</v>
      </c>
      <c r="P24" s="495">
        <v>8.813725503792103</v>
      </c>
      <c r="R24" s="488">
        <v>39263</v>
      </c>
      <c r="S24" s="337">
        <v>7.036892576508615</v>
      </c>
      <c r="T24" s="337">
        <v>7.036892576508615</v>
      </c>
      <c r="U24" s="337">
        <v>7.036892576508615</v>
      </c>
    </row>
    <row r="25" spans="1:21" ht="13.5" customHeight="1">
      <c r="A25" s="305">
        <v>39355</v>
      </c>
      <c r="B25" s="337">
        <v>9.3415510150639367</v>
      </c>
      <c r="C25" s="337">
        <v>7.4447894500980603</v>
      </c>
      <c r="D25" s="338">
        <v>4.5004968379446604</v>
      </c>
      <c r="E25" s="339">
        <v>5.15</v>
      </c>
      <c r="F25" s="337">
        <v>9.3415510150639367</v>
      </c>
      <c r="G25" s="337">
        <v>7.4447894500980603</v>
      </c>
      <c r="H25" s="339">
        <v>5.15</v>
      </c>
      <c r="I25" s="337">
        <v>9.3415510150639367</v>
      </c>
      <c r="J25" s="337">
        <v>7.4447894500980603</v>
      </c>
      <c r="K25" s="339">
        <v>5.15</v>
      </c>
      <c r="M25" s="305">
        <v>39355</v>
      </c>
      <c r="N25" s="495">
        <v>9.3415510150639367</v>
      </c>
      <c r="O25" s="495">
        <v>9.3415510150639367</v>
      </c>
      <c r="P25" s="495">
        <v>9.3415510150639367</v>
      </c>
      <c r="R25" s="488">
        <v>39355</v>
      </c>
      <c r="S25" s="337">
        <v>7.4447894500980603</v>
      </c>
      <c r="T25" s="337">
        <v>7.4447894500980603</v>
      </c>
      <c r="U25" s="337">
        <v>7.4447894500980603</v>
      </c>
    </row>
    <row r="26" spans="1:21" ht="13.5" customHeight="1">
      <c r="A26" s="305">
        <v>39447</v>
      </c>
      <c r="B26" s="337">
        <v>9.0134137687054157</v>
      </c>
      <c r="C26" s="337">
        <v>7.1304071031017289</v>
      </c>
      <c r="D26" s="338">
        <v>4.7247683933153004</v>
      </c>
      <c r="E26" s="339">
        <v>5.44</v>
      </c>
      <c r="F26" s="337">
        <v>9.0134137687054157</v>
      </c>
      <c r="G26" s="337">
        <v>7.1304071031017289</v>
      </c>
      <c r="H26" s="339">
        <v>5.44</v>
      </c>
      <c r="I26" s="337">
        <v>9.0134137687054157</v>
      </c>
      <c r="J26" s="337">
        <v>7.1304071031017289</v>
      </c>
      <c r="K26" s="339">
        <v>5.44</v>
      </c>
      <c r="M26" s="305">
        <v>39447</v>
      </c>
      <c r="N26" s="495">
        <v>9.0134137687054157</v>
      </c>
      <c r="O26" s="495">
        <v>9.0134137687054157</v>
      </c>
      <c r="P26" s="495">
        <v>9.0134137687054157</v>
      </c>
      <c r="R26" s="488">
        <v>39447</v>
      </c>
      <c r="S26" s="337">
        <v>7.1304071031017289</v>
      </c>
      <c r="T26" s="337">
        <v>7.1304071031017289</v>
      </c>
      <c r="U26" s="337">
        <v>7.1304071031017289</v>
      </c>
    </row>
    <row r="27" spans="1:21" ht="13.5" customHeight="1">
      <c r="A27" s="305">
        <v>39538</v>
      </c>
      <c r="B27" s="337">
        <v>8.5556199752349702</v>
      </c>
      <c r="C27" s="337">
        <v>7.7213317064118794</v>
      </c>
      <c r="D27" s="338">
        <v>4.4800030378977702</v>
      </c>
      <c r="E27" s="339">
        <v>5.83</v>
      </c>
      <c r="F27" s="337">
        <v>8.5556199752349702</v>
      </c>
      <c r="G27" s="337">
        <v>7.7213317064118794</v>
      </c>
      <c r="H27" s="339">
        <v>5.83</v>
      </c>
      <c r="I27" s="337">
        <v>8.5556199752349702</v>
      </c>
      <c r="J27" s="337">
        <v>7.7213317064118794</v>
      </c>
      <c r="K27" s="339">
        <v>5.83</v>
      </c>
      <c r="M27" s="305">
        <v>39538</v>
      </c>
      <c r="N27" s="495">
        <v>8.5556199752349702</v>
      </c>
      <c r="O27" s="495">
        <v>8.5556199752349702</v>
      </c>
      <c r="P27" s="495">
        <v>8.5556199752349702</v>
      </c>
      <c r="R27" s="488">
        <v>39538</v>
      </c>
      <c r="S27" s="337">
        <v>7.7213317064118794</v>
      </c>
      <c r="T27" s="337">
        <v>7.7213317064118794</v>
      </c>
      <c r="U27" s="337">
        <v>7.7213317064118794</v>
      </c>
    </row>
    <row r="28" spans="1:21" ht="13.5" customHeight="1">
      <c r="A28" s="305">
        <v>39629</v>
      </c>
      <c r="B28" s="337">
        <v>9.4080681277911484</v>
      </c>
      <c r="C28" s="337">
        <v>7.9579358285881669</v>
      </c>
      <c r="D28" s="338">
        <v>4.86046825396825</v>
      </c>
      <c r="E28" s="339">
        <v>5.76</v>
      </c>
      <c r="F28" s="337">
        <v>9.4080681277911484</v>
      </c>
      <c r="G28" s="337">
        <v>7.9579358285881669</v>
      </c>
      <c r="H28" s="339">
        <v>5.76</v>
      </c>
      <c r="I28" s="337">
        <v>9.4080681277911484</v>
      </c>
      <c r="J28" s="337">
        <v>7.9579358285881669</v>
      </c>
      <c r="K28" s="339">
        <v>5.76</v>
      </c>
      <c r="M28" s="305">
        <v>39629</v>
      </c>
      <c r="N28" s="495">
        <v>9.4080681277911484</v>
      </c>
      <c r="O28" s="495">
        <v>9.4080681277911484</v>
      </c>
      <c r="P28" s="495">
        <v>9.4080681277911484</v>
      </c>
      <c r="R28" s="488">
        <v>39629</v>
      </c>
      <c r="S28" s="337">
        <v>7.9579358285881669</v>
      </c>
      <c r="T28" s="337">
        <v>7.9579358285881669</v>
      </c>
      <c r="U28" s="337">
        <v>7.9579358285881669</v>
      </c>
    </row>
    <row r="29" spans="1:21" ht="13.5" customHeight="1">
      <c r="A29" s="305">
        <v>39721</v>
      </c>
      <c r="B29" s="337">
        <v>10.032822848831886</v>
      </c>
      <c r="C29" s="337">
        <v>7.8384623880750866</v>
      </c>
      <c r="D29" s="338">
        <v>4.9817907647907598</v>
      </c>
      <c r="E29" s="339">
        <v>5.94</v>
      </c>
      <c r="F29" s="337">
        <v>10.032822848831886</v>
      </c>
      <c r="G29" s="337">
        <v>7.8384623880750866</v>
      </c>
      <c r="H29" s="339">
        <v>5.94</v>
      </c>
      <c r="I29" s="337">
        <v>10.032822848831886</v>
      </c>
      <c r="J29" s="337">
        <v>7.8384623880750866</v>
      </c>
      <c r="K29" s="339">
        <v>5.94</v>
      </c>
      <c r="M29" s="305">
        <v>39721</v>
      </c>
      <c r="N29" s="495">
        <v>10.032822848831886</v>
      </c>
      <c r="O29" s="495">
        <v>10.032822848831886</v>
      </c>
      <c r="P29" s="495">
        <v>10.032822848831886</v>
      </c>
      <c r="R29" s="488">
        <v>39721</v>
      </c>
      <c r="S29" s="337">
        <v>7.8384623880750866</v>
      </c>
      <c r="T29" s="337">
        <v>7.8384623880750866</v>
      </c>
      <c r="U29" s="337">
        <v>7.8384623880750866</v>
      </c>
    </row>
    <row r="30" spans="1:21" ht="13.5" customHeight="1">
      <c r="A30" s="305">
        <v>39813</v>
      </c>
      <c r="B30" s="337">
        <v>10.13248673066844</v>
      </c>
      <c r="C30" s="337">
        <v>7.8633992841038092</v>
      </c>
      <c r="D30" s="338">
        <v>4.2146686680469303</v>
      </c>
      <c r="E30" s="339">
        <v>7.13</v>
      </c>
      <c r="F30" s="337">
        <v>10.13248673066844</v>
      </c>
      <c r="G30" s="337">
        <v>7.8633992841038092</v>
      </c>
      <c r="H30" s="339">
        <v>7.13</v>
      </c>
      <c r="I30" s="337">
        <v>10.13248673066844</v>
      </c>
      <c r="J30" s="337">
        <v>7.8633992841038092</v>
      </c>
      <c r="K30" s="339">
        <v>7.13</v>
      </c>
      <c r="M30" s="305">
        <v>39813</v>
      </c>
      <c r="N30" s="495">
        <v>10.13248673066844</v>
      </c>
      <c r="O30" s="495">
        <v>10.13248673066844</v>
      </c>
      <c r="P30" s="495">
        <v>10.13248673066844</v>
      </c>
      <c r="R30" s="488">
        <v>39813</v>
      </c>
      <c r="S30" s="337">
        <v>7.8633992841038092</v>
      </c>
      <c r="T30" s="337">
        <v>7.8633992841038092</v>
      </c>
      <c r="U30" s="337">
        <v>7.8633992841038092</v>
      </c>
    </row>
    <row r="31" spans="1:21" ht="13.5" customHeight="1">
      <c r="A31" s="305">
        <v>39903</v>
      </c>
      <c r="B31" s="337">
        <v>10.174293590304348</v>
      </c>
      <c r="C31" s="337">
        <v>8.213225520517458</v>
      </c>
      <c r="D31" s="338">
        <v>2.01167611832612</v>
      </c>
      <c r="E31" s="339">
        <v>7.81</v>
      </c>
      <c r="F31" s="337">
        <v>10.174293590304348</v>
      </c>
      <c r="G31" s="337">
        <v>8.213225520517458</v>
      </c>
      <c r="H31" s="339">
        <v>7.81</v>
      </c>
      <c r="I31" s="337">
        <v>10.174293590304348</v>
      </c>
      <c r="J31" s="337">
        <v>8.213225520517458</v>
      </c>
      <c r="K31" s="339">
        <v>7.81</v>
      </c>
      <c r="M31" s="305">
        <v>39903</v>
      </c>
      <c r="N31" s="495">
        <v>10.174293590304348</v>
      </c>
      <c r="O31" s="495">
        <v>10.174293590304348</v>
      </c>
      <c r="P31" s="495">
        <v>10.174293590304348</v>
      </c>
      <c r="R31" s="488">
        <v>39903</v>
      </c>
      <c r="S31" s="337">
        <v>8.213225520517458</v>
      </c>
      <c r="T31" s="337">
        <v>8.213225520517458</v>
      </c>
      <c r="U31" s="337">
        <v>8.213225520517458</v>
      </c>
    </row>
    <row r="32" spans="1:21" ht="13.5" customHeight="1">
      <c r="A32" s="305">
        <v>39994</v>
      </c>
      <c r="B32" s="337">
        <v>10.702430781182846</v>
      </c>
      <c r="C32" s="337">
        <v>8.4183951732151758</v>
      </c>
      <c r="D32" s="338">
        <v>1.31063636363636</v>
      </c>
      <c r="E32" s="339">
        <v>8.23</v>
      </c>
      <c r="F32" s="337">
        <v>10.702430781182846</v>
      </c>
      <c r="G32" s="337">
        <v>8.4183951732151758</v>
      </c>
      <c r="H32" s="339">
        <v>8.23</v>
      </c>
      <c r="I32" s="337">
        <v>10.702430781182846</v>
      </c>
      <c r="J32" s="337">
        <v>8.4183951732151758</v>
      </c>
      <c r="K32" s="339">
        <v>8.23</v>
      </c>
      <c r="M32" s="305">
        <v>39994</v>
      </c>
      <c r="N32" s="495">
        <v>10.702430781182846</v>
      </c>
      <c r="O32" s="495">
        <v>10.702430781182846</v>
      </c>
      <c r="P32" s="495">
        <v>10.702430781182846</v>
      </c>
      <c r="R32" s="488">
        <v>39994</v>
      </c>
      <c r="S32" s="337">
        <v>8.4183951732151758</v>
      </c>
      <c r="T32" s="337">
        <v>8.4183951732151758</v>
      </c>
      <c r="U32" s="337">
        <v>8.4183951732151758</v>
      </c>
    </row>
    <row r="33" spans="1:21" ht="13.5" customHeight="1">
      <c r="A33" s="305">
        <v>40086</v>
      </c>
      <c r="B33" s="337">
        <v>11.524706108858707</v>
      </c>
      <c r="C33" s="337">
        <v>8.2614760028667451</v>
      </c>
      <c r="D33" s="338">
        <v>0.86917454043540998</v>
      </c>
      <c r="E33" s="339">
        <v>8.6</v>
      </c>
      <c r="F33" s="337">
        <v>11.524706108858707</v>
      </c>
      <c r="G33" s="337">
        <v>8.2614760028667451</v>
      </c>
      <c r="H33" s="339">
        <v>8.6</v>
      </c>
      <c r="I33" s="337">
        <v>11.524706108858707</v>
      </c>
      <c r="J33" s="337">
        <v>8.2614760028667451</v>
      </c>
      <c r="K33" s="339">
        <v>8.6</v>
      </c>
      <c r="M33" s="305">
        <v>40086</v>
      </c>
      <c r="N33" s="495">
        <v>11.524706108858707</v>
      </c>
      <c r="O33" s="495">
        <v>11.524706108858707</v>
      </c>
      <c r="P33" s="495">
        <v>11.524706108858707</v>
      </c>
      <c r="R33" s="488">
        <v>40086</v>
      </c>
      <c r="S33" s="337">
        <v>8.2614760028667451</v>
      </c>
      <c r="T33" s="337">
        <v>8.2614760028667451</v>
      </c>
      <c r="U33" s="337">
        <v>8.2614760028667451</v>
      </c>
    </row>
    <row r="34" spans="1:21" ht="13.5" customHeight="1">
      <c r="A34" s="305">
        <v>40178</v>
      </c>
      <c r="B34" s="337">
        <v>10.622468297818509</v>
      </c>
      <c r="C34" s="337">
        <v>8.1994379061833058</v>
      </c>
      <c r="D34" s="338">
        <v>0.72191197691197695</v>
      </c>
      <c r="E34" s="339">
        <v>6.22</v>
      </c>
      <c r="F34" s="337">
        <v>10.622468297818509</v>
      </c>
      <c r="G34" s="337">
        <v>8.1994379061833058</v>
      </c>
      <c r="H34" s="339">
        <v>6.22</v>
      </c>
      <c r="I34" s="337">
        <v>10.622468297818509</v>
      </c>
      <c r="J34" s="337">
        <v>8.1994379061833058</v>
      </c>
      <c r="K34" s="339">
        <v>6.22</v>
      </c>
      <c r="M34" s="305">
        <v>40178</v>
      </c>
      <c r="N34" s="495">
        <v>10.622468297818509</v>
      </c>
      <c r="O34" s="495">
        <v>10.622468297818509</v>
      </c>
      <c r="P34" s="495">
        <v>10.622468297818509</v>
      </c>
      <c r="R34" s="488">
        <v>40178</v>
      </c>
      <c r="S34" s="337">
        <v>8.1994379061833058</v>
      </c>
      <c r="T34" s="337">
        <v>8.1994379061833058</v>
      </c>
      <c r="U34" s="337">
        <v>8.1994379061833058</v>
      </c>
    </row>
    <row r="35" spans="1:21" ht="13.5" customHeight="1">
      <c r="A35" s="305">
        <v>40268</v>
      </c>
      <c r="B35" s="337">
        <v>9.4145415746893306</v>
      </c>
      <c r="C35" s="337">
        <v>8.3382705110944642</v>
      </c>
      <c r="D35" s="338">
        <v>0.66213550724637704</v>
      </c>
      <c r="E35" s="339">
        <v>6.43</v>
      </c>
      <c r="F35" s="337">
        <v>9.4145415746893306</v>
      </c>
      <c r="G35" s="337">
        <v>8.3382705110944642</v>
      </c>
      <c r="H35" s="339">
        <v>6.43</v>
      </c>
      <c r="I35" s="337">
        <v>9.4145415746893306</v>
      </c>
      <c r="J35" s="337">
        <v>8.3382705110944642</v>
      </c>
      <c r="K35" s="339">
        <v>6.43</v>
      </c>
      <c r="M35" s="305">
        <v>40268</v>
      </c>
      <c r="N35" s="495">
        <v>9.4145415746893306</v>
      </c>
      <c r="O35" s="495">
        <v>9.4145415746893306</v>
      </c>
      <c r="P35" s="495">
        <v>9.4145415746893306</v>
      </c>
      <c r="R35" s="488">
        <v>40268</v>
      </c>
      <c r="S35" s="337">
        <v>8.3382705110944642</v>
      </c>
      <c r="T35" s="337">
        <v>8.3382705110944642</v>
      </c>
      <c r="U35" s="337">
        <v>8.3382705110944642</v>
      </c>
    </row>
    <row r="36" spans="1:21" ht="13.5" customHeight="1">
      <c r="A36" s="305">
        <v>40359</v>
      </c>
      <c r="B36" s="337">
        <v>9.5645289843469286</v>
      </c>
      <c r="C36" s="337">
        <v>7.2361488881867384</v>
      </c>
      <c r="D36" s="338">
        <v>0.68627157287157303</v>
      </c>
      <c r="E36" s="339">
        <v>6.29</v>
      </c>
      <c r="F36" s="337">
        <v>9.5645289843469286</v>
      </c>
      <c r="G36" s="337">
        <v>7.2361488881867384</v>
      </c>
      <c r="H36" s="339">
        <v>6.29</v>
      </c>
      <c r="I36" s="337">
        <v>9.5645289843469286</v>
      </c>
      <c r="J36" s="337">
        <v>7.2361488881867384</v>
      </c>
      <c r="K36" s="339">
        <v>6.29</v>
      </c>
      <c r="M36" s="305">
        <v>40359</v>
      </c>
      <c r="N36" s="495">
        <v>9.5645289843469286</v>
      </c>
      <c r="O36" s="495">
        <v>9.5645289843469286</v>
      </c>
      <c r="P36" s="495">
        <v>9.5645289843469286</v>
      </c>
      <c r="R36" s="488">
        <v>40359</v>
      </c>
      <c r="S36" s="337">
        <v>7.2361488881867384</v>
      </c>
      <c r="T36" s="337">
        <v>7.2361488881867384</v>
      </c>
      <c r="U36" s="337">
        <v>7.2361488881867384</v>
      </c>
    </row>
    <row r="37" spans="1:21" ht="13.5" customHeight="1">
      <c r="A37" s="305">
        <v>40451</v>
      </c>
      <c r="B37" s="337">
        <v>9.9995320211083669</v>
      </c>
      <c r="C37" s="337">
        <v>8.0551831003679677</v>
      </c>
      <c r="D37" s="338">
        <v>0.87493939393939402</v>
      </c>
      <c r="E37" s="339">
        <v>6.44</v>
      </c>
      <c r="F37" s="337">
        <v>9.9995320211083669</v>
      </c>
      <c r="G37" s="337">
        <v>8.0551831003679677</v>
      </c>
      <c r="H37" s="339">
        <v>6.44</v>
      </c>
      <c r="I37" s="337">
        <v>9.9995320211083669</v>
      </c>
      <c r="J37" s="337">
        <v>8.0551831003679677</v>
      </c>
      <c r="K37" s="339">
        <v>6.44</v>
      </c>
      <c r="M37" s="305">
        <v>40451</v>
      </c>
      <c r="N37" s="495">
        <v>9.9995320211083669</v>
      </c>
      <c r="O37" s="495">
        <v>9.9995320211083669</v>
      </c>
      <c r="P37" s="495">
        <v>9.9995320211083669</v>
      </c>
      <c r="R37" s="488">
        <v>40451</v>
      </c>
      <c r="S37" s="337">
        <v>8.0551831003679677</v>
      </c>
      <c r="T37" s="337">
        <v>8.0551831003679677</v>
      </c>
      <c r="U37" s="337">
        <v>8.0551831003679677</v>
      </c>
    </row>
    <row r="38" spans="1:21" ht="13.5" customHeight="1">
      <c r="A38" s="305">
        <v>40543</v>
      </c>
      <c r="B38" s="337">
        <v>9.2989757834066147</v>
      </c>
      <c r="C38" s="337">
        <v>7.4719224729320421</v>
      </c>
      <c r="D38" s="338">
        <v>1.02046925779534</v>
      </c>
      <c r="E38" s="339">
        <v>6.47</v>
      </c>
      <c r="F38" s="337">
        <v>9.2989757834066147</v>
      </c>
      <c r="G38" s="337">
        <v>7.4719224729320421</v>
      </c>
      <c r="H38" s="339">
        <v>6.47</v>
      </c>
      <c r="I38" s="337">
        <v>9.2989757834066147</v>
      </c>
      <c r="J38" s="337">
        <v>7.4719224729320421</v>
      </c>
      <c r="K38" s="339">
        <v>6.47</v>
      </c>
      <c r="M38" s="305">
        <v>40543</v>
      </c>
      <c r="N38" s="495">
        <v>9.2989757834066147</v>
      </c>
      <c r="O38" s="495">
        <v>9.2989757834066147</v>
      </c>
      <c r="P38" s="495">
        <v>9.2989757834066147</v>
      </c>
      <c r="R38" s="488">
        <v>40543</v>
      </c>
      <c r="S38" s="337">
        <v>7.4719224729320421</v>
      </c>
      <c r="T38" s="337">
        <v>7.4719224729320421</v>
      </c>
      <c r="U38" s="337">
        <v>7.4719224729320421</v>
      </c>
    </row>
    <row r="39" spans="1:21" ht="13.5" customHeight="1">
      <c r="A39" s="305">
        <v>40633</v>
      </c>
      <c r="B39" s="337">
        <v>9.0738595216319737</v>
      </c>
      <c r="C39" s="337">
        <v>7.7931422632367022</v>
      </c>
      <c r="D39" s="338">
        <v>1.09316994478951</v>
      </c>
      <c r="E39" s="339">
        <v>6.25</v>
      </c>
      <c r="F39" s="337">
        <v>9.0738595216319737</v>
      </c>
      <c r="G39" s="337">
        <v>7.7931422632367022</v>
      </c>
      <c r="H39" s="339">
        <v>6.25</v>
      </c>
      <c r="I39" s="337">
        <v>9.0738595216319737</v>
      </c>
      <c r="J39" s="337">
        <v>7.7931422632367022</v>
      </c>
      <c r="K39" s="339">
        <v>6.25</v>
      </c>
      <c r="M39" s="305">
        <v>40633</v>
      </c>
      <c r="N39" s="495">
        <v>9.0738595216319737</v>
      </c>
      <c r="O39" s="495">
        <v>9.0738595216319737</v>
      </c>
      <c r="P39" s="495">
        <v>9.0738595216319737</v>
      </c>
      <c r="R39" s="488">
        <v>40633</v>
      </c>
      <c r="S39" s="337">
        <v>7.7931422632367022</v>
      </c>
      <c r="T39" s="337">
        <v>7.7931422632367022</v>
      </c>
      <c r="U39" s="337">
        <v>7.7931422632367022</v>
      </c>
    </row>
    <row r="40" spans="1:21" ht="13.5" customHeight="1">
      <c r="A40" s="305">
        <v>40724</v>
      </c>
      <c r="B40" s="337">
        <v>9.2057790361843104</v>
      </c>
      <c r="C40" s="337">
        <v>7.12305051227451</v>
      </c>
      <c r="D40" s="338">
        <v>1.4116307814992</v>
      </c>
      <c r="E40" s="339">
        <v>6.04</v>
      </c>
      <c r="F40" s="337">
        <v>9.2057790361843104</v>
      </c>
      <c r="G40" s="337">
        <v>7.12305051227451</v>
      </c>
      <c r="H40" s="339">
        <v>6.04</v>
      </c>
      <c r="I40" s="337">
        <v>9.2057790361843104</v>
      </c>
      <c r="J40" s="337">
        <v>7.12305051227451</v>
      </c>
      <c r="K40" s="339">
        <v>6.04</v>
      </c>
      <c r="M40" s="305">
        <v>40724</v>
      </c>
      <c r="N40" s="495">
        <v>9.2057790361843104</v>
      </c>
      <c r="O40" s="495">
        <v>9.2057790361843104</v>
      </c>
      <c r="P40" s="495">
        <v>9.2057790361843104</v>
      </c>
      <c r="R40" s="488">
        <v>40724</v>
      </c>
      <c r="S40" s="337">
        <v>7.12305051227451</v>
      </c>
      <c r="T40" s="337">
        <v>7.12305051227451</v>
      </c>
      <c r="U40" s="337">
        <v>7.12305051227451</v>
      </c>
    </row>
    <row r="41" spans="1:21" ht="13.5" customHeight="1">
      <c r="A41" s="305">
        <v>40816</v>
      </c>
      <c r="B41" s="337">
        <v>9.3856557288438616</v>
      </c>
      <c r="C41" s="337">
        <v>6.9044840100039728</v>
      </c>
      <c r="D41" s="338">
        <v>1.5620535165317799</v>
      </c>
      <c r="E41" s="339">
        <v>6.6</v>
      </c>
      <c r="F41" s="337">
        <v>9.3856557288438616</v>
      </c>
      <c r="G41" s="337">
        <v>6.9044840100039728</v>
      </c>
      <c r="H41" s="339">
        <v>6.6</v>
      </c>
      <c r="I41" s="337">
        <v>9.3856557288438616</v>
      </c>
      <c r="J41" s="337">
        <v>6.9044840100039728</v>
      </c>
      <c r="K41" s="339">
        <v>6.6</v>
      </c>
      <c r="M41" s="305">
        <v>40816</v>
      </c>
      <c r="N41" s="495">
        <v>9.3856557288438616</v>
      </c>
      <c r="O41" s="495">
        <v>9.3856557288438616</v>
      </c>
      <c r="P41" s="495">
        <v>9.3856557288438616</v>
      </c>
      <c r="R41" s="488">
        <v>40816</v>
      </c>
      <c r="S41" s="337">
        <v>6.9044840100039728</v>
      </c>
      <c r="T41" s="337">
        <v>6.9044840100039728</v>
      </c>
      <c r="U41" s="337">
        <v>6.9044840100039728</v>
      </c>
    </row>
    <row r="42" spans="1:21" ht="13.5" customHeight="1">
      <c r="A42" s="305">
        <v>40908</v>
      </c>
      <c r="B42" s="337">
        <v>9.2620734426870364</v>
      </c>
      <c r="C42" s="337">
        <v>8.2973139186193876</v>
      </c>
      <c r="D42" s="338">
        <v>1.49554473304473</v>
      </c>
      <c r="E42" s="339">
        <v>7.67</v>
      </c>
      <c r="F42" s="337">
        <v>9.2620734426870364</v>
      </c>
      <c r="G42" s="337">
        <v>8.2973139186193876</v>
      </c>
      <c r="H42" s="339">
        <v>7.67</v>
      </c>
      <c r="I42" s="337">
        <v>9.2620734426870364</v>
      </c>
      <c r="J42" s="337">
        <v>8.2973139186193876</v>
      </c>
      <c r="K42" s="339">
        <v>7.67</v>
      </c>
      <c r="M42" s="305">
        <v>40908</v>
      </c>
      <c r="N42" s="495">
        <v>9.2620734426870364</v>
      </c>
      <c r="O42" s="495">
        <v>9.2620734426870364</v>
      </c>
      <c r="P42" s="495">
        <v>9.2620734426870364</v>
      </c>
      <c r="R42" s="488">
        <v>40908</v>
      </c>
      <c r="S42" s="337">
        <v>8.2973139186193876</v>
      </c>
      <c r="T42" s="337">
        <v>8.2973139186193876</v>
      </c>
      <c r="U42" s="337">
        <v>8.2973139186193876</v>
      </c>
    </row>
    <row r="43" spans="1:21" ht="13.5" customHeight="1">
      <c r="A43" s="305">
        <v>40999</v>
      </c>
      <c r="B43" s="337">
        <v>9.0738595216319737</v>
      </c>
      <c r="C43" s="337">
        <v>8.6974258098922466</v>
      </c>
      <c r="D43" s="338">
        <v>1.04298917748918</v>
      </c>
      <c r="E43" s="339">
        <v>7</v>
      </c>
      <c r="F43" s="337">
        <v>9.0738595216319737</v>
      </c>
      <c r="G43" s="337">
        <v>8.6974258098922466</v>
      </c>
      <c r="H43" s="339">
        <v>7</v>
      </c>
      <c r="I43" s="337">
        <v>9.0738595216319737</v>
      </c>
      <c r="J43" s="337">
        <v>8.6974258098922466</v>
      </c>
      <c r="K43" s="339">
        <v>7</v>
      </c>
      <c r="M43" s="305">
        <v>40999</v>
      </c>
      <c r="N43" s="495">
        <v>9.0738595216319737</v>
      </c>
      <c r="O43" s="495">
        <v>9.0738595216319737</v>
      </c>
      <c r="P43" s="495">
        <v>9.0738595216319737</v>
      </c>
      <c r="R43" s="488">
        <v>40999</v>
      </c>
      <c r="S43" s="337">
        <v>8.6974258098922466</v>
      </c>
      <c r="T43" s="337">
        <v>8.6974258098922466</v>
      </c>
      <c r="U43" s="337">
        <v>8.6974258098922466</v>
      </c>
    </row>
    <row r="44" spans="1:21" ht="13.5" customHeight="1">
      <c r="A44" s="305">
        <v>41090</v>
      </c>
      <c r="B44" s="337">
        <v>9.2057790361843104</v>
      </c>
      <c r="C44" s="337">
        <v>8.3936710548261075</v>
      </c>
      <c r="D44" s="338">
        <v>0.69602734107997299</v>
      </c>
      <c r="E44" s="339">
        <v>6.37</v>
      </c>
      <c r="F44" s="337">
        <v>9.2057790361843104</v>
      </c>
      <c r="G44" s="337">
        <v>8.3936710548261075</v>
      </c>
      <c r="H44" s="339">
        <v>6.37</v>
      </c>
      <c r="I44" s="337">
        <v>9.2057790361843104</v>
      </c>
      <c r="J44" s="337">
        <v>8.3936710548261075</v>
      </c>
      <c r="K44" s="339">
        <v>6.37</v>
      </c>
      <c r="M44" s="305">
        <v>41090</v>
      </c>
      <c r="N44" s="495">
        <v>9.2057790361843104</v>
      </c>
      <c r="O44" s="495">
        <v>9.2057790361843104</v>
      </c>
      <c r="P44" s="495">
        <v>9.2057790361843104</v>
      </c>
      <c r="R44" s="488">
        <v>41090</v>
      </c>
      <c r="S44" s="337">
        <v>8.3936710548261075</v>
      </c>
      <c r="T44" s="337">
        <v>8.3936710548261075</v>
      </c>
      <c r="U44" s="337">
        <v>8.3936710548261075</v>
      </c>
    </row>
    <row r="45" spans="1:21" ht="13.5" customHeight="1">
      <c r="A45" s="305">
        <v>41182</v>
      </c>
      <c r="B45" s="337">
        <v>9.3856557288438616</v>
      </c>
      <c r="C45" s="337">
        <v>8.4954346380338794</v>
      </c>
      <c r="D45" s="338">
        <v>0.35857891963109401</v>
      </c>
      <c r="E45" s="339">
        <v>5.58</v>
      </c>
      <c r="F45" s="337">
        <v>9.3856557288438616</v>
      </c>
      <c r="G45" s="337">
        <v>8.4954346380338794</v>
      </c>
      <c r="H45" s="339">
        <v>5.58</v>
      </c>
      <c r="I45" s="337">
        <v>9.3856557288438616</v>
      </c>
      <c r="J45" s="337">
        <v>8.4954346380338794</v>
      </c>
      <c r="K45" s="339">
        <v>5.58</v>
      </c>
      <c r="M45" s="305">
        <v>41182</v>
      </c>
      <c r="N45" s="495">
        <v>9.3856557288438616</v>
      </c>
      <c r="O45" s="495">
        <v>9.3856557288438616</v>
      </c>
      <c r="P45" s="495">
        <v>9.3856557288438616</v>
      </c>
      <c r="R45" s="488">
        <v>41182</v>
      </c>
      <c r="S45" s="337">
        <v>8.4954346380338794</v>
      </c>
      <c r="T45" s="337">
        <v>8.4954346380338794</v>
      </c>
      <c r="U45" s="337">
        <v>8.4954346380338794</v>
      </c>
    </row>
    <row r="46" spans="1:21" ht="13.5" customHeight="1">
      <c r="A46" s="305">
        <v>41274</v>
      </c>
      <c r="B46" s="337">
        <v>9.0516177399443372</v>
      </c>
      <c r="C46" s="337">
        <v>8.1681318649890269</v>
      </c>
      <c r="D46" s="338">
        <v>0.195128909229596</v>
      </c>
      <c r="E46" s="339">
        <v>4.54</v>
      </c>
      <c r="F46" s="337">
        <v>9.0516177399443372</v>
      </c>
      <c r="G46" s="337">
        <v>8.1681318649890269</v>
      </c>
      <c r="H46" s="339">
        <v>4.54</v>
      </c>
      <c r="I46" s="337">
        <v>9.0516177399443372</v>
      </c>
      <c r="J46" s="337">
        <v>8.1681318649890269</v>
      </c>
      <c r="K46" s="339">
        <v>4.54</v>
      </c>
      <c r="M46" s="305">
        <v>41274</v>
      </c>
      <c r="N46" s="495">
        <v>9.0516177399443372</v>
      </c>
      <c r="O46" s="495">
        <v>9.0516177399443372</v>
      </c>
      <c r="P46" s="495">
        <v>9.0516177399443372</v>
      </c>
      <c r="R46" s="488">
        <v>41274</v>
      </c>
      <c r="S46" s="337">
        <v>8.1681318649890269</v>
      </c>
      <c r="T46" s="337">
        <v>8.1681318649890269</v>
      </c>
      <c r="U46" s="337">
        <v>8.1681318649890269</v>
      </c>
    </row>
    <row r="47" spans="1:21" ht="13.5" customHeight="1">
      <c r="A47" s="305">
        <v>41364</v>
      </c>
      <c r="B47" s="337">
        <v>9.0737698177362258</v>
      </c>
      <c r="C47" s="337">
        <v>8.2508639916089237</v>
      </c>
      <c r="D47" s="338">
        <v>0.21143636363636401</v>
      </c>
      <c r="E47" s="339">
        <v>4.32</v>
      </c>
      <c r="F47" s="337">
        <v>9.0737698177362258</v>
      </c>
      <c r="G47" s="337">
        <v>8.2508639916089237</v>
      </c>
      <c r="H47" s="339">
        <v>4.32</v>
      </c>
      <c r="I47" s="337">
        <v>9.0737698177362258</v>
      </c>
      <c r="J47" s="337">
        <v>8.2508639916089237</v>
      </c>
      <c r="K47" s="339">
        <v>4.32</v>
      </c>
      <c r="M47" s="305">
        <v>41364</v>
      </c>
      <c r="N47" s="495">
        <v>9.0737698177362258</v>
      </c>
      <c r="O47" s="495">
        <v>9.0737698177362258</v>
      </c>
      <c r="P47" s="495">
        <v>9.0737698177362258</v>
      </c>
      <c r="R47" s="488">
        <v>41364</v>
      </c>
      <c r="S47" s="337">
        <v>8.2508639916089237</v>
      </c>
      <c r="T47" s="337">
        <v>8.2508639916089237</v>
      </c>
      <c r="U47" s="337">
        <v>8.2508639916089237</v>
      </c>
    </row>
    <row r="48" spans="1:21" ht="13.5" customHeight="1">
      <c r="A48" s="305">
        <v>41455</v>
      </c>
      <c r="B48" s="337">
        <v>8.7744357872498675</v>
      </c>
      <c r="C48" s="337">
        <v>8.1752419659962765</v>
      </c>
      <c r="D48" s="338">
        <v>0.206794011544012</v>
      </c>
      <c r="E48" s="339">
        <v>4.63</v>
      </c>
      <c r="F48" s="337">
        <v>8.7744357872498675</v>
      </c>
      <c r="G48" s="337">
        <v>8.1752419659962765</v>
      </c>
      <c r="H48" s="339">
        <v>4.63</v>
      </c>
      <c r="I48" s="337">
        <v>8.7744357872498675</v>
      </c>
      <c r="J48" s="337">
        <v>8.1752419659962765</v>
      </c>
      <c r="K48" s="339">
        <v>4.63</v>
      </c>
      <c r="M48" s="305">
        <v>41455</v>
      </c>
      <c r="N48" s="495">
        <v>8.7744357872498675</v>
      </c>
      <c r="O48" s="495">
        <v>8.7744357872498675</v>
      </c>
      <c r="P48" s="495">
        <v>8.7744357872498675</v>
      </c>
      <c r="R48" s="488">
        <v>41455</v>
      </c>
      <c r="S48" s="337">
        <v>8.1752419659962765</v>
      </c>
      <c r="T48" s="337">
        <v>8.1752419659962765</v>
      </c>
      <c r="U48" s="337">
        <v>8.1752419659962765</v>
      </c>
    </row>
    <row r="49" spans="1:21" ht="13.5" customHeight="1">
      <c r="A49" s="305">
        <v>41547</v>
      </c>
      <c r="B49" s="337">
        <v>8.5550672160763757</v>
      </c>
      <c r="C49" s="337">
        <v>8.4751057514151213</v>
      </c>
      <c r="D49" s="338">
        <v>0.22351217140347601</v>
      </c>
      <c r="E49" s="339">
        <v>4.92</v>
      </c>
      <c r="F49" s="337">
        <v>8.5550672160763757</v>
      </c>
      <c r="G49" s="337">
        <v>8.4751057514151213</v>
      </c>
      <c r="H49" s="339">
        <v>4.92</v>
      </c>
      <c r="I49" s="337">
        <v>8.5550672160763757</v>
      </c>
      <c r="J49" s="337">
        <v>8.4751057514151213</v>
      </c>
      <c r="K49" s="339">
        <v>4.92</v>
      </c>
      <c r="M49" s="305">
        <v>41547</v>
      </c>
      <c r="N49" s="495">
        <v>8.5550672160763757</v>
      </c>
      <c r="O49" s="495">
        <v>8.5550672160763757</v>
      </c>
      <c r="P49" s="495">
        <v>8.5550672160763757</v>
      </c>
      <c r="R49" s="488">
        <v>41547</v>
      </c>
      <c r="S49" s="337">
        <v>8.4751057514151213</v>
      </c>
      <c r="T49" s="337">
        <v>8.4751057514151213</v>
      </c>
      <c r="U49" s="337">
        <v>8.4751057514151213</v>
      </c>
    </row>
    <row r="50" spans="1:21" ht="13.5" customHeight="1">
      <c r="A50" s="305">
        <v>41639</v>
      </c>
      <c r="B50" s="337">
        <v>8.1627736169334426</v>
      </c>
      <c r="C50" s="337">
        <v>7.9815141439801991</v>
      </c>
      <c r="D50" s="338">
        <v>0.24090234644582501</v>
      </c>
      <c r="E50" s="339">
        <v>5.0999999999999996</v>
      </c>
      <c r="F50" s="337">
        <v>8.1627736169334426</v>
      </c>
      <c r="G50" s="337">
        <v>7.9815141439801991</v>
      </c>
      <c r="H50" s="339">
        <v>5.0999999999999996</v>
      </c>
      <c r="I50" s="337">
        <v>8.1627736169334426</v>
      </c>
      <c r="J50" s="337">
        <v>7.9815141439801991</v>
      </c>
      <c r="K50" s="339">
        <v>5.0999999999999996</v>
      </c>
      <c r="M50" s="305">
        <v>41639</v>
      </c>
      <c r="N50" s="495">
        <v>8.1627736169334426</v>
      </c>
      <c r="O50" s="495">
        <v>8.1627736169334426</v>
      </c>
      <c r="P50" s="495">
        <v>8.1627736169334426</v>
      </c>
      <c r="R50" s="488">
        <v>41639</v>
      </c>
      <c r="S50" s="337">
        <v>7.9815141439801991</v>
      </c>
      <c r="T50" s="337">
        <v>7.9815141439801991</v>
      </c>
      <c r="U50" s="337">
        <v>7.9815141439801991</v>
      </c>
    </row>
    <row r="51" spans="1:21" ht="13.5" customHeight="1">
      <c r="A51" s="305">
        <v>41729</v>
      </c>
      <c r="B51" s="337">
        <v>8.1218224994627377</v>
      </c>
      <c r="C51" s="337">
        <v>8.0968661278290153</v>
      </c>
      <c r="D51" s="338">
        <v>0.29515959595959601</v>
      </c>
      <c r="E51" s="339">
        <v>4.51</v>
      </c>
      <c r="F51" s="337">
        <v>8.1218224994627377</v>
      </c>
      <c r="G51" s="337">
        <v>8.0968661278290153</v>
      </c>
      <c r="H51" s="339">
        <v>4.51</v>
      </c>
      <c r="I51" s="337">
        <v>8.1218224994627377</v>
      </c>
      <c r="J51" s="337">
        <v>8.0968661278290153</v>
      </c>
      <c r="K51" s="339">
        <v>4.51</v>
      </c>
      <c r="M51" s="305">
        <v>41729</v>
      </c>
      <c r="N51" s="495">
        <v>8.1218224994627377</v>
      </c>
      <c r="O51" s="495">
        <v>8.1218224994627377</v>
      </c>
      <c r="P51" s="495">
        <v>8.1218224994627377</v>
      </c>
      <c r="R51" s="488">
        <v>41729</v>
      </c>
      <c r="S51" s="337">
        <v>8.0968661278290153</v>
      </c>
      <c r="T51" s="337">
        <v>8.0968661278290153</v>
      </c>
      <c r="U51" s="337">
        <v>8.0968661278290153</v>
      </c>
    </row>
    <row r="52" spans="1:21" ht="13.5" customHeight="1">
      <c r="A52" s="305">
        <v>41820</v>
      </c>
      <c r="B52" s="337">
        <v>8.1907738973199216</v>
      </c>
      <c r="C52" s="337">
        <v>8.0377235523691901</v>
      </c>
      <c r="D52" s="338">
        <v>0.29858333333333298</v>
      </c>
      <c r="E52" s="339">
        <v>3.94</v>
      </c>
      <c r="F52" s="337">
        <v>8.1907738973199216</v>
      </c>
      <c r="G52" s="337">
        <v>8.0377235523691901</v>
      </c>
      <c r="H52" s="339">
        <v>3.94</v>
      </c>
      <c r="I52" s="337">
        <v>8.1907738973199216</v>
      </c>
      <c r="J52" s="337">
        <v>8.0377235523691901</v>
      </c>
      <c r="K52" s="339">
        <v>3.94</v>
      </c>
      <c r="M52" s="305">
        <v>41820</v>
      </c>
      <c r="N52" s="495">
        <v>8.1907738973199216</v>
      </c>
      <c r="O52" s="495">
        <v>8.1907738973199216</v>
      </c>
      <c r="P52" s="495">
        <v>8.1907738973199216</v>
      </c>
      <c r="R52" s="488">
        <v>41820</v>
      </c>
      <c r="S52" s="337">
        <v>8.0377235523691901</v>
      </c>
      <c r="T52" s="337">
        <v>8.0377235523691901</v>
      </c>
      <c r="U52" s="337">
        <v>8.0377235523691901</v>
      </c>
    </row>
    <row r="53" spans="1:21" ht="13.5" customHeight="1">
      <c r="A53" s="305">
        <v>41912</v>
      </c>
      <c r="B53" s="337">
        <v>8.0539317359124123</v>
      </c>
      <c r="C53" s="337">
        <v>8.0905536577693375</v>
      </c>
      <c r="D53" s="338">
        <v>0.16456860530773601</v>
      </c>
      <c r="E53" s="339">
        <v>3.57</v>
      </c>
      <c r="F53" s="337">
        <v>8.0539317359124123</v>
      </c>
      <c r="G53" s="337">
        <v>8.0905536577693375</v>
      </c>
      <c r="H53" s="339">
        <v>3.57</v>
      </c>
      <c r="I53" s="337">
        <v>8.0539317359124123</v>
      </c>
      <c r="J53" s="337">
        <v>8.0905536577693375</v>
      </c>
      <c r="K53" s="339">
        <v>3.57</v>
      </c>
      <c r="M53" s="305">
        <v>41912</v>
      </c>
      <c r="N53" s="495">
        <v>8.0539317359124123</v>
      </c>
      <c r="O53" s="495">
        <v>8.0539317359124123</v>
      </c>
      <c r="P53" s="495">
        <v>8.0539317359124123</v>
      </c>
      <c r="R53" s="488">
        <v>41912</v>
      </c>
      <c r="S53" s="337">
        <v>8.0905536577693375</v>
      </c>
      <c r="T53" s="337">
        <v>8.0905536577693375</v>
      </c>
      <c r="U53" s="337">
        <v>8.0905536577693375</v>
      </c>
    </row>
    <row r="54" spans="1:21" ht="13.5" customHeight="1">
      <c r="A54" s="305">
        <v>42004</v>
      </c>
      <c r="B54" s="337">
        <v>7.9207029171446734</v>
      </c>
      <c r="C54" s="337">
        <v>7.4199699024953247</v>
      </c>
      <c r="D54" s="338">
        <v>8.1471152518978601E-2</v>
      </c>
      <c r="E54" s="339">
        <v>3.52</v>
      </c>
      <c r="F54" s="337">
        <v>7.9207029171446734</v>
      </c>
      <c r="G54" s="337">
        <v>7.4199699024953247</v>
      </c>
      <c r="H54" s="339">
        <v>3.52</v>
      </c>
      <c r="I54" s="337">
        <v>7.9207029171446734</v>
      </c>
      <c r="J54" s="337">
        <v>7.4199699024953247</v>
      </c>
      <c r="K54" s="339">
        <v>3.52</v>
      </c>
      <c r="M54" s="305">
        <v>42004</v>
      </c>
      <c r="N54" s="495">
        <v>7.9207029171446734</v>
      </c>
      <c r="O54" s="495">
        <v>7.9207029171446734</v>
      </c>
      <c r="P54" s="495">
        <v>7.9207029171446734</v>
      </c>
      <c r="R54" s="488">
        <v>42004</v>
      </c>
      <c r="S54" s="337">
        <v>7.4199699024953247</v>
      </c>
      <c r="T54" s="337">
        <v>7.4199699024953247</v>
      </c>
      <c r="U54" s="337">
        <v>7.4199699024953247</v>
      </c>
    </row>
    <row r="55" spans="1:21" ht="13.5" customHeight="1">
      <c r="A55" s="305">
        <v>42094</v>
      </c>
      <c r="B55" s="337">
        <v>7.7461153320346847</v>
      </c>
      <c r="C55" s="337">
        <v>7.7803689795146216</v>
      </c>
      <c r="D55" s="338">
        <v>4.6016161616161601E-2</v>
      </c>
      <c r="E55" s="339">
        <v>3.08</v>
      </c>
      <c r="F55" s="337">
        <v>7.7461153320346847</v>
      </c>
      <c r="G55" s="337">
        <v>7.7803689795146216</v>
      </c>
      <c r="H55" s="339">
        <v>3.08</v>
      </c>
      <c r="I55" s="337">
        <v>7.7461153320346847</v>
      </c>
      <c r="J55" s="337">
        <v>7.7803689795146216</v>
      </c>
      <c r="K55" s="339">
        <v>3.08</v>
      </c>
      <c r="M55" s="305">
        <v>42094</v>
      </c>
      <c r="N55" s="495">
        <v>7.7461153320346847</v>
      </c>
      <c r="O55" s="495">
        <v>7.7461153320346847</v>
      </c>
      <c r="P55" s="495">
        <v>7.7461153320346847</v>
      </c>
      <c r="R55" s="488">
        <v>42094</v>
      </c>
      <c r="S55" s="337">
        <v>7.7803689795146216</v>
      </c>
      <c r="T55" s="337">
        <v>7.7803689795146216</v>
      </c>
      <c r="U55" s="337">
        <v>7.7803689795146216</v>
      </c>
    </row>
    <row r="56" spans="1:21" ht="13.5" customHeight="1">
      <c r="A56" s="305">
        <v>42185</v>
      </c>
      <c r="B56" s="337">
        <v>7.8806741511939791</v>
      </c>
      <c r="C56" s="337">
        <v>7.4207007304054793</v>
      </c>
      <c r="D56" s="338">
        <v>-6.5258373205741701E-3</v>
      </c>
      <c r="E56" s="339">
        <v>3.07</v>
      </c>
      <c r="F56" s="337">
        <v>7.8806741511939791</v>
      </c>
      <c r="G56" s="337">
        <v>7.4207007304054793</v>
      </c>
      <c r="H56" s="339">
        <v>3.07</v>
      </c>
      <c r="I56" s="337">
        <v>7.8806741511939791</v>
      </c>
      <c r="J56" s="337">
        <v>7.4207007304054793</v>
      </c>
      <c r="K56" s="339">
        <v>3.07</v>
      </c>
      <c r="M56" s="305">
        <v>42185</v>
      </c>
      <c r="N56" s="495">
        <v>7.8806741511939791</v>
      </c>
      <c r="O56" s="495">
        <v>7.8806741511939791</v>
      </c>
      <c r="P56" s="495">
        <v>7.8806741511939791</v>
      </c>
      <c r="R56" s="488">
        <v>42185</v>
      </c>
      <c r="S56" s="337">
        <v>7.4207007304054793</v>
      </c>
      <c r="T56" s="337">
        <v>7.4207007304054793</v>
      </c>
      <c r="U56" s="337">
        <v>7.4207007304054793</v>
      </c>
    </row>
    <row r="57" spans="1:21" ht="13.5" customHeight="1">
      <c r="A57" s="305">
        <v>42277</v>
      </c>
      <c r="B57" s="337">
        <v>7.4572010065440582</v>
      </c>
      <c r="C57" s="337">
        <v>7.463197074229762</v>
      </c>
      <c r="D57" s="338">
        <v>-2.7817083882301301E-2</v>
      </c>
      <c r="E57" s="339">
        <v>3.91</v>
      </c>
      <c r="F57" s="337">
        <v>7.4572010065440582</v>
      </c>
      <c r="G57" s="337">
        <v>7.463197074229762</v>
      </c>
      <c r="H57" s="339">
        <v>3.91</v>
      </c>
      <c r="I57" s="337">
        <v>7.4572010065440582</v>
      </c>
      <c r="J57" s="337">
        <v>7.463197074229762</v>
      </c>
      <c r="K57" s="339">
        <v>3.91</v>
      </c>
      <c r="M57" s="305">
        <v>42277</v>
      </c>
      <c r="N57" s="495">
        <v>7.4572010065440582</v>
      </c>
      <c r="O57" s="495">
        <v>7.4572010065440582</v>
      </c>
      <c r="P57" s="495">
        <v>7.4572010065440582</v>
      </c>
      <c r="R57" s="488">
        <v>42277</v>
      </c>
      <c r="S57" s="337">
        <v>7.463197074229762</v>
      </c>
      <c r="T57" s="337">
        <v>7.463197074229762</v>
      </c>
      <c r="U57" s="337">
        <v>7.463197074229762</v>
      </c>
    </row>
    <row r="58" spans="1:21" ht="13.5" customHeight="1">
      <c r="A58" s="305">
        <v>42369</v>
      </c>
      <c r="B58" s="337">
        <v>7.3669886765019656</v>
      </c>
      <c r="C58" s="337">
        <v>6.1542007858131074</v>
      </c>
      <c r="D58" s="338">
        <v>-8.91760461760462E-2</v>
      </c>
      <c r="E58" s="339">
        <v>3.92</v>
      </c>
      <c r="F58" s="337">
        <v>7.3669886765019656</v>
      </c>
      <c r="G58" s="337">
        <v>6.1542007858131074</v>
      </c>
      <c r="H58" s="339">
        <v>3.92</v>
      </c>
      <c r="I58" s="337">
        <v>7.3669886765019656</v>
      </c>
      <c r="J58" s="337">
        <v>6.1542007858131074</v>
      </c>
      <c r="K58" s="339">
        <v>3.92</v>
      </c>
      <c r="M58" s="305">
        <v>42369</v>
      </c>
      <c r="N58" s="495">
        <v>7.3669886765019656</v>
      </c>
      <c r="O58" s="495">
        <v>7.3669886765019656</v>
      </c>
      <c r="P58" s="495">
        <v>7.3669886765019656</v>
      </c>
      <c r="R58" s="488">
        <v>42369</v>
      </c>
      <c r="S58" s="337">
        <v>6.1542007858131074</v>
      </c>
      <c r="T58" s="337">
        <v>6.1542007858131074</v>
      </c>
      <c r="U58" s="337">
        <v>6.1542007858131074</v>
      </c>
    </row>
    <row r="59" spans="1:21" ht="13.5" customHeight="1">
      <c r="A59" s="305">
        <v>42460</v>
      </c>
      <c r="B59" s="337">
        <v>6.7988516250244571</v>
      </c>
      <c r="C59" s="337">
        <v>6.6286284616258646</v>
      </c>
      <c r="D59" s="338">
        <v>-0.18608174603174599</v>
      </c>
      <c r="E59" s="339">
        <v>3.66</v>
      </c>
      <c r="F59" s="337">
        <v>6.7988516250244571</v>
      </c>
      <c r="G59" s="337">
        <v>6.6286284616258646</v>
      </c>
      <c r="H59" s="339">
        <v>3.66</v>
      </c>
      <c r="I59" s="337">
        <v>6.7988516250244571</v>
      </c>
      <c r="J59" s="337">
        <v>6.6286284616258646</v>
      </c>
      <c r="K59" s="339">
        <v>3.66</v>
      </c>
      <c r="M59" s="305">
        <v>42460</v>
      </c>
      <c r="N59" s="495">
        <v>6.7988516250244571</v>
      </c>
      <c r="O59" s="495">
        <v>6.7988516250244571</v>
      </c>
      <c r="P59" s="495">
        <v>6.7988516250244571</v>
      </c>
      <c r="R59" s="488">
        <v>42460</v>
      </c>
      <c r="S59" s="337">
        <v>6.6286284616258646</v>
      </c>
      <c r="T59" s="337">
        <v>6.6286284616258646</v>
      </c>
      <c r="U59" s="337">
        <v>6.6286284616258646</v>
      </c>
    </row>
    <row r="60" spans="1:21" ht="13.5" customHeight="1">
      <c r="A60" s="305">
        <v>42551</v>
      </c>
      <c r="B60" s="337">
        <v>6.8388510807878609</v>
      </c>
      <c r="C60" s="337">
        <v>6.4896024050653338</v>
      </c>
      <c r="D60" s="338">
        <v>-0.25809379509379499</v>
      </c>
      <c r="E60" s="339">
        <v>3.81</v>
      </c>
      <c r="F60" s="337">
        <v>6.8388510807878609</v>
      </c>
      <c r="G60" s="337">
        <v>6.4896024050653338</v>
      </c>
      <c r="H60" s="339">
        <v>3.81</v>
      </c>
      <c r="I60" s="337">
        <v>6.8388510807878609</v>
      </c>
      <c r="J60" s="337">
        <v>6.4896024050653338</v>
      </c>
      <c r="K60" s="339">
        <v>3.81</v>
      </c>
      <c r="M60" s="305">
        <v>42551</v>
      </c>
      <c r="N60" s="495">
        <v>6.8388510807878609</v>
      </c>
      <c r="O60" s="495">
        <v>6.8388510807878609</v>
      </c>
      <c r="P60" s="495">
        <v>6.8388510807878609</v>
      </c>
      <c r="R60" s="488">
        <v>42551</v>
      </c>
      <c r="S60" s="337">
        <v>6.4896024050653338</v>
      </c>
      <c r="T60" s="337">
        <v>6.4896024050653338</v>
      </c>
      <c r="U60" s="337">
        <v>6.4896024050653338</v>
      </c>
    </row>
    <row r="61" spans="1:21" ht="13.5" customHeight="1">
      <c r="A61" s="305">
        <v>42643</v>
      </c>
      <c r="B61" s="337">
        <v>6.6967794250920232</v>
      </c>
      <c r="C61" s="337">
        <v>6.3431531473707778</v>
      </c>
      <c r="D61" s="338">
        <v>-0.298125854821507</v>
      </c>
      <c r="E61" s="339">
        <v>3.34</v>
      </c>
      <c r="F61" s="337">
        <v>6.6967794250920232</v>
      </c>
      <c r="G61" s="337">
        <v>6.3431531473707778</v>
      </c>
      <c r="H61" s="339">
        <v>3.34</v>
      </c>
      <c r="I61" s="337">
        <v>6.6967794250920232</v>
      </c>
      <c r="J61" s="337">
        <v>6.3431531473707778</v>
      </c>
      <c r="K61" s="339">
        <v>3.34</v>
      </c>
      <c r="M61" s="305">
        <v>42643</v>
      </c>
      <c r="N61" s="495">
        <v>6.6967794250920232</v>
      </c>
      <c r="O61" s="495">
        <v>6.6967794250920232</v>
      </c>
      <c r="P61" s="495">
        <v>6.6967794250920232</v>
      </c>
      <c r="R61" s="488">
        <v>42643</v>
      </c>
      <c r="S61" s="337">
        <v>6.3431531473707778</v>
      </c>
      <c r="T61" s="337">
        <v>6.3431531473707778</v>
      </c>
      <c r="U61" s="337">
        <v>6.3431531473707778</v>
      </c>
    </row>
    <row r="62" spans="1:21" ht="13.5" customHeight="1">
      <c r="A62" s="305">
        <v>42735</v>
      </c>
      <c r="B62" s="337">
        <v>6.6976397205007254</v>
      </c>
      <c r="C62" s="337">
        <v>5.5566104476887261</v>
      </c>
      <c r="D62" s="338">
        <v>-0.31248124098124103</v>
      </c>
      <c r="E62" s="339">
        <v>2.95</v>
      </c>
      <c r="F62" s="337">
        <v>6.6976397205007254</v>
      </c>
      <c r="G62" s="337">
        <v>5.5566104476887261</v>
      </c>
      <c r="H62" s="339">
        <v>2.95</v>
      </c>
      <c r="I62" s="337">
        <v>6.6976397205007254</v>
      </c>
      <c r="J62" s="337">
        <v>5.5566104476887261</v>
      </c>
      <c r="K62" s="339">
        <v>2.95</v>
      </c>
      <c r="M62" s="305">
        <v>42735</v>
      </c>
      <c r="N62" s="495">
        <v>6.6976397205007254</v>
      </c>
      <c r="O62" s="495">
        <v>6.6976397205007254</v>
      </c>
      <c r="P62" s="495">
        <v>6.6976397205007254</v>
      </c>
      <c r="R62" s="488">
        <v>42735</v>
      </c>
      <c r="S62" s="337">
        <v>5.5566104476887261</v>
      </c>
      <c r="T62" s="337">
        <v>5.5566104476887261</v>
      </c>
      <c r="U62" s="337">
        <v>5.5566104476887261</v>
      </c>
    </row>
    <row r="63" spans="1:21" ht="13.5" customHeight="1">
      <c r="A63" s="305">
        <v>42825</v>
      </c>
      <c r="B63" s="337">
        <v>6.7756154459704083</v>
      </c>
      <c r="C63" s="337">
        <v>5.5575043771093888</v>
      </c>
      <c r="D63" s="338">
        <v>-0.32783109354413698</v>
      </c>
      <c r="E63" s="339">
        <v>2.74</v>
      </c>
      <c r="F63" s="337">
        <v>6.7756154459704083</v>
      </c>
      <c r="G63" s="337">
        <v>5.5575043771093888</v>
      </c>
      <c r="H63" s="339">
        <v>2.74</v>
      </c>
      <c r="I63" s="337">
        <v>6.7756154459704083</v>
      </c>
      <c r="J63" s="337">
        <v>5.5575043771093888</v>
      </c>
      <c r="K63" s="339">
        <v>2.74</v>
      </c>
      <c r="M63" s="305">
        <v>42825</v>
      </c>
      <c r="N63" s="495">
        <v>6.7756154459704083</v>
      </c>
      <c r="O63" s="495">
        <v>6.7756154459704083</v>
      </c>
      <c r="P63" s="495">
        <v>6.7756154459704083</v>
      </c>
      <c r="R63" s="488">
        <v>42825</v>
      </c>
      <c r="S63" s="337">
        <v>5.5575043771093888</v>
      </c>
      <c r="T63" s="337">
        <v>5.5575043771093888</v>
      </c>
      <c r="U63" s="337">
        <v>5.5575043771093888</v>
      </c>
    </row>
    <row r="64" spans="1:21" ht="13.5" customHeight="1">
      <c r="A64" s="305">
        <v>42916</v>
      </c>
      <c r="B64" s="337">
        <v>6.779869405942156</v>
      </c>
      <c r="C64" s="337">
        <v>5.7143864203134358</v>
      </c>
      <c r="D64" s="338">
        <v>-0.32994781144781099</v>
      </c>
      <c r="E64" s="339">
        <v>2.83</v>
      </c>
      <c r="F64" s="337">
        <v>6.779869405942156</v>
      </c>
      <c r="G64" s="337">
        <v>5.7143864203134358</v>
      </c>
      <c r="H64" s="339">
        <v>2.83</v>
      </c>
      <c r="I64" s="337">
        <v>6.779869405942156</v>
      </c>
      <c r="J64" s="337">
        <v>5.7143864203134358</v>
      </c>
      <c r="K64" s="339">
        <v>2.83</v>
      </c>
      <c r="M64" s="305">
        <v>42916</v>
      </c>
      <c r="N64" s="495">
        <v>6.779869405942156</v>
      </c>
      <c r="O64" s="495">
        <v>6.779869405942156</v>
      </c>
      <c r="P64" s="495">
        <v>6.779869405942156</v>
      </c>
      <c r="R64" s="488">
        <v>42916</v>
      </c>
      <c r="S64" s="337">
        <v>5.7143864203134358</v>
      </c>
      <c r="T64" s="337">
        <v>5.7143864203134358</v>
      </c>
      <c r="U64" s="337">
        <v>5.7143864203134358</v>
      </c>
    </row>
    <row r="65" spans="1:21" ht="13.5" customHeight="1">
      <c r="A65" s="305">
        <v>43008</v>
      </c>
      <c r="B65" s="337">
        <v>6.7475239428247615</v>
      </c>
      <c r="C65" s="337">
        <v>5.9364190836570652</v>
      </c>
      <c r="D65" s="338">
        <v>-0.32963216011042101</v>
      </c>
      <c r="E65" s="339">
        <v>2.71</v>
      </c>
      <c r="F65" s="337">
        <v>6.7475239428247615</v>
      </c>
      <c r="G65" s="337">
        <v>5.9364190836570652</v>
      </c>
      <c r="H65" s="339">
        <v>2.71</v>
      </c>
      <c r="I65" s="337">
        <v>6.7475239428247615</v>
      </c>
      <c r="J65" s="337">
        <v>5.9364190836570652</v>
      </c>
      <c r="K65" s="339">
        <v>2.71</v>
      </c>
      <c r="M65" s="305">
        <v>43008</v>
      </c>
      <c r="N65" s="495">
        <v>6.7475239428247615</v>
      </c>
      <c r="O65" s="495">
        <v>6.7475239428247615</v>
      </c>
      <c r="P65" s="495">
        <v>6.7475239428247615</v>
      </c>
      <c r="R65" s="488">
        <v>43008</v>
      </c>
      <c r="S65" s="337">
        <v>5.9364190836570652</v>
      </c>
      <c r="T65" s="337">
        <v>5.9364190836570652</v>
      </c>
      <c r="U65" s="337">
        <v>5.9364190836570652</v>
      </c>
    </row>
    <row r="66" spans="1:21" ht="13.5" customHeight="1">
      <c r="A66" s="305">
        <v>43100</v>
      </c>
      <c r="B66" s="337">
        <v>6.0833202722275148</v>
      </c>
      <c r="C66" s="337">
        <v>4.6785761835220567</v>
      </c>
      <c r="D66" s="338">
        <v>-0.328813397129187</v>
      </c>
      <c r="E66" s="339">
        <v>2.4700000000000002</v>
      </c>
      <c r="F66" s="337">
        <v>6.0833202722275148</v>
      </c>
      <c r="G66" s="337">
        <v>4.6785761835220567</v>
      </c>
      <c r="H66" s="339">
        <v>2.4700000000000002</v>
      </c>
      <c r="I66" s="337">
        <v>6.0833202722275148</v>
      </c>
      <c r="J66" s="337">
        <v>4.6785761835220567</v>
      </c>
      <c r="K66" s="339">
        <v>2.4700000000000002</v>
      </c>
      <c r="M66" s="305">
        <v>43100</v>
      </c>
      <c r="N66" s="495">
        <v>6.0833202722275148</v>
      </c>
      <c r="O66" s="495">
        <v>6.0833202722275148</v>
      </c>
      <c r="P66" s="495">
        <v>6.0833202722275148</v>
      </c>
      <c r="R66" s="488">
        <v>43100</v>
      </c>
      <c r="S66" s="337">
        <v>4.6785761835220567</v>
      </c>
      <c r="T66" s="337">
        <v>4.6785761835220567</v>
      </c>
      <c r="U66" s="337">
        <v>4.6785761835220567</v>
      </c>
    </row>
    <row r="67" spans="1:21" ht="13.5" customHeight="1">
      <c r="A67" s="305">
        <v>43190</v>
      </c>
      <c r="B67" s="337">
        <v>5.9295090792082945</v>
      </c>
      <c r="C67" s="337">
        <v>5.2541416779102459</v>
      </c>
      <c r="D67" s="338">
        <v>-0.32828643578643601</v>
      </c>
      <c r="E67" s="339">
        <v>2.19</v>
      </c>
      <c r="F67" s="337">
        <v>5.9295090792082945</v>
      </c>
      <c r="G67" s="337">
        <v>5.2541416779102459</v>
      </c>
      <c r="H67" s="339">
        <v>2.19</v>
      </c>
      <c r="I67" s="337">
        <v>5.9295090792082945</v>
      </c>
      <c r="J67" s="337">
        <v>5.2541416779102459</v>
      </c>
      <c r="K67" s="339">
        <v>2.19</v>
      </c>
      <c r="M67" s="305">
        <v>43190</v>
      </c>
      <c r="N67" s="495">
        <v>5.9295090792082945</v>
      </c>
      <c r="O67" s="495">
        <v>5.9295090792082945</v>
      </c>
      <c r="P67" s="495">
        <v>5.9295090792082945</v>
      </c>
      <c r="R67" s="488">
        <v>43190</v>
      </c>
      <c r="S67" s="337">
        <v>5.2541416779102459</v>
      </c>
      <c r="T67" s="337">
        <v>5.2541416779102459</v>
      </c>
      <c r="U67" s="337">
        <v>5.2541416779102459</v>
      </c>
    </row>
    <row r="68" spans="1:21" ht="13.5" customHeight="1">
      <c r="A68" s="305">
        <v>43281</v>
      </c>
      <c r="B68" s="337">
        <v>6.1886260215069404</v>
      </c>
      <c r="C68" s="337">
        <v>5.046486473771731</v>
      </c>
      <c r="D68" s="338">
        <v>-0.32524163059163103</v>
      </c>
      <c r="E68" s="339">
        <v>2.2000000000000002</v>
      </c>
      <c r="F68" s="337">
        <v>6.1886260215069404</v>
      </c>
      <c r="G68" s="337">
        <v>5.046486473771731</v>
      </c>
      <c r="H68" s="339">
        <v>2.2000000000000002</v>
      </c>
      <c r="I68" s="337">
        <v>6.1886260215069404</v>
      </c>
      <c r="J68" s="337">
        <v>5.046486473771731</v>
      </c>
      <c r="K68" s="339">
        <v>2.2000000000000002</v>
      </c>
      <c r="M68" s="305">
        <v>43281</v>
      </c>
      <c r="N68" s="495">
        <v>6.1886260215069404</v>
      </c>
      <c r="O68" s="495">
        <v>6.1886260215069404</v>
      </c>
      <c r="P68" s="495">
        <v>6.1886260215069404</v>
      </c>
      <c r="R68" s="488">
        <v>43281</v>
      </c>
      <c r="S68" s="337">
        <v>5.046486473771731</v>
      </c>
      <c r="T68" s="337">
        <v>5.046486473771731</v>
      </c>
      <c r="U68" s="337">
        <v>5.046486473771731</v>
      </c>
    </row>
    <row r="69" spans="1:21" ht="13.5" customHeight="1">
      <c r="A69" s="305">
        <v>43373</v>
      </c>
      <c r="B69" s="337">
        <v>5.8871190102159723</v>
      </c>
      <c r="C69" s="337">
        <v>4.7830686151030966</v>
      </c>
      <c r="D69" s="338">
        <v>-0.31952575757575802</v>
      </c>
      <c r="E69" s="339">
        <v>2.14</v>
      </c>
      <c r="F69" s="337">
        <v>5.8871190102159723</v>
      </c>
      <c r="G69" s="337">
        <v>4.7830686151030966</v>
      </c>
      <c r="H69" s="339">
        <v>2.14</v>
      </c>
      <c r="I69" s="337">
        <v>5.8871190102159723</v>
      </c>
      <c r="J69" s="337">
        <v>4.7830686151030966</v>
      </c>
      <c r="K69" s="339">
        <v>2.14</v>
      </c>
      <c r="M69" s="305">
        <v>43373</v>
      </c>
      <c r="N69" s="495">
        <v>5.8871190102159723</v>
      </c>
      <c r="O69" s="495">
        <v>5.8871190102159723</v>
      </c>
      <c r="P69" s="495">
        <v>5.8871190102159723</v>
      </c>
      <c r="R69" s="488">
        <v>43373</v>
      </c>
      <c r="S69" s="337">
        <v>4.7830686151030966</v>
      </c>
      <c r="T69" s="337">
        <v>4.7830686151030966</v>
      </c>
      <c r="U69" s="337">
        <v>4.7830686151030966</v>
      </c>
    </row>
    <row r="70" spans="1:21" ht="13.5" customHeight="1">
      <c r="A70" s="305">
        <v>43465</v>
      </c>
      <c r="B70" s="337">
        <v>5.7731940247603148</v>
      </c>
      <c r="C70" s="337">
        <v>4.7195912536756222</v>
      </c>
      <c r="D70" s="338">
        <v>-0.315318008459885</v>
      </c>
      <c r="E70" s="339">
        <v>2.04</v>
      </c>
      <c r="F70" s="337">
        <v>5.7731940247603148</v>
      </c>
      <c r="G70" s="337">
        <v>4.7195912536756222</v>
      </c>
      <c r="H70" s="339">
        <v>2.04</v>
      </c>
      <c r="I70" s="337">
        <v>5.7731940247603148</v>
      </c>
      <c r="J70" s="337">
        <v>4.7195912536756222</v>
      </c>
      <c r="K70" s="339">
        <v>2.04</v>
      </c>
      <c r="M70" s="305">
        <v>43465</v>
      </c>
      <c r="N70" s="495">
        <v>5.7731940247603148</v>
      </c>
      <c r="O70" s="495">
        <v>5.7731940247603148</v>
      </c>
      <c r="P70" s="495">
        <v>5.7731940247603148</v>
      </c>
      <c r="R70" s="488">
        <v>43465</v>
      </c>
      <c r="S70" s="337">
        <v>4.7195912536756222</v>
      </c>
      <c r="T70" s="337">
        <v>4.7195912536756222</v>
      </c>
      <c r="U70" s="337">
        <v>4.7195912536756222</v>
      </c>
    </row>
    <row r="71" spans="1:21" ht="13.5" customHeight="1">
      <c r="A71" s="305">
        <v>43555</v>
      </c>
      <c r="B71" s="337">
        <v>5.7477218100096588</v>
      </c>
      <c r="C71" s="337">
        <v>4.8871524907366499</v>
      </c>
      <c r="D71" s="338">
        <v>-0.30854682539682499</v>
      </c>
      <c r="E71" s="339">
        <v>2.0699999999999998</v>
      </c>
      <c r="F71" s="337">
        <v>5.7477218100096588</v>
      </c>
      <c r="G71" s="337">
        <v>4.8871524907366499</v>
      </c>
      <c r="H71" s="339">
        <v>2.0699999999999998</v>
      </c>
      <c r="I71" s="337">
        <v>5.7477218100096588</v>
      </c>
      <c r="J71" s="337">
        <v>4.8871524907366499</v>
      </c>
      <c r="K71" s="339">
        <v>2.0699999999999998</v>
      </c>
      <c r="M71" s="305">
        <v>43555</v>
      </c>
      <c r="N71" s="495">
        <v>5.7477218100096588</v>
      </c>
      <c r="O71" s="495">
        <v>5.7477218100096588</v>
      </c>
      <c r="P71" s="495">
        <v>5.7477218100096588</v>
      </c>
      <c r="R71" s="488">
        <v>43555</v>
      </c>
      <c r="S71" s="337">
        <v>4.8871524907366499</v>
      </c>
      <c r="T71" s="337">
        <v>4.8871524907366499</v>
      </c>
      <c r="U71" s="337">
        <v>4.8871524907366499</v>
      </c>
    </row>
    <row r="72" spans="1:21" ht="13.5" customHeight="1">
      <c r="A72" s="305">
        <v>43646</v>
      </c>
      <c r="B72" s="337">
        <v>5.7674461642034434</v>
      </c>
      <c r="C72" s="337">
        <v>4.4718246634376211</v>
      </c>
      <c r="D72" s="338">
        <v>-0.31707121212121198</v>
      </c>
      <c r="E72" s="339">
        <v>1.36</v>
      </c>
      <c r="F72" s="337">
        <v>5.7674461642034434</v>
      </c>
      <c r="G72" s="337">
        <v>4.4718246634376211</v>
      </c>
      <c r="H72" s="339">
        <v>1.36</v>
      </c>
      <c r="I72" s="337">
        <v>5.7674461642034434</v>
      </c>
      <c r="J72" s="337">
        <v>4.4718246634376211</v>
      </c>
      <c r="K72" s="339">
        <v>1.36</v>
      </c>
      <c r="M72" s="305">
        <v>43646</v>
      </c>
      <c r="N72" s="495">
        <v>5.7674461642034434</v>
      </c>
      <c r="O72" s="495">
        <v>5.7674461642034434</v>
      </c>
      <c r="P72" s="495">
        <v>5.7674461642034434</v>
      </c>
      <c r="R72" s="488">
        <v>43646</v>
      </c>
      <c r="S72" s="337">
        <v>4.4718246634376211</v>
      </c>
      <c r="T72" s="337">
        <v>4.4718246634376211</v>
      </c>
      <c r="U72" s="337">
        <v>4.4718246634376211</v>
      </c>
    </row>
    <row r="73" spans="1:21" ht="13.5" customHeight="1">
      <c r="A73" s="305">
        <v>43738</v>
      </c>
      <c r="B73" s="337">
        <v>5.6000556649403119</v>
      </c>
      <c r="C73" s="337">
        <v>4.5288650329364533</v>
      </c>
      <c r="D73" s="338">
        <v>-0.39670760399021299</v>
      </c>
      <c r="E73" s="339">
        <v>0.49</v>
      </c>
      <c r="F73" s="337">
        <v>5.6000556649403119</v>
      </c>
      <c r="G73" s="337">
        <v>4.5288650329364533</v>
      </c>
      <c r="H73" s="339">
        <v>0.49</v>
      </c>
      <c r="I73" s="337">
        <v>5.6000556649403119</v>
      </c>
      <c r="J73" s="337">
        <v>4.5288650329364533</v>
      </c>
      <c r="K73" s="339">
        <v>0.49</v>
      </c>
      <c r="M73" s="305">
        <v>43738</v>
      </c>
      <c r="N73" s="495">
        <v>5.6000556649403119</v>
      </c>
      <c r="O73" s="495">
        <v>5.6000556649403119</v>
      </c>
      <c r="P73" s="495">
        <v>5.6000556649403119</v>
      </c>
      <c r="R73" s="488">
        <v>43738</v>
      </c>
      <c r="S73" s="337">
        <v>4.5288650329364533</v>
      </c>
      <c r="T73" s="337">
        <v>4.5288650329364533</v>
      </c>
      <c r="U73" s="337">
        <v>4.5288650329364533</v>
      </c>
    </row>
    <row r="74" spans="1:21" ht="13.5" customHeight="1">
      <c r="A74" s="305">
        <v>43830</v>
      </c>
      <c r="B74" s="337">
        <v>5.3034085089182215</v>
      </c>
      <c r="C74" s="337">
        <v>3.8212305193457872</v>
      </c>
      <c r="D74" s="338">
        <v>-0.40295175983436798</v>
      </c>
      <c r="E74" s="339">
        <v>0.59</v>
      </c>
      <c r="F74" s="337">
        <v>5.3034085089182215</v>
      </c>
      <c r="G74" s="337">
        <v>3.8212305193457872</v>
      </c>
      <c r="H74" s="339">
        <v>0.59</v>
      </c>
      <c r="I74" s="337">
        <v>5.3034085089182215</v>
      </c>
      <c r="J74" s="337">
        <v>3.8212305193457872</v>
      </c>
      <c r="K74" s="339">
        <v>0.59</v>
      </c>
      <c r="M74" s="305">
        <v>43830</v>
      </c>
      <c r="N74" s="495">
        <v>5.3034085089182215</v>
      </c>
      <c r="O74" s="495">
        <v>5.3034085089182215</v>
      </c>
      <c r="P74" s="495">
        <v>5.3034085089182215</v>
      </c>
      <c r="R74" s="488">
        <v>43830</v>
      </c>
      <c r="S74" s="337">
        <v>3.8212305193457872</v>
      </c>
      <c r="T74" s="337">
        <v>3.8212305193457872</v>
      </c>
      <c r="U74" s="337">
        <v>3.8212305193457872</v>
      </c>
    </row>
    <row r="75" spans="1:21" ht="13.5" customHeight="1">
      <c r="A75" s="341" t="s">
        <v>1134</v>
      </c>
      <c r="B75" s="342">
        <v>5.05</v>
      </c>
      <c r="C75" s="342">
        <v>4.3</v>
      </c>
      <c r="D75" s="339">
        <v>-0.41</v>
      </c>
      <c r="E75" s="339">
        <v>0.96</v>
      </c>
      <c r="F75" s="342">
        <v>5.05</v>
      </c>
      <c r="G75" s="342">
        <v>4.3</v>
      </c>
      <c r="H75" s="339">
        <v>0.96</v>
      </c>
      <c r="I75" s="342">
        <v>5.05</v>
      </c>
      <c r="J75" s="342">
        <v>4.3</v>
      </c>
      <c r="K75" s="339">
        <v>0.96</v>
      </c>
      <c r="M75" s="341" t="s">
        <v>1134</v>
      </c>
      <c r="N75" s="495">
        <v>5.05</v>
      </c>
      <c r="O75" s="495">
        <v>5.05</v>
      </c>
      <c r="P75" s="495">
        <v>5.05</v>
      </c>
      <c r="R75" s="488">
        <v>43921</v>
      </c>
      <c r="S75" s="342">
        <v>4.3</v>
      </c>
      <c r="T75" s="342">
        <v>4.3</v>
      </c>
      <c r="U75" s="342">
        <v>4.3</v>
      </c>
    </row>
    <row r="76" spans="1:21" ht="13.5" customHeight="1">
      <c r="A76" s="314">
        <v>44012</v>
      </c>
      <c r="B76" s="343">
        <f t="shared" ref="B76:B78" si="0">$B$84+$B$85*B75+$B$86*E76+$B$87*D76</f>
        <v>5.249091259125211</v>
      </c>
      <c r="C76" s="343">
        <f t="shared" ref="C76:C78" si="1">$B$90+$B$91*B75+$B$92*C75</f>
        <v>4.1880054999999992</v>
      </c>
      <c r="D76" s="344">
        <f t="shared" ref="D76:D78" si="2">$D$75</f>
        <v>-0.41</v>
      </c>
      <c r="E76" s="344">
        <f>prinos!B76</f>
        <v>1.7375888846624559</v>
      </c>
      <c r="F76" s="343">
        <f t="shared" ref="F76:F78" si="3">$B$84+$B$85*F75+$B$86*H76+$B$87*D76</f>
        <v>5.2350545626382674</v>
      </c>
      <c r="G76" s="343">
        <f t="shared" ref="G76:G78" si="4">$B$90+$B$91*F75+$B$92*G75</f>
        <v>4.1880054999999992</v>
      </c>
      <c r="H76" s="344">
        <f>prinos!N76</f>
        <v>1.6774152811688936</v>
      </c>
      <c r="I76" s="343">
        <f t="shared" ref="I76:I78" si="5">$B$84+$B$85*I75+$B$86*K76+$B$87*D76</f>
        <v>5.2203060215635846</v>
      </c>
      <c r="J76" s="343">
        <f t="shared" ref="J76:J78" si="6">$B$90+$B$91*I75+$B$92*J75</f>
        <v>4.1880054999999992</v>
      </c>
      <c r="K76" s="344">
        <f>prinos!Z76</f>
        <v>1.6141900868675128</v>
      </c>
      <c r="M76" s="314">
        <v>44012</v>
      </c>
      <c r="N76" s="495">
        <f t="shared" ref="N76:N78" si="7">B76</f>
        <v>5.249091259125211</v>
      </c>
      <c r="O76" s="495">
        <f t="shared" ref="O76:O78" si="8">F76</f>
        <v>5.2350545626382674</v>
      </c>
      <c r="P76" s="495">
        <f t="shared" ref="P76:P78" si="9">I76</f>
        <v>5.2203060215635846</v>
      </c>
      <c r="R76" s="492">
        <v>44012</v>
      </c>
      <c r="S76" s="343">
        <f>C76</f>
        <v>4.1880054999999992</v>
      </c>
      <c r="T76" s="343">
        <f>G76</f>
        <v>4.1880054999999992</v>
      </c>
      <c r="U76" s="343">
        <f>J76</f>
        <v>4.1880054999999992</v>
      </c>
    </row>
    <row r="77" spans="1:21" ht="13.5" customHeight="1">
      <c r="A77" s="314">
        <v>44104</v>
      </c>
      <c r="B77" s="343">
        <f t="shared" si="0"/>
        <v>5.4095962864634926</v>
      </c>
      <c r="C77" s="343">
        <f t="shared" si="1"/>
        <v>4.1595203008229209</v>
      </c>
      <c r="D77" s="344">
        <f t="shared" si="2"/>
        <v>-0.41</v>
      </c>
      <c r="E77" s="344">
        <f>prinos!B77</f>
        <v>1.8599678480529125</v>
      </c>
      <c r="F77" s="343">
        <f t="shared" si="3"/>
        <v>5.3863936171175792</v>
      </c>
      <c r="G77" s="343">
        <f t="shared" si="4"/>
        <v>4.1558509679942688</v>
      </c>
      <c r="H77" s="344">
        <f>prinos!N77</f>
        <v>1.8003839027776225</v>
      </c>
      <c r="I77" s="343">
        <f t="shared" si="5"/>
        <v>5.3623476534587624</v>
      </c>
      <c r="J77" s="343">
        <f t="shared" si="6"/>
        <v>4.151995551871936</v>
      </c>
      <c r="K77" s="344">
        <f>prinos!Z77</f>
        <v>1.7392074521645271</v>
      </c>
      <c r="M77" s="314">
        <v>44104</v>
      </c>
      <c r="N77" s="495">
        <f t="shared" si="7"/>
        <v>5.4095962864634926</v>
      </c>
      <c r="O77" s="495">
        <f t="shared" si="8"/>
        <v>5.3863936171175792</v>
      </c>
      <c r="P77" s="495">
        <f t="shared" si="9"/>
        <v>5.3623476534587624</v>
      </c>
      <c r="R77" s="492">
        <v>44104</v>
      </c>
      <c r="S77" s="343">
        <f t="shared" ref="S77:S78" si="10">C77</f>
        <v>4.1595203008229209</v>
      </c>
      <c r="T77" s="343">
        <f t="shared" ref="T77:T78" si="11">G77</f>
        <v>4.1558509679942688</v>
      </c>
      <c r="U77" s="343">
        <f t="shared" ref="U77:U78" si="12">J77</f>
        <v>4.151995551871936</v>
      </c>
    </row>
    <row r="78" spans="1:21" ht="13.5" customHeight="1">
      <c r="A78" s="314">
        <v>44196</v>
      </c>
      <c r="B78" s="343">
        <f t="shared" si="0"/>
        <v>5.510198989111017</v>
      </c>
      <c r="C78" s="343">
        <f t="shared" si="1"/>
        <v>4.1809956375511419</v>
      </c>
      <c r="D78" s="344">
        <f t="shared" si="2"/>
        <v>-0.41</v>
      </c>
      <c r="E78" s="344">
        <f>prinos!B78</f>
        <v>1.8351895676384207</v>
      </c>
      <c r="F78" s="343">
        <f t="shared" si="3"/>
        <v>5.4868273058213681</v>
      </c>
      <c r="G78" s="343">
        <f t="shared" si="4"/>
        <v>4.172291793986985</v>
      </c>
      <c r="H78" s="344">
        <f>prinos!N78</f>
        <v>1.8009247498428274</v>
      </c>
      <c r="I78" s="343">
        <f t="shared" si="5"/>
        <v>5.4629046273239501</v>
      </c>
      <c r="J78" s="343">
        <f t="shared" si="6"/>
        <v>4.1632337016641703</v>
      </c>
      <c r="K78" s="344">
        <f>prinos!Z78</f>
        <v>1.766693970984194</v>
      </c>
      <c r="M78" s="314">
        <v>44196</v>
      </c>
      <c r="N78" s="495">
        <f t="shared" si="7"/>
        <v>5.510198989111017</v>
      </c>
      <c r="O78" s="495">
        <f t="shared" si="8"/>
        <v>5.4868273058213681</v>
      </c>
      <c r="P78" s="495">
        <f t="shared" si="9"/>
        <v>5.4629046273239501</v>
      </c>
      <c r="R78" s="492">
        <v>44196</v>
      </c>
      <c r="S78" s="343">
        <f t="shared" si="10"/>
        <v>4.1809956375511419</v>
      </c>
      <c r="T78" s="343">
        <f t="shared" si="11"/>
        <v>4.172291793986985</v>
      </c>
      <c r="U78" s="343">
        <f t="shared" si="12"/>
        <v>4.1632337016641703</v>
      </c>
    </row>
    <row r="79" spans="1:21" ht="13.5" customHeight="1">
      <c r="F79" s="259"/>
      <c r="G79" s="259"/>
      <c r="I79" s="259"/>
      <c r="J79" s="259"/>
      <c r="N79" s="340"/>
    </row>
    <row r="80" spans="1:21" ht="13.5" customHeight="1">
      <c r="F80" s="259"/>
      <c r="G80" s="259"/>
      <c r="I80" s="259"/>
      <c r="J80" s="259"/>
      <c r="N80" s="340"/>
    </row>
    <row r="81" spans="1:14" ht="13.5" customHeight="1">
      <c r="F81" s="259"/>
      <c r="G81" s="259"/>
      <c r="I81" s="259"/>
      <c r="J81" s="259"/>
      <c r="N81" s="340"/>
    </row>
    <row r="82" spans="1:14" ht="13.5" customHeight="1">
      <c r="F82" s="259"/>
      <c r="G82" s="259"/>
      <c r="H82" s="259"/>
      <c r="I82" s="259"/>
      <c r="J82" s="259"/>
      <c r="K82" s="259"/>
      <c r="L82" s="259"/>
      <c r="M82" s="259"/>
      <c r="N82" s="340"/>
    </row>
    <row r="83" spans="1:14" ht="13.5" customHeight="1">
      <c r="A83" s="249" t="s">
        <v>1135</v>
      </c>
      <c r="B83" s="105" t="s">
        <v>189</v>
      </c>
      <c r="C83" s="105" t="s">
        <v>190</v>
      </c>
      <c r="D83" s="105" t="s">
        <v>191</v>
      </c>
      <c r="E83" s="105" t="s">
        <v>192</v>
      </c>
      <c r="F83" s="105"/>
      <c r="G83" s="3"/>
      <c r="H83" s="259"/>
      <c r="I83" s="3"/>
      <c r="J83" s="3"/>
      <c r="K83" s="259"/>
      <c r="L83" s="259"/>
      <c r="M83" s="259"/>
      <c r="N83" s="340"/>
    </row>
    <row r="84" spans="1:14" ht="13.5" customHeight="1">
      <c r="A84" s="105" t="s">
        <v>193</v>
      </c>
      <c r="B84" s="250">
        <v>1.53976</v>
      </c>
      <c r="C84" s="250">
        <v>0.41513</v>
      </c>
      <c r="D84" s="250">
        <v>3.944</v>
      </c>
      <c r="E84" s="250">
        <v>2.3599999999999999E-4</v>
      </c>
      <c r="F84" s="250" t="s">
        <v>194</v>
      </c>
      <c r="G84" s="20"/>
      <c r="H84" s="259"/>
      <c r="I84" s="20"/>
      <c r="J84" s="20"/>
      <c r="K84" s="259"/>
      <c r="L84" s="259"/>
      <c r="M84" s="259"/>
      <c r="N84" s="340"/>
    </row>
    <row r="85" spans="1:14" ht="13.5" customHeight="1">
      <c r="A85" s="105" t="s">
        <v>1136</v>
      </c>
      <c r="B85" s="250">
        <v>0.66279999999999994</v>
      </c>
      <c r="C85" s="250">
        <v>7.6740000000000003E-2</v>
      </c>
      <c r="D85" s="250">
        <v>8.3490000000000002</v>
      </c>
      <c r="E85" s="250">
        <v>3.1100000000000001E-11</v>
      </c>
      <c r="F85" s="250" t="s">
        <v>194</v>
      </c>
      <c r="G85" s="20"/>
      <c r="H85" s="259"/>
      <c r="I85" s="20"/>
      <c r="J85" s="20"/>
      <c r="K85" s="259"/>
      <c r="L85" s="259"/>
      <c r="M85" s="259"/>
      <c r="N85" s="340"/>
    </row>
    <row r="86" spans="1:14" ht="13.5" customHeight="1">
      <c r="A86" s="105" t="s">
        <v>1133</v>
      </c>
      <c r="B86" s="250">
        <v>0.23327000000000001</v>
      </c>
      <c r="C86" s="250">
        <v>5.8450000000000002E-2</v>
      </c>
      <c r="D86" s="250">
        <v>4.4690000000000003</v>
      </c>
      <c r="E86" s="250">
        <v>4.1699999999999997E-5</v>
      </c>
      <c r="F86" s="250" t="s">
        <v>194</v>
      </c>
      <c r="G86" s="20"/>
      <c r="H86" s="259"/>
      <c r="I86" s="20"/>
      <c r="J86" s="20"/>
      <c r="K86" s="259"/>
      <c r="L86" s="259"/>
      <c r="M86" s="259"/>
      <c r="N86" s="340"/>
    </row>
    <row r="87" spans="1:14" ht="13.5" customHeight="1">
      <c r="A87" s="105" t="s">
        <v>1132</v>
      </c>
      <c r="B87" s="250">
        <v>0.10521</v>
      </c>
      <c r="C87" s="250">
        <v>3.1199999999999999E-2</v>
      </c>
      <c r="D87" s="250">
        <v>2.3860000000000001</v>
      </c>
      <c r="E87" s="250">
        <v>2.0641E-2</v>
      </c>
      <c r="F87" s="250" t="s">
        <v>963</v>
      </c>
      <c r="G87" s="20"/>
      <c r="H87" s="259"/>
      <c r="I87" s="20"/>
      <c r="J87" s="20"/>
      <c r="K87" s="259"/>
      <c r="L87" s="259"/>
      <c r="M87" s="259"/>
      <c r="N87" s="340"/>
    </row>
    <row r="88" spans="1:14" ht="13.5" customHeight="1">
      <c r="F88" s="259"/>
      <c r="G88" s="259"/>
      <c r="H88" s="259"/>
      <c r="I88" s="259"/>
      <c r="J88" s="259"/>
      <c r="K88" s="259"/>
      <c r="L88" s="259"/>
      <c r="M88" s="259"/>
      <c r="N88" s="340"/>
    </row>
    <row r="89" spans="1:14" ht="13.5" customHeight="1">
      <c r="A89" s="249" t="s">
        <v>1137</v>
      </c>
      <c r="B89" s="105" t="s">
        <v>189</v>
      </c>
      <c r="C89" s="105" t="s">
        <v>190</v>
      </c>
      <c r="D89" s="105" t="s">
        <v>191</v>
      </c>
      <c r="E89" s="105" t="s">
        <v>192</v>
      </c>
      <c r="F89" s="105"/>
      <c r="G89" s="3"/>
      <c r="H89" s="259"/>
      <c r="I89" s="3"/>
      <c r="J89" s="3"/>
      <c r="K89" s="259"/>
      <c r="L89" s="259"/>
      <c r="M89" s="259"/>
      <c r="N89" s="340"/>
    </row>
    <row r="90" spans="1:14" ht="13.5" customHeight="1">
      <c r="A90" s="105" t="s">
        <v>193</v>
      </c>
      <c r="B90" s="250">
        <v>-0.22403000000000001</v>
      </c>
      <c r="C90" s="250">
        <v>0.36978</v>
      </c>
      <c r="D90" s="250">
        <v>-0.60599999999999998</v>
      </c>
      <c r="E90" s="250">
        <v>0.54720000000000002</v>
      </c>
      <c r="F90" s="250"/>
      <c r="G90" s="20"/>
      <c r="H90" s="259"/>
      <c r="I90" s="20"/>
      <c r="J90" s="20"/>
      <c r="K90" s="259"/>
      <c r="L90" s="259"/>
      <c r="M90" s="259"/>
      <c r="N90" s="340"/>
    </row>
    <row r="91" spans="1:14" ht="13.5" customHeight="1">
      <c r="A91" s="105" t="s">
        <v>1136</v>
      </c>
      <c r="B91" s="250">
        <v>0.26140999999999998</v>
      </c>
      <c r="C91" s="250">
        <v>7.7280000000000001E-2</v>
      </c>
      <c r="D91" s="250">
        <v>3.383</v>
      </c>
      <c r="E91" s="250">
        <v>1.3600000000000001E-3</v>
      </c>
      <c r="F91" s="250" t="s">
        <v>993</v>
      </c>
      <c r="G91" s="20"/>
      <c r="H91" s="259"/>
      <c r="I91" s="20"/>
      <c r="J91" s="20"/>
      <c r="K91" s="259"/>
      <c r="L91" s="259"/>
      <c r="M91" s="259"/>
      <c r="N91" s="340"/>
    </row>
    <row r="92" spans="1:14" ht="13.5" customHeight="1">
      <c r="A92" s="105" t="s">
        <v>1138</v>
      </c>
      <c r="B92" s="250">
        <v>0.71904999999999997</v>
      </c>
      <c r="C92" s="250">
        <v>9.1649999999999995E-2</v>
      </c>
      <c r="D92" s="250">
        <v>7.8449999999999998</v>
      </c>
      <c r="E92" s="250">
        <v>1.9799999999999999E-10</v>
      </c>
      <c r="F92" s="250" t="s">
        <v>194</v>
      </c>
      <c r="G92" s="20"/>
      <c r="H92" s="259"/>
      <c r="I92" s="20"/>
      <c r="J92" s="20"/>
      <c r="K92" s="259"/>
      <c r="L92" s="259"/>
      <c r="M92" s="259"/>
      <c r="N92" s="340"/>
    </row>
    <row r="93" spans="1:14" ht="13.5" customHeight="1">
      <c r="F93" s="259"/>
      <c r="G93" s="259"/>
      <c r="H93" s="259"/>
      <c r="I93" s="259"/>
      <c r="J93" s="259"/>
      <c r="K93" s="259"/>
      <c r="L93" s="259"/>
      <c r="M93" s="259"/>
      <c r="N93" s="340"/>
    </row>
    <row r="94" spans="1:14" ht="13.5" customHeight="1">
      <c r="F94" s="259"/>
      <c r="G94" s="259"/>
      <c r="H94" s="259"/>
      <c r="I94" s="259"/>
      <c r="J94" s="259"/>
      <c r="K94" s="259"/>
      <c r="L94" s="259"/>
      <c r="M94" s="259"/>
      <c r="N94" s="340"/>
    </row>
    <row r="95" spans="1:14" ht="13.5" customHeight="1">
      <c r="F95" s="259"/>
      <c r="G95" s="259"/>
      <c r="H95" s="259"/>
      <c r="I95" s="259"/>
      <c r="J95" s="259"/>
      <c r="K95" s="259"/>
      <c r="L95" s="259"/>
      <c r="M95" s="259"/>
      <c r="N95" s="340"/>
    </row>
    <row r="96" spans="1:14" ht="13.5" customHeight="1">
      <c r="F96" s="259"/>
      <c r="G96" s="259"/>
      <c r="H96" s="259"/>
      <c r="I96" s="259"/>
      <c r="J96" s="259"/>
      <c r="K96" s="259"/>
      <c r="L96" s="259"/>
      <c r="M96" s="259"/>
      <c r="N96" s="340"/>
    </row>
    <row r="97" spans="5:14" ht="13.5" customHeight="1">
      <c r="F97" s="259"/>
      <c r="G97" s="259"/>
      <c r="H97" s="259"/>
      <c r="I97" s="259"/>
      <c r="J97" s="259"/>
      <c r="K97" s="259"/>
      <c r="L97" s="259"/>
      <c r="M97" s="259"/>
      <c r="N97" s="340"/>
    </row>
    <row r="98" spans="5:14" ht="13.5" customHeight="1">
      <c r="F98" s="259"/>
      <c r="G98" s="259"/>
      <c r="H98" s="181"/>
      <c r="I98" s="181"/>
      <c r="J98" s="181"/>
      <c r="K98" s="259"/>
      <c r="L98" s="259"/>
      <c r="M98" s="259"/>
      <c r="N98" s="340"/>
    </row>
    <row r="99" spans="5:14" ht="13.5" customHeight="1">
      <c r="E99" s="181"/>
      <c r="F99" s="181"/>
      <c r="G99" s="181"/>
      <c r="H99" s="259"/>
      <c r="I99" s="259"/>
      <c r="J99" s="259"/>
      <c r="K99" s="259"/>
      <c r="L99" s="259"/>
      <c r="M99" s="259"/>
      <c r="N99" s="340"/>
    </row>
    <row r="100" spans="5:14" ht="13.5" customHeight="1">
      <c r="F100" s="259"/>
      <c r="G100" s="259"/>
      <c r="H100" s="259"/>
      <c r="I100" s="259"/>
      <c r="J100" s="259"/>
      <c r="K100" s="259"/>
      <c r="L100" s="259"/>
      <c r="M100" s="259"/>
      <c r="N100" s="340"/>
    </row>
    <row r="101" spans="5:14" ht="13.5" customHeight="1">
      <c r="F101" s="259"/>
      <c r="G101" s="259"/>
      <c r="H101" s="259"/>
      <c r="I101" s="259"/>
      <c r="J101" s="259"/>
      <c r="K101" s="259"/>
      <c r="L101" s="259"/>
      <c r="M101" s="259"/>
      <c r="N101" s="340"/>
    </row>
    <row r="102" spans="5:14" ht="13.5" customHeight="1">
      <c r="F102" s="259"/>
      <c r="G102" s="259"/>
      <c r="H102" s="259"/>
      <c r="I102" s="259"/>
      <c r="J102" s="259"/>
      <c r="K102" s="259"/>
      <c r="L102" s="259"/>
      <c r="M102" s="259"/>
      <c r="N102" s="340"/>
    </row>
    <row r="103" spans="5:14" ht="13.5" customHeight="1">
      <c r="F103" s="259"/>
      <c r="G103" s="259"/>
      <c r="H103" s="259"/>
      <c r="I103" s="259"/>
      <c r="J103" s="259"/>
      <c r="K103" s="259"/>
      <c r="L103" s="259"/>
      <c r="M103" s="259"/>
      <c r="N103" s="340"/>
    </row>
    <row r="104" spans="5:14" ht="13.5" customHeight="1">
      <c r="F104" s="259"/>
      <c r="G104" s="259"/>
      <c r="H104" s="259"/>
      <c r="I104" s="259"/>
      <c r="J104" s="259"/>
      <c r="K104" s="259"/>
      <c r="L104" s="259"/>
      <c r="M104" s="259"/>
      <c r="N104" s="340"/>
    </row>
    <row r="105" spans="5:14" ht="13.5" customHeight="1">
      <c r="F105" s="259"/>
      <c r="G105" s="259"/>
      <c r="H105" s="259"/>
      <c r="I105" s="259"/>
      <c r="J105" s="259"/>
      <c r="K105" s="259"/>
      <c r="L105" s="259"/>
      <c r="M105" s="259"/>
      <c r="N105" s="340"/>
    </row>
    <row r="106" spans="5:14" ht="13.5" customHeight="1">
      <c r="F106" s="259"/>
      <c r="G106" s="259"/>
      <c r="H106" s="259"/>
      <c r="I106" s="259"/>
      <c r="J106" s="259"/>
      <c r="K106" s="259"/>
      <c r="L106" s="259"/>
      <c r="M106" s="259"/>
      <c r="N106" s="340"/>
    </row>
    <row r="107" spans="5:14" ht="13.5" customHeight="1">
      <c r="F107" s="259"/>
      <c r="G107" s="259"/>
      <c r="H107" s="259"/>
      <c r="I107" s="259"/>
      <c r="J107" s="259"/>
      <c r="K107" s="259"/>
      <c r="L107" s="259"/>
      <c r="M107" s="259"/>
      <c r="N107" s="340"/>
    </row>
    <row r="108" spans="5:14" ht="13.5" customHeight="1">
      <c r="F108" s="259"/>
      <c r="G108" s="259"/>
      <c r="H108" s="259"/>
      <c r="I108" s="259"/>
      <c r="J108" s="259"/>
      <c r="K108" s="259"/>
      <c r="L108" s="259"/>
      <c r="M108" s="259"/>
      <c r="N108" s="340"/>
    </row>
    <row r="109" spans="5:14" ht="13.5" customHeight="1">
      <c r="F109" s="259"/>
      <c r="G109" s="259"/>
      <c r="H109" s="259"/>
      <c r="I109" s="259"/>
      <c r="J109" s="259"/>
      <c r="K109" s="259"/>
      <c r="L109" s="259"/>
      <c r="M109" s="259"/>
    </row>
    <row r="110" spans="5:14" ht="13.5" customHeight="1">
      <c r="F110" s="259"/>
      <c r="G110" s="259"/>
      <c r="H110" s="259"/>
      <c r="I110" s="259"/>
      <c r="J110" s="259"/>
      <c r="K110" s="259"/>
      <c r="L110" s="259"/>
      <c r="M110" s="259"/>
    </row>
    <row r="111" spans="5:14" ht="13.5" customHeight="1">
      <c r="F111" s="259"/>
      <c r="G111" s="259"/>
      <c r="H111" s="259"/>
      <c r="I111" s="259"/>
      <c r="J111" s="259"/>
      <c r="K111" s="259"/>
      <c r="L111" s="259"/>
      <c r="M111" s="259"/>
    </row>
    <row r="112" spans="5:14" ht="13.5" customHeight="1">
      <c r="F112" s="259"/>
      <c r="G112" s="259"/>
      <c r="H112" s="259"/>
      <c r="I112" s="259"/>
      <c r="J112" s="259"/>
      <c r="K112" s="259"/>
      <c r="L112" s="259"/>
      <c r="M112" s="259"/>
    </row>
    <row r="113" spans="6:13" ht="13.5" customHeight="1">
      <c r="F113" s="259"/>
      <c r="G113" s="259"/>
      <c r="H113" s="259"/>
      <c r="I113" s="259"/>
      <c r="J113" s="259"/>
      <c r="K113" s="259"/>
      <c r="L113" s="259"/>
      <c r="M113" s="259"/>
    </row>
    <row r="114" spans="6:13" ht="13.5" customHeight="1">
      <c r="F114" s="259"/>
      <c r="G114" s="259"/>
      <c r="H114" s="259"/>
      <c r="I114" s="259"/>
      <c r="J114" s="259"/>
      <c r="K114" s="259"/>
      <c r="L114" s="259"/>
      <c r="M114" s="259"/>
    </row>
    <row r="115" spans="6:13" ht="13.5" customHeight="1">
      <c r="F115" s="259"/>
      <c r="G115" s="259"/>
      <c r="H115" s="259"/>
      <c r="I115" s="259"/>
      <c r="J115" s="259"/>
      <c r="K115" s="259"/>
      <c r="L115" s="259"/>
      <c r="M115" s="259"/>
    </row>
    <row r="116" spans="6:13" ht="13.5" customHeight="1">
      <c r="F116" s="259"/>
      <c r="G116" s="259"/>
      <c r="H116" s="259"/>
      <c r="I116" s="259"/>
      <c r="J116" s="259"/>
      <c r="K116" s="259"/>
      <c r="L116" s="259"/>
      <c r="M116" s="259"/>
    </row>
    <row r="117" spans="6:13" ht="13.5" customHeight="1">
      <c r="F117" s="259"/>
      <c r="G117" s="259"/>
      <c r="H117" s="259"/>
      <c r="I117" s="259"/>
      <c r="J117" s="259"/>
      <c r="K117" s="259"/>
      <c r="L117" s="259"/>
      <c r="M117" s="259"/>
    </row>
    <row r="118" spans="6:13" ht="13.5" customHeight="1">
      <c r="F118" s="259"/>
      <c r="G118" s="259"/>
      <c r="H118" s="259"/>
      <c r="I118" s="259"/>
      <c r="J118" s="259"/>
      <c r="K118" s="259"/>
      <c r="L118" s="259"/>
      <c r="M118" s="259"/>
    </row>
    <row r="119" spans="6:13" ht="13.5" customHeight="1">
      <c r="F119" s="259"/>
      <c r="G119" s="259"/>
      <c r="H119" s="259"/>
      <c r="I119" s="259"/>
      <c r="J119" s="259"/>
      <c r="K119" s="259"/>
      <c r="L119" s="259"/>
      <c r="M119" s="259"/>
    </row>
    <row r="120" spans="6:13" ht="13.5" customHeight="1">
      <c r="F120" s="259"/>
      <c r="G120" s="259"/>
      <c r="H120" s="259"/>
      <c r="I120" s="259"/>
      <c r="J120" s="259"/>
      <c r="K120" s="259"/>
      <c r="L120" s="259"/>
      <c r="M120" s="259"/>
    </row>
    <row r="121" spans="6:13" ht="13.5" customHeight="1">
      <c r="F121" s="259"/>
      <c r="G121" s="259"/>
      <c r="H121" s="259"/>
      <c r="I121" s="259"/>
      <c r="J121" s="259"/>
      <c r="K121" s="259"/>
      <c r="L121" s="259"/>
      <c r="M121" s="259"/>
    </row>
    <row r="122" spans="6:13" ht="13.5" customHeight="1">
      <c r="F122" s="259"/>
      <c r="G122" s="259"/>
      <c r="H122" s="259"/>
      <c r="I122" s="259"/>
      <c r="J122" s="259"/>
      <c r="K122" s="259"/>
      <c r="L122" s="259"/>
      <c r="M122" s="259"/>
    </row>
    <row r="123" spans="6:13" ht="13.5" customHeight="1">
      <c r="F123" s="259"/>
      <c r="G123" s="259"/>
      <c r="H123" s="259"/>
      <c r="I123" s="259"/>
      <c r="J123" s="259"/>
      <c r="K123" s="259"/>
      <c r="L123" s="259"/>
      <c r="M123" s="259"/>
    </row>
    <row r="124" spans="6:13" ht="13.5" customHeight="1">
      <c r="F124" s="259"/>
      <c r="G124" s="259"/>
      <c r="H124" s="259"/>
      <c r="I124" s="259"/>
      <c r="J124" s="259"/>
      <c r="K124" s="259"/>
      <c r="L124" s="259"/>
      <c r="M124" s="259"/>
    </row>
    <row r="125" spans="6:13" ht="13.5" customHeight="1">
      <c r="F125" s="259"/>
      <c r="G125" s="259"/>
      <c r="H125" s="259"/>
      <c r="I125" s="259"/>
      <c r="J125" s="259"/>
      <c r="K125" s="259"/>
      <c r="L125" s="259"/>
      <c r="M125" s="259"/>
    </row>
    <row r="126" spans="6:13" ht="13.5" customHeight="1">
      <c r="F126" s="259"/>
      <c r="G126" s="259"/>
      <c r="H126" s="259"/>
      <c r="I126" s="259"/>
      <c r="J126" s="259"/>
      <c r="K126" s="259"/>
      <c r="L126" s="259"/>
      <c r="M126" s="259"/>
    </row>
    <row r="127" spans="6:13" ht="13.5" customHeight="1">
      <c r="F127" s="259"/>
      <c r="G127" s="259"/>
      <c r="H127" s="259"/>
      <c r="I127" s="259"/>
      <c r="J127" s="259"/>
      <c r="K127" s="259"/>
      <c r="L127" s="259"/>
      <c r="M127" s="259"/>
    </row>
    <row r="128" spans="6:13" ht="13.5" customHeight="1">
      <c r="F128" s="259"/>
      <c r="G128" s="259"/>
      <c r="H128" s="259"/>
      <c r="I128" s="259"/>
      <c r="J128" s="259"/>
      <c r="K128" s="259"/>
      <c r="L128" s="259"/>
      <c r="M128" s="259"/>
    </row>
    <row r="129" spans="6:13" ht="13.5" customHeight="1">
      <c r="F129" s="259"/>
      <c r="G129" s="259"/>
      <c r="H129" s="259"/>
      <c r="I129" s="259"/>
      <c r="J129" s="259"/>
      <c r="K129" s="259"/>
      <c r="L129" s="259"/>
      <c r="M129" s="259"/>
    </row>
    <row r="130" spans="6:13" ht="13.5" customHeight="1">
      <c r="F130" s="259"/>
      <c r="G130" s="259"/>
      <c r="H130" s="259"/>
      <c r="I130" s="259"/>
      <c r="J130" s="259"/>
      <c r="K130" s="259"/>
      <c r="L130" s="259"/>
      <c r="M130" s="259"/>
    </row>
    <row r="131" spans="6:13" ht="13.5" customHeight="1">
      <c r="F131" s="259"/>
      <c r="G131" s="259"/>
      <c r="H131" s="259"/>
      <c r="I131" s="259"/>
      <c r="J131" s="259"/>
      <c r="K131" s="259"/>
      <c r="L131" s="259"/>
      <c r="M131" s="259"/>
    </row>
    <row r="132" spans="6:13" ht="13.5" customHeight="1">
      <c r="F132" s="259"/>
      <c r="G132" s="259"/>
      <c r="H132" s="259"/>
      <c r="I132" s="259"/>
      <c r="J132" s="259"/>
      <c r="K132" s="259"/>
      <c r="L132" s="259"/>
      <c r="M132" s="259"/>
    </row>
    <row r="133" spans="6:13" ht="13.5" customHeight="1">
      <c r="F133" s="259"/>
      <c r="G133" s="259"/>
      <c r="H133" s="259"/>
      <c r="I133" s="259"/>
      <c r="J133" s="259"/>
      <c r="K133" s="259"/>
      <c r="L133" s="259"/>
      <c r="M133" s="259"/>
    </row>
    <row r="134" spans="6:13" ht="13.5" customHeight="1">
      <c r="F134" s="259"/>
      <c r="G134" s="259"/>
      <c r="H134" s="259"/>
      <c r="I134" s="259"/>
      <c r="J134" s="259"/>
      <c r="K134" s="259"/>
      <c r="L134" s="259"/>
      <c r="M134" s="259"/>
    </row>
    <row r="135" spans="6:13" ht="13.5" customHeight="1">
      <c r="F135" s="259"/>
      <c r="G135" s="259"/>
      <c r="H135" s="259"/>
      <c r="I135" s="259"/>
      <c r="J135" s="259"/>
      <c r="K135" s="259"/>
      <c r="L135" s="259"/>
      <c r="M135" s="259"/>
    </row>
    <row r="136" spans="6:13" ht="13.5" customHeight="1">
      <c r="F136" s="259"/>
      <c r="G136" s="259"/>
      <c r="H136" s="259"/>
      <c r="I136" s="259"/>
      <c r="J136" s="259"/>
      <c r="K136" s="259"/>
      <c r="L136" s="259"/>
      <c r="M136" s="259"/>
    </row>
    <row r="137" spans="6:13" ht="13.5" customHeight="1">
      <c r="F137" s="259"/>
      <c r="G137" s="259"/>
      <c r="H137" s="259"/>
      <c r="I137" s="259"/>
      <c r="J137" s="259"/>
      <c r="K137" s="259"/>
      <c r="L137" s="259"/>
      <c r="M137" s="259"/>
    </row>
    <row r="138" spans="6:13" ht="13.5" customHeight="1">
      <c r="F138" s="259"/>
      <c r="G138" s="259"/>
      <c r="H138" s="259"/>
      <c r="I138" s="259"/>
      <c r="J138" s="259"/>
      <c r="K138" s="259"/>
      <c r="L138" s="259"/>
      <c r="M138" s="259"/>
    </row>
    <row r="139" spans="6:13" ht="13.5" customHeight="1">
      <c r="F139" s="259"/>
      <c r="G139" s="259"/>
      <c r="H139" s="259"/>
      <c r="I139" s="259"/>
      <c r="J139" s="259"/>
      <c r="K139" s="259"/>
      <c r="L139" s="259"/>
      <c r="M139" s="259"/>
    </row>
    <row r="140" spans="6:13" ht="13.5" customHeight="1">
      <c r="F140" s="259"/>
      <c r="G140" s="259"/>
      <c r="H140" s="259"/>
      <c r="I140" s="259"/>
      <c r="J140" s="259"/>
      <c r="K140" s="259"/>
      <c r="L140" s="259"/>
      <c r="M140" s="259"/>
    </row>
    <row r="141" spans="6:13" ht="13.5" customHeight="1">
      <c r="F141" s="259"/>
      <c r="G141" s="259"/>
      <c r="H141" s="259"/>
      <c r="I141" s="259"/>
      <c r="J141" s="259"/>
      <c r="K141" s="259"/>
      <c r="L141" s="259"/>
      <c r="M141" s="259"/>
    </row>
    <row r="142" spans="6:13" ht="13.5" customHeight="1">
      <c r="F142" s="259"/>
      <c r="G142" s="259"/>
      <c r="H142" s="259"/>
      <c r="I142" s="259"/>
      <c r="J142" s="259"/>
      <c r="K142" s="259"/>
      <c r="L142" s="259"/>
      <c r="M142" s="259"/>
    </row>
    <row r="143" spans="6:13" ht="13.5" customHeight="1">
      <c r="F143" s="259"/>
      <c r="G143" s="259"/>
      <c r="H143" s="259"/>
      <c r="I143" s="259"/>
      <c r="J143" s="259"/>
      <c r="K143" s="259"/>
      <c r="L143" s="259"/>
      <c r="M143" s="259"/>
    </row>
    <row r="144" spans="6:13" ht="13.5" customHeight="1">
      <c r="F144" s="259"/>
      <c r="G144" s="259"/>
      <c r="H144" s="259"/>
      <c r="I144" s="259"/>
      <c r="J144" s="259"/>
      <c r="K144" s="259"/>
      <c r="L144" s="259"/>
      <c r="M144" s="259"/>
    </row>
    <row r="145" spans="6:13" ht="13.5" customHeight="1">
      <c r="F145" s="259"/>
      <c r="G145" s="259"/>
      <c r="H145" s="259"/>
      <c r="I145" s="259"/>
      <c r="J145" s="259"/>
      <c r="K145" s="259"/>
      <c r="L145" s="259"/>
      <c r="M145" s="259"/>
    </row>
    <row r="146" spans="6:13" ht="13.5" customHeight="1">
      <c r="F146" s="259"/>
      <c r="G146" s="259"/>
      <c r="H146" s="259"/>
      <c r="I146" s="259"/>
      <c r="J146" s="259"/>
      <c r="K146" s="259"/>
      <c r="L146" s="259"/>
      <c r="M146" s="259"/>
    </row>
    <row r="147" spans="6:13" ht="13.5" customHeight="1">
      <c r="F147" s="259"/>
      <c r="G147" s="259"/>
      <c r="H147" s="259"/>
      <c r="I147" s="259"/>
      <c r="J147" s="259"/>
      <c r="K147" s="259"/>
      <c r="L147" s="259"/>
      <c r="M147" s="259"/>
    </row>
    <row r="148" spans="6:13" ht="13.5" customHeight="1">
      <c r="F148" s="259"/>
      <c r="G148" s="259"/>
      <c r="H148" s="259"/>
      <c r="I148" s="259"/>
      <c r="J148" s="259"/>
      <c r="K148" s="259"/>
      <c r="L148" s="259"/>
      <c r="M148" s="259"/>
    </row>
    <row r="149" spans="6:13" ht="13.5" customHeight="1">
      <c r="F149" s="259"/>
      <c r="G149" s="259"/>
      <c r="H149" s="259"/>
      <c r="I149" s="259"/>
      <c r="J149" s="259"/>
      <c r="K149" s="259"/>
      <c r="L149" s="259"/>
      <c r="M149" s="259"/>
    </row>
    <row r="150" spans="6:13" ht="13.5" customHeight="1">
      <c r="F150" s="259"/>
      <c r="G150" s="259"/>
      <c r="H150" s="259"/>
      <c r="I150" s="259"/>
      <c r="J150" s="259"/>
      <c r="K150" s="259"/>
      <c r="L150" s="259"/>
      <c r="M150" s="259"/>
    </row>
    <row r="151" spans="6:13" ht="13.5" customHeight="1">
      <c r="F151" s="259"/>
      <c r="G151" s="259"/>
      <c r="H151" s="259"/>
      <c r="I151" s="259"/>
      <c r="J151" s="259"/>
      <c r="K151" s="259"/>
      <c r="L151" s="259"/>
      <c r="M151" s="259"/>
    </row>
    <row r="152" spans="6:13" ht="13.5" customHeight="1">
      <c r="F152" s="259"/>
      <c r="G152" s="259"/>
      <c r="H152" s="259"/>
      <c r="I152" s="259"/>
      <c r="J152" s="259"/>
      <c r="K152" s="259"/>
      <c r="L152" s="259"/>
      <c r="M152" s="259"/>
    </row>
    <row r="153" spans="6:13" ht="13.5" customHeight="1">
      <c r="F153" s="259"/>
      <c r="G153" s="259"/>
      <c r="H153" s="259"/>
      <c r="I153" s="259"/>
      <c r="J153" s="259"/>
      <c r="K153" s="259"/>
      <c r="L153" s="259"/>
      <c r="M153" s="259"/>
    </row>
    <row r="154" spans="6:13" ht="13.5" customHeight="1">
      <c r="F154" s="259"/>
      <c r="G154" s="259"/>
      <c r="H154" s="259"/>
      <c r="I154" s="259"/>
      <c r="J154" s="259"/>
      <c r="K154" s="259"/>
      <c r="L154" s="259"/>
      <c r="M154" s="259"/>
    </row>
    <row r="155" spans="6:13" ht="13.5" customHeight="1">
      <c r="F155" s="259"/>
      <c r="G155" s="259"/>
      <c r="H155" s="259"/>
      <c r="I155" s="259"/>
      <c r="J155" s="259"/>
      <c r="K155" s="259"/>
      <c r="L155" s="259"/>
      <c r="M155" s="259"/>
    </row>
    <row r="156" spans="6:13" ht="13.5" customHeight="1">
      <c r="F156" s="259"/>
      <c r="G156" s="259"/>
      <c r="H156" s="259"/>
      <c r="I156" s="259"/>
      <c r="J156" s="259"/>
      <c r="K156" s="259"/>
      <c r="L156" s="259"/>
      <c r="M156" s="259"/>
    </row>
    <row r="157" spans="6:13" ht="13.5" customHeight="1">
      <c r="F157" s="259"/>
      <c r="G157" s="259"/>
      <c r="H157" s="259"/>
      <c r="I157" s="259"/>
      <c r="J157" s="259"/>
      <c r="K157" s="259"/>
      <c r="L157" s="259"/>
      <c r="M157" s="259"/>
    </row>
    <row r="158" spans="6:13" ht="13.5" customHeight="1">
      <c r="F158" s="259"/>
      <c r="G158" s="259"/>
      <c r="H158" s="259"/>
      <c r="I158" s="259"/>
      <c r="J158" s="259"/>
      <c r="K158" s="259"/>
      <c r="L158" s="259"/>
      <c r="M158" s="259"/>
    </row>
    <row r="159" spans="6:13" ht="13.5" customHeight="1">
      <c r="F159" s="259"/>
      <c r="G159" s="259"/>
      <c r="H159" s="259"/>
      <c r="I159" s="259"/>
      <c r="J159" s="259"/>
      <c r="K159" s="259"/>
      <c r="L159" s="259"/>
      <c r="M159" s="259"/>
    </row>
    <row r="160" spans="6:13" ht="13.5" customHeight="1">
      <c r="F160" s="259"/>
      <c r="G160" s="259"/>
      <c r="H160" s="259"/>
      <c r="I160" s="259"/>
      <c r="J160" s="259"/>
      <c r="K160" s="259"/>
      <c r="L160" s="259"/>
      <c r="M160" s="259"/>
    </row>
    <row r="161" spans="6:13" ht="13.5" customHeight="1">
      <c r="F161" s="259"/>
      <c r="G161" s="259"/>
      <c r="H161" s="259"/>
      <c r="I161" s="259"/>
      <c r="J161" s="259"/>
      <c r="K161" s="259"/>
      <c r="L161" s="259"/>
      <c r="M161" s="259"/>
    </row>
    <row r="162" spans="6:13" ht="13.5" customHeight="1">
      <c r="F162" s="259"/>
      <c r="G162" s="259"/>
      <c r="H162" s="259"/>
      <c r="I162" s="259"/>
      <c r="J162" s="259"/>
      <c r="K162" s="259"/>
      <c r="L162" s="259"/>
      <c r="M162" s="259"/>
    </row>
    <row r="163" spans="6:13" ht="13.5" customHeight="1">
      <c r="F163" s="259"/>
      <c r="G163" s="259"/>
      <c r="H163" s="259"/>
      <c r="I163" s="259"/>
      <c r="J163" s="259"/>
      <c r="K163" s="259"/>
      <c r="L163" s="259"/>
      <c r="M163" s="259"/>
    </row>
    <row r="164" spans="6:13" ht="13.5" customHeight="1">
      <c r="F164" s="259"/>
      <c r="G164" s="259"/>
      <c r="H164" s="259"/>
      <c r="I164" s="259"/>
      <c r="J164" s="259"/>
      <c r="K164" s="259"/>
      <c r="L164" s="259"/>
      <c r="M164" s="259"/>
    </row>
    <row r="165" spans="6:13" ht="13.5" customHeight="1">
      <c r="F165" s="259"/>
      <c r="G165" s="259"/>
      <c r="H165" s="259"/>
      <c r="I165" s="259"/>
      <c r="J165" s="259"/>
      <c r="K165" s="259"/>
      <c r="L165" s="259"/>
      <c r="M165" s="259"/>
    </row>
    <row r="166" spans="6:13" ht="13.5" customHeight="1">
      <c r="F166" s="259"/>
      <c r="G166" s="259"/>
      <c r="H166" s="259"/>
      <c r="I166" s="259"/>
      <c r="J166" s="259"/>
      <c r="K166" s="259"/>
      <c r="L166" s="259"/>
      <c r="M166" s="259"/>
    </row>
    <row r="167" spans="6:13" ht="13.5" customHeight="1">
      <c r="F167" s="259"/>
      <c r="G167" s="259"/>
      <c r="H167" s="259"/>
      <c r="I167" s="259"/>
      <c r="J167" s="259"/>
      <c r="K167" s="259"/>
      <c r="L167" s="259"/>
      <c r="M167" s="259"/>
    </row>
    <row r="168" spans="6:13" ht="13.5" customHeight="1">
      <c r="F168" s="259"/>
      <c r="G168" s="259"/>
      <c r="H168" s="259"/>
      <c r="I168" s="259"/>
      <c r="J168" s="259"/>
      <c r="K168" s="259"/>
      <c r="L168" s="259"/>
      <c r="M168" s="259"/>
    </row>
    <row r="169" spans="6:13" ht="13.5" customHeight="1">
      <c r="F169" s="259"/>
      <c r="G169" s="259"/>
      <c r="H169" s="259"/>
      <c r="I169" s="259"/>
      <c r="J169" s="259"/>
      <c r="K169" s="259"/>
      <c r="L169" s="259"/>
      <c r="M169" s="259"/>
    </row>
    <row r="170" spans="6:13" ht="13.5" customHeight="1">
      <c r="F170" s="259"/>
      <c r="G170" s="259"/>
      <c r="H170" s="259"/>
      <c r="I170" s="259"/>
      <c r="J170" s="259"/>
      <c r="K170" s="259"/>
      <c r="L170" s="259"/>
      <c r="M170" s="259"/>
    </row>
    <row r="171" spans="6:13" ht="13.5" customHeight="1">
      <c r="F171" s="259"/>
      <c r="G171" s="259"/>
      <c r="H171" s="259"/>
      <c r="I171" s="259"/>
      <c r="J171" s="259"/>
      <c r="K171" s="259"/>
      <c r="L171" s="259"/>
      <c r="M171" s="259"/>
    </row>
    <row r="172" spans="6:13" ht="13.5" customHeight="1">
      <c r="F172" s="259"/>
      <c r="G172" s="259"/>
      <c r="H172" s="259"/>
      <c r="I172" s="259"/>
      <c r="J172" s="259"/>
      <c r="K172" s="259"/>
      <c r="L172" s="259"/>
      <c r="M172" s="259"/>
    </row>
    <row r="173" spans="6:13" ht="13.5" customHeight="1">
      <c r="F173" s="259"/>
      <c r="G173" s="259"/>
      <c r="H173" s="259"/>
      <c r="I173" s="259"/>
      <c r="J173" s="259"/>
      <c r="K173" s="259"/>
      <c r="L173" s="259"/>
      <c r="M173" s="259"/>
    </row>
    <row r="174" spans="6:13" ht="13.5" customHeight="1">
      <c r="F174" s="259"/>
      <c r="G174" s="259"/>
      <c r="H174" s="259"/>
      <c r="I174" s="259"/>
      <c r="J174" s="259"/>
      <c r="K174" s="259"/>
      <c r="L174" s="259"/>
      <c r="M174" s="259"/>
    </row>
    <row r="175" spans="6:13" ht="13.5" customHeight="1">
      <c r="F175" s="259"/>
      <c r="G175" s="259"/>
      <c r="H175" s="259"/>
      <c r="I175" s="259"/>
      <c r="J175" s="259"/>
      <c r="K175" s="259"/>
      <c r="L175" s="259"/>
      <c r="M175" s="259"/>
    </row>
    <row r="176" spans="6:13" ht="13.5" customHeight="1">
      <c r="F176" s="259"/>
      <c r="G176" s="259"/>
      <c r="H176" s="259"/>
      <c r="I176" s="259"/>
      <c r="J176" s="259"/>
      <c r="K176" s="259"/>
      <c r="L176" s="259"/>
      <c r="M176" s="259"/>
    </row>
    <row r="177" spans="6:13" ht="13.5" customHeight="1">
      <c r="F177" s="259"/>
      <c r="G177" s="259"/>
      <c r="H177" s="259"/>
      <c r="I177" s="259"/>
      <c r="J177" s="259"/>
      <c r="K177" s="259"/>
      <c r="L177" s="259"/>
      <c r="M177" s="259"/>
    </row>
    <row r="178" spans="6:13" ht="13.5" customHeight="1">
      <c r="F178" s="259"/>
      <c r="G178" s="259"/>
      <c r="H178" s="259"/>
      <c r="I178" s="259"/>
      <c r="J178" s="259"/>
      <c r="K178" s="259"/>
      <c r="L178" s="259"/>
      <c r="M178" s="259"/>
    </row>
    <row r="179" spans="6:13" ht="13.5" customHeight="1">
      <c r="F179" s="259"/>
      <c r="G179" s="259"/>
      <c r="H179" s="259"/>
      <c r="I179" s="259"/>
      <c r="J179" s="259"/>
      <c r="K179" s="259"/>
      <c r="L179" s="259"/>
      <c r="M179" s="259"/>
    </row>
    <row r="180" spans="6:13" ht="13.5" customHeight="1">
      <c r="F180" s="259"/>
      <c r="G180" s="259"/>
      <c r="H180" s="259"/>
      <c r="I180" s="259"/>
      <c r="J180" s="259"/>
      <c r="K180" s="259"/>
      <c r="L180" s="259"/>
      <c r="M180" s="259"/>
    </row>
    <row r="181" spans="6:13" ht="13.5" customHeight="1">
      <c r="F181" s="259"/>
      <c r="G181" s="259"/>
      <c r="H181" s="259"/>
      <c r="I181" s="259"/>
      <c r="J181" s="259"/>
      <c r="K181" s="259"/>
      <c r="L181" s="259"/>
      <c r="M181" s="259"/>
    </row>
    <row r="182" spans="6:13" ht="13.5" customHeight="1">
      <c r="F182" s="259"/>
      <c r="G182" s="259"/>
      <c r="H182" s="259"/>
      <c r="I182" s="259"/>
      <c r="J182" s="259"/>
      <c r="K182" s="259"/>
      <c r="L182" s="259"/>
      <c r="M182" s="259"/>
    </row>
    <row r="183" spans="6:13" ht="13.5" customHeight="1">
      <c r="F183" s="259"/>
      <c r="G183" s="259"/>
      <c r="H183" s="259"/>
      <c r="I183" s="259"/>
      <c r="J183" s="259"/>
      <c r="K183" s="259"/>
      <c r="L183" s="259"/>
      <c r="M183" s="259"/>
    </row>
    <row r="184" spans="6:13" ht="13.5" customHeight="1">
      <c r="F184" s="259"/>
      <c r="G184" s="259"/>
      <c r="H184" s="259"/>
      <c r="I184" s="259"/>
      <c r="J184" s="259"/>
      <c r="K184" s="259"/>
      <c r="L184" s="259"/>
      <c r="M184" s="259"/>
    </row>
    <row r="185" spans="6:13" ht="13.5" customHeight="1">
      <c r="F185" s="259"/>
      <c r="G185" s="259"/>
      <c r="H185" s="259"/>
      <c r="I185" s="259"/>
      <c r="J185" s="259"/>
      <c r="K185" s="259"/>
      <c r="L185" s="259"/>
      <c r="M185" s="259"/>
    </row>
    <row r="186" spans="6:13" ht="13.5" customHeight="1">
      <c r="F186" s="259"/>
      <c r="G186" s="259"/>
      <c r="H186" s="259"/>
      <c r="I186" s="259"/>
      <c r="J186" s="259"/>
      <c r="K186" s="259"/>
      <c r="L186" s="259"/>
      <c r="M186" s="259"/>
    </row>
    <row r="187" spans="6:13" ht="13.5" customHeight="1">
      <c r="F187" s="259"/>
      <c r="G187" s="259"/>
      <c r="H187" s="259"/>
      <c r="I187" s="259"/>
      <c r="J187" s="259"/>
      <c r="K187" s="259"/>
      <c r="L187" s="259"/>
      <c r="M187" s="259"/>
    </row>
    <row r="188" spans="6:13" ht="13.5" customHeight="1">
      <c r="F188" s="259"/>
      <c r="G188" s="259"/>
      <c r="H188" s="259"/>
      <c r="I188" s="259"/>
      <c r="J188" s="259"/>
      <c r="K188" s="259"/>
      <c r="L188" s="259"/>
      <c r="M188" s="259"/>
    </row>
    <row r="189" spans="6:13" ht="13.5" customHeight="1">
      <c r="F189" s="259"/>
      <c r="G189" s="259"/>
      <c r="H189" s="259"/>
      <c r="I189" s="259"/>
      <c r="J189" s="259"/>
      <c r="K189" s="259"/>
      <c r="L189" s="259"/>
      <c r="M189" s="259"/>
    </row>
    <row r="190" spans="6:13" ht="13.5" customHeight="1">
      <c r="F190" s="259"/>
      <c r="G190" s="259"/>
      <c r="H190" s="259"/>
      <c r="I190" s="259"/>
      <c r="J190" s="259"/>
      <c r="K190" s="259"/>
      <c r="L190" s="259"/>
      <c r="M190" s="259"/>
    </row>
    <row r="191" spans="6:13" ht="13.5" customHeight="1">
      <c r="F191" s="259"/>
      <c r="G191" s="259"/>
      <c r="H191" s="259"/>
      <c r="I191" s="259"/>
      <c r="J191" s="259"/>
      <c r="K191" s="259"/>
      <c r="L191" s="259"/>
      <c r="M191" s="259"/>
    </row>
    <row r="192" spans="6:13" ht="13.5" customHeight="1">
      <c r="F192" s="259"/>
      <c r="G192" s="259"/>
      <c r="H192" s="259"/>
      <c r="I192" s="259"/>
      <c r="J192" s="259"/>
      <c r="K192" s="259"/>
      <c r="L192" s="259"/>
      <c r="M192" s="259"/>
    </row>
    <row r="193" spans="6:13" ht="13.5" customHeight="1">
      <c r="F193" s="259"/>
      <c r="G193" s="259"/>
      <c r="H193" s="259"/>
      <c r="I193" s="259"/>
      <c r="J193" s="259"/>
      <c r="K193" s="259"/>
      <c r="L193" s="259"/>
      <c r="M193" s="259"/>
    </row>
    <row r="194" spans="6:13" ht="13.5" customHeight="1">
      <c r="F194" s="259"/>
      <c r="G194" s="259"/>
      <c r="H194" s="259"/>
      <c r="I194" s="259"/>
      <c r="J194" s="259"/>
      <c r="K194" s="259"/>
      <c r="L194" s="259"/>
      <c r="M194" s="259"/>
    </row>
    <row r="195" spans="6:13" ht="13.5" customHeight="1">
      <c r="F195" s="259"/>
      <c r="G195" s="259"/>
      <c r="H195" s="259"/>
      <c r="I195" s="259"/>
      <c r="J195" s="259"/>
      <c r="K195" s="259"/>
      <c r="L195" s="259"/>
      <c r="M195" s="259"/>
    </row>
    <row r="196" spans="6:13" ht="13.5" customHeight="1">
      <c r="F196" s="259"/>
      <c r="G196" s="259"/>
      <c r="H196" s="259"/>
      <c r="I196" s="259"/>
      <c r="J196" s="259"/>
      <c r="K196" s="259"/>
      <c r="L196" s="259"/>
      <c r="M196" s="259"/>
    </row>
    <row r="197" spans="6:13" ht="13.5" customHeight="1">
      <c r="F197" s="259"/>
      <c r="G197" s="259"/>
      <c r="H197" s="259"/>
      <c r="I197" s="259"/>
      <c r="J197" s="259"/>
      <c r="K197" s="259"/>
      <c r="L197" s="259"/>
      <c r="M197" s="259"/>
    </row>
    <row r="198" spans="6:13" ht="13.5" customHeight="1">
      <c r="F198" s="259"/>
      <c r="G198" s="259"/>
      <c r="H198" s="259"/>
      <c r="I198" s="259"/>
      <c r="J198" s="259"/>
      <c r="K198" s="259"/>
      <c r="L198" s="259"/>
      <c r="M198" s="259"/>
    </row>
    <row r="199" spans="6:13" ht="13.5" customHeight="1">
      <c r="F199" s="259"/>
      <c r="G199" s="259"/>
      <c r="H199" s="259"/>
      <c r="I199" s="259"/>
      <c r="J199" s="259"/>
      <c r="K199" s="259"/>
      <c r="L199" s="259"/>
      <c r="M199" s="259"/>
    </row>
    <row r="200" spans="6:13" ht="13.5" customHeight="1">
      <c r="F200" s="259"/>
      <c r="G200" s="259"/>
      <c r="H200" s="259"/>
      <c r="I200" s="259"/>
      <c r="J200" s="259"/>
      <c r="K200" s="259"/>
      <c r="L200" s="259"/>
      <c r="M200" s="259"/>
    </row>
    <row r="201" spans="6:13" ht="13.5" customHeight="1">
      <c r="F201" s="259"/>
      <c r="G201" s="259"/>
      <c r="H201" s="259"/>
      <c r="I201" s="259"/>
      <c r="J201" s="259"/>
      <c r="K201" s="259"/>
      <c r="L201" s="259"/>
      <c r="M201" s="259"/>
    </row>
    <row r="202" spans="6:13" ht="13.5" customHeight="1">
      <c r="F202" s="259"/>
      <c r="G202" s="259"/>
      <c r="H202" s="259"/>
      <c r="I202" s="259"/>
      <c r="J202" s="259"/>
      <c r="K202" s="259"/>
      <c r="L202" s="259"/>
      <c r="M202" s="259"/>
    </row>
    <row r="203" spans="6:13" ht="13.5" customHeight="1">
      <c r="F203" s="259"/>
      <c r="G203" s="259"/>
      <c r="H203" s="259"/>
      <c r="I203" s="259"/>
      <c r="J203" s="259"/>
      <c r="K203" s="259"/>
      <c r="L203" s="259"/>
      <c r="M203" s="259"/>
    </row>
    <row r="204" spans="6:13" ht="13.5" customHeight="1">
      <c r="F204" s="259"/>
      <c r="G204" s="259"/>
      <c r="H204" s="259"/>
      <c r="I204" s="259"/>
      <c r="J204" s="259"/>
      <c r="K204" s="259"/>
      <c r="L204" s="259"/>
      <c r="M204" s="259"/>
    </row>
    <row r="205" spans="6:13" ht="13.5" customHeight="1">
      <c r="F205" s="259"/>
      <c r="G205" s="259"/>
      <c r="H205" s="259"/>
      <c r="I205" s="259"/>
      <c r="J205" s="259"/>
      <c r="K205" s="259"/>
      <c r="L205" s="259"/>
      <c r="M205" s="259"/>
    </row>
    <row r="206" spans="6:13" ht="13.5" customHeight="1">
      <c r="F206" s="259"/>
      <c r="G206" s="259"/>
      <c r="H206" s="259"/>
      <c r="I206" s="259"/>
      <c r="J206" s="259"/>
      <c r="K206" s="259"/>
      <c r="L206" s="259"/>
      <c r="M206" s="259"/>
    </row>
    <row r="207" spans="6:13" ht="13.5" customHeight="1">
      <c r="F207" s="259"/>
      <c r="G207" s="259"/>
      <c r="H207" s="259"/>
      <c r="I207" s="259"/>
      <c r="J207" s="259"/>
      <c r="K207" s="259"/>
      <c r="L207" s="259"/>
      <c r="M207" s="259"/>
    </row>
    <row r="208" spans="6:13" ht="13.5" customHeight="1">
      <c r="F208" s="259"/>
      <c r="G208" s="259"/>
      <c r="H208" s="259"/>
      <c r="I208" s="259"/>
      <c r="J208" s="259"/>
      <c r="K208" s="259"/>
      <c r="L208" s="259"/>
      <c r="M208" s="259"/>
    </row>
    <row r="209" spans="6:13" ht="13.5" customHeight="1">
      <c r="F209" s="259"/>
      <c r="G209" s="259"/>
      <c r="H209" s="259"/>
      <c r="I209" s="259"/>
      <c r="J209" s="259"/>
      <c r="K209" s="259"/>
      <c r="L209" s="259"/>
      <c r="M209" s="259"/>
    </row>
    <row r="210" spans="6:13" ht="13.5" customHeight="1">
      <c r="F210" s="259"/>
      <c r="G210" s="259"/>
      <c r="H210" s="259"/>
      <c r="I210" s="259"/>
      <c r="J210" s="259"/>
      <c r="K210" s="259"/>
      <c r="L210" s="259"/>
      <c r="M210" s="259"/>
    </row>
    <row r="211" spans="6:13" ht="13.5" customHeight="1">
      <c r="F211" s="259"/>
      <c r="G211" s="259"/>
      <c r="H211" s="259"/>
      <c r="I211" s="259"/>
      <c r="J211" s="259"/>
      <c r="K211" s="259"/>
      <c r="L211" s="259"/>
      <c r="M211" s="259"/>
    </row>
    <row r="212" spans="6:13" ht="13.5" customHeight="1">
      <c r="F212" s="259"/>
      <c r="G212" s="259"/>
      <c r="H212" s="259"/>
      <c r="I212" s="259"/>
      <c r="J212" s="259"/>
      <c r="K212" s="259"/>
      <c r="L212" s="259"/>
      <c r="M212" s="259"/>
    </row>
    <row r="213" spans="6:13" ht="13.5" customHeight="1">
      <c r="F213" s="259"/>
      <c r="G213" s="259"/>
      <c r="H213" s="259"/>
      <c r="I213" s="259"/>
      <c r="J213" s="259"/>
      <c r="K213" s="259"/>
      <c r="L213" s="259"/>
      <c r="M213" s="259"/>
    </row>
    <row r="214" spans="6:13" ht="13.5" customHeight="1">
      <c r="F214" s="259"/>
      <c r="G214" s="259"/>
      <c r="H214" s="259"/>
      <c r="I214" s="259"/>
      <c r="J214" s="259"/>
      <c r="K214" s="259"/>
      <c r="L214" s="259"/>
      <c r="M214" s="259"/>
    </row>
    <row r="215" spans="6:13" ht="13.5" customHeight="1">
      <c r="F215" s="259"/>
      <c r="G215" s="259"/>
      <c r="H215" s="259"/>
      <c r="I215" s="259"/>
      <c r="J215" s="259"/>
      <c r="K215" s="259"/>
      <c r="L215" s="259"/>
      <c r="M215" s="259"/>
    </row>
    <row r="216" spans="6:13" ht="13.5" customHeight="1">
      <c r="F216" s="259"/>
      <c r="G216" s="259"/>
      <c r="H216" s="259"/>
      <c r="I216" s="259"/>
      <c r="J216" s="259"/>
      <c r="K216" s="259"/>
      <c r="L216" s="259"/>
      <c r="M216" s="259"/>
    </row>
    <row r="217" spans="6:13" ht="13.5" customHeight="1">
      <c r="F217" s="259"/>
      <c r="G217" s="259"/>
      <c r="H217" s="259"/>
      <c r="I217" s="259"/>
      <c r="J217" s="259"/>
      <c r="K217" s="259"/>
      <c r="L217" s="259"/>
      <c r="M217" s="259"/>
    </row>
    <row r="218" spans="6:13" ht="13.5" customHeight="1">
      <c r="F218" s="259"/>
      <c r="G218" s="259"/>
      <c r="H218" s="259"/>
      <c r="I218" s="259"/>
      <c r="J218" s="259"/>
      <c r="K218" s="259"/>
      <c r="L218" s="259"/>
      <c r="M218" s="259"/>
    </row>
    <row r="219" spans="6:13" ht="13.5" customHeight="1">
      <c r="F219" s="259"/>
      <c r="G219" s="259"/>
      <c r="H219" s="259"/>
      <c r="I219" s="259"/>
      <c r="J219" s="259"/>
      <c r="K219" s="259"/>
      <c r="L219" s="259"/>
      <c r="M219" s="259"/>
    </row>
    <row r="220" spans="6:13" ht="13.5" customHeight="1">
      <c r="F220" s="259"/>
      <c r="G220" s="259"/>
      <c r="H220" s="259"/>
      <c r="I220" s="259"/>
      <c r="J220" s="259"/>
      <c r="K220" s="259"/>
      <c r="L220" s="259"/>
      <c r="M220" s="259"/>
    </row>
    <row r="221" spans="6:13" ht="13.5" customHeight="1">
      <c r="F221" s="259"/>
      <c r="G221" s="259"/>
      <c r="H221" s="259"/>
      <c r="I221" s="259"/>
      <c r="J221" s="259"/>
      <c r="K221" s="259"/>
      <c r="L221" s="259"/>
      <c r="M221" s="259"/>
    </row>
    <row r="222" spans="6:13" ht="13.5" customHeight="1">
      <c r="F222" s="259"/>
      <c r="G222" s="259"/>
      <c r="H222" s="259"/>
      <c r="I222" s="259"/>
      <c r="J222" s="259"/>
      <c r="K222" s="259"/>
      <c r="L222" s="259"/>
      <c r="M222" s="259"/>
    </row>
    <row r="223" spans="6:13" ht="13.5" customHeight="1">
      <c r="F223" s="259"/>
      <c r="G223" s="259"/>
      <c r="H223" s="259"/>
      <c r="I223" s="259"/>
      <c r="J223" s="259"/>
      <c r="K223" s="259"/>
      <c r="L223" s="259"/>
      <c r="M223" s="259"/>
    </row>
    <row r="224" spans="6:13" ht="13.5" customHeight="1">
      <c r="F224" s="259"/>
      <c r="G224" s="259"/>
      <c r="H224" s="259"/>
      <c r="I224" s="259"/>
      <c r="J224" s="259"/>
      <c r="K224" s="259"/>
      <c r="L224" s="259"/>
      <c r="M224" s="259"/>
    </row>
    <row r="225" spans="6:13" ht="13.5" customHeight="1">
      <c r="F225" s="259"/>
      <c r="G225" s="259"/>
      <c r="H225" s="259"/>
      <c r="I225" s="259"/>
      <c r="J225" s="259"/>
      <c r="K225" s="259"/>
      <c r="L225" s="259"/>
      <c r="M225" s="259"/>
    </row>
    <row r="226" spans="6:13" ht="13.5" customHeight="1">
      <c r="F226" s="259"/>
      <c r="G226" s="259"/>
      <c r="H226" s="259"/>
      <c r="I226" s="259"/>
      <c r="J226" s="259"/>
      <c r="K226" s="259"/>
      <c r="L226" s="259"/>
      <c r="M226" s="259"/>
    </row>
    <row r="227" spans="6:13" ht="13.5" customHeight="1">
      <c r="F227" s="259"/>
      <c r="G227" s="259"/>
      <c r="H227" s="259"/>
      <c r="I227" s="259"/>
      <c r="J227" s="259"/>
      <c r="K227" s="259"/>
      <c r="L227" s="259"/>
      <c r="M227" s="259"/>
    </row>
    <row r="228" spans="6:13" ht="13.5" customHeight="1">
      <c r="F228" s="259"/>
      <c r="G228" s="259"/>
      <c r="H228" s="259"/>
      <c r="I228" s="259"/>
      <c r="J228" s="259"/>
      <c r="K228" s="259"/>
      <c r="L228" s="259"/>
      <c r="M228" s="259"/>
    </row>
    <row r="229" spans="6:13" ht="13.5" customHeight="1">
      <c r="F229" s="259"/>
      <c r="G229" s="259"/>
      <c r="H229" s="259"/>
      <c r="I229" s="259"/>
      <c r="J229" s="259"/>
      <c r="K229" s="259"/>
      <c r="L229" s="259"/>
      <c r="M229" s="259"/>
    </row>
    <row r="230" spans="6:13" ht="13.5" customHeight="1">
      <c r="F230" s="259"/>
      <c r="G230" s="259"/>
      <c r="H230" s="259"/>
      <c r="I230" s="259"/>
      <c r="J230" s="259"/>
      <c r="K230" s="259"/>
      <c r="L230" s="259"/>
      <c r="M230" s="259"/>
    </row>
    <row r="231" spans="6:13" ht="13.5" customHeight="1">
      <c r="F231" s="259"/>
      <c r="G231" s="259"/>
      <c r="H231" s="259"/>
      <c r="I231" s="259"/>
      <c r="J231" s="259"/>
      <c r="K231" s="259"/>
      <c r="L231" s="259"/>
      <c r="M231" s="259"/>
    </row>
    <row r="232" spans="6:13" ht="13.5" customHeight="1">
      <c r="F232" s="259"/>
      <c r="G232" s="259"/>
      <c r="H232" s="259"/>
      <c r="I232" s="259"/>
      <c r="J232" s="259"/>
      <c r="K232" s="259"/>
      <c r="L232" s="259"/>
      <c r="M232" s="259"/>
    </row>
    <row r="233" spans="6:13" ht="13.5" customHeight="1">
      <c r="F233" s="259"/>
      <c r="G233" s="259"/>
      <c r="H233" s="259"/>
      <c r="I233" s="259"/>
      <c r="J233" s="259"/>
      <c r="K233" s="259"/>
      <c r="L233" s="259"/>
      <c r="M233" s="259"/>
    </row>
    <row r="234" spans="6:13" ht="13.5" customHeight="1">
      <c r="F234" s="259"/>
      <c r="G234" s="259"/>
      <c r="H234" s="259"/>
      <c r="I234" s="259"/>
      <c r="J234" s="259"/>
      <c r="K234" s="259"/>
      <c r="L234" s="259"/>
      <c r="M234" s="259"/>
    </row>
    <row r="235" spans="6:13" ht="13.5" customHeight="1">
      <c r="F235" s="259"/>
      <c r="G235" s="259"/>
      <c r="H235" s="259"/>
      <c r="I235" s="259"/>
      <c r="J235" s="259"/>
      <c r="K235" s="259"/>
      <c r="L235" s="259"/>
      <c r="M235" s="259"/>
    </row>
    <row r="236" spans="6:13" ht="13.5" customHeight="1">
      <c r="F236" s="259"/>
      <c r="G236" s="259"/>
      <c r="H236" s="259"/>
      <c r="I236" s="259"/>
      <c r="J236" s="259"/>
      <c r="K236" s="259"/>
      <c r="L236" s="259"/>
      <c r="M236" s="259"/>
    </row>
    <row r="237" spans="6:13" ht="13.5" customHeight="1">
      <c r="F237" s="259"/>
      <c r="G237" s="259"/>
      <c r="H237" s="259"/>
      <c r="I237" s="259"/>
      <c r="J237" s="259"/>
      <c r="K237" s="259"/>
      <c r="L237" s="259"/>
      <c r="M237" s="259"/>
    </row>
    <row r="238" spans="6:13" ht="13.5" customHeight="1">
      <c r="F238" s="259"/>
      <c r="G238" s="259"/>
      <c r="H238" s="259"/>
      <c r="I238" s="259"/>
      <c r="J238" s="259"/>
      <c r="K238" s="259"/>
      <c r="L238" s="259"/>
      <c r="M238" s="259"/>
    </row>
    <row r="239" spans="6:13" ht="13.5" customHeight="1">
      <c r="F239" s="259"/>
      <c r="G239" s="259"/>
      <c r="H239" s="259"/>
      <c r="I239" s="259"/>
      <c r="J239" s="259"/>
      <c r="K239" s="259"/>
      <c r="L239" s="259"/>
      <c r="M239" s="259"/>
    </row>
    <row r="240" spans="6:13" ht="13.5" customHeight="1">
      <c r="F240" s="259"/>
      <c r="G240" s="259"/>
      <c r="H240" s="259"/>
      <c r="I240" s="259"/>
      <c r="J240" s="259"/>
      <c r="K240" s="259"/>
      <c r="L240" s="259"/>
      <c r="M240" s="259"/>
    </row>
    <row r="241" spans="6:13" ht="13.5" customHeight="1">
      <c r="F241" s="259"/>
      <c r="G241" s="259"/>
      <c r="H241" s="259"/>
      <c r="I241" s="259"/>
      <c r="J241" s="259"/>
      <c r="K241" s="259"/>
      <c r="L241" s="259"/>
      <c r="M241" s="259"/>
    </row>
    <row r="242" spans="6:13" ht="13.5" customHeight="1">
      <c r="F242" s="259"/>
      <c r="G242" s="259"/>
      <c r="H242" s="259"/>
      <c r="I242" s="259"/>
      <c r="J242" s="259"/>
      <c r="K242" s="259"/>
      <c r="L242" s="259"/>
      <c r="M242" s="259"/>
    </row>
    <row r="243" spans="6:13" ht="13.5" customHeight="1">
      <c r="F243" s="259"/>
      <c r="G243" s="259"/>
      <c r="H243" s="259"/>
      <c r="I243" s="259"/>
      <c r="J243" s="259"/>
      <c r="K243" s="259"/>
      <c r="L243" s="259"/>
      <c r="M243" s="259"/>
    </row>
    <row r="244" spans="6:13" ht="13.5" customHeight="1">
      <c r="F244" s="259"/>
      <c r="G244" s="259"/>
      <c r="H244" s="259"/>
      <c r="I244" s="259"/>
      <c r="J244" s="259"/>
      <c r="K244" s="259"/>
      <c r="L244" s="259"/>
      <c r="M244" s="259"/>
    </row>
    <row r="245" spans="6:13" ht="13.5" customHeight="1">
      <c r="F245" s="259"/>
      <c r="G245" s="259"/>
      <c r="H245" s="259"/>
      <c r="I245" s="259"/>
      <c r="J245" s="259"/>
      <c r="K245" s="259"/>
      <c r="L245" s="259"/>
      <c r="M245" s="259"/>
    </row>
    <row r="246" spans="6:13" ht="13.5" customHeight="1">
      <c r="F246" s="259"/>
      <c r="G246" s="259"/>
      <c r="H246" s="259"/>
      <c r="I246" s="259"/>
      <c r="J246" s="259"/>
      <c r="K246" s="259"/>
      <c r="L246" s="259"/>
      <c r="M246" s="259"/>
    </row>
    <row r="247" spans="6:13" ht="13.5" customHeight="1">
      <c r="F247" s="259"/>
      <c r="G247" s="259"/>
      <c r="H247" s="259"/>
      <c r="I247" s="259"/>
      <c r="J247" s="259"/>
      <c r="K247" s="259"/>
      <c r="L247" s="259"/>
      <c r="M247" s="259"/>
    </row>
    <row r="248" spans="6:13" ht="13.5" customHeight="1">
      <c r="F248" s="259"/>
      <c r="G248" s="259"/>
      <c r="H248" s="259"/>
      <c r="I248" s="259"/>
      <c r="J248" s="259"/>
      <c r="K248" s="259"/>
      <c r="L248" s="259"/>
      <c r="M248" s="259"/>
    </row>
    <row r="249" spans="6:13" ht="13.5" customHeight="1">
      <c r="F249" s="259"/>
      <c r="G249" s="259"/>
      <c r="H249" s="259"/>
      <c r="I249" s="259"/>
      <c r="J249" s="259"/>
      <c r="K249" s="259"/>
      <c r="L249" s="259"/>
      <c r="M249" s="259"/>
    </row>
    <row r="250" spans="6:13" ht="13.5" customHeight="1">
      <c r="F250" s="259"/>
      <c r="G250" s="259"/>
      <c r="H250" s="259"/>
      <c r="I250" s="259"/>
      <c r="J250" s="259"/>
      <c r="K250" s="259"/>
      <c r="L250" s="259"/>
      <c r="M250" s="259"/>
    </row>
    <row r="251" spans="6:13" ht="13.5" customHeight="1">
      <c r="F251" s="259"/>
      <c r="G251" s="259"/>
      <c r="H251" s="259"/>
      <c r="I251" s="259"/>
      <c r="J251" s="259"/>
      <c r="K251" s="259"/>
      <c r="L251" s="259"/>
      <c r="M251" s="259"/>
    </row>
    <row r="252" spans="6:13" ht="13.5" customHeight="1">
      <c r="F252" s="259"/>
      <c r="G252" s="259"/>
      <c r="H252" s="259"/>
      <c r="I252" s="259"/>
      <c r="J252" s="259"/>
      <c r="K252" s="259"/>
      <c r="L252" s="259"/>
      <c r="M252" s="259"/>
    </row>
    <row r="253" spans="6:13" ht="13.5" customHeight="1">
      <c r="F253" s="259"/>
      <c r="G253" s="259"/>
      <c r="H253" s="259"/>
      <c r="I253" s="259"/>
      <c r="J253" s="259"/>
      <c r="K253" s="259"/>
      <c r="L253" s="259"/>
      <c r="M253" s="259"/>
    </row>
    <row r="254" spans="6:13" ht="13.5" customHeight="1">
      <c r="F254" s="259"/>
      <c r="G254" s="259"/>
      <c r="H254" s="259"/>
      <c r="I254" s="259"/>
      <c r="J254" s="259"/>
      <c r="K254" s="259"/>
      <c r="L254" s="259"/>
      <c r="M254" s="259"/>
    </row>
    <row r="255" spans="6:13" ht="13.5" customHeight="1">
      <c r="F255" s="259"/>
      <c r="G255" s="259"/>
      <c r="H255" s="259"/>
      <c r="I255" s="259"/>
      <c r="J255" s="259"/>
      <c r="K255" s="259"/>
      <c r="L255" s="259"/>
      <c r="M255" s="259"/>
    </row>
    <row r="256" spans="6:13" ht="13.5" customHeight="1">
      <c r="F256" s="259"/>
      <c r="G256" s="259"/>
      <c r="H256" s="259"/>
      <c r="I256" s="259"/>
      <c r="J256" s="259"/>
      <c r="K256" s="259"/>
      <c r="L256" s="259"/>
      <c r="M256" s="259"/>
    </row>
    <row r="257" spans="6:13" ht="13.5" customHeight="1">
      <c r="F257" s="259"/>
      <c r="G257" s="259"/>
      <c r="H257" s="259"/>
      <c r="I257" s="259"/>
      <c r="J257" s="259"/>
      <c r="K257" s="259"/>
      <c r="L257" s="259"/>
      <c r="M257" s="259"/>
    </row>
    <row r="258" spans="6:13" ht="13.5" customHeight="1">
      <c r="F258" s="259"/>
      <c r="G258" s="259"/>
      <c r="H258" s="259"/>
      <c r="I258" s="259"/>
      <c r="J258" s="259"/>
      <c r="K258" s="259"/>
      <c r="L258" s="259"/>
      <c r="M258" s="259"/>
    </row>
    <row r="259" spans="6:13" ht="13.5" customHeight="1">
      <c r="F259" s="259"/>
      <c r="G259" s="259"/>
      <c r="H259" s="259"/>
      <c r="I259" s="259"/>
      <c r="J259" s="259"/>
      <c r="K259" s="259"/>
      <c r="L259" s="259"/>
      <c r="M259" s="259"/>
    </row>
    <row r="260" spans="6:13" ht="13.5" customHeight="1">
      <c r="F260" s="259"/>
      <c r="G260" s="259"/>
      <c r="H260" s="259"/>
      <c r="I260" s="259"/>
      <c r="J260" s="259"/>
      <c r="K260" s="259"/>
      <c r="L260" s="259"/>
      <c r="M260" s="259"/>
    </row>
    <row r="261" spans="6:13" ht="13.5" customHeight="1">
      <c r="F261" s="259"/>
      <c r="G261" s="259"/>
      <c r="H261" s="259"/>
      <c r="I261" s="259"/>
      <c r="J261" s="259"/>
      <c r="K261" s="259"/>
      <c r="L261" s="259"/>
      <c r="M261" s="259"/>
    </row>
    <row r="262" spans="6:13" ht="13.5" customHeight="1">
      <c r="F262" s="259"/>
      <c r="G262" s="259"/>
      <c r="H262" s="259"/>
      <c r="I262" s="259"/>
      <c r="J262" s="259"/>
      <c r="K262" s="259"/>
      <c r="L262" s="259"/>
      <c r="M262" s="259"/>
    </row>
    <row r="263" spans="6:13" ht="13.5" customHeight="1">
      <c r="F263" s="259"/>
      <c r="G263" s="259"/>
      <c r="H263" s="259"/>
      <c r="I263" s="259"/>
      <c r="J263" s="259"/>
      <c r="K263" s="259"/>
      <c r="L263" s="259"/>
      <c r="M263" s="259"/>
    </row>
    <row r="264" spans="6:13" ht="13.5" customHeight="1">
      <c r="F264" s="259"/>
      <c r="G264" s="259"/>
      <c r="H264" s="259"/>
      <c r="I264" s="259"/>
      <c r="J264" s="259"/>
      <c r="K264" s="259"/>
      <c r="L264" s="259"/>
      <c r="M264" s="259"/>
    </row>
    <row r="265" spans="6:13" ht="13.5" customHeight="1">
      <c r="F265" s="259"/>
      <c r="G265" s="259"/>
      <c r="H265" s="259"/>
      <c r="I265" s="259"/>
      <c r="J265" s="259"/>
      <c r="K265" s="259"/>
      <c r="L265" s="259"/>
      <c r="M265" s="259"/>
    </row>
    <row r="266" spans="6:13" ht="13.5" customHeight="1">
      <c r="F266" s="259"/>
      <c r="G266" s="259"/>
      <c r="H266" s="259"/>
      <c r="I266" s="259"/>
      <c r="J266" s="259"/>
      <c r="K266" s="259"/>
      <c r="L266" s="259"/>
      <c r="M266" s="259"/>
    </row>
    <row r="267" spans="6:13" ht="13.5" customHeight="1">
      <c r="F267" s="259"/>
      <c r="G267" s="259"/>
      <c r="H267" s="259"/>
      <c r="I267" s="259"/>
      <c r="J267" s="259"/>
      <c r="K267" s="259"/>
      <c r="L267" s="259"/>
      <c r="M267" s="259"/>
    </row>
    <row r="268" spans="6:13" ht="13.5" customHeight="1">
      <c r="F268" s="259"/>
      <c r="G268" s="259"/>
      <c r="H268" s="259"/>
      <c r="I268" s="259"/>
      <c r="J268" s="259"/>
      <c r="K268" s="259"/>
      <c r="L268" s="259"/>
      <c r="M268" s="259"/>
    </row>
    <row r="269" spans="6:13" ht="13.5" customHeight="1">
      <c r="F269" s="259"/>
      <c r="G269" s="259"/>
      <c r="H269" s="259"/>
      <c r="I269" s="259"/>
      <c r="J269" s="259"/>
      <c r="K269" s="259"/>
      <c r="L269" s="259"/>
      <c r="M269" s="259"/>
    </row>
    <row r="270" spans="6:13" ht="13.5" customHeight="1">
      <c r="F270" s="259"/>
      <c r="G270" s="259"/>
      <c r="H270" s="259"/>
      <c r="I270" s="259"/>
      <c r="J270" s="259"/>
      <c r="K270" s="259"/>
      <c r="L270" s="259"/>
      <c r="M270" s="259"/>
    </row>
    <row r="271" spans="6:13" ht="13.5" customHeight="1">
      <c r="F271" s="259"/>
      <c r="G271" s="259"/>
      <c r="H271" s="259"/>
      <c r="I271" s="259"/>
      <c r="J271" s="259"/>
      <c r="K271" s="259"/>
      <c r="L271" s="259"/>
      <c r="M271" s="259"/>
    </row>
    <row r="272" spans="6:13" ht="13.5" customHeight="1">
      <c r="F272" s="259"/>
      <c r="G272" s="259"/>
      <c r="H272" s="259"/>
      <c r="I272" s="259"/>
      <c r="J272" s="259"/>
      <c r="K272" s="259"/>
      <c r="L272" s="259"/>
      <c r="M272" s="259"/>
    </row>
    <row r="273" spans="6:13" ht="13.5" customHeight="1">
      <c r="F273" s="259"/>
      <c r="G273" s="259"/>
      <c r="H273" s="259"/>
      <c r="I273" s="259"/>
      <c r="J273" s="259"/>
      <c r="K273" s="259"/>
      <c r="L273" s="259"/>
      <c r="M273" s="259"/>
    </row>
    <row r="274" spans="6:13" ht="13.5" customHeight="1">
      <c r="F274" s="259"/>
      <c r="G274" s="259"/>
      <c r="H274" s="259"/>
      <c r="I274" s="259"/>
      <c r="J274" s="259"/>
      <c r="K274" s="259"/>
      <c r="L274" s="259"/>
      <c r="M274" s="259"/>
    </row>
    <row r="275" spans="6:13" ht="13.5" customHeight="1">
      <c r="F275" s="259"/>
      <c r="G275" s="259"/>
      <c r="H275" s="259"/>
      <c r="I275" s="259"/>
      <c r="J275" s="259"/>
      <c r="K275" s="259"/>
      <c r="L275" s="259"/>
      <c r="M275" s="259"/>
    </row>
    <row r="276" spans="6:13" ht="13.5" customHeight="1">
      <c r="F276" s="259"/>
      <c r="G276" s="259"/>
      <c r="H276" s="259"/>
      <c r="I276" s="259"/>
      <c r="J276" s="259"/>
      <c r="K276" s="259"/>
      <c r="L276" s="259"/>
      <c r="M276" s="259"/>
    </row>
    <row r="277" spans="6:13" ht="13.5" customHeight="1">
      <c r="F277" s="259"/>
      <c r="G277" s="259"/>
      <c r="H277" s="259"/>
      <c r="I277" s="259"/>
      <c r="J277" s="259"/>
      <c r="K277" s="259"/>
      <c r="L277" s="259"/>
      <c r="M277" s="259"/>
    </row>
    <row r="278" spans="6:13" ht="13.5" customHeight="1">
      <c r="F278" s="259"/>
      <c r="G278" s="259"/>
      <c r="H278" s="259"/>
      <c r="I278" s="259"/>
      <c r="J278" s="259"/>
      <c r="K278" s="259"/>
      <c r="L278" s="259"/>
      <c r="M278" s="259"/>
    </row>
    <row r="279" spans="6:13" ht="13.5" customHeight="1">
      <c r="F279" s="259"/>
      <c r="G279" s="259"/>
      <c r="H279" s="259"/>
      <c r="I279" s="259"/>
      <c r="J279" s="259"/>
      <c r="K279" s="259"/>
      <c r="L279" s="259"/>
      <c r="M279" s="259"/>
    </row>
    <row r="280" spans="6:13" ht="13.5" customHeight="1">
      <c r="F280" s="259"/>
      <c r="G280" s="259"/>
      <c r="H280" s="259"/>
      <c r="I280" s="259"/>
      <c r="J280" s="259"/>
      <c r="K280" s="259"/>
      <c r="L280" s="259"/>
      <c r="M280" s="259"/>
    </row>
    <row r="281" spans="6:13" ht="13.5" customHeight="1">
      <c r="F281" s="259"/>
      <c r="G281" s="259"/>
      <c r="H281" s="259"/>
      <c r="I281" s="259"/>
      <c r="J281" s="259"/>
      <c r="K281" s="259"/>
      <c r="L281" s="259"/>
      <c r="M281" s="259"/>
    </row>
    <row r="282" spans="6:13" ht="13.5" customHeight="1">
      <c r="F282" s="259"/>
      <c r="G282" s="259"/>
      <c r="H282" s="259"/>
      <c r="I282" s="259"/>
      <c r="J282" s="259"/>
      <c r="K282" s="259"/>
      <c r="L282" s="259"/>
      <c r="M282" s="259"/>
    </row>
    <row r="283" spans="6:13" ht="13.5" customHeight="1">
      <c r="F283" s="259"/>
      <c r="G283" s="259"/>
      <c r="H283" s="259"/>
      <c r="I283" s="259"/>
      <c r="J283" s="259"/>
      <c r="K283" s="259"/>
      <c r="L283" s="259"/>
      <c r="M283" s="259"/>
    </row>
    <row r="284" spans="6:13" ht="13.5" customHeight="1">
      <c r="F284" s="259"/>
      <c r="G284" s="259"/>
      <c r="H284" s="259"/>
      <c r="I284" s="259"/>
      <c r="J284" s="259"/>
      <c r="K284" s="259"/>
      <c r="L284" s="259"/>
      <c r="M284" s="259"/>
    </row>
    <row r="285" spans="6:13" ht="13.5" customHeight="1">
      <c r="F285" s="259"/>
      <c r="G285" s="259"/>
      <c r="H285" s="259"/>
      <c r="I285" s="259"/>
      <c r="J285" s="259"/>
      <c r="K285" s="259"/>
      <c r="L285" s="259"/>
      <c r="M285" s="259"/>
    </row>
    <row r="286" spans="6:13" ht="13.5" customHeight="1">
      <c r="F286" s="259"/>
      <c r="G286" s="259"/>
      <c r="H286" s="259"/>
      <c r="I286" s="259"/>
      <c r="J286" s="259"/>
      <c r="K286" s="259"/>
      <c r="L286" s="259"/>
      <c r="M286" s="259"/>
    </row>
    <row r="287" spans="6:13" ht="13.5" customHeight="1">
      <c r="F287" s="259"/>
      <c r="G287" s="259"/>
      <c r="H287" s="259"/>
      <c r="I287" s="259"/>
      <c r="J287" s="259"/>
      <c r="K287" s="259"/>
      <c r="L287" s="259"/>
      <c r="M287" s="259"/>
    </row>
    <row r="288" spans="6:13" ht="13.5" customHeight="1">
      <c r="F288" s="259"/>
      <c r="G288" s="259"/>
      <c r="H288" s="259"/>
      <c r="I288" s="259"/>
      <c r="J288" s="259"/>
      <c r="K288" s="259"/>
      <c r="L288" s="259"/>
      <c r="M288" s="259"/>
    </row>
    <row r="289" spans="6:13" ht="13.5" customHeight="1">
      <c r="F289" s="259"/>
      <c r="G289" s="259"/>
      <c r="H289" s="259"/>
      <c r="I289" s="259"/>
      <c r="J289" s="259"/>
      <c r="K289" s="259"/>
      <c r="L289" s="259"/>
      <c r="M289" s="259"/>
    </row>
    <row r="290" spans="6:13" ht="13.5" customHeight="1">
      <c r="F290" s="259"/>
      <c r="G290" s="259"/>
      <c r="H290" s="259"/>
      <c r="I290" s="259"/>
      <c r="J290" s="259"/>
      <c r="K290" s="259"/>
      <c r="L290" s="259"/>
      <c r="M290" s="259"/>
    </row>
    <row r="291" spans="6:13" ht="13.5" customHeight="1">
      <c r="F291" s="259"/>
      <c r="G291" s="259"/>
      <c r="H291" s="259"/>
      <c r="I291" s="259"/>
      <c r="J291" s="259"/>
      <c r="K291" s="259"/>
      <c r="L291" s="259"/>
      <c r="M291" s="259"/>
    </row>
    <row r="292" spans="6:13" ht="13.5" customHeight="1">
      <c r="F292" s="259"/>
      <c r="G292" s="259"/>
      <c r="H292" s="259"/>
      <c r="I292" s="259"/>
      <c r="J292" s="259"/>
      <c r="K292" s="259"/>
      <c r="L292" s="259"/>
      <c r="M292" s="259"/>
    </row>
    <row r="293" spans="6:13" ht="13.5" customHeight="1">
      <c r="F293" s="259"/>
      <c r="G293" s="259"/>
      <c r="H293" s="259"/>
      <c r="I293" s="259"/>
      <c r="J293" s="259"/>
      <c r="K293" s="259"/>
      <c r="L293" s="259"/>
      <c r="M293" s="259"/>
    </row>
    <row r="294" spans="6:13" ht="13.5" customHeight="1">
      <c r="F294" s="259"/>
      <c r="G294" s="259"/>
      <c r="H294" s="259"/>
      <c r="I294" s="259"/>
      <c r="J294" s="259"/>
      <c r="K294" s="259"/>
      <c r="L294" s="259"/>
      <c r="M294" s="259"/>
    </row>
    <row r="295" spans="6:13" ht="13.5" customHeight="1">
      <c r="F295" s="259"/>
      <c r="G295" s="259"/>
      <c r="H295" s="259"/>
      <c r="I295" s="259"/>
      <c r="J295" s="259"/>
      <c r="K295" s="259"/>
      <c r="L295" s="259"/>
      <c r="M295" s="259"/>
    </row>
    <row r="296" spans="6:13" ht="13.5" customHeight="1">
      <c r="F296" s="259"/>
      <c r="G296" s="259"/>
      <c r="H296" s="259"/>
      <c r="I296" s="259"/>
      <c r="J296" s="259"/>
      <c r="K296" s="259"/>
      <c r="L296" s="259"/>
      <c r="M296" s="259"/>
    </row>
    <row r="297" spans="6:13" ht="13.5" customHeight="1">
      <c r="F297" s="259"/>
      <c r="G297" s="259"/>
      <c r="H297" s="259"/>
      <c r="I297" s="259"/>
      <c r="J297" s="259"/>
      <c r="K297" s="259"/>
      <c r="L297" s="259"/>
      <c r="M297" s="259"/>
    </row>
    <row r="298" spans="6:13" ht="13.5" customHeight="1">
      <c r="F298" s="259"/>
      <c r="G298" s="259"/>
      <c r="H298" s="259"/>
      <c r="I298" s="259"/>
      <c r="J298" s="259"/>
      <c r="K298" s="259"/>
      <c r="L298" s="259"/>
      <c r="M298" s="259"/>
    </row>
    <row r="299" spans="6:13" ht="13.5" customHeight="1">
      <c r="F299" s="259"/>
      <c r="G299" s="259"/>
      <c r="H299" s="259"/>
      <c r="I299" s="259"/>
      <c r="J299" s="259"/>
      <c r="K299" s="259"/>
      <c r="L299" s="259"/>
      <c r="M299" s="259"/>
    </row>
    <row r="300" spans="6:13" ht="13.5" customHeight="1">
      <c r="F300" s="259"/>
      <c r="G300" s="259"/>
      <c r="H300" s="259"/>
      <c r="I300" s="259"/>
      <c r="J300" s="259"/>
      <c r="K300" s="259"/>
      <c r="L300" s="259"/>
      <c r="M300" s="259"/>
    </row>
    <row r="301" spans="6:13" ht="13.5" customHeight="1">
      <c r="F301" s="259"/>
      <c r="G301" s="259"/>
      <c r="H301" s="259"/>
      <c r="I301" s="259"/>
      <c r="J301" s="259"/>
      <c r="K301" s="259"/>
      <c r="L301" s="259"/>
      <c r="M301" s="259"/>
    </row>
    <row r="302" spans="6:13" ht="13.5" customHeight="1">
      <c r="F302" s="259"/>
      <c r="G302" s="259"/>
      <c r="H302" s="259"/>
      <c r="I302" s="259"/>
      <c r="J302" s="259"/>
      <c r="K302" s="259"/>
      <c r="L302" s="259"/>
      <c r="M302" s="259"/>
    </row>
    <row r="303" spans="6:13" ht="13.5" customHeight="1">
      <c r="F303" s="259"/>
      <c r="G303" s="259"/>
      <c r="H303" s="259"/>
      <c r="I303" s="259"/>
      <c r="J303" s="259"/>
      <c r="K303" s="259"/>
      <c r="L303" s="259"/>
      <c r="M303" s="259"/>
    </row>
    <row r="304" spans="6:13" ht="13.5" customHeight="1">
      <c r="F304" s="259"/>
      <c r="G304" s="259"/>
      <c r="H304" s="259"/>
      <c r="I304" s="259"/>
      <c r="J304" s="259"/>
      <c r="K304" s="259"/>
      <c r="L304" s="259"/>
      <c r="M304" s="259"/>
    </row>
    <row r="305" spans="6:13" ht="13.5" customHeight="1">
      <c r="F305" s="259"/>
      <c r="G305" s="259"/>
      <c r="H305" s="259"/>
      <c r="I305" s="259"/>
      <c r="J305" s="259"/>
      <c r="K305" s="259"/>
      <c r="L305" s="259"/>
      <c r="M305" s="259"/>
    </row>
    <row r="306" spans="6:13" ht="13.5" customHeight="1">
      <c r="F306" s="259"/>
      <c r="G306" s="259"/>
      <c r="H306" s="259"/>
      <c r="I306" s="259"/>
      <c r="J306" s="259"/>
      <c r="K306" s="259"/>
      <c r="L306" s="259"/>
      <c r="M306" s="259"/>
    </row>
    <row r="307" spans="6:13" ht="13.5" customHeight="1">
      <c r="F307" s="259"/>
      <c r="G307" s="259"/>
      <c r="H307" s="259"/>
      <c r="I307" s="259"/>
      <c r="J307" s="259"/>
      <c r="K307" s="259"/>
      <c r="L307" s="259"/>
      <c r="M307" s="259"/>
    </row>
    <row r="308" spans="6:13" ht="13.5" customHeight="1">
      <c r="F308" s="259"/>
      <c r="G308" s="259"/>
      <c r="H308" s="259"/>
      <c r="I308" s="259"/>
      <c r="J308" s="259"/>
      <c r="K308" s="259"/>
      <c r="L308" s="259"/>
      <c r="M308" s="259"/>
    </row>
    <row r="309" spans="6:13" ht="13.5" customHeight="1">
      <c r="F309" s="259"/>
      <c r="G309" s="259"/>
      <c r="H309" s="259"/>
      <c r="I309" s="259"/>
      <c r="J309" s="259"/>
      <c r="K309" s="259"/>
      <c r="L309" s="259"/>
      <c r="M309" s="259"/>
    </row>
    <row r="310" spans="6:13" ht="13.5" customHeight="1">
      <c r="F310" s="259"/>
      <c r="G310" s="259"/>
      <c r="H310" s="259"/>
      <c r="I310" s="259"/>
      <c r="J310" s="259"/>
      <c r="K310" s="259"/>
      <c r="L310" s="259"/>
      <c r="M310" s="259"/>
    </row>
    <row r="311" spans="6:13" ht="13.5" customHeight="1">
      <c r="F311" s="259"/>
      <c r="G311" s="259"/>
      <c r="H311" s="259"/>
      <c r="I311" s="259"/>
      <c r="J311" s="259"/>
      <c r="K311" s="259"/>
      <c r="L311" s="259"/>
      <c r="M311" s="259"/>
    </row>
    <row r="312" spans="6:13" ht="13.5" customHeight="1">
      <c r="F312" s="259"/>
      <c r="G312" s="259"/>
      <c r="H312" s="259"/>
      <c r="I312" s="259"/>
      <c r="J312" s="259"/>
      <c r="K312" s="259"/>
      <c r="L312" s="259"/>
      <c r="M312" s="259"/>
    </row>
    <row r="313" spans="6:13" ht="13.5" customHeight="1">
      <c r="F313" s="259"/>
      <c r="G313" s="259"/>
      <c r="H313" s="259"/>
      <c r="I313" s="259"/>
      <c r="J313" s="259"/>
      <c r="K313" s="259"/>
      <c r="L313" s="259"/>
      <c r="M313" s="259"/>
    </row>
    <row r="314" spans="6:13" ht="13.5" customHeight="1">
      <c r="F314" s="259"/>
      <c r="G314" s="259"/>
      <c r="H314" s="259"/>
      <c r="I314" s="259"/>
      <c r="J314" s="259"/>
      <c r="K314" s="259"/>
      <c r="L314" s="259"/>
      <c r="M314" s="259"/>
    </row>
    <row r="315" spans="6:13" ht="13.5" customHeight="1">
      <c r="F315" s="259"/>
      <c r="G315" s="259"/>
      <c r="H315" s="259"/>
      <c r="I315" s="259"/>
      <c r="J315" s="259"/>
      <c r="K315" s="259"/>
      <c r="L315" s="259"/>
      <c r="M315" s="259"/>
    </row>
    <row r="316" spans="6:13" ht="13.5" customHeight="1">
      <c r="F316" s="259"/>
      <c r="G316" s="259"/>
      <c r="H316" s="259"/>
      <c r="I316" s="259"/>
      <c r="J316" s="259"/>
      <c r="K316" s="259"/>
      <c r="L316" s="259"/>
      <c r="M316" s="259"/>
    </row>
    <row r="317" spans="6:13" ht="13.5" customHeight="1">
      <c r="F317" s="259"/>
      <c r="G317" s="259"/>
      <c r="H317" s="259"/>
      <c r="I317" s="259"/>
      <c r="J317" s="259"/>
      <c r="K317" s="259"/>
      <c r="L317" s="259"/>
      <c r="M317" s="259"/>
    </row>
    <row r="318" spans="6:13" ht="13.5" customHeight="1">
      <c r="F318" s="259"/>
      <c r="G318" s="259"/>
      <c r="H318" s="259"/>
      <c r="I318" s="259"/>
      <c r="J318" s="259"/>
      <c r="K318" s="259"/>
      <c r="L318" s="259"/>
      <c r="M318" s="259"/>
    </row>
    <row r="319" spans="6:13" ht="13.5" customHeight="1">
      <c r="F319" s="259"/>
      <c r="G319" s="259"/>
      <c r="H319" s="259"/>
      <c r="I319" s="259"/>
      <c r="J319" s="259"/>
      <c r="K319" s="259"/>
      <c r="L319" s="259"/>
      <c r="M319" s="259"/>
    </row>
    <row r="320" spans="6:13" ht="13.5" customHeight="1">
      <c r="F320" s="259"/>
      <c r="G320" s="259"/>
      <c r="H320" s="259"/>
      <c r="I320" s="259"/>
      <c r="J320" s="259"/>
      <c r="K320" s="259"/>
      <c r="L320" s="259"/>
      <c r="M320" s="259"/>
    </row>
    <row r="321" spans="6:13" ht="13.5" customHeight="1">
      <c r="F321" s="259"/>
      <c r="G321" s="259"/>
      <c r="H321" s="259"/>
      <c r="I321" s="259"/>
      <c r="J321" s="259"/>
      <c r="K321" s="259"/>
      <c r="L321" s="259"/>
      <c r="M321" s="259"/>
    </row>
    <row r="322" spans="6:13" ht="13.5" customHeight="1">
      <c r="F322" s="259"/>
      <c r="G322" s="259"/>
      <c r="H322" s="259"/>
      <c r="I322" s="259"/>
      <c r="J322" s="259"/>
      <c r="K322" s="259"/>
      <c r="L322" s="259"/>
      <c r="M322" s="259"/>
    </row>
    <row r="323" spans="6:13" ht="13.5" customHeight="1">
      <c r="F323" s="259"/>
      <c r="G323" s="259"/>
      <c r="H323" s="259"/>
      <c r="I323" s="259"/>
      <c r="J323" s="259"/>
      <c r="K323" s="259"/>
      <c r="L323" s="259"/>
      <c r="M323" s="259"/>
    </row>
    <row r="324" spans="6:13" ht="13.5" customHeight="1">
      <c r="F324" s="259"/>
      <c r="G324" s="259"/>
      <c r="H324" s="259"/>
      <c r="I324" s="259"/>
      <c r="J324" s="259"/>
      <c r="K324" s="259"/>
      <c r="L324" s="259"/>
      <c r="M324" s="259"/>
    </row>
    <row r="325" spans="6:13" ht="13.5" customHeight="1">
      <c r="F325" s="259"/>
      <c r="G325" s="259"/>
      <c r="H325" s="259"/>
      <c r="I325" s="259"/>
      <c r="J325" s="259"/>
      <c r="K325" s="259"/>
      <c r="L325" s="259"/>
      <c r="M325" s="259"/>
    </row>
    <row r="326" spans="6:13" ht="13.5" customHeight="1">
      <c r="F326" s="259"/>
      <c r="G326" s="259"/>
      <c r="H326" s="259"/>
      <c r="I326" s="259"/>
      <c r="J326" s="259"/>
      <c r="K326" s="259"/>
      <c r="L326" s="259"/>
      <c r="M326" s="259"/>
    </row>
    <row r="327" spans="6:13" ht="13.5" customHeight="1">
      <c r="F327" s="259"/>
      <c r="G327" s="259"/>
      <c r="H327" s="259"/>
      <c r="I327" s="259"/>
      <c r="J327" s="259"/>
      <c r="K327" s="259"/>
      <c r="L327" s="259"/>
      <c r="M327" s="259"/>
    </row>
    <row r="328" spans="6:13" ht="13.5" customHeight="1">
      <c r="F328" s="259"/>
      <c r="G328" s="259"/>
      <c r="H328" s="259"/>
      <c r="I328" s="259"/>
      <c r="J328" s="259"/>
      <c r="K328" s="259"/>
      <c r="L328" s="259"/>
      <c r="M328" s="259"/>
    </row>
    <row r="329" spans="6:13" ht="13.5" customHeight="1">
      <c r="F329" s="259"/>
      <c r="G329" s="259"/>
      <c r="H329" s="259"/>
      <c r="I329" s="259"/>
      <c r="J329" s="259"/>
      <c r="K329" s="259"/>
      <c r="L329" s="259"/>
      <c r="M329" s="259"/>
    </row>
    <row r="330" spans="6:13" ht="13.5" customHeight="1">
      <c r="F330" s="259"/>
      <c r="G330" s="259"/>
      <c r="H330" s="259"/>
      <c r="I330" s="259"/>
      <c r="J330" s="259"/>
      <c r="K330" s="259"/>
      <c r="L330" s="259"/>
      <c r="M330" s="259"/>
    </row>
    <row r="331" spans="6:13" ht="13.5" customHeight="1">
      <c r="F331" s="259"/>
      <c r="G331" s="259"/>
      <c r="H331" s="259"/>
      <c r="I331" s="259"/>
      <c r="J331" s="259"/>
      <c r="K331" s="259"/>
      <c r="L331" s="259"/>
      <c r="M331" s="259"/>
    </row>
    <row r="332" spans="6:13" ht="13.5" customHeight="1">
      <c r="F332" s="259"/>
      <c r="G332" s="259"/>
      <c r="H332" s="259"/>
      <c r="I332" s="259"/>
      <c r="J332" s="259"/>
      <c r="K332" s="259"/>
      <c r="L332" s="259"/>
      <c r="M332" s="259"/>
    </row>
    <row r="333" spans="6:13" ht="13.5" customHeight="1">
      <c r="F333" s="259"/>
      <c r="G333" s="259"/>
      <c r="H333" s="259"/>
      <c r="I333" s="259"/>
      <c r="J333" s="259"/>
      <c r="K333" s="259"/>
      <c r="L333" s="259"/>
      <c r="M333" s="259"/>
    </row>
    <row r="334" spans="6:13" ht="13.5" customHeight="1">
      <c r="F334" s="259"/>
      <c r="G334" s="259"/>
      <c r="H334" s="259"/>
      <c r="I334" s="259"/>
      <c r="J334" s="259"/>
      <c r="K334" s="259"/>
      <c r="L334" s="259"/>
      <c r="M334" s="259"/>
    </row>
    <row r="335" spans="6:13" ht="13.5" customHeight="1">
      <c r="F335" s="259"/>
      <c r="G335" s="259"/>
      <c r="H335" s="259"/>
      <c r="I335" s="259"/>
      <c r="J335" s="259"/>
      <c r="K335" s="259"/>
      <c r="L335" s="259"/>
      <c r="M335" s="259"/>
    </row>
    <row r="336" spans="6:13" ht="13.5" customHeight="1">
      <c r="F336" s="259"/>
      <c r="G336" s="259"/>
      <c r="H336" s="259"/>
      <c r="I336" s="259"/>
      <c r="J336" s="259"/>
      <c r="K336" s="259"/>
      <c r="L336" s="259"/>
      <c r="M336" s="259"/>
    </row>
    <row r="337" spans="6:13" ht="13.5" customHeight="1">
      <c r="F337" s="259"/>
      <c r="G337" s="259"/>
      <c r="H337" s="259"/>
      <c r="I337" s="259"/>
      <c r="J337" s="259"/>
      <c r="K337" s="259"/>
      <c r="L337" s="259"/>
      <c r="M337" s="259"/>
    </row>
    <row r="338" spans="6:13" ht="13.5" customHeight="1">
      <c r="F338" s="259"/>
      <c r="G338" s="259"/>
      <c r="H338" s="259"/>
      <c r="I338" s="259"/>
      <c r="J338" s="259"/>
      <c r="K338" s="259"/>
      <c r="L338" s="259"/>
      <c r="M338" s="259"/>
    </row>
    <row r="339" spans="6:13" ht="13.5" customHeight="1">
      <c r="F339" s="259"/>
      <c r="G339" s="259"/>
      <c r="H339" s="259"/>
      <c r="I339" s="259"/>
      <c r="J339" s="259"/>
      <c r="K339" s="259"/>
      <c r="L339" s="259"/>
      <c r="M339" s="259"/>
    </row>
    <row r="340" spans="6:13" ht="13.5" customHeight="1">
      <c r="F340" s="259"/>
      <c r="G340" s="259"/>
      <c r="H340" s="259"/>
      <c r="I340" s="259"/>
      <c r="J340" s="259"/>
      <c r="K340" s="259"/>
      <c r="L340" s="259"/>
      <c r="M340" s="259"/>
    </row>
    <row r="341" spans="6:13" ht="13.5" customHeight="1">
      <c r="F341" s="259"/>
      <c r="G341" s="259"/>
      <c r="H341" s="259"/>
      <c r="I341" s="259"/>
      <c r="J341" s="259"/>
      <c r="K341" s="259"/>
      <c r="L341" s="259"/>
      <c r="M341" s="259"/>
    </row>
    <row r="342" spans="6:13" ht="13.5" customHeight="1">
      <c r="F342" s="259"/>
      <c r="G342" s="259"/>
      <c r="H342" s="259"/>
      <c r="I342" s="259"/>
      <c r="J342" s="259"/>
      <c r="K342" s="259"/>
      <c r="L342" s="259"/>
      <c r="M342" s="259"/>
    </row>
    <row r="343" spans="6:13" ht="13.5" customHeight="1">
      <c r="F343" s="259"/>
      <c r="G343" s="259"/>
      <c r="H343" s="259"/>
      <c r="I343" s="259"/>
      <c r="J343" s="259"/>
      <c r="K343" s="259"/>
      <c r="L343" s="259"/>
      <c r="M343" s="259"/>
    </row>
    <row r="344" spans="6:13" ht="13.5" customHeight="1">
      <c r="F344" s="259"/>
      <c r="G344" s="259"/>
      <c r="H344" s="259"/>
      <c r="I344" s="259"/>
      <c r="J344" s="259"/>
      <c r="K344" s="259"/>
      <c r="L344" s="259"/>
      <c r="M344" s="259"/>
    </row>
    <row r="345" spans="6:13" ht="13.5" customHeight="1">
      <c r="F345" s="259"/>
      <c r="G345" s="259"/>
      <c r="H345" s="259"/>
      <c r="I345" s="259"/>
      <c r="J345" s="259"/>
      <c r="K345" s="259"/>
      <c r="L345" s="259"/>
      <c r="M345" s="259"/>
    </row>
    <row r="346" spans="6:13" ht="13.5" customHeight="1">
      <c r="F346" s="259"/>
      <c r="G346" s="259"/>
      <c r="H346" s="259"/>
      <c r="I346" s="259"/>
      <c r="J346" s="259"/>
      <c r="K346" s="259"/>
      <c r="L346" s="259"/>
      <c r="M346" s="259"/>
    </row>
    <row r="347" spans="6:13" ht="13.5" customHeight="1">
      <c r="F347" s="259"/>
      <c r="G347" s="259"/>
      <c r="H347" s="259"/>
      <c r="I347" s="259"/>
      <c r="J347" s="259"/>
      <c r="K347" s="259"/>
      <c r="L347" s="259"/>
      <c r="M347" s="259"/>
    </row>
    <row r="348" spans="6:13" ht="13.5" customHeight="1">
      <c r="F348" s="259"/>
      <c r="G348" s="259"/>
      <c r="H348" s="259"/>
      <c r="I348" s="259"/>
      <c r="J348" s="259"/>
      <c r="K348" s="259"/>
      <c r="L348" s="259"/>
      <c r="M348" s="259"/>
    </row>
    <row r="349" spans="6:13" ht="13.5" customHeight="1">
      <c r="F349" s="259"/>
      <c r="G349" s="259"/>
      <c r="H349" s="259"/>
      <c r="I349" s="259"/>
      <c r="J349" s="259"/>
      <c r="K349" s="259"/>
      <c r="L349" s="259"/>
      <c r="M349" s="259"/>
    </row>
    <row r="350" spans="6:13" ht="13.5" customHeight="1">
      <c r="F350" s="259"/>
      <c r="G350" s="259"/>
      <c r="H350" s="259"/>
      <c r="I350" s="259"/>
      <c r="J350" s="259"/>
      <c r="K350" s="259"/>
      <c r="L350" s="259"/>
      <c r="M350" s="259"/>
    </row>
    <row r="351" spans="6:13" ht="13.5" customHeight="1">
      <c r="F351" s="259"/>
      <c r="G351" s="259"/>
      <c r="H351" s="259"/>
      <c r="I351" s="259"/>
      <c r="J351" s="259"/>
      <c r="K351" s="259"/>
      <c r="L351" s="259"/>
      <c r="M351" s="259"/>
    </row>
    <row r="352" spans="6:13" ht="13.5" customHeight="1">
      <c r="F352" s="259"/>
      <c r="G352" s="259"/>
      <c r="H352" s="259"/>
      <c r="I352" s="259"/>
      <c r="J352" s="259"/>
      <c r="K352" s="259"/>
      <c r="L352" s="259"/>
      <c r="M352" s="259"/>
    </row>
    <row r="353" spans="6:13" ht="13.5" customHeight="1">
      <c r="F353" s="259"/>
      <c r="G353" s="259"/>
      <c r="H353" s="259"/>
      <c r="I353" s="259"/>
      <c r="J353" s="259"/>
      <c r="K353" s="259"/>
      <c r="L353" s="259"/>
      <c r="M353" s="259"/>
    </row>
    <row r="354" spans="6:13" ht="13.5" customHeight="1">
      <c r="F354" s="259"/>
      <c r="G354" s="259"/>
      <c r="H354" s="259"/>
      <c r="I354" s="259"/>
      <c r="J354" s="259"/>
      <c r="K354" s="259"/>
      <c r="L354" s="259"/>
      <c r="M354" s="259"/>
    </row>
    <row r="355" spans="6:13" ht="13.5" customHeight="1">
      <c r="F355" s="259"/>
      <c r="G355" s="259"/>
      <c r="H355" s="259"/>
      <c r="I355" s="259"/>
      <c r="J355" s="259"/>
      <c r="K355" s="259"/>
      <c r="L355" s="259"/>
      <c r="M355" s="259"/>
    </row>
    <row r="356" spans="6:13" ht="13.5" customHeight="1">
      <c r="F356" s="259"/>
      <c r="G356" s="259"/>
      <c r="H356" s="259"/>
      <c r="I356" s="259"/>
      <c r="J356" s="259"/>
      <c r="K356" s="259"/>
      <c r="L356" s="259"/>
      <c r="M356" s="259"/>
    </row>
    <row r="357" spans="6:13" ht="13.5" customHeight="1">
      <c r="F357" s="259"/>
      <c r="G357" s="259"/>
      <c r="H357" s="259"/>
      <c r="I357" s="259"/>
      <c r="J357" s="259"/>
      <c r="K357" s="259"/>
      <c r="L357" s="259"/>
      <c r="M357" s="259"/>
    </row>
    <row r="358" spans="6:13" ht="13.5" customHeight="1">
      <c r="F358" s="259"/>
      <c r="G358" s="259"/>
      <c r="H358" s="259"/>
      <c r="I358" s="259"/>
      <c r="J358" s="259"/>
      <c r="K358" s="259"/>
      <c r="L358" s="259"/>
      <c r="M358" s="259"/>
    </row>
    <row r="359" spans="6:13" ht="13.5" customHeight="1">
      <c r="F359" s="259"/>
      <c r="G359" s="259"/>
      <c r="H359" s="259"/>
      <c r="I359" s="259"/>
      <c r="J359" s="259"/>
      <c r="K359" s="259"/>
      <c r="L359" s="259"/>
      <c r="M359" s="259"/>
    </row>
    <row r="360" spans="6:13" ht="13.5" customHeight="1">
      <c r="F360" s="259"/>
      <c r="G360" s="259"/>
      <c r="H360" s="259"/>
      <c r="I360" s="259"/>
      <c r="J360" s="259"/>
      <c r="K360" s="259"/>
      <c r="L360" s="259"/>
      <c r="M360" s="259"/>
    </row>
    <row r="361" spans="6:13" ht="13.5" customHeight="1">
      <c r="F361" s="259"/>
      <c r="G361" s="259"/>
      <c r="H361" s="259"/>
      <c r="I361" s="259"/>
      <c r="J361" s="259"/>
      <c r="K361" s="259"/>
      <c r="L361" s="259"/>
      <c r="M361" s="259"/>
    </row>
    <row r="362" spans="6:13" ht="13.5" customHeight="1">
      <c r="F362" s="259"/>
      <c r="G362" s="259"/>
      <c r="H362" s="259"/>
      <c r="I362" s="259"/>
      <c r="J362" s="259"/>
      <c r="K362" s="259"/>
      <c r="L362" s="259"/>
      <c r="M362" s="259"/>
    </row>
    <row r="363" spans="6:13" ht="13.5" customHeight="1">
      <c r="F363" s="259"/>
      <c r="G363" s="259"/>
      <c r="H363" s="259"/>
      <c r="I363" s="259"/>
      <c r="J363" s="259"/>
      <c r="K363" s="259"/>
      <c r="L363" s="259"/>
      <c r="M363" s="259"/>
    </row>
    <row r="364" spans="6:13" ht="13.5" customHeight="1">
      <c r="F364" s="259"/>
      <c r="G364" s="259"/>
      <c r="H364" s="259"/>
      <c r="I364" s="259"/>
      <c r="J364" s="259"/>
      <c r="K364" s="259"/>
      <c r="L364" s="259"/>
      <c r="M364" s="259"/>
    </row>
    <row r="365" spans="6:13" ht="13.5" customHeight="1">
      <c r="F365" s="259"/>
      <c r="G365" s="259"/>
      <c r="H365" s="259"/>
      <c r="I365" s="259"/>
      <c r="J365" s="259"/>
      <c r="K365" s="259"/>
      <c r="L365" s="259"/>
      <c r="M365" s="259"/>
    </row>
    <row r="366" spans="6:13" ht="13.5" customHeight="1">
      <c r="F366" s="259"/>
      <c r="G366" s="259"/>
      <c r="H366" s="259"/>
      <c r="I366" s="259"/>
      <c r="J366" s="259"/>
      <c r="K366" s="259"/>
      <c r="L366" s="259"/>
      <c r="M366" s="259"/>
    </row>
    <row r="367" spans="6:13" ht="13.5" customHeight="1">
      <c r="F367" s="259"/>
      <c r="G367" s="259"/>
      <c r="H367" s="259"/>
      <c r="I367" s="259"/>
      <c r="J367" s="259"/>
      <c r="K367" s="259"/>
      <c r="L367" s="259"/>
      <c r="M367" s="259"/>
    </row>
    <row r="368" spans="6:13" ht="13.5" customHeight="1">
      <c r="F368" s="259"/>
      <c r="G368" s="259"/>
      <c r="H368" s="259"/>
      <c r="I368" s="259"/>
      <c r="J368" s="259"/>
      <c r="K368" s="259"/>
      <c r="L368" s="259"/>
      <c r="M368" s="259"/>
    </row>
    <row r="369" spans="6:13" ht="13.5" customHeight="1">
      <c r="F369" s="259"/>
      <c r="G369" s="259"/>
      <c r="H369" s="259"/>
      <c r="I369" s="259"/>
      <c r="J369" s="259"/>
      <c r="K369" s="259"/>
      <c r="L369" s="259"/>
      <c r="M369" s="259"/>
    </row>
    <row r="370" spans="6:13" ht="13.5" customHeight="1">
      <c r="F370" s="259"/>
      <c r="G370" s="259"/>
      <c r="H370" s="259"/>
      <c r="I370" s="259"/>
      <c r="J370" s="259"/>
      <c r="K370" s="259"/>
      <c r="L370" s="259"/>
      <c r="M370" s="259"/>
    </row>
    <row r="371" spans="6:13" ht="13.5" customHeight="1">
      <c r="F371" s="259"/>
      <c r="G371" s="259"/>
      <c r="H371" s="259"/>
      <c r="I371" s="259"/>
      <c r="J371" s="259"/>
      <c r="K371" s="259"/>
      <c r="L371" s="259"/>
      <c r="M371" s="259"/>
    </row>
    <row r="372" spans="6:13" ht="13.5" customHeight="1">
      <c r="F372" s="259"/>
      <c r="G372" s="259"/>
      <c r="H372" s="259"/>
      <c r="I372" s="259"/>
      <c r="J372" s="259"/>
      <c r="K372" s="259"/>
      <c r="L372" s="259"/>
      <c r="M372" s="259"/>
    </row>
    <row r="373" spans="6:13" ht="13.5" customHeight="1">
      <c r="F373" s="259"/>
      <c r="G373" s="259"/>
      <c r="H373" s="259"/>
      <c r="I373" s="259"/>
      <c r="J373" s="259"/>
      <c r="K373" s="259"/>
      <c r="L373" s="259"/>
      <c r="M373" s="259"/>
    </row>
    <row r="374" spans="6:13" ht="13.5" customHeight="1">
      <c r="F374" s="259"/>
      <c r="G374" s="259"/>
      <c r="H374" s="259"/>
      <c r="I374" s="259"/>
      <c r="J374" s="259"/>
      <c r="K374" s="259"/>
      <c r="L374" s="259"/>
      <c r="M374" s="259"/>
    </row>
    <row r="375" spans="6:13" ht="13.5" customHeight="1">
      <c r="F375" s="259"/>
      <c r="G375" s="259"/>
      <c r="H375" s="259"/>
      <c r="I375" s="259"/>
      <c r="J375" s="259"/>
      <c r="K375" s="259"/>
      <c r="L375" s="259"/>
      <c r="M375" s="259"/>
    </row>
    <row r="376" spans="6:13" ht="13.5" customHeight="1">
      <c r="F376" s="259"/>
      <c r="G376" s="259"/>
      <c r="H376" s="259"/>
      <c r="I376" s="259"/>
      <c r="J376" s="259"/>
      <c r="K376" s="259"/>
      <c r="L376" s="259"/>
      <c r="M376" s="259"/>
    </row>
    <row r="377" spans="6:13" ht="13.5" customHeight="1">
      <c r="F377" s="259"/>
      <c r="G377" s="259"/>
      <c r="H377" s="259"/>
      <c r="I377" s="259"/>
      <c r="J377" s="259"/>
      <c r="K377" s="259"/>
      <c r="L377" s="259"/>
      <c r="M377" s="259"/>
    </row>
    <row r="378" spans="6:13" ht="13.5" customHeight="1">
      <c r="F378" s="259"/>
      <c r="G378" s="259"/>
      <c r="H378" s="259"/>
      <c r="I378" s="259"/>
      <c r="J378" s="259"/>
      <c r="K378" s="259"/>
      <c r="L378" s="259"/>
      <c r="M378" s="259"/>
    </row>
    <row r="379" spans="6:13" ht="13.5" customHeight="1">
      <c r="F379" s="259"/>
      <c r="G379" s="259"/>
      <c r="H379" s="259"/>
      <c r="I379" s="259"/>
      <c r="J379" s="259"/>
      <c r="K379" s="259"/>
      <c r="L379" s="259"/>
      <c r="M379" s="259"/>
    </row>
    <row r="380" spans="6:13" ht="13.5" customHeight="1">
      <c r="F380" s="259"/>
      <c r="G380" s="259"/>
      <c r="H380" s="259"/>
      <c r="I380" s="259"/>
      <c r="J380" s="259"/>
      <c r="K380" s="259"/>
      <c r="L380" s="259"/>
      <c r="M380" s="259"/>
    </row>
    <row r="381" spans="6:13" ht="13.5" customHeight="1">
      <c r="F381" s="259"/>
      <c r="G381" s="259"/>
      <c r="H381" s="259"/>
      <c r="I381" s="259"/>
      <c r="J381" s="259"/>
      <c r="K381" s="259"/>
      <c r="L381" s="259"/>
      <c r="M381" s="259"/>
    </row>
    <row r="382" spans="6:13" ht="13.5" customHeight="1">
      <c r="F382" s="259"/>
      <c r="G382" s="259"/>
      <c r="H382" s="259"/>
      <c r="I382" s="259"/>
      <c r="J382" s="259"/>
      <c r="K382" s="259"/>
      <c r="L382" s="259"/>
      <c r="M382" s="259"/>
    </row>
    <row r="383" spans="6:13" ht="13.5" customHeight="1">
      <c r="F383" s="259"/>
      <c r="G383" s="259"/>
      <c r="H383" s="259"/>
      <c r="I383" s="259"/>
      <c r="J383" s="259"/>
      <c r="K383" s="259"/>
      <c r="L383" s="259"/>
      <c r="M383" s="259"/>
    </row>
    <row r="384" spans="6:13" ht="13.5" customHeight="1">
      <c r="F384" s="259"/>
      <c r="G384" s="259"/>
      <c r="H384" s="259"/>
      <c r="I384" s="259"/>
      <c r="J384" s="259"/>
      <c r="K384" s="259"/>
      <c r="L384" s="259"/>
      <c r="M384" s="259"/>
    </row>
    <row r="385" spans="6:13" ht="13.5" customHeight="1">
      <c r="F385" s="259"/>
      <c r="G385" s="259"/>
      <c r="H385" s="259"/>
      <c r="I385" s="259"/>
      <c r="J385" s="259"/>
      <c r="K385" s="259"/>
      <c r="L385" s="259"/>
      <c r="M385" s="259"/>
    </row>
    <row r="386" spans="6:13" ht="13.5" customHeight="1">
      <c r="F386" s="259"/>
      <c r="G386" s="259"/>
      <c r="H386" s="259"/>
      <c r="I386" s="259"/>
      <c r="J386" s="259"/>
      <c r="K386" s="259"/>
      <c r="L386" s="259"/>
      <c r="M386" s="259"/>
    </row>
    <row r="387" spans="6:13" ht="13.5" customHeight="1">
      <c r="F387" s="259"/>
      <c r="G387" s="259"/>
      <c r="H387" s="259"/>
      <c r="I387" s="259"/>
      <c r="J387" s="259"/>
      <c r="K387" s="259"/>
      <c r="L387" s="259"/>
      <c r="M387" s="259"/>
    </row>
    <row r="388" spans="6:13" ht="13.5" customHeight="1">
      <c r="F388" s="259"/>
      <c r="G388" s="259"/>
      <c r="H388" s="259"/>
      <c r="I388" s="259"/>
      <c r="J388" s="259"/>
      <c r="K388" s="259"/>
      <c r="L388" s="259"/>
      <c r="M388" s="259"/>
    </row>
    <row r="389" spans="6:13" ht="13.5" customHeight="1">
      <c r="F389" s="259"/>
      <c r="G389" s="259"/>
      <c r="H389" s="259"/>
      <c r="I389" s="259"/>
      <c r="J389" s="259"/>
      <c r="K389" s="259"/>
      <c r="L389" s="259"/>
      <c r="M389" s="259"/>
    </row>
    <row r="390" spans="6:13" ht="13.5" customHeight="1">
      <c r="F390" s="259"/>
      <c r="G390" s="259"/>
      <c r="H390" s="259"/>
      <c r="I390" s="259"/>
      <c r="J390" s="259"/>
      <c r="K390" s="259"/>
      <c r="L390" s="259"/>
      <c r="M390" s="259"/>
    </row>
    <row r="391" spans="6:13" ht="13.5" customHeight="1">
      <c r="F391" s="259"/>
      <c r="G391" s="259"/>
      <c r="H391" s="259"/>
      <c r="I391" s="259"/>
      <c r="J391" s="259"/>
      <c r="K391" s="259"/>
      <c r="L391" s="259"/>
      <c r="M391" s="259"/>
    </row>
    <row r="392" spans="6:13" ht="13.5" customHeight="1">
      <c r="F392" s="259"/>
      <c r="G392" s="259"/>
      <c r="H392" s="259"/>
      <c r="I392" s="259"/>
      <c r="J392" s="259"/>
      <c r="K392" s="259"/>
      <c r="L392" s="259"/>
      <c r="M392" s="259"/>
    </row>
    <row r="393" spans="6:13" ht="13.5" customHeight="1">
      <c r="F393" s="259"/>
      <c r="G393" s="259"/>
      <c r="H393" s="259"/>
      <c r="I393" s="259"/>
      <c r="J393" s="259"/>
      <c r="K393" s="259"/>
      <c r="L393" s="259"/>
      <c r="M393" s="259"/>
    </row>
    <row r="394" spans="6:13" ht="13.5" customHeight="1">
      <c r="F394" s="259"/>
      <c r="G394" s="259"/>
      <c r="H394" s="259"/>
      <c r="I394" s="259"/>
      <c r="J394" s="259"/>
      <c r="K394" s="259"/>
      <c r="L394" s="259"/>
      <c r="M394" s="259"/>
    </row>
    <row r="395" spans="6:13" ht="13.5" customHeight="1">
      <c r="F395" s="259"/>
      <c r="G395" s="259"/>
      <c r="H395" s="259"/>
      <c r="I395" s="259"/>
      <c r="J395" s="259"/>
      <c r="K395" s="259"/>
      <c r="L395" s="259"/>
      <c r="M395" s="259"/>
    </row>
    <row r="396" spans="6:13" ht="13.5" customHeight="1">
      <c r="F396" s="259"/>
      <c r="G396" s="259"/>
      <c r="H396" s="259"/>
      <c r="I396" s="259"/>
      <c r="J396" s="259"/>
      <c r="K396" s="259"/>
      <c r="L396" s="259"/>
      <c r="M396" s="259"/>
    </row>
    <row r="397" spans="6:13" ht="13.5" customHeight="1">
      <c r="F397" s="259"/>
      <c r="G397" s="259"/>
      <c r="H397" s="259"/>
      <c r="I397" s="259"/>
      <c r="J397" s="259"/>
      <c r="K397" s="259"/>
      <c r="L397" s="259"/>
      <c r="M397" s="259"/>
    </row>
    <row r="398" spans="6:13" ht="13.5" customHeight="1">
      <c r="F398" s="259"/>
      <c r="G398" s="259"/>
      <c r="H398" s="259"/>
      <c r="I398" s="259"/>
      <c r="J398" s="259"/>
      <c r="K398" s="259"/>
      <c r="L398" s="259"/>
      <c r="M398" s="259"/>
    </row>
    <row r="399" spans="6:13" ht="13.5" customHeight="1">
      <c r="F399" s="259"/>
      <c r="G399" s="259"/>
      <c r="H399" s="259"/>
      <c r="I399" s="259"/>
      <c r="J399" s="259"/>
      <c r="K399" s="259"/>
      <c r="L399" s="259"/>
      <c r="M399" s="259"/>
    </row>
    <row r="400" spans="6:13" ht="13.5" customHeight="1">
      <c r="F400" s="259"/>
      <c r="G400" s="259"/>
      <c r="H400" s="259"/>
      <c r="I400" s="259"/>
      <c r="J400" s="259"/>
      <c r="K400" s="259"/>
      <c r="L400" s="259"/>
      <c r="M400" s="259"/>
    </row>
    <row r="401" spans="6:13" ht="13.5" customHeight="1">
      <c r="F401" s="259"/>
      <c r="G401" s="259"/>
      <c r="H401" s="259"/>
      <c r="I401" s="259"/>
      <c r="J401" s="259"/>
      <c r="K401" s="259"/>
      <c r="L401" s="259"/>
      <c r="M401" s="259"/>
    </row>
    <row r="402" spans="6:13" ht="13.5" customHeight="1">
      <c r="F402" s="259"/>
      <c r="G402" s="259"/>
      <c r="H402" s="259"/>
      <c r="I402" s="259"/>
      <c r="J402" s="259"/>
      <c r="K402" s="259"/>
      <c r="L402" s="259"/>
      <c r="M402" s="259"/>
    </row>
    <row r="403" spans="6:13" ht="13.5" customHeight="1">
      <c r="F403" s="259"/>
      <c r="G403" s="259"/>
      <c r="H403" s="259"/>
      <c r="I403" s="259"/>
      <c r="J403" s="259"/>
      <c r="K403" s="259"/>
      <c r="L403" s="259"/>
      <c r="M403" s="259"/>
    </row>
    <row r="404" spans="6:13" ht="13.5" customHeight="1">
      <c r="F404" s="259"/>
      <c r="G404" s="259"/>
      <c r="H404" s="259"/>
      <c r="I404" s="259"/>
      <c r="J404" s="259"/>
      <c r="K404" s="259"/>
      <c r="L404" s="259"/>
      <c r="M404" s="259"/>
    </row>
    <row r="405" spans="6:13" ht="13.5" customHeight="1">
      <c r="F405" s="259"/>
      <c r="G405" s="259"/>
      <c r="H405" s="259"/>
      <c r="I405" s="259"/>
      <c r="J405" s="259"/>
      <c r="K405" s="259"/>
      <c r="L405" s="259"/>
      <c r="M405" s="259"/>
    </row>
    <row r="406" spans="6:13" ht="13.5" customHeight="1">
      <c r="F406" s="259"/>
      <c r="G406" s="259"/>
      <c r="H406" s="259"/>
      <c r="I406" s="259"/>
      <c r="J406" s="259"/>
      <c r="K406" s="259"/>
      <c r="L406" s="259"/>
      <c r="M406" s="259"/>
    </row>
    <row r="407" spans="6:13" ht="13.5" customHeight="1">
      <c r="F407" s="259"/>
      <c r="G407" s="259"/>
      <c r="H407" s="259"/>
      <c r="I407" s="259"/>
      <c r="J407" s="259"/>
      <c r="K407" s="259"/>
      <c r="L407" s="259"/>
      <c r="M407" s="259"/>
    </row>
    <row r="408" spans="6:13" ht="13.5" customHeight="1">
      <c r="F408" s="259"/>
      <c r="G408" s="259"/>
      <c r="H408" s="259"/>
      <c r="I408" s="259"/>
      <c r="J408" s="259"/>
      <c r="K408" s="259"/>
      <c r="L408" s="259"/>
      <c r="M408" s="259"/>
    </row>
    <row r="409" spans="6:13" ht="13.5" customHeight="1">
      <c r="F409" s="259"/>
      <c r="G409" s="259"/>
      <c r="H409" s="259"/>
      <c r="I409" s="259"/>
      <c r="J409" s="259"/>
      <c r="K409" s="259"/>
      <c r="L409" s="259"/>
      <c r="M409" s="259"/>
    </row>
    <row r="410" spans="6:13" ht="13.5" customHeight="1">
      <c r="F410" s="259"/>
      <c r="G410" s="259"/>
      <c r="H410" s="259"/>
      <c r="I410" s="259"/>
      <c r="J410" s="259"/>
      <c r="K410" s="259"/>
      <c r="L410" s="259"/>
      <c r="M410" s="259"/>
    </row>
    <row r="411" spans="6:13" ht="13.5" customHeight="1">
      <c r="F411" s="259"/>
      <c r="G411" s="259"/>
      <c r="H411" s="259"/>
      <c r="I411" s="259"/>
      <c r="J411" s="259"/>
      <c r="K411" s="259"/>
      <c r="L411" s="259"/>
      <c r="M411" s="259"/>
    </row>
    <row r="412" spans="6:13" ht="13.5" customHeight="1">
      <c r="F412" s="259"/>
      <c r="G412" s="259"/>
      <c r="H412" s="259"/>
      <c r="I412" s="259"/>
      <c r="J412" s="259"/>
      <c r="K412" s="259"/>
      <c r="L412" s="259"/>
      <c r="M412" s="259"/>
    </row>
    <row r="413" spans="6:13" ht="13.5" customHeight="1">
      <c r="F413" s="259"/>
      <c r="G413" s="259"/>
      <c r="H413" s="259"/>
      <c r="I413" s="259"/>
      <c r="J413" s="259"/>
      <c r="K413" s="259"/>
      <c r="L413" s="259"/>
      <c r="M413" s="259"/>
    </row>
    <row r="414" spans="6:13" ht="13.5" customHeight="1">
      <c r="F414" s="259"/>
      <c r="G414" s="259"/>
      <c r="H414" s="259"/>
      <c r="I414" s="259"/>
      <c r="J414" s="259"/>
      <c r="K414" s="259"/>
      <c r="L414" s="259"/>
      <c r="M414" s="259"/>
    </row>
    <row r="415" spans="6:13" ht="13.5" customHeight="1">
      <c r="F415" s="259"/>
      <c r="G415" s="259"/>
      <c r="H415" s="259"/>
      <c r="I415" s="259"/>
      <c r="J415" s="259"/>
      <c r="K415" s="259"/>
      <c r="L415" s="259"/>
      <c r="M415" s="259"/>
    </row>
    <row r="416" spans="6:13" ht="13.5" customHeight="1">
      <c r="F416" s="259"/>
      <c r="G416" s="259"/>
      <c r="H416" s="259"/>
      <c r="I416" s="259"/>
      <c r="J416" s="259"/>
      <c r="K416" s="259"/>
      <c r="L416" s="259"/>
      <c r="M416" s="259"/>
    </row>
    <row r="417" spans="6:13" ht="13.5" customHeight="1">
      <c r="F417" s="259"/>
      <c r="G417" s="259"/>
      <c r="H417" s="259"/>
      <c r="I417" s="259"/>
      <c r="J417" s="259"/>
      <c r="K417" s="259"/>
      <c r="L417" s="259"/>
      <c r="M417" s="259"/>
    </row>
    <row r="418" spans="6:13" ht="13.5" customHeight="1">
      <c r="F418" s="259"/>
      <c r="G418" s="259"/>
      <c r="H418" s="259"/>
      <c r="I418" s="259"/>
      <c r="J418" s="259"/>
      <c r="K418" s="259"/>
      <c r="L418" s="259"/>
      <c r="M418" s="259"/>
    </row>
    <row r="419" spans="6:13" ht="13.5" customHeight="1">
      <c r="F419" s="259"/>
      <c r="G419" s="259"/>
      <c r="H419" s="259"/>
      <c r="I419" s="259"/>
      <c r="J419" s="259"/>
      <c r="K419" s="259"/>
      <c r="L419" s="259"/>
      <c r="M419" s="259"/>
    </row>
    <row r="420" spans="6:13" ht="13.5" customHeight="1">
      <c r="F420" s="259"/>
      <c r="G420" s="259"/>
      <c r="H420" s="259"/>
      <c r="I420" s="259"/>
      <c r="J420" s="259"/>
      <c r="K420" s="259"/>
      <c r="L420" s="259"/>
      <c r="M420" s="259"/>
    </row>
    <row r="421" spans="6:13" ht="13.5" customHeight="1">
      <c r="F421" s="259"/>
      <c r="G421" s="259"/>
      <c r="H421" s="259"/>
      <c r="I421" s="259"/>
      <c r="J421" s="259"/>
      <c r="K421" s="259"/>
      <c r="L421" s="259"/>
      <c r="M421" s="259"/>
    </row>
    <row r="422" spans="6:13" ht="13.5" customHeight="1">
      <c r="F422" s="259"/>
      <c r="G422" s="259"/>
      <c r="H422" s="259"/>
      <c r="I422" s="259"/>
      <c r="J422" s="259"/>
      <c r="K422" s="259"/>
      <c r="L422" s="259"/>
      <c r="M422" s="259"/>
    </row>
    <row r="423" spans="6:13" ht="13.5" customHeight="1">
      <c r="F423" s="259"/>
      <c r="G423" s="259"/>
      <c r="H423" s="259"/>
      <c r="I423" s="259"/>
      <c r="J423" s="259"/>
      <c r="K423" s="259"/>
      <c r="L423" s="259"/>
      <c r="M423" s="259"/>
    </row>
    <row r="424" spans="6:13" ht="13.5" customHeight="1">
      <c r="F424" s="259"/>
      <c r="G424" s="259"/>
      <c r="H424" s="259"/>
      <c r="I424" s="259"/>
      <c r="J424" s="259"/>
      <c r="K424" s="259"/>
      <c r="L424" s="259"/>
      <c r="M424" s="259"/>
    </row>
    <row r="425" spans="6:13" ht="13.5" customHeight="1">
      <c r="F425" s="259"/>
      <c r="G425" s="259"/>
      <c r="H425" s="259"/>
      <c r="I425" s="259"/>
      <c r="J425" s="259"/>
      <c r="K425" s="259"/>
      <c r="L425" s="259"/>
      <c r="M425" s="259"/>
    </row>
    <row r="426" spans="6:13" ht="13.5" customHeight="1">
      <c r="F426" s="259"/>
      <c r="G426" s="259"/>
      <c r="H426" s="259"/>
      <c r="I426" s="259"/>
      <c r="J426" s="259"/>
      <c r="K426" s="259"/>
      <c r="L426" s="259"/>
      <c r="M426" s="259"/>
    </row>
    <row r="427" spans="6:13" ht="13.5" customHeight="1">
      <c r="F427" s="259"/>
      <c r="G427" s="259"/>
      <c r="H427" s="259"/>
      <c r="I427" s="259"/>
      <c r="J427" s="259"/>
      <c r="K427" s="259"/>
      <c r="L427" s="259"/>
      <c r="M427" s="259"/>
    </row>
    <row r="428" spans="6:13" ht="13.5" customHeight="1">
      <c r="F428" s="259"/>
      <c r="G428" s="259"/>
      <c r="H428" s="259"/>
      <c r="I428" s="259"/>
      <c r="J428" s="259"/>
      <c r="K428" s="259"/>
      <c r="L428" s="259"/>
      <c r="M428" s="259"/>
    </row>
    <row r="429" spans="6:13" ht="13.5" customHeight="1">
      <c r="F429" s="259"/>
      <c r="G429" s="259"/>
      <c r="H429" s="259"/>
      <c r="I429" s="259"/>
      <c r="J429" s="259"/>
      <c r="K429" s="259"/>
      <c r="L429" s="259"/>
      <c r="M429" s="259"/>
    </row>
    <row r="430" spans="6:13" ht="13.5" customHeight="1">
      <c r="F430" s="259"/>
      <c r="G430" s="259"/>
      <c r="H430" s="259"/>
      <c r="I430" s="259"/>
      <c r="J430" s="259"/>
      <c r="K430" s="259"/>
      <c r="L430" s="259"/>
      <c r="M430" s="259"/>
    </row>
    <row r="431" spans="6:13" ht="13.5" customHeight="1">
      <c r="F431" s="259"/>
      <c r="G431" s="259"/>
      <c r="H431" s="259"/>
      <c r="I431" s="259"/>
      <c r="J431" s="259"/>
      <c r="K431" s="259"/>
      <c r="L431" s="259"/>
      <c r="M431" s="259"/>
    </row>
    <row r="432" spans="6:13" ht="13.5" customHeight="1">
      <c r="F432" s="259"/>
      <c r="G432" s="259"/>
      <c r="H432" s="259"/>
      <c r="I432" s="259"/>
      <c r="J432" s="259"/>
      <c r="K432" s="259"/>
      <c r="L432" s="259"/>
      <c r="M432" s="259"/>
    </row>
    <row r="433" spans="6:13" ht="13.5" customHeight="1">
      <c r="F433" s="259"/>
      <c r="G433" s="259"/>
      <c r="H433" s="259"/>
      <c r="I433" s="259"/>
      <c r="J433" s="259"/>
      <c r="K433" s="259"/>
      <c r="L433" s="259"/>
      <c r="M433" s="259"/>
    </row>
    <row r="434" spans="6:13" ht="13.5" customHeight="1">
      <c r="F434" s="259"/>
      <c r="G434" s="259"/>
      <c r="H434" s="259"/>
      <c r="I434" s="259"/>
      <c r="J434" s="259"/>
      <c r="K434" s="259"/>
      <c r="L434" s="259"/>
      <c r="M434" s="259"/>
    </row>
    <row r="435" spans="6:13" ht="13.5" customHeight="1">
      <c r="F435" s="259"/>
      <c r="G435" s="259"/>
      <c r="H435" s="259"/>
      <c r="I435" s="259"/>
      <c r="J435" s="259"/>
      <c r="K435" s="259"/>
      <c r="L435" s="259"/>
      <c r="M435" s="259"/>
    </row>
    <row r="436" spans="6:13" ht="13.5" customHeight="1">
      <c r="F436" s="259"/>
      <c r="G436" s="259"/>
      <c r="H436" s="259"/>
      <c r="I436" s="259"/>
      <c r="J436" s="259"/>
      <c r="K436" s="259"/>
      <c r="L436" s="259"/>
      <c r="M436" s="259"/>
    </row>
    <row r="437" spans="6:13" ht="13.5" customHeight="1">
      <c r="F437" s="259"/>
      <c r="G437" s="259"/>
      <c r="H437" s="259"/>
      <c r="I437" s="259"/>
      <c r="J437" s="259"/>
      <c r="K437" s="259"/>
      <c r="L437" s="259"/>
      <c r="M437" s="259"/>
    </row>
    <row r="438" spans="6:13" ht="13.5" customHeight="1">
      <c r="F438" s="259"/>
      <c r="G438" s="259"/>
      <c r="H438" s="259"/>
      <c r="I438" s="259"/>
      <c r="J438" s="259"/>
      <c r="K438" s="259"/>
      <c r="L438" s="259"/>
      <c r="M438" s="259"/>
    </row>
    <row r="439" spans="6:13" ht="13.5" customHeight="1">
      <c r="F439" s="259"/>
      <c r="G439" s="259"/>
      <c r="H439" s="259"/>
      <c r="I439" s="259"/>
      <c r="J439" s="259"/>
      <c r="K439" s="259"/>
      <c r="L439" s="259"/>
      <c r="M439" s="259"/>
    </row>
    <row r="440" spans="6:13" ht="13.5" customHeight="1">
      <c r="F440" s="259"/>
      <c r="G440" s="259"/>
      <c r="H440" s="259"/>
      <c r="I440" s="259"/>
      <c r="J440" s="259"/>
      <c r="K440" s="259"/>
      <c r="L440" s="259"/>
      <c r="M440" s="259"/>
    </row>
    <row r="441" spans="6:13" ht="13.5" customHeight="1">
      <c r="F441" s="259"/>
      <c r="G441" s="259"/>
      <c r="H441" s="259"/>
      <c r="I441" s="259"/>
      <c r="J441" s="259"/>
      <c r="K441" s="259"/>
      <c r="L441" s="259"/>
      <c r="M441" s="259"/>
    </row>
    <row r="442" spans="6:13" ht="13.5" customHeight="1">
      <c r="F442" s="259"/>
      <c r="G442" s="259"/>
      <c r="H442" s="259"/>
      <c r="I442" s="259"/>
      <c r="J442" s="259"/>
      <c r="K442" s="259"/>
      <c r="L442" s="259"/>
      <c r="M442" s="259"/>
    </row>
    <row r="443" spans="6:13" ht="13.5" customHeight="1">
      <c r="F443" s="259"/>
      <c r="G443" s="259"/>
      <c r="H443" s="259"/>
      <c r="I443" s="259"/>
      <c r="J443" s="259"/>
      <c r="K443" s="259"/>
      <c r="L443" s="259"/>
      <c r="M443" s="259"/>
    </row>
    <row r="444" spans="6:13" ht="13.5" customHeight="1">
      <c r="F444" s="259"/>
      <c r="G444" s="259"/>
      <c r="H444" s="259"/>
      <c r="I444" s="259"/>
      <c r="J444" s="259"/>
      <c r="K444" s="259"/>
      <c r="L444" s="259"/>
      <c r="M444" s="259"/>
    </row>
    <row r="445" spans="6:13" ht="13.5" customHeight="1">
      <c r="F445" s="259"/>
      <c r="G445" s="259"/>
      <c r="H445" s="259"/>
      <c r="I445" s="259"/>
      <c r="J445" s="259"/>
      <c r="K445" s="259"/>
      <c r="L445" s="259"/>
      <c r="M445" s="259"/>
    </row>
    <row r="446" spans="6:13" ht="13.5" customHeight="1">
      <c r="F446" s="259"/>
      <c r="G446" s="259"/>
      <c r="H446" s="259"/>
      <c r="I446" s="259"/>
      <c r="J446" s="259"/>
      <c r="K446" s="259"/>
      <c r="L446" s="259"/>
      <c r="M446" s="259"/>
    </row>
    <row r="447" spans="6:13" ht="13.5" customHeight="1">
      <c r="F447" s="259"/>
      <c r="G447" s="259"/>
      <c r="H447" s="259"/>
      <c r="I447" s="259"/>
      <c r="J447" s="259"/>
      <c r="K447" s="259"/>
      <c r="L447" s="259"/>
      <c r="M447" s="259"/>
    </row>
    <row r="448" spans="6:13" ht="13.5" customHeight="1">
      <c r="F448" s="259"/>
      <c r="G448" s="259"/>
      <c r="H448" s="259"/>
      <c r="I448" s="259"/>
      <c r="J448" s="259"/>
      <c r="K448" s="259"/>
      <c r="L448" s="259"/>
      <c r="M448" s="259"/>
    </row>
    <row r="449" spans="6:13" ht="13.5" customHeight="1">
      <c r="F449" s="259"/>
      <c r="G449" s="259"/>
      <c r="H449" s="259"/>
      <c r="I449" s="259"/>
      <c r="J449" s="259"/>
      <c r="K449" s="259"/>
      <c r="L449" s="259"/>
      <c r="M449" s="259"/>
    </row>
    <row r="450" spans="6:13" ht="13.5" customHeight="1">
      <c r="F450" s="259"/>
      <c r="G450" s="259"/>
      <c r="H450" s="259"/>
      <c r="I450" s="259"/>
      <c r="J450" s="259"/>
      <c r="K450" s="259"/>
      <c r="L450" s="259"/>
      <c r="M450" s="259"/>
    </row>
    <row r="451" spans="6:13" ht="13.5" customHeight="1">
      <c r="F451" s="259"/>
      <c r="G451" s="259"/>
      <c r="H451" s="259"/>
      <c r="I451" s="259"/>
      <c r="J451" s="259"/>
      <c r="K451" s="259"/>
      <c r="L451" s="259"/>
      <c r="M451" s="259"/>
    </row>
    <row r="452" spans="6:13" ht="13.5" customHeight="1">
      <c r="F452" s="259"/>
      <c r="G452" s="259"/>
      <c r="H452" s="259"/>
      <c r="I452" s="259"/>
      <c r="J452" s="259"/>
      <c r="K452" s="259"/>
      <c r="L452" s="259"/>
      <c r="M452" s="259"/>
    </row>
    <row r="453" spans="6:13" ht="13.5" customHeight="1">
      <c r="F453" s="259"/>
      <c r="G453" s="259"/>
      <c r="H453" s="259"/>
      <c r="I453" s="259"/>
      <c r="J453" s="259"/>
      <c r="K453" s="259"/>
      <c r="L453" s="259"/>
      <c r="M453" s="259"/>
    </row>
    <row r="454" spans="6:13" ht="13.5" customHeight="1">
      <c r="F454" s="259"/>
      <c r="G454" s="259"/>
      <c r="H454" s="259"/>
      <c r="I454" s="259"/>
      <c r="J454" s="259"/>
      <c r="K454" s="259"/>
      <c r="L454" s="259"/>
      <c r="M454" s="259"/>
    </row>
    <row r="455" spans="6:13" ht="13.5" customHeight="1">
      <c r="F455" s="259"/>
      <c r="G455" s="259"/>
      <c r="H455" s="259"/>
      <c r="I455" s="259"/>
      <c r="J455" s="259"/>
      <c r="K455" s="259"/>
      <c r="L455" s="259"/>
      <c r="M455" s="259"/>
    </row>
    <row r="456" spans="6:13" ht="13.5" customHeight="1">
      <c r="F456" s="259"/>
      <c r="G456" s="259"/>
      <c r="H456" s="259"/>
      <c r="I456" s="259"/>
      <c r="J456" s="259"/>
      <c r="K456" s="259"/>
      <c r="L456" s="259"/>
      <c r="M456" s="259"/>
    </row>
    <row r="457" spans="6:13" ht="13.5" customHeight="1">
      <c r="F457" s="259"/>
      <c r="G457" s="259"/>
      <c r="H457" s="259"/>
      <c r="I457" s="259"/>
      <c r="J457" s="259"/>
      <c r="K457" s="259"/>
      <c r="L457" s="259"/>
      <c r="M457" s="259"/>
    </row>
    <row r="458" spans="6:13" ht="13.5" customHeight="1">
      <c r="F458" s="259"/>
      <c r="G458" s="259"/>
      <c r="H458" s="259"/>
      <c r="I458" s="259"/>
      <c r="J458" s="259"/>
      <c r="K458" s="259"/>
      <c r="L458" s="259"/>
      <c r="M458" s="259"/>
    </row>
    <row r="459" spans="6:13" ht="13.5" customHeight="1">
      <c r="F459" s="259"/>
      <c r="G459" s="259"/>
      <c r="H459" s="259"/>
      <c r="I459" s="259"/>
      <c r="J459" s="259"/>
      <c r="K459" s="259"/>
      <c r="L459" s="259"/>
      <c r="M459" s="259"/>
    </row>
    <row r="460" spans="6:13" ht="13.5" customHeight="1">
      <c r="F460" s="259"/>
      <c r="G460" s="259"/>
      <c r="H460" s="259"/>
      <c r="I460" s="259"/>
      <c r="J460" s="259"/>
      <c r="K460" s="259"/>
      <c r="L460" s="259"/>
      <c r="M460" s="259"/>
    </row>
    <row r="461" spans="6:13" ht="13.5" customHeight="1">
      <c r="F461" s="259"/>
      <c r="G461" s="259"/>
      <c r="H461" s="259"/>
      <c r="I461" s="259"/>
      <c r="J461" s="259"/>
      <c r="K461" s="259"/>
      <c r="L461" s="259"/>
      <c r="M461" s="259"/>
    </row>
    <row r="462" spans="6:13" ht="13.5" customHeight="1">
      <c r="F462" s="259"/>
      <c r="G462" s="259"/>
      <c r="H462" s="259"/>
      <c r="I462" s="259"/>
      <c r="J462" s="259"/>
      <c r="K462" s="259"/>
      <c r="L462" s="259"/>
      <c r="M462" s="259"/>
    </row>
    <row r="463" spans="6:13" ht="13.5" customHeight="1">
      <c r="F463" s="259"/>
      <c r="G463" s="259"/>
      <c r="H463" s="259"/>
      <c r="I463" s="259"/>
      <c r="J463" s="259"/>
      <c r="K463" s="259"/>
      <c r="L463" s="259"/>
      <c r="M463" s="259"/>
    </row>
    <row r="464" spans="6:13" ht="13.5" customHeight="1">
      <c r="F464" s="259"/>
      <c r="G464" s="259"/>
      <c r="H464" s="259"/>
      <c r="I464" s="259"/>
      <c r="J464" s="259"/>
      <c r="K464" s="259"/>
      <c r="L464" s="259"/>
      <c r="M464" s="259"/>
    </row>
    <row r="465" spans="6:13" ht="13.5" customHeight="1">
      <c r="F465" s="259"/>
      <c r="G465" s="259"/>
      <c r="H465" s="259"/>
      <c r="I465" s="259"/>
      <c r="J465" s="259"/>
      <c r="K465" s="259"/>
      <c r="L465" s="259"/>
      <c r="M465" s="259"/>
    </row>
    <row r="466" spans="6:13" ht="13.5" customHeight="1">
      <c r="F466" s="259"/>
      <c r="G466" s="259"/>
      <c r="H466" s="259"/>
      <c r="I466" s="259"/>
      <c r="J466" s="259"/>
      <c r="K466" s="259"/>
      <c r="L466" s="259"/>
      <c r="M466" s="259"/>
    </row>
    <row r="467" spans="6:13" ht="13.5" customHeight="1">
      <c r="F467" s="259"/>
      <c r="G467" s="259"/>
      <c r="H467" s="259"/>
      <c r="I467" s="259"/>
      <c r="J467" s="259"/>
      <c r="K467" s="259"/>
      <c r="L467" s="259"/>
      <c r="M467" s="259"/>
    </row>
    <row r="468" spans="6:13" ht="13.5" customHeight="1">
      <c r="F468" s="259"/>
      <c r="G468" s="259"/>
      <c r="H468" s="259"/>
      <c r="I468" s="259"/>
      <c r="J468" s="259"/>
      <c r="K468" s="259"/>
      <c r="L468" s="259"/>
      <c r="M468" s="259"/>
    </row>
    <row r="469" spans="6:13" ht="13.5" customHeight="1">
      <c r="F469" s="259"/>
      <c r="G469" s="259"/>
      <c r="H469" s="259"/>
      <c r="I469" s="259"/>
      <c r="J469" s="259"/>
      <c r="K469" s="259"/>
      <c r="L469" s="259"/>
      <c r="M469" s="259"/>
    </row>
    <row r="470" spans="6:13" ht="13.5" customHeight="1">
      <c r="F470" s="259"/>
      <c r="G470" s="259"/>
      <c r="H470" s="259"/>
      <c r="I470" s="259"/>
      <c r="J470" s="259"/>
      <c r="K470" s="259"/>
      <c r="L470" s="259"/>
      <c r="M470" s="259"/>
    </row>
    <row r="471" spans="6:13" ht="13.5" customHeight="1">
      <c r="F471" s="259"/>
      <c r="G471" s="259"/>
      <c r="H471" s="259"/>
      <c r="I471" s="259"/>
      <c r="J471" s="259"/>
      <c r="K471" s="259"/>
      <c r="L471" s="259"/>
      <c r="M471" s="259"/>
    </row>
    <row r="472" spans="6:13" ht="13.5" customHeight="1">
      <c r="F472" s="259"/>
      <c r="G472" s="259"/>
      <c r="H472" s="259"/>
      <c r="I472" s="259"/>
      <c r="J472" s="259"/>
      <c r="K472" s="259"/>
      <c r="L472" s="259"/>
      <c r="M472" s="259"/>
    </row>
    <row r="473" spans="6:13" ht="13.5" customHeight="1">
      <c r="F473" s="259"/>
      <c r="G473" s="259"/>
      <c r="H473" s="259"/>
      <c r="I473" s="259"/>
      <c r="J473" s="259"/>
      <c r="K473" s="259"/>
      <c r="L473" s="259"/>
      <c r="M473" s="259"/>
    </row>
    <row r="474" spans="6:13" ht="13.5" customHeight="1">
      <c r="F474" s="259"/>
      <c r="G474" s="259"/>
      <c r="H474" s="259"/>
      <c r="I474" s="259"/>
      <c r="J474" s="259"/>
      <c r="K474" s="259"/>
      <c r="L474" s="259"/>
      <c r="M474" s="259"/>
    </row>
    <row r="475" spans="6:13" ht="13.5" customHeight="1">
      <c r="F475" s="259"/>
      <c r="G475" s="259"/>
      <c r="H475" s="259"/>
      <c r="I475" s="259"/>
      <c r="J475" s="259"/>
      <c r="K475" s="259"/>
      <c r="L475" s="259"/>
      <c r="M475" s="259"/>
    </row>
    <row r="476" spans="6:13" ht="13.5" customHeight="1">
      <c r="F476" s="259"/>
      <c r="G476" s="259"/>
      <c r="H476" s="259"/>
      <c r="I476" s="259"/>
      <c r="J476" s="259"/>
      <c r="K476" s="259"/>
      <c r="L476" s="259"/>
      <c r="M476" s="259"/>
    </row>
    <row r="477" spans="6:13" ht="13.5" customHeight="1">
      <c r="F477" s="259"/>
      <c r="G477" s="259"/>
      <c r="H477" s="259"/>
      <c r="I477" s="259"/>
      <c r="J477" s="259"/>
      <c r="K477" s="259"/>
      <c r="L477" s="259"/>
      <c r="M477" s="259"/>
    </row>
    <row r="478" spans="6:13" ht="13.5" customHeight="1">
      <c r="F478" s="259"/>
      <c r="G478" s="259"/>
      <c r="H478" s="259"/>
      <c r="I478" s="259"/>
      <c r="J478" s="259"/>
      <c r="K478" s="259"/>
      <c r="L478" s="259"/>
      <c r="M478" s="259"/>
    </row>
    <row r="479" spans="6:13" ht="13.5" customHeight="1">
      <c r="F479" s="259"/>
      <c r="G479" s="259"/>
      <c r="H479" s="259"/>
      <c r="I479" s="259"/>
      <c r="J479" s="259"/>
      <c r="K479" s="259"/>
      <c r="L479" s="259"/>
      <c r="M479" s="259"/>
    </row>
    <row r="480" spans="6:13" ht="13.5" customHeight="1">
      <c r="F480" s="259"/>
      <c r="G480" s="259"/>
      <c r="H480" s="259"/>
      <c r="I480" s="259"/>
      <c r="J480" s="259"/>
      <c r="K480" s="259"/>
      <c r="L480" s="259"/>
      <c r="M480" s="259"/>
    </row>
    <row r="481" spans="6:13" ht="13.5" customHeight="1">
      <c r="F481" s="259"/>
      <c r="G481" s="259"/>
      <c r="H481" s="259"/>
      <c r="I481" s="259"/>
      <c r="J481" s="259"/>
      <c r="K481" s="259"/>
      <c r="L481" s="259"/>
      <c r="M481" s="259"/>
    </row>
    <row r="482" spans="6:13" ht="13.5" customHeight="1">
      <c r="F482" s="259"/>
      <c r="G482" s="259"/>
      <c r="H482" s="259"/>
      <c r="I482" s="259"/>
      <c r="J482" s="259"/>
      <c r="K482" s="259"/>
      <c r="L482" s="259"/>
      <c r="M482" s="259"/>
    </row>
    <row r="483" spans="6:13" ht="13.5" customHeight="1">
      <c r="F483" s="259"/>
      <c r="G483" s="259"/>
      <c r="H483" s="259"/>
      <c r="I483" s="259"/>
      <c r="J483" s="259"/>
      <c r="K483" s="259"/>
      <c r="L483" s="259"/>
      <c r="M483" s="259"/>
    </row>
    <row r="484" spans="6:13" ht="13.5" customHeight="1">
      <c r="F484" s="259"/>
      <c r="G484" s="259"/>
      <c r="H484" s="259"/>
      <c r="I484" s="259"/>
      <c r="J484" s="259"/>
      <c r="K484" s="259"/>
      <c r="L484" s="259"/>
      <c r="M484" s="259"/>
    </row>
    <row r="485" spans="6:13" ht="13.5" customHeight="1">
      <c r="F485" s="259"/>
      <c r="G485" s="259"/>
      <c r="H485" s="259"/>
      <c r="I485" s="259"/>
      <c r="J485" s="259"/>
      <c r="K485" s="259"/>
      <c r="L485" s="259"/>
      <c r="M485" s="259"/>
    </row>
    <row r="486" spans="6:13" ht="13.5" customHeight="1">
      <c r="F486" s="259"/>
      <c r="G486" s="259"/>
      <c r="H486" s="259"/>
      <c r="I486" s="259"/>
      <c r="J486" s="259"/>
      <c r="K486" s="259"/>
      <c r="L486" s="259"/>
      <c r="M486" s="259"/>
    </row>
    <row r="487" spans="6:13" ht="13.5" customHeight="1">
      <c r="F487" s="259"/>
      <c r="G487" s="259"/>
      <c r="H487" s="259"/>
      <c r="I487" s="259"/>
      <c r="J487" s="259"/>
      <c r="K487" s="259"/>
      <c r="L487" s="259"/>
      <c r="M487" s="259"/>
    </row>
    <row r="488" spans="6:13" ht="13.5" customHeight="1">
      <c r="F488" s="259"/>
      <c r="G488" s="259"/>
      <c r="H488" s="259"/>
      <c r="I488" s="259"/>
      <c r="J488" s="259"/>
      <c r="K488" s="259"/>
      <c r="L488" s="259"/>
      <c r="M488" s="259"/>
    </row>
    <row r="489" spans="6:13" ht="13.5" customHeight="1">
      <c r="F489" s="259"/>
      <c r="G489" s="259"/>
      <c r="H489" s="259"/>
      <c r="I489" s="259"/>
      <c r="J489" s="259"/>
      <c r="K489" s="259"/>
      <c r="L489" s="259"/>
      <c r="M489" s="259"/>
    </row>
    <row r="490" spans="6:13" ht="13.5" customHeight="1">
      <c r="F490" s="259"/>
      <c r="G490" s="259"/>
      <c r="H490" s="259"/>
      <c r="I490" s="259"/>
      <c r="J490" s="259"/>
      <c r="K490" s="259"/>
      <c r="L490" s="259"/>
      <c r="M490" s="259"/>
    </row>
    <row r="491" spans="6:13" ht="13.5" customHeight="1">
      <c r="F491" s="259"/>
      <c r="G491" s="259"/>
      <c r="H491" s="259"/>
      <c r="I491" s="259"/>
      <c r="J491" s="259"/>
      <c r="K491" s="259"/>
      <c r="L491" s="259"/>
      <c r="M491" s="259"/>
    </row>
    <row r="492" spans="6:13" ht="13.5" customHeight="1">
      <c r="F492" s="259"/>
      <c r="G492" s="259"/>
      <c r="H492" s="259"/>
      <c r="I492" s="259"/>
      <c r="J492" s="259"/>
      <c r="K492" s="259"/>
      <c r="L492" s="259"/>
      <c r="M492" s="259"/>
    </row>
    <row r="493" spans="6:13" ht="13.5" customHeight="1">
      <c r="F493" s="259"/>
      <c r="G493" s="259"/>
      <c r="H493" s="259"/>
      <c r="I493" s="259"/>
      <c r="J493" s="259"/>
      <c r="K493" s="259"/>
      <c r="L493" s="259"/>
      <c r="M493" s="259"/>
    </row>
    <row r="494" spans="6:13" ht="13.5" customHeight="1">
      <c r="F494" s="259"/>
      <c r="G494" s="259"/>
      <c r="H494" s="259"/>
      <c r="I494" s="259"/>
      <c r="J494" s="259"/>
      <c r="K494" s="259"/>
      <c r="L494" s="259"/>
      <c r="M494" s="259"/>
    </row>
    <row r="495" spans="6:13" ht="13.5" customHeight="1">
      <c r="F495" s="259"/>
      <c r="G495" s="259"/>
      <c r="H495" s="259"/>
      <c r="I495" s="259"/>
      <c r="J495" s="259"/>
      <c r="K495" s="259"/>
      <c r="L495" s="259"/>
      <c r="M495" s="259"/>
    </row>
    <row r="496" spans="6:13" ht="13.5" customHeight="1">
      <c r="F496" s="259"/>
      <c r="G496" s="259"/>
      <c r="H496" s="259"/>
      <c r="I496" s="259"/>
      <c r="J496" s="259"/>
      <c r="K496" s="259"/>
      <c r="L496" s="259"/>
      <c r="M496" s="259"/>
    </row>
    <row r="497" spans="6:13" ht="13.5" customHeight="1">
      <c r="F497" s="259"/>
      <c r="G497" s="259"/>
      <c r="H497" s="259"/>
      <c r="I497" s="259"/>
      <c r="J497" s="259"/>
      <c r="K497" s="259"/>
      <c r="L497" s="259"/>
      <c r="M497" s="259"/>
    </row>
    <row r="498" spans="6:13" ht="13.5" customHeight="1">
      <c r="F498" s="259"/>
      <c r="G498" s="259"/>
      <c r="H498" s="259"/>
      <c r="I498" s="259"/>
      <c r="J498" s="259"/>
      <c r="K498" s="259"/>
      <c r="L498" s="259"/>
      <c r="M498" s="259"/>
    </row>
    <row r="499" spans="6:13" ht="13.5" customHeight="1">
      <c r="F499" s="259"/>
      <c r="G499" s="259"/>
      <c r="H499" s="259"/>
      <c r="I499" s="259"/>
      <c r="J499" s="259"/>
      <c r="K499" s="259"/>
      <c r="L499" s="259"/>
      <c r="M499" s="259"/>
    </row>
    <row r="500" spans="6:13" ht="13.5" customHeight="1">
      <c r="F500" s="259"/>
      <c r="G500" s="259"/>
      <c r="H500" s="259"/>
      <c r="I500" s="259"/>
      <c r="J500" s="259"/>
      <c r="K500" s="259"/>
      <c r="L500" s="259"/>
      <c r="M500" s="259"/>
    </row>
    <row r="501" spans="6:13" ht="13.5" customHeight="1">
      <c r="F501" s="259"/>
      <c r="G501" s="259"/>
      <c r="H501" s="259"/>
      <c r="I501" s="259"/>
      <c r="J501" s="259"/>
      <c r="K501" s="259"/>
      <c r="L501" s="259"/>
      <c r="M501" s="259"/>
    </row>
    <row r="502" spans="6:13" ht="13.5" customHeight="1">
      <c r="F502" s="259"/>
      <c r="G502" s="259"/>
      <c r="H502" s="259"/>
      <c r="I502" s="259"/>
      <c r="J502" s="259"/>
      <c r="K502" s="259"/>
      <c r="L502" s="259"/>
      <c r="M502" s="259"/>
    </row>
    <row r="503" spans="6:13" ht="13.5" customHeight="1">
      <c r="F503" s="259"/>
      <c r="G503" s="259"/>
      <c r="H503" s="259"/>
      <c r="I503" s="259"/>
      <c r="J503" s="259"/>
      <c r="K503" s="259"/>
      <c r="L503" s="259"/>
      <c r="M503" s="259"/>
    </row>
    <row r="504" spans="6:13" ht="13.5" customHeight="1">
      <c r="F504" s="259"/>
      <c r="G504" s="259"/>
      <c r="H504" s="259"/>
      <c r="I504" s="259"/>
      <c r="J504" s="259"/>
      <c r="K504" s="259"/>
      <c r="L504" s="259"/>
      <c r="M504" s="259"/>
    </row>
    <row r="505" spans="6:13" ht="13.5" customHeight="1">
      <c r="F505" s="259"/>
      <c r="G505" s="259"/>
      <c r="H505" s="259"/>
      <c r="I505" s="259"/>
      <c r="J505" s="259"/>
      <c r="K505" s="259"/>
      <c r="L505" s="259"/>
      <c r="M505" s="259"/>
    </row>
    <row r="506" spans="6:13" ht="13.5" customHeight="1">
      <c r="F506" s="259"/>
      <c r="G506" s="259"/>
      <c r="H506" s="259"/>
      <c r="I506" s="259"/>
      <c r="J506" s="259"/>
      <c r="K506" s="259"/>
      <c r="L506" s="259"/>
      <c r="M506" s="259"/>
    </row>
    <row r="507" spans="6:13" ht="13.5" customHeight="1">
      <c r="F507" s="259"/>
      <c r="G507" s="259"/>
      <c r="H507" s="259"/>
      <c r="I507" s="259"/>
      <c r="J507" s="259"/>
      <c r="K507" s="259"/>
      <c r="L507" s="259"/>
      <c r="M507" s="259"/>
    </row>
    <row r="508" spans="6:13" ht="13.5" customHeight="1">
      <c r="F508" s="259"/>
      <c r="G508" s="259"/>
      <c r="H508" s="259"/>
      <c r="I508" s="259"/>
      <c r="J508" s="259"/>
      <c r="K508" s="259"/>
      <c r="L508" s="259"/>
      <c r="M508" s="259"/>
    </row>
    <row r="509" spans="6:13" ht="13.5" customHeight="1">
      <c r="F509" s="259"/>
      <c r="G509" s="259"/>
      <c r="H509" s="259"/>
      <c r="I509" s="259"/>
      <c r="J509" s="259"/>
      <c r="K509" s="259"/>
      <c r="L509" s="259"/>
      <c r="M509" s="259"/>
    </row>
    <row r="510" spans="6:13" ht="13.5" customHeight="1">
      <c r="F510" s="259"/>
      <c r="G510" s="259"/>
      <c r="H510" s="259"/>
      <c r="I510" s="259"/>
      <c r="J510" s="259"/>
      <c r="K510" s="259"/>
      <c r="L510" s="259"/>
      <c r="M510" s="259"/>
    </row>
    <row r="511" spans="6:13" ht="13.5" customHeight="1">
      <c r="F511" s="259"/>
      <c r="G511" s="259"/>
      <c r="H511" s="259"/>
      <c r="I511" s="259"/>
      <c r="J511" s="259"/>
      <c r="K511" s="259"/>
      <c r="L511" s="259"/>
      <c r="M511" s="259"/>
    </row>
    <row r="512" spans="6:13" ht="13.5" customHeight="1">
      <c r="F512" s="259"/>
      <c r="G512" s="259"/>
      <c r="H512" s="259"/>
      <c r="I512" s="259"/>
      <c r="J512" s="259"/>
      <c r="K512" s="259"/>
      <c r="L512" s="259"/>
      <c r="M512" s="259"/>
    </row>
    <row r="513" spans="6:13" ht="13.5" customHeight="1">
      <c r="F513" s="259"/>
      <c r="G513" s="259"/>
      <c r="H513" s="259"/>
      <c r="I513" s="259"/>
      <c r="J513" s="259"/>
      <c r="K513" s="259"/>
      <c r="L513" s="259"/>
      <c r="M513" s="259"/>
    </row>
    <row r="514" spans="6:13" ht="13.5" customHeight="1">
      <c r="F514" s="259"/>
      <c r="G514" s="259"/>
      <c r="H514" s="259"/>
      <c r="I514" s="259"/>
      <c r="J514" s="259"/>
      <c r="K514" s="259"/>
      <c r="L514" s="259"/>
      <c r="M514" s="259"/>
    </row>
    <row r="515" spans="6:13" ht="13.5" customHeight="1">
      <c r="F515" s="259"/>
      <c r="G515" s="259"/>
      <c r="H515" s="259"/>
      <c r="I515" s="259"/>
      <c r="J515" s="259"/>
      <c r="K515" s="259"/>
      <c r="L515" s="259"/>
      <c r="M515" s="259"/>
    </row>
    <row r="516" spans="6:13" ht="13.5" customHeight="1">
      <c r="F516" s="259"/>
      <c r="G516" s="259"/>
      <c r="H516" s="259"/>
      <c r="I516" s="259"/>
      <c r="J516" s="259"/>
      <c r="K516" s="259"/>
      <c r="L516" s="259"/>
      <c r="M516" s="259"/>
    </row>
    <row r="517" spans="6:13" ht="13.5" customHeight="1">
      <c r="F517" s="259"/>
      <c r="G517" s="259"/>
      <c r="H517" s="259"/>
      <c r="I517" s="259"/>
      <c r="J517" s="259"/>
      <c r="K517" s="259"/>
      <c r="L517" s="259"/>
      <c r="M517" s="259"/>
    </row>
    <row r="518" spans="6:13" ht="13.5" customHeight="1">
      <c r="F518" s="259"/>
      <c r="G518" s="259"/>
      <c r="H518" s="259"/>
      <c r="I518" s="259"/>
      <c r="J518" s="259"/>
      <c r="K518" s="259"/>
      <c r="L518" s="259"/>
      <c r="M518" s="259"/>
    </row>
    <row r="519" spans="6:13" ht="13.5" customHeight="1">
      <c r="F519" s="259"/>
      <c r="G519" s="259"/>
      <c r="H519" s="259"/>
      <c r="I519" s="259"/>
      <c r="J519" s="259"/>
      <c r="K519" s="259"/>
      <c r="L519" s="259"/>
      <c r="M519" s="259"/>
    </row>
    <row r="520" spans="6:13" ht="13.5" customHeight="1">
      <c r="F520" s="259"/>
      <c r="G520" s="259"/>
      <c r="H520" s="259"/>
      <c r="I520" s="259"/>
      <c r="J520" s="259"/>
      <c r="K520" s="259"/>
      <c r="L520" s="259"/>
      <c r="M520" s="259"/>
    </row>
    <row r="521" spans="6:13" ht="13.5" customHeight="1">
      <c r="F521" s="259"/>
      <c r="G521" s="259"/>
      <c r="H521" s="259"/>
      <c r="I521" s="259"/>
      <c r="J521" s="259"/>
      <c r="K521" s="259"/>
      <c r="L521" s="259"/>
      <c r="M521" s="259"/>
    </row>
    <row r="522" spans="6:13" ht="13.5" customHeight="1">
      <c r="F522" s="259"/>
      <c r="G522" s="259"/>
      <c r="H522" s="259"/>
      <c r="I522" s="259"/>
      <c r="J522" s="259"/>
      <c r="K522" s="259"/>
      <c r="L522" s="259"/>
      <c r="M522" s="259"/>
    </row>
    <row r="523" spans="6:13" ht="13.5" customHeight="1">
      <c r="F523" s="259"/>
      <c r="G523" s="259"/>
      <c r="H523" s="259"/>
      <c r="I523" s="259"/>
      <c r="J523" s="259"/>
      <c r="K523" s="259"/>
      <c r="L523" s="259"/>
      <c r="M523" s="259"/>
    </row>
    <row r="524" spans="6:13" ht="13.5" customHeight="1">
      <c r="F524" s="259"/>
      <c r="G524" s="259"/>
      <c r="H524" s="259"/>
      <c r="I524" s="259"/>
      <c r="J524" s="259"/>
      <c r="K524" s="259"/>
      <c r="L524" s="259"/>
      <c r="M524" s="259"/>
    </row>
    <row r="525" spans="6:13" ht="13.5" customHeight="1">
      <c r="F525" s="259"/>
      <c r="G525" s="259"/>
      <c r="H525" s="259"/>
      <c r="I525" s="259"/>
      <c r="J525" s="259"/>
      <c r="K525" s="259"/>
      <c r="L525" s="259"/>
      <c r="M525" s="259"/>
    </row>
    <row r="526" spans="6:13" ht="13.5" customHeight="1">
      <c r="F526" s="259"/>
      <c r="G526" s="259"/>
      <c r="H526" s="259"/>
      <c r="I526" s="259"/>
      <c r="J526" s="259"/>
      <c r="K526" s="259"/>
      <c r="L526" s="259"/>
      <c r="M526" s="259"/>
    </row>
    <row r="527" spans="6:13" ht="13.5" customHeight="1">
      <c r="F527" s="259"/>
      <c r="G527" s="259"/>
      <c r="H527" s="259"/>
      <c r="I527" s="259"/>
      <c r="J527" s="259"/>
      <c r="K527" s="259"/>
      <c r="L527" s="259"/>
      <c r="M527" s="259"/>
    </row>
    <row r="528" spans="6:13" ht="13.5" customHeight="1">
      <c r="F528" s="259"/>
      <c r="G528" s="259"/>
      <c r="H528" s="259"/>
      <c r="I528" s="259"/>
      <c r="J528" s="259"/>
      <c r="K528" s="259"/>
      <c r="L528" s="259"/>
      <c r="M528" s="259"/>
    </row>
    <row r="529" spans="6:13" ht="13.5" customHeight="1">
      <c r="F529" s="259"/>
      <c r="G529" s="259"/>
      <c r="H529" s="259"/>
      <c r="I529" s="259"/>
      <c r="J529" s="259"/>
      <c r="K529" s="259"/>
      <c r="L529" s="259"/>
      <c r="M529" s="259"/>
    </row>
    <row r="530" spans="6:13" ht="13.5" customHeight="1">
      <c r="F530" s="259"/>
      <c r="G530" s="259"/>
      <c r="H530" s="259"/>
      <c r="I530" s="259"/>
      <c r="J530" s="259"/>
      <c r="K530" s="259"/>
      <c r="L530" s="259"/>
      <c r="M530" s="259"/>
    </row>
    <row r="531" spans="6:13" ht="13.5" customHeight="1">
      <c r="F531" s="259"/>
      <c r="G531" s="259"/>
      <c r="H531" s="259"/>
      <c r="I531" s="259"/>
      <c r="J531" s="259"/>
      <c r="K531" s="259"/>
      <c r="L531" s="259"/>
      <c r="M531" s="259"/>
    </row>
    <row r="532" spans="6:13" ht="13.5" customHeight="1">
      <c r="F532" s="259"/>
      <c r="G532" s="259"/>
      <c r="H532" s="259"/>
      <c r="I532" s="259"/>
      <c r="J532" s="259"/>
      <c r="K532" s="259"/>
      <c r="L532" s="259"/>
      <c r="M532" s="259"/>
    </row>
    <row r="533" spans="6:13" ht="13.5" customHeight="1">
      <c r="F533" s="259"/>
      <c r="G533" s="259"/>
      <c r="H533" s="259"/>
      <c r="I533" s="259"/>
      <c r="J533" s="259"/>
      <c r="K533" s="259"/>
      <c r="L533" s="259"/>
      <c r="M533" s="259"/>
    </row>
    <row r="534" spans="6:13" ht="13.5" customHeight="1">
      <c r="F534" s="259"/>
      <c r="G534" s="259"/>
      <c r="H534" s="259"/>
      <c r="I534" s="259"/>
      <c r="J534" s="259"/>
      <c r="K534" s="259"/>
      <c r="L534" s="259"/>
      <c r="M534" s="259"/>
    </row>
    <row r="535" spans="6:13" ht="13.5" customHeight="1">
      <c r="F535" s="259"/>
      <c r="G535" s="259"/>
      <c r="H535" s="259"/>
      <c r="I535" s="259"/>
      <c r="J535" s="259"/>
      <c r="K535" s="259"/>
      <c r="L535" s="259"/>
      <c r="M535" s="259"/>
    </row>
    <row r="536" spans="6:13" ht="13.5" customHeight="1">
      <c r="F536" s="259"/>
      <c r="G536" s="259"/>
      <c r="H536" s="259"/>
      <c r="I536" s="259"/>
      <c r="J536" s="259"/>
      <c r="K536" s="259"/>
      <c r="L536" s="259"/>
      <c r="M536" s="259"/>
    </row>
    <row r="537" spans="6:13" ht="13.5" customHeight="1">
      <c r="F537" s="259"/>
      <c r="G537" s="259"/>
      <c r="H537" s="259"/>
      <c r="I537" s="259"/>
      <c r="J537" s="259"/>
      <c r="K537" s="259"/>
      <c r="L537" s="259"/>
      <c r="M537" s="259"/>
    </row>
    <row r="538" spans="6:13" ht="13.5" customHeight="1">
      <c r="F538" s="259"/>
      <c r="G538" s="259"/>
      <c r="H538" s="259"/>
      <c r="I538" s="259"/>
      <c r="J538" s="259"/>
      <c r="K538" s="259"/>
      <c r="L538" s="259"/>
      <c r="M538" s="259"/>
    </row>
    <row r="539" spans="6:13" ht="13.5" customHeight="1">
      <c r="F539" s="259"/>
      <c r="G539" s="259"/>
      <c r="H539" s="259"/>
      <c r="I539" s="259"/>
      <c r="J539" s="259"/>
      <c r="K539" s="259"/>
      <c r="L539" s="259"/>
      <c r="M539" s="259"/>
    </row>
    <row r="540" spans="6:13" ht="13.5" customHeight="1">
      <c r="F540" s="259"/>
      <c r="G540" s="259"/>
      <c r="H540" s="259"/>
      <c r="I540" s="259"/>
      <c r="J540" s="259"/>
      <c r="K540" s="259"/>
      <c r="L540" s="259"/>
      <c r="M540" s="259"/>
    </row>
    <row r="541" spans="6:13" ht="13.5" customHeight="1">
      <c r="F541" s="259"/>
      <c r="G541" s="259"/>
      <c r="H541" s="259"/>
      <c r="I541" s="259"/>
      <c r="J541" s="259"/>
      <c r="K541" s="259"/>
      <c r="L541" s="259"/>
      <c r="M541" s="259"/>
    </row>
    <row r="542" spans="6:13" ht="13.5" customHeight="1">
      <c r="F542" s="259"/>
      <c r="G542" s="259"/>
      <c r="H542" s="259"/>
      <c r="I542" s="259"/>
      <c r="J542" s="259"/>
      <c r="K542" s="259"/>
      <c r="L542" s="259"/>
      <c r="M542" s="259"/>
    </row>
    <row r="543" spans="6:13" ht="13.5" customHeight="1">
      <c r="F543" s="259"/>
      <c r="G543" s="259"/>
      <c r="H543" s="259"/>
      <c r="I543" s="259"/>
      <c r="J543" s="259"/>
      <c r="K543" s="259"/>
      <c r="L543" s="259"/>
      <c r="M543" s="259"/>
    </row>
    <row r="544" spans="6:13" ht="13.5" customHeight="1">
      <c r="F544" s="259"/>
      <c r="G544" s="259"/>
      <c r="H544" s="259"/>
      <c r="I544" s="259"/>
      <c r="J544" s="259"/>
      <c r="K544" s="259"/>
      <c r="L544" s="259"/>
      <c r="M544" s="259"/>
    </row>
    <row r="545" spans="6:13" ht="13.5" customHeight="1">
      <c r="F545" s="259"/>
      <c r="G545" s="259"/>
      <c r="H545" s="259"/>
      <c r="I545" s="259"/>
      <c r="J545" s="259"/>
      <c r="K545" s="259"/>
      <c r="L545" s="259"/>
      <c r="M545" s="259"/>
    </row>
    <row r="546" spans="6:13" ht="13.5" customHeight="1">
      <c r="F546" s="259"/>
      <c r="G546" s="259"/>
      <c r="H546" s="259"/>
      <c r="I546" s="259"/>
      <c r="J546" s="259"/>
      <c r="K546" s="259"/>
      <c r="L546" s="259"/>
      <c r="M546" s="259"/>
    </row>
    <row r="547" spans="6:13" ht="13.5" customHeight="1">
      <c r="F547" s="259"/>
      <c r="G547" s="259"/>
      <c r="H547" s="259"/>
      <c r="I547" s="259"/>
      <c r="J547" s="259"/>
      <c r="K547" s="259"/>
      <c r="L547" s="259"/>
      <c r="M547" s="259"/>
    </row>
    <row r="548" spans="6:13" ht="13.5" customHeight="1">
      <c r="F548" s="259"/>
      <c r="G548" s="259"/>
      <c r="H548" s="259"/>
      <c r="I548" s="259"/>
      <c r="J548" s="259"/>
      <c r="K548" s="259"/>
      <c r="L548" s="259"/>
      <c r="M548" s="259"/>
    </row>
    <row r="549" spans="6:13" ht="13.5" customHeight="1">
      <c r="F549" s="259"/>
      <c r="G549" s="259"/>
      <c r="H549" s="259"/>
      <c r="I549" s="259"/>
      <c r="J549" s="259"/>
      <c r="K549" s="259"/>
      <c r="L549" s="259"/>
      <c r="M549" s="259"/>
    </row>
    <row r="550" spans="6:13" ht="13.5" customHeight="1">
      <c r="F550" s="259"/>
      <c r="G550" s="259"/>
      <c r="H550" s="259"/>
      <c r="I550" s="259"/>
      <c r="J550" s="259"/>
      <c r="K550" s="259"/>
      <c r="L550" s="259"/>
      <c r="M550" s="259"/>
    </row>
    <row r="551" spans="6:13" ht="13.5" customHeight="1">
      <c r="F551" s="259"/>
      <c r="G551" s="259"/>
      <c r="H551" s="259"/>
      <c r="I551" s="259"/>
      <c r="J551" s="259"/>
      <c r="K551" s="259"/>
      <c r="L551" s="259"/>
      <c r="M551" s="259"/>
    </row>
    <row r="552" spans="6:13" ht="13.5" customHeight="1">
      <c r="F552" s="259"/>
      <c r="G552" s="259"/>
      <c r="H552" s="259"/>
      <c r="I552" s="259"/>
      <c r="J552" s="259"/>
      <c r="K552" s="259"/>
      <c r="L552" s="259"/>
      <c r="M552" s="259"/>
    </row>
    <row r="553" spans="6:13" ht="13.5" customHeight="1">
      <c r="F553" s="259"/>
      <c r="G553" s="259"/>
      <c r="H553" s="259"/>
      <c r="I553" s="259"/>
      <c r="J553" s="259"/>
      <c r="K553" s="259"/>
      <c r="L553" s="259"/>
      <c r="M553" s="259"/>
    </row>
    <row r="554" spans="6:13" ht="13.5" customHeight="1">
      <c r="F554" s="259"/>
      <c r="G554" s="259"/>
      <c r="H554" s="259"/>
      <c r="I554" s="259"/>
      <c r="J554" s="259"/>
      <c r="K554" s="259"/>
      <c r="L554" s="259"/>
      <c r="M554" s="259"/>
    </row>
    <row r="555" spans="6:13" ht="13.5" customHeight="1">
      <c r="F555" s="259"/>
      <c r="G555" s="259"/>
      <c r="H555" s="259"/>
      <c r="I555" s="259"/>
      <c r="J555" s="259"/>
      <c r="K555" s="259"/>
      <c r="L555" s="259"/>
      <c r="M555" s="259"/>
    </row>
    <row r="556" spans="6:13" ht="13.5" customHeight="1">
      <c r="F556" s="259"/>
      <c r="G556" s="259"/>
      <c r="H556" s="259"/>
      <c r="I556" s="259"/>
      <c r="J556" s="259"/>
      <c r="K556" s="259"/>
      <c r="L556" s="259"/>
      <c r="M556" s="259"/>
    </row>
    <row r="557" spans="6:13" ht="13.5" customHeight="1">
      <c r="F557" s="259"/>
      <c r="G557" s="259"/>
      <c r="H557" s="259"/>
      <c r="I557" s="259"/>
      <c r="J557" s="259"/>
      <c r="K557" s="259"/>
      <c r="L557" s="259"/>
      <c r="M557" s="259"/>
    </row>
    <row r="558" spans="6:13" ht="13.5" customHeight="1">
      <c r="F558" s="259"/>
      <c r="G558" s="259"/>
      <c r="H558" s="259"/>
      <c r="I558" s="259"/>
      <c r="J558" s="259"/>
      <c r="K558" s="259"/>
      <c r="L558" s="259"/>
      <c r="M558" s="259"/>
    </row>
    <row r="559" spans="6:13" ht="13.5" customHeight="1">
      <c r="F559" s="259"/>
      <c r="G559" s="259"/>
      <c r="H559" s="259"/>
      <c r="I559" s="259"/>
      <c r="J559" s="259"/>
      <c r="K559" s="259"/>
      <c r="L559" s="259"/>
      <c r="M559" s="259"/>
    </row>
    <row r="560" spans="6:13" ht="13.5" customHeight="1">
      <c r="F560" s="259"/>
      <c r="G560" s="259"/>
      <c r="H560" s="259"/>
      <c r="I560" s="259"/>
      <c r="J560" s="259"/>
      <c r="K560" s="259"/>
      <c r="L560" s="259"/>
      <c r="M560" s="259"/>
    </row>
    <row r="561" spans="6:13" ht="13.5" customHeight="1">
      <c r="F561" s="259"/>
      <c r="G561" s="259"/>
      <c r="H561" s="259"/>
      <c r="I561" s="259"/>
      <c r="J561" s="259"/>
      <c r="K561" s="259"/>
      <c r="L561" s="259"/>
      <c r="M561" s="259"/>
    </row>
    <row r="562" spans="6:13" ht="13.5" customHeight="1">
      <c r="F562" s="259"/>
      <c r="G562" s="259"/>
      <c r="H562" s="259"/>
      <c r="I562" s="259"/>
      <c r="J562" s="259"/>
      <c r="K562" s="259"/>
      <c r="L562" s="259"/>
      <c r="M562" s="259"/>
    </row>
    <row r="563" spans="6:13" ht="13.5" customHeight="1">
      <c r="F563" s="259"/>
      <c r="G563" s="259"/>
      <c r="H563" s="259"/>
      <c r="I563" s="259"/>
      <c r="J563" s="259"/>
      <c r="K563" s="259"/>
      <c r="L563" s="259"/>
      <c r="M563" s="259"/>
    </row>
    <row r="564" spans="6:13" ht="13.5" customHeight="1">
      <c r="F564" s="259"/>
      <c r="G564" s="259"/>
      <c r="H564" s="259"/>
      <c r="I564" s="259"/>
      <c r="J564" s="259"/>
      <c r="K564" s="259"/>
      <c r="L564" s="259"/>
      <c r="M564" s="259"/>
    </row>
    <row r="565" spans="6:13" ht="13.5" customHeight="1">
      <c r="F565" s="259"/>
      <c r="G565" s="259"/>
      <c r="H565" s="259"/>
      <c r="I565" s="259"/>
      <c r="J565" s="259"/>
      <c r="K565" s="259"/>
      <c r="L565" s="259"/>
      <c r="M565" s="259"/>
    </row>
    <row r="566" spans="6:13" ht="13.5" customHeight="1">
      <c r="F566" s="259"/>
      <c r="G566" s="259"/>
      <c r="H566" s="259"/>
      <c r="I566" s="259"/>
      <c r="J566" s="259"/>
      <c r="K566" s="259"/>
      <c r="L566" s="259"/>
      <c r="M566" s="259"/>
    </row>
    <row r="567" spans="6:13" ht="13.5" customHeight="1">
      <c r="F567" s="259"/>
      <c r="G567" s="259"/>
      <c r="H567" s="259"/>
      <c r="I567" s="259"/>
      <c r="J567" s="259"/>
      <c r="K567" s="259"/>
      <c r="L567" s="259"/>
      <c r="M567" s="259"/>
    </row>
    <row r="568" spans="6:13" ht="13.5" customHeight="1">
      <c r="F568" s="259"/>
      <c r="G568" s="259"/>
      <c r="H568" s="259"/>
      <c r="I568" s="259"/>
      <c r="J568" s="259"/>
      <c r="K568" s="259"/>
      <c r="L568" s="259"/>
      <c r="M568" s="259"/>
    </row>
    <row r="569" spans="6:13" ht="13.5" customHeight="1">
      <c r="F569" s="259"/>
      <c r="G569" s="259"/>
      <c r="H569" s="259"/>
      <c r="I569" s="259"/>
      <c r="J569" s="259"/>
      <c r="K569" s="259"/>
      <c r="L569" s="259"/>
      <c r="M569" s="259"/>
    </row>
    <row r="570" spans="6:13" ht="13.5" customHeight="1">
      <c r="F570" s="259"/>
      <c r="G570" s="259"/>
      <c r="H570" s="259"/>
      <c r="I570" s="259"/>
      <c r="J570" s="259"/>
      <c r="K570" s="259"/>
      <c r="L570" s="259"/>
      <c r="M570" s="259"/>
    </row>
    <row r="571" spans="6:13" ht="13.5" customHeight="1">
      <c r="F571" s="259"/>
      <c r="G571" s="259"/>
      <c r="H571" s="259"/>
      <c r="I571" s="259"/>
      <c r="J571" s="259"/>
      <c r="K571" s="259"/>
      <c r="L571" s="259"/>
      <c r="M571" s="259"/>
    </row>
    <row r="572" spans="6:13" ht="13.5" customHeight="1">
      <c r="F572" s="259"/>
      <c r="G572" s="259"/>
      <c r="H572" s="259"/>
      <c r="I572" s="259"/>
      <c r="J572" s="259"/>
      <c r="K572" s="259"/>
      <c r="L572" s="259"/>
      <c r="M572" s="259"/>
    </row>
    <row r="573" spans="6:13" ht="13.5" customHeight="1">
      <c r="F573" s="259"/>
      <c r="G573" s="259"/>
      <c r="H573" s="259"/>
      <c r="I573" s="259"/>
      <c r="J573" s="259"/>
      <c r="K573" s="259"/>
      <c r="L573" s="259"/>
      <c r="M573" s="259"/>
    </row>
    <row r="574" spans="6:13" ht="13.5" customHeight="1">
      <c r="F574" s="259"/>
      <c r="G574" s="259"/>
      <c r="H574" s="259"/>
      <c r="I574" s="259"/>
      <c r="J574" s="259"/>
      <c r="K574" s="259"/>
      <c r="L574" s="259"/>
      <c r="M574" s="259"/>
    </row>
    <row r="575" spans="6:13" ht="13.5" customHeight="1">
      <c r="F575" s="259"/>
      <c r="G575" s="259"/>
      <c r="H575" s="259"/>
      <c r="I575" s="259"/>
      <c r="J575" s="259"/>
      <c r="K575" s="259"/>
      <c r="L575" s="259"/>
      <c r="M575" s="259"/>
    </row>
    <row r="576" spans="6:13" ht="13.5" customHeight="1">
      <c r="F576" s="259"/>
      <c r="G576" s="259"/>
      <c r="H576" s="259"/>
      <c r="I576" s="259"/>
      <c r="J576" s="259"/>
      <c r="K576" s="259"/>
      <c r="L576" s="259"/>
      <c r="M576" s="259"/>
    </row>
    <row r="577" spans="6:13" ht="13.5" customHeight="1">
      <c r="F577" s="259"/>
      <c r="G577" s="259"/>
      <c r="H577" s="259"/>
      <c r="I577" s="259"/>
      <c r="J577" s="259"/>
      <c r="K577" s="259"/>
      <c r="L577" s="259"/>
      <c r="M577" s="259"/>
    </row>
    <row r="578" spans="6:13" ht="13.5" customHeight="1">
      <c r="F578" s="259"/>
      <c r="G578" s="259"/>
      <c r="H578" s="259"/>
      <c r="I578" s="259"/>
      <c r="J578" s="259"/>
      <c r="K578" s="259"/>
      <c r="L578" s="259"/>
      <c r="M578" s="259"/>
    </row>
    <row r="579" spans="6:13" ht="13.5" customHeight="1">
      <c r="F579" s="259"/>
      <c r="G579" s="259"/>
      <c r="H579" s="259"/>
      <c r="I579" s="259"/>
      <c r="J579" s="259"/>
      <c r="K579" s="259"/>
      <c r="L579" s="259"/>
      <c r="M579" s="259"/>
    </row>
    <row r="580" spans="6:13" ht="13.5" customHeight="1">
      <c r="F580" s="259"/>
      <c r="G580" s="259"/>
      <c r="H580" s="259"/>
      <c r="I580" s="259"/>
      <c r="J580" s="259"/>
      <c r="K580" s="259"/>
      <c r="L580" s="259"/>
      <c r="M580" s="259"/>
    </row>
    <row r="581" spans="6:13" ht="13.5" customHeight="1">
      <c r="F581" s="259"/>
      <c r="G581" s="259"/>
      <c r="H581" s="259"/>
      <c r="I581" s="259"/>
      <c r="J581" s="259"/>
      <c r="K581" s="259"/>
      <c r="L581" s="259"/>
      <c r="M581" s="259"/>
    </row>
    <row r="582" spans="6:13" ht="13.5" customHeight="1">
      <c r="F582" s="259"/>
      <c r="G582" s="259"/>
      <c r="H582" s="259"/>
      <c r="I582" s="259"/>
      <c r="J582" s="259"/>
      <c r="K582" s="259"/>
      <c r="L582" s="259"/>
      <c r="M582" s="259"/>
    </row>
    <row r="583" spans="6:13" ht="13.5" customHeight="1">
      <c r="F583" s="259"/>
      <c r="G583" s="259"/>
      <c r="H583" s="259"/>
      <c r="I583" s="259"/>
      <c r="J583" s="259"/>
      <c r="K583" s="259"/>
      <c r="L583" s="259"/>
      <c r="M583" s="259"/>
    </row>
    <row r="584" spans="6:13" ht="13.5" customHeight="1">
      <c r="F584" s="259"/>
      <c r="G584" s="259"/>
      <c r="H584" s="259"/>
      <c r="I584" s="259"/>
      <c r="J584" s="259"/>
      <c r="K584" s="259"/>
      <c r="L584" s="259"/>
      <c r="M584" s="259"/>
    </row>
    <row r="585" spans="6:13" ht="13.5" customHeight="1">
      <c r="F585" s="259"/>
      <c r="G585" s="259"/>
      <c r="H585" s="259"/>
      <c r="I585" s="259"/>
      <c r="J585" s="259"/>
      <c r="K585" s="259"/>
      <c r="L585" s="259"/>
      <c r="M585" s="259"/>
    </row>
    <row r="586" spans="6:13" ht="13.5" customHeight="1">
      <c r="F586" s="259"/>
      <c r="G586" s="259"/>
      <c r="H586" s="259"/>
      <c r="I586" s="259"/>
      <c r="J586" s="259"/>
      <c r="K586" s="259"/>
      <c r="L586" s="259"/>
      <c r="M586" s="259"/>
    </row>
    <row r="587" spans="6:13" ht="13.5" customHeight="1">
      <c r="F587" s="259"/>
      <c r="G587" s="259"/>
      <c r="H587" s="259"/>
      <c r="I587" s="259"/>
      <c r="J587" s="259"/>
      <c r="K587" s="259"/>
      <c r="L587" s="259"/>
      <c r="M587" s="259"/>
    </row>
    <row r="588" spans="6:13" ht="13.5" customHeight="1">
      <c r="F588" s="259"/>
      <c r="G588" s="259"/>
      <c r="H588" s="259"/>
      <c r="I588" s="259"/>
      <c r="J588" s="259"/>
      <c r="K588" s="259"/>
      <c r="L588" s="259"/>
      <c r="M588" s="259"/>
    </row>
    <row r="589" spans="6:13" ht="13.5" customHeight="1">
      <c r="F589" s="259"/>
      <c r="G589" s="259"/>
      <c r="H589" s="259"/>
      <c r="I589" s="259"/>
      <c r="J589" s="259"/>
      <c r="K589" s="259"/>
      <c r="L589" s="259"/>
      <c r="M589" s="259"/>
    </row>
    <row r="590" spans="6:13" ht="13.5" customHeight="1">
      <c r="F590" s="259"/>
      <c r="G590" s="259"/>
      <c r="H590" s="259"/>
      <c r="I590" s="259"/>
      <c r="J590" s="259"/>
      <c r="K590" s="259"/>
      <c r="L590" s="259"/>
      <c r="M590" s="259"/>
    </row>
    <row r="591" spans="6:13" ht="13.5" customHeight="1">
      <c r="F591" s="259"/>
      <c r="G591" s="259"/>
      <c r="H591" s="259"/>
      <c r="I591" s="259"/>
      <c r="J591" s="259"/>
      <c r="K591" s="259"/>
      <c r="L591" s="259"/>
      <c r="M591" s="259"/>
    </row>
    <row r="592" spans="6:13" ht="13.5" customHeight="1">
      <c r="F592" s="259"/>
      <c r="G592" s="259"/>
      <c r="H592" s="259"/>
      <c r="I592" s="259"/>
      <c r="J592" s="259"/>
      <c r="K592" s="259"/>
      <c r="L592" s="259"/>
      <c r="M592" s="259"/>
    </row>
    <row r="593" spans="6:13" ht="13.5" customHeight="1">
      <c r="F593" s="259"/>
      <c r="G593" s="259"/>
      <c r="H593" s="259"/>
      <c r="I593" s="259"/>
      <c r="J593" s="259"/>
      <c r="K593" s="259"/>
      <c r="L593" s="259"/>
      <c r="M593" s="259"/>
    </row>
    <row r="594" spans="6:13" ht="13.5" customHeight="1">
      <c r="F594" s="259"/>
      <c r="G594" s="259"/>
      <c r="H594" s="259"/>
      <c r="I594" s="259"/>
      <c r="J594" s="259"/>
      <c r="K594" s="259"/>
      <c r="L594" s="259"/>
      <c r="M594" s="259"/>
    </row>
    <row r="595" spans="6:13" ht="13.5" customHeight="1">
      <c r="F595" s="259"/>
      <c r="G595" s="259"/>
      <c r="H595" s="259"/>
      <c r="I595" s="259"/>
      <c r="J595" s="259"/>
      <c r="K595" s="259"/>
      <c r="L595" s="259"/>
      <c r="M595" s="259"/>
    </row>
    <row r="596" spans="6:13" ht="13.5" customHeight="1">
      <c r="F596" s="259"/>
      <c r="G596" s="259"/>
      <c r="H596" s="259"/>
      <c r="I596" s="259"/>
      <c r="J596" s="259"/>
      <c r="K596" s="259"/>
      <c r="L596" s="259"/>
      <c r="M596" s="259"/>
    </row>
    <row r="597" spans="6:13" ht="13.5" customHeight="1">
      <c r="F597" s="259"/>
      <c r="G597" s="259"/>
      <c r="H597" s="259"/>
      <c r="I597" s="259"/>
      <c r="J597" s="259"/>
      <c r="K597" s="259"/>
      <c r="L597" s="259"/>
      <c r="M597" s="259"/>
    </row>
    <row r="598" spans="6:13" ht="13.5" customHeight="1">
      <c r="F598" s="259"/>
      <c r="G598" s="259"/>
      <c r="H598" s="259"/>
      <c r="I598" s="259"/>
      <c r="J598" s="259"/>
      <c r="K598" s="259"/>
      <c r="L598" s="259"/>
      <c r="M598" s="259"/>
    </row>
    <row r="599" spans="6:13" ht="13.5" customHeight="1">
      <c r="F599" s="259"/>
      <c r="G599" s="259"/>
      <c r="H599" s="259"/>
      <c r="I599" s="259"/>
      <c r="J599" s="259"/>
      <c r="K599" s="259"/>
      <c r="L599" s="259"/>
      <c r="M599" s="259"/>
    </row>
    <row r="600" spans="6:13" ht="13.5" customHeight="1">
      <c r="F600" s="259"/>
      <c r="G600" s="259"/>
      <c r="H600" s="259"/>
      <c r="I600" s="259"/>
      <c r="J600" s="259"/>
      <c r="K600" s="259"/>
      <c r="L600" s="259"/>
      <c r="M600" s="259"/>
    </row>
    <row r="601" spans="6:13" ht="13.5" customHeight="1">
      <c r="F601" s="259"/>
      <c r="G601" s="259"/>
      <c r="H601" s="259"/>
      <c r="I601" s="259"/>
      <c r="J601" s="259"/>
      <c r="K601" s="259"/>
      <c r="L601" s="259"/>
      <c r="M601" s="259"/>
    </row>
    <row r="602" spans="6:13" ht="13.5" customHeight="1">
      <c r="F602" s="259"/>
      <c r="G602" s="259"/>
      <c r="H602" s="259"/>
      <c r="I602" s="259"/>
      <c r="J602" s="259"/>
      <c r="K602" s="259"/>
      <c r="L602" s="259"/>
      <c r="M602" s="259"/>
    </row>
    <row r="603" spans="6:13" ht="13.5" customHeight="1">
      <c r="F603" s="259"/>
      <c r="G603" s="259"/>
      <c r="H603" s="259"/>
      <c r="I603" s="259"/>
      <c r="J603" s="259"/>
      <c r="K603" s="259"/>
      <c r="L603" s="259"/>
      <c r="M603" s="259"/>
    </row>
    <row r="604" spans="6:13" ht="13.5" customHeight="1">
      <c r="F604" s="259"/>
      <c r="G604" s="259"/>
      <c r="H604" s="259"/>
      <c r="I604" s="259"/>
      <c r="J604" s="259"/>
      <c r="K604" s="259"/>
      <c r="L604" s="259"/>
      <c r="M604" s="259"/>
    </row>
    <row r="605" spans="6:13" ht="13.5" customHeight="1">
      <c r="F605" s="259"/>
      <c r="G605" s="259"/>
      <c r="H605" s="259"/>
      <c r="I605" s="259"/>
      <c r="J605" s="259"/>
      <c r="K605" s="259"/>
      <c r="L605" s="259"/>
      <c r="M605" s="259"/>
    </row>
    <row r="606" spans="6:13" ht="13.5" customHeight="1">
      <c r="F606" s="259"/>
      <c r="G606" s="259"/>
      <c r="H606" s="259"/>
      <c r="I606" s="259"/>
      <c r="J606" s="259"/>
      <c r="K606" s="259"/>
      <c r="L606" s="259"/>
      <c r="M606" s="259"/>
    </row>
    <row r="607" spans="6:13" ht="13.5" customHeight="1">
      <c r="F607" s="259"/>
      <c r="G607" s="259"/>
      <c r="H607" s="259"/>
      <c r="I607" s="259"/>
      <c r="J607" s="259"/>
      <c r="K607" s="259"/>
      <c r="L607" s="259"/>
      <c r="M607" s="259"/>
    </row>
    <row r="608" spans="6:13" ht="13.5" customHeight="1">
      <c r="F608" s="259"/>
      <c r="G608" s="259"/>
      <c r="H608" s="259"/>
      <c r="I608" s="259"/>
      <c r="J608" s="259"/>
      <c r="K608" s="259"/>
      <c r="L608" s="259"/>
      <c r="M608" s="259"/>
    </row>
    <row r="609" spans="6:13" ht="13.5" customHeight="1">
      <c r="F609" s="259"/>
      <c r="G609" s="259"/>
      <c r="H609" s="259"/>
      <c r="I609" s="259"/>
      <c r="J609" s="259"/>
      <c r="K609" s="259"/>
      <c r="L609" s="259"/>
      <c r="M609" s="259"/>
    </row>
    <row r="610" spans="6:13" ht="13.5" customHeight="1">
      <c r="F610" s="259"/>
      <c r="G610" s="259"/>
      <c r="H610" s="259"/>
      <c r="I610" s="259"/>
      <c r="J610" s="259"/>
      <c r="K610" s="259"/>
      <c r="L610" s="259"/>
      <c r="M610" s="259"/>
    </row>
    <row r="611" spans="6:13" ht="13.5" customHeight="1">
      <c r="F611" s="259"/>
      <c r="G611" s="259"/>
      <c r="H611" s="259"/>
      <c r="I611" s="259"/>
      <c r="J611" s="259"/>
      <c r="K611" s="259"/>
      <c r="L611" s="259"/>
      <c r="M611" s="259"/>
    </row>
    <row r="612" spans="6:13" ht="13.5" customHeight="1">
      <c r="F612" s="259"/>
      <c r="G612" s="259"/>
      <c r="H612" s="259"/>
      <c r="I612" s="259"/>
      <c r="J612" s="259"/>
      <c r="K612" s="259"/>
      <c r="L612" s="259"/>
      <c r="M612" s="259"/>
    </row>
    <row r="613" spans="6:13" ht="13.5" customHeight="1">
      <c r="F613" s="259"/>
      <c r="G613" s="259"/>
      <c r="H613" s="259"/>
      <c r="I613" s="259"/>
      <c r="J613" s="259"/>
      <c r="K613" s="259"/>
      <c r="L613" s="259"/>
      <c r="M613" s="259"/>
    </row>
    <row r="614" spans="6:13" ht="13.5" customHeight="1">
      <c r="F614" s="259"/>
      <c r="G614" s="259"/>
      <c r="H614" s="259"/>
      <c r="I614" s="259"/>
      <c r="J614" s="259"/>
      <c r="K614" s="259"/>
      <c r="L614" s="259"/>
      <c r="M614" s="259"/>
    </row>
    <row r="615" spans="6:13" ht="13.5" customHeight="1">
      <c r="F615" s="259"/>
      <c r="G615" s="259"/>
      <c r="H615" s="259"/>
      <c r="I615" s="259"/>
      <c r="J615" s="259"/>
      <c r="K615" s="259"/>
      <c r="L615" s="259"/>
      <c r="M615" s="259"/>
    </row>
    <row r="616" spans="6:13" ht="13.5" customHeight="1">
      <c r="F616" s="259"/>
      <c r="G616" s="259"/>
      <c r="H616" s="259"/>
      <c r="I616" s="259"/>
      <c r="J616" s="259"/>
      <c r="K616" s="259"/>
      <c r="L616" s="259"/>
      <c r="M616" s="259"/>
    </row>
    <row r="617" spans="6:13" ht="13.5" customHeight="1">
      <c r="F617" s="259"/>
      <c r="G617" s="259"/>
      <c r="H617" s="259"/>
      <c r="I617" s="259"/>
      <c r="J617" s="259"/>
      <c r="K617" s="259"/>
      <c r="L617" s="259"/>
      <c r="M617" s="259"/>
    </row>
    <row r="618" spans="6:13" ht="13.5" customHeight="1">
      <c r="F618" s="259"/>
      <c r="G618" s="259"/>
      <c r="H618" s="259"/>
      <c r="I618" s="259"/>
      <c r="J618" s="259"/>
      <c r="K618" s="259"/>
      <c r="L618" s="259"/>
      <c r="M618" s="259"/>
    </row>
    <row r="619" spans="6:13" ht="13.5" customHeight="1">
      <c r="F619" s="259"/>
      <c r="G619" s="259"/>
      <c r="H619" s="259"/>
      <c r="I619" s="259"/>
      <c r="J619" s="259"/>
      <c r="K619" s="259"/>
      <c r="L619" s="259"/>
      <c r="M619" s="259"/>
    </row>
    <row r="620" spans="6:13" ht="13.5" customHeight="1">
      <c r="F620" s="259"/>
      <c r="G620" s="259"/>
      <c r="H620" s="259"/>
      <c r="I620" s="259"/>
      <c r="J620" s="259"/>
      <c r="K620" s="259"/>
      <c r="L620" s="259"/>
      <c r="M620" s="259"/>
    </row>
    <row r="621" spans="6:13" ht="13.5" customHeight="1">
      <c r="F621" s="259"/>
      <c r="G621" s="259"/>
      <c r="H621" s="259"/>
      <c r="I621" s="259"/>
      <c r="J621" s="259"/>
      <c r="K621" s="259"/>
      <c r="L621" s="259"/>
      <c r="M621" s="259"/>
    </row>
    <row r="622" spans="6:13" ht="13.5" customHeight="1">
      <c r="F622" s="259"/>
      <c r="G622" s="259"/>
      <c r="H622" s="259"/>
      <c r="I622" s="259"/>
      <c r="J622" s="259"/>
      <c r="K622" s="259"/>
      <c r="L622" s="259"/>
      <c r="M622" s="259"/>
    </row>
    <row r="623" spans="6:13" ht="13.5" customHeight="1">
      <c r="F623" s="259"/>
      <c r="G623" s="259"/>
      <c r="H623" s="259"/>
      <c r="I623" s="259"/>
      <c r="J623" s="259"/>
      <c r="K623" s="259"/>
      <c r="L623" s="259"/>
      <c r="M623" s="259"/>
    </row>
    <row r="624" spans="6:13" ht="13.5" customHeight="1">
      <c r="F624" s="259"/>
      <c r="G624" s="259"/>
      <c r="H624" s="259"/>
      <c r="I624" s="259"/>
      <c r="J624" s="259"/>
      <c r="K624" s="259"/>
      <c r="L624" s="259"/>
      <c r="M624" s="259"/>
    </row>
    <row r="625" spans="6:13" ht="13.5" customHeight="1">
      <c r="F625" s="259"/>
      <c r="G625" s="259"/>
      <c r="H625" s="259"/>
      <c r="I625" s="259"/>
      <c r="J625" s="259"/>
      <c r="K625" s="259"/>
      <c r="L625" s="259"/>
      <c r="M625" s="259"/>
    </row>
    <row r="626" spans="6:13" ht="13.5" customHeight="1">
      <c r="F626" s="259"/>
      <c r="G626" s="259"/>
      <c r="H626" s="259"/>
      <c r="I626" s="259"/>
      <c r="J626" s="259"/>
      <c r="K626" s="259"/>
      <c r="L626" s="259"/>
      <c r="M626" s="259"/>
    </row>
    <row r="627" spans="6:13" ht="13.5" customHeight="1">
      <c r="F627" s="259"/>
      <c r="G627" s="259"/>
      <c r="H627" s="259"/>
      <c r="I627" s="259"/>
      <c r="J627" s="259"/>
      <c r="K627" s="259"/>
      <c r="L627" s="259"/>
      <c r="M627" s="259"/>
    </row>
    <row r="628" spans="6:13" ht="13.5" customHeight="1">
      <c r="F628" s="259"/>
      <c r="G628" s="259"/>
      <c r="H628" s="259"/>
      <c r="I628" s="259"/>
      <c r="J628" s="259"/>
      <c r="K628" s="259"/>
      <c r="L628" s="259"/>
      <c r="M628" s="259"/>
    </row>
    <row r="629" spans="6:13" ht="13.5" customHeight="1">
      <c r="F629" s="259"/>
      <c r="G629" s="259"/>
      <c r="H629" s="259"/>
      <c r="I629" s="259"/>
      <c r="J629" s="259"/>
      <c r="K629" s="259"/>
      <c r="L629" s="259"/>
      <c r="M629" s="259"/>
    </row>
    <row r="630" spans="6:13" ht="13.5" customHeight="1">
      <c r="F630" s="259"/>
      <c r="G630" s="259"/>
      <c r="H630" s="259"/>
      <c r="I630" s="259"/>
      <c r="J630" s="259"/>
      <c r="K630" s="259"/>
      <c r="L630" s="259"/>
      <c r="M630" s="259"/>
    </row>
    <row r="631" spans="6:13" ht="13.5" customHeight="1">
      <c r="F631" s="259"/>
      <c r="G631" s="259"/>
      <c r="H631" s="259"/>
      <c r="I631" s="259"/>
      <c r="J631" s="259"/>
      <c r="K631" s="259"/>
      <c r="L631" s="259"/>
      <c r="M631" s="259"/>
    </row>
    <row r="632" spans="6:13" ht="13.5" customHeight="1">
      <c r="F632" s="259"/>
      <c r="G632" s="259"/>
      <c r="H632" s="259"/>
      <c r="I632" s="259"/>
      <c r="J632" s="259"/>
      <c r="K632" s="259"/>
      <c r="L632" s="259"/>
      <c r="M632" s="259"/>
    </row>
    <row r="633" spans="6:13" ht="13.5" customHeight="1">
      <c r="F633" s="259"/>
      <c r="G633" s="259"/>
      <c r="H633" s="259"/>
      <c r="I633" s="259"/>
      <c r="J633" s="259"/>
      <c r="K633" s="259"/>
      <c r="L633" s="259"/>
      <c r="M633" s="259"/>
    </row>
    <row r="634" spans="6:13" ht="13.5" customHeight="1">
      <c r="F634" s="259"/>
      <c r="G634" s="259"/>
      <c r="H634" s="259"/>
      <c r="I634" s="259"/>
      <c r="J634" s="259"/>
      <c r="K634" s="259"/>
      <c r="L634" s="259"/>
      <c r="M634" s="259"/>
    </row>
    <row r="635" spans="6:13" ht="13.5" customHeight="1">
      <c r="F635" s="259"/>
      <c r="G635" s="259"/>
      <c r="H635" s="259"/>
      <c r="I635" s="259"/>
      <c r="J635" s="259"/>
      <c r="K635" s="259"/>
      <c r="L635" s="259"/>
      <c r="M635" s="259"/>
    </row>
    <row r="636" spans="6:13" ht="13.5" customHeight="1">
      <c r="F636" s="259"/>
      <c r="G636" s="259"/>
      <c r="H636" s="259"/>
      <c r="I636" s="259"/>
      <c r="J636" s="259"/>
      <c r="K636" s="259"/>
      <c r="L636" s="259"/>
      <c r="M636" s="259"/>
    </row>
    <row r="637" spans="6:13" ht="13.5" customHeight="1">
      <c r="F637" s="259"/>
      <c r="G637" s="259"/>
      <c r="H637" s="259"/>
      <c r="I637" s="259"/>
      <c r="J637" s="259"/>
      <c r="K637" s="259"/>
      <c r="L637" s="259"/>
      <c r="M637" s="259"/>
    </row>
    <row r="638" spans="6:13" ht="13.5" customHeight="1">
      <c r="F638" s="259"/>
      <c r="G638" s="259"/>
      <c r="H638" s="259"/>
      <c r="I638" s="259"/>
      <c r="J638" s="259"/>
      <c r="K638" s="259"/>
      <c r="L638" s="259"/>
      <c r="M638" s="259"/>
    </row>
    <row r="639" spans="6:13" ht="13.5" customHeight="1">
      <c r="F639" s="259"/>
      <c r="G639" s="259"/>
      <c r="H639" s="259"/>
      <c r="I639" s="259"/>
      <c r="J639" s="259"/>
      <c r="K639" s="259"/>
      <c r="L639" s="259"/>
      <c r="M639" s="259"/>
    </row>
    <row r="640" spans="6:13" ht="13.5" customHeight="1">
      <c r="F640" s="259"/>
      <c r="G640" s="259"/>
      <c r="H640" s="259"/>
      <c r="I640" s="259"/>
      <c r="J640" s="259"/>
      <c r="K640" s="259"/>
      <c r="L640" s="259"/>
      <c r="M640" s="259"/>
    </row>
    <row r="641" spans="6:13" ht="13.5" customHeight="1">
      <c r="F641" s="259"/>
      <c r="G641" s="259"/>
      <c r="H641" s="259"/>
      <c r="I641" s="259"/>
      <c r="J641" s="259"/>
      <c r="K641" s="259"/>
      <c r="L641" s="259"/>
      <c r="M641" s="259"/>
    </row>
    <row r="642" spans="6:13" ht="13.5" customHeight="1">
      <c r="F642" s="259"/>
      <c r="G642" s="259"/>
      <c r="H642" s="259"/>
      <c r="I642" s="259"/>
      <c r="J642" s="259"/>
      <c r="K642" s="259"/>
      <c r="L642" s="259"/>
      <c r="M642" s="259"/>
    </row>
    <row r="643" spans="6:13" ht="13.5" customHeight="1">
      <c r="F643" s="259"/>
      <c r="G643" s="259"/>
      <c r="H643" s="259"/>
      <c r="I643" s="259"/>
      <c r="J643" s="259"/>
      <c r="K643" s="259"/>
      <c r="L643" s="259"/>
      <c r="M643" s="259"/>
    </row>
    <row r="644" spans="6:13" ht="13.5" customHeight="1">
      <c r="F644" s="259"/>
      <c r="G644" s="259"/>
      <c r="H644" s="259"/>
      <c r="I644" s="259"/>
      <c r="J644" s="259"/>
      <c r="K644" s="259"/>
      <c r="L644" s="259"/>
      <c r="M644" s="259"/>
    </row>
    <row r="645" spans="6:13" ht="13.5" customHeight="1">
      <c r="F645" s="259"/>
      <c r="G645" s="259"/>
      <c r="H645" s="259"/>
      <c r="I645" s="259"/>
      <c r="J645" s="259"/>
      <c r="K645" s="259"/>
      <c r="L645" s="259"/>
      <c r="M645" s="259"/>
    </row>
    <row r="646" spans="6:13" ht="13.5" customHeight="1">
      <c r="F646" s="259"/>
      <c r="G646" s="259"/>
      <c r="H646" s="259"/>
      <c r="I646" s="259"/>
      <c r="J646" s="259"/>
      <c r="K646" s="259"/>
      <c r="L646" s="259"/>
      <c r="M646" s="259"/>
    </row>
    <row r="647" spans="6:13" ht="13.5" customHeight="1">
      <c r="F647" s="259"/>
      <c r="G647" s="259"/>
      <c r="H647" s="259"/>
      <c r="I647" s="259"/>
      <c r="J647" s="259"/>
      <c r="K647" s="259"/>
      <c r="L647" s="259"/>
      <c r="M647" s="259"/>
    </row>
    <row r="648" spans="6:13" ht="13.5" customHeight="1">
      <c r="F648" s="259"/>
      <c r="G648" s="259"/>
      <c r="H648" s="259"/>
      <c r="I648" s="259"/>
      <c r="J648" s="259"/>
      <c r="K648" s="259"/>
      <c r="L648" s="259"/>
      <c r="M648" s="259"/>
    </row>
    <row r="649" spans="6:13" ht="13.5" customHeight="1">
      <c r="F649" s="259"/>
      <c r="G649" s="259"/>
      <c r="H649" s="259"/>
      <c r="I649" s="259"/>
      <c r="J649" s="259"/>
      <c r="K649" s="259"/>
      <c r="L649" s="259"/>
      <c r="M649" s="259"/>
    </row>
    <row r="650" spans="6:13" ht="13.5" customHeight="1">
      <c r="F650" s="259"/>
      <c r="G650" s="259"/>
      <c r="H650" s="259"/>
      <c r="I650" s="259"/>
      <c r="J650" s="259"/>
      <c r="K650" s="259"/>
      <c r="L650" s="259"/>
      <c r="M650" s="259"/>
    </row>
    <row r="651" spans="6:13" ht="13.5" customHeight="1">
      <c r="F651" s="259"/>
      <c r="G651" s="259"/>
      <c r="H651" s="259"/>
      <c r="I651" s="259"/>
      <c r="J651" s="259"/>
      <c r="K651" s="259"/>
      <c r="L651" s="259"/>
      <c r="M651" s="259"/>
    </row>
    <row r="652" spans="6:13" ht="13.5" customHeight="1">
      <c r="F652" s="259"/>
      <c r="G652" s="259"/>
      <c r="H652" s="259"/>
      <c r="I652" s="259"/>
      <c r="J652" s="259"/>
      <c r="K652" s="259"/>
      <c r="L652" s="259"/>
      <c r="M652" s="259"/>
    </row>
    <row r="653" spans="6:13" ht="13.5" customHeight="1">
      <c r="F653" s="259"/>
      <c r="G653" s="259"/>
      <c r="H653" s="259"/>
      <c r="I653" s="259"/>
      <c r="J653" s="259"/>
      <c r="K653" s="259"/>
      <c r="L653" s="259"/>
      <c r="M653" s="259"/>
    </row>
    <row r="654" spans="6:13" ht="13.5" customHeight="1">
      <c r="F654" s="259"/>
      <c r="G654" s="259"/>
      <c r="H654" s="259"/>
      <c r="I654" s="259"/>
      <c r="J654" s="259"/>
      <c r="K654" s="259"/>
      <c r="L654" s="259"/>
      <c r="M654" s="259"/>
    </row>
    <row r="655" spans="6:13" ht="13.5" customHeight="1">
      <c r="F655" s="259"/>
      <c r="G655" s="259"/>
      <c r="H655" s="259"/>
      <c r="I655" s="259"/>
      <c r="J655" s="259"/>
      <c r="K655" s="259"/>
      <c r="L655" s="259"/>
      <c r="M655" s="259"/>
    </row>
    <row r="656" spans="6:13" ht="13.5" customHeight="1">
      <c r="F656" s="259"/>
      <c r="G656" s="259"/>
      <c r="H656" s="259"/>
      <c r="I656" s="259"/>
      <c r="J656" s="259"/>
      <c r="K656" s="259"/>
      <c r="L656" s="259"/>
      <c r="M656" s="259"/>
    </row>
    <row r="657" spans="6:13" ht="13.5" customHeight="1">
      <c r="F657" s="259"/>
      <c r="G657" s="259"/>
      <c r="H657" s="259"/>
      <c r="I657" s="259"/>
      <c r="J657" s="259"/>
      <c r="K657" s="259"/>
      <c r="L657" s="259"/>
      <c r="M657" s="259"/>
    </row>
    <row r="658" spans="6:13" ht="13.5" customHeight="1">
      <c r="F658" s="259"/>
      <c r="G658" s="259"/>
      <c r="H658" s="259"/>
      <c r="I658" s="259"/>
      <c r="J658" s="259"/>
      <c r="K658" s="259"/>
      <c r="L658" s="259"/>
      <c r="M658" s="259"/>
    </row>
    <row r="659" spans="6:13" ht="13.5" customHeight="1">
      <c r="F659" s="259"/>
      <c r="G659" s="259"/>
      <c r="H659" s="259"/>
      <c r="I659" s="259"/>
      <c r="J659" s="259"/>
      <c r="K659" s="259"/>
      <c r="L659" s="259"/>
      <c r="M659" s="259"/>
    </row>
    <row r="660" spans="6:13" ht="13.5" customHeight="1">
      <c r="F660" s="259"/>
      <c r="G660" s="259"/>
      <c r="H660" s="259"/>
      <c r="I660" s="259"/>
      <c r="J660" s="259"/>
      <c r="K660" s="259"/>
      <c r="L660" s="259"/>
      <c r="M660" s="259"/>
    </row>
    <row r="661" spans="6:13" ht="13.5" customHeight="1">
      <c r="F661" s="259"/>
      <c r="G661" s="259"/>
      <c r="H661" s="259"/>
      <c r="I661" s="259"/>
      <c r="J661" s="259"/>
      <c r="K661" s="259"/>
      <c r="L661" s="259"/>
      <c r="M661" s="259"/>
    </row>
    <row r="662" spans="6:13" ht="13.5" customHeight="1">
      <c r="F662" s="259"/>
      <c r="G662" s="259"/>
      <c r="H662" s="259"/>
      <c r="I662" s="259"/>
      <c r="J662" s="259"/>
      <c r="K662" s="259"/>
      <c r="L662" s="259"/>
      <c r="M662" s="259"/>
    </row>
    <row r="663" spans="6:13" ht="13.5" customHeight="1">
      <c r="F663" s="259"/>
      <c r="G663" s="259"/>
      <c r="H663" s="259"/>
      <c r="I663" s="259"/>
      <c r="J663" s="259"/>
      <c r="K663" s="259"/>
      <c r="L663" s="259"/>
      <c r="M663" s="259"/>
    </row>
    <row r="664" spans="6:13" ht="13.5" customHeight="1">
      <c r="F664" s="259"/>
      <c r="G664" s="259"/>
      <c r="H664" s="259"/>
      <c r="I664" s="259"/>
      <c r="J664" s="259"/>
      <c r="K664" s="259"/>
      <c r="L664" s="259"/>
      <c r="M664" s="259"/>
    </row>
    <row r="665" spans="6:13" ht="13.5" customHeight="1">
      <c r="F665" s="259"/>
      <c r="G665" s="259"/>
      <c r="H665" s="259"/>
      <c r="I665" s="259"/>
      <c r="J665" s="259"/>
      <c r="K665" s="259"/>
      <c r="L665" s="259"/>
      <c r="M665" s="259"/>
    </row>
    <row r="666" spans="6:13" ht="13.5" customHeight="1">
      <c r="F666" s="259"/>
      <c r="G666" s="259"/>
      <c r="H666" s="259"/>
      <c r="I666" s="259"/>
      <c r="J666" s="259"/>
      <c r="K666" s="259"/>
      <c r="L666" s="259"/>
      <c r="M666" s="259"/>
    </row>
    <row r="667" spans="6:13" ht="13.5" customHeight="1">
      <c r="F667" s="259"/>
      <c r="G667" s="259"/>
      <c r="H667" s="259"/>
      <c r="I667" s="259"/>
      <c r="J667" s="259"/>
      <c r="K667" s="259"/>
      <c r="L667" s="259"/>
      <c r="M667" s="259"/>
    </row>
    <row r="668" spans="6:13" ht="13.5" customHeight="1">
      <c r="F668" s="259"/>
      <c r="G668" s="259"/>
      <c r="H668" s="259"/>
      <c r="I668" s="259"/>
      <c r="J668" s="259"/>
      <c r="K668" s="259"/>
      <c r="L668" s="259"/>
      <c r="M668" s="259"/>
    </row>
    <row r="669" spans="6:13" ht="13.5" customHeight="1">
      <c r="F669" s="259"/>
      <c r="G669" s="259"/>
      <c r="H669" s="259"/>
      <c r="I669" s="259"/>
      <c r="J669" s="259"/>
      <c r="K669" s="259"/>
      <c r="L669" s="259"/>
      <c r="M669" s="259"/>
    </row>
    <row r="670" spans="6:13" ht="13.5" customHeight="1">
      <c r="F670" s="259"/>
      <c r="G670" s="259"/>
      <c r="H670" s="259"/>
      <c r="I670" s="259"/>
      <c r="J670" s="259"/>
      <c r="K670" s="259"/>
      <c r="L670" s="259"/>
      <c r="M670" s="259"/>
    </row>
    <row r="671" spans="6:13" ht="13.5" customHeight="1">
      <c r="F671" s="259"/>
      <c r="G671" s="259"/>
      <c r="H671" s="259"/>
      <c r="I671" s="259"/>
      <c r="J671" s="259"/>
      <c r="K671" s="259"/>
      <c r="L671" s="259"/>
      <c r="M671" s="259"/>
    </row>
    <row r="672" spans="6:13" ht="13.5" customHeight="1">
      <c r="F672" s="259"/>
      <c r="G672" s="259"/>
      <c r="H672" s="259"/>
      <c r="I672" s="259"/>
      <c r="J672" s="259"/>
      <c r="K672" s="259"/>
      <c r="L672" s="259"/>
      <c r="M672" s="259"/>
    </row>
    <row r="673" spans="6:13" ht="13.5" customHeight="1">
      <c r="F673" s="259"/>
      <c r="G673" s="259"/>
      <c r="H673" s="259"/>
      <c r="I673" s="259"/>
      <c r="J673" s="259"/>
      <c r="K673" s="259"/>
      <c r="L673" s="259"/>
      <c r="M673" s="259"/>
    </row>
    <row r="674" spans="6:13" ht="13.5" customHeight="1">
      <c r="F674" s="259"/>
      <c r="G674" s="259"/>
      <c r="H674" s="259"/>
      <c r="I674" s="259"/>
      <c r="J674" s="259"/>
      <c r="K674" s="259"/>
      <c r="L674" s="259"/>
      <c r="M674" s="259"/>
    </row>
    <row r="675" spans="6:13" ht="13.5" customHeight="1">
      <c r="F675" s="259"/>
      <c r="G675" s="259"/>
      <c r="H675" s="259"/>
      <c r="I675" s="259"/>
      <c r="J675" s="259"/>
      <c r="K675" s="259"/>
      <c r="L675" s="259"/>
      <c r="M675" s="259"/>
    </row>
    <row r="676" spans="6:13" ht="13.5" customHeight="1">
      <c r="F676" s="259"/>
      <c r="G676" s="259"/>
      <c r="H676" s="259"/>
      <c r="I676" s="259"/>
      <c r="J676" s="259"/>
      <c r="K676" s="259"/>
      <c r="L676" s="259"/>
      <c r="M676" s="259"/>
    </row>
    <row r="677" spans="6:13" ht="13.5" customHeight="1">
      <c r="F677" s="259"/>
      <c r="G677" s="259"/>
      <c r="H677" s="259"/>
      <c r="I677" s="259"/>
      <c r="J677" s="259"/>
      <c r="K677" s="259"/>
      <c r="L677" s="259"/>
      <c r="M677" s="259"/>
    </row>
    <row r="678" spans="6:13" ht="13.5" customHeight="1">
      <c r="F678" s="259"/>
      <c r="G678" s="259"/>
      <c r="H678" s="259"/>
      <c r="I678" s="259"/>
      <c r="J678" s="259"/>
      <c r="K678" s="259"/>
      <c r="L678" s="259"/>
      <c r="M678" s="259"/>
    </row>
    <row r="679" spans="6:13" ht="13.5" customHeight="1">
      <c r="F679" s="259"/>
      <c r="G679" s="259"/>
      <c r="H679" s="259"/>
      <c r="I679" s="259"/>
      <c r="J679" s="259"/>
      <c r="K679" s="259"/>
      <c r="L679" s="259"/>
      <c r="M679" s="259"/>
    </row>
    <row r="680" spans="6:13" ht="13.5" customHeight="1">
      <c r="F680" s="259"/>
      <c r="G680" s="259"/>
      <c r="H680" s="259"/>
      <c r="I680" s="259"/>
      <c r="J680" s="259"/>
      <c r="K680" s="259"/>
      <c r="L680" s="259"/>
      <c r="M680" s="259"/>
    </row>
    <row r="681" spans="6:13" ht="13.5" customHeight="1">
      <c r="F681" s="259"/>
      <c r="G681" s="259"/>
      <c r="H681" s="259"/>
      <c r="I681" s="259"/>
      <c r="J681" s="259"/>
      <c r="K681" s="259"/>
      <c r="L681" s="259"/>
      <c r="M681" s="259"/>
    </row>
    <row r="682" spans="6:13" ht="13.5" customHeight="1">
      <c r="F682" s="259"/>
      <c r="G682" s="259"/>
      <c r="H682" s="259"/>
      <c r="I682" s="259"/>
      <c r="J682" s="259"/>
      <c r="K682" s="259"/>
      <c r="L682" s="259"/>
      <c r="M682" s="259"/>
    </row>
    <row r="683" spans="6:13" ht="13.5" customHeight="1">
      <c r="F683" s="259"/>
      <c r="G683" s="259"/>
      <c r="H683" s="259"/>
      <c r="I683" s="259"/>
      <c r="J683" s="259"/>
      <c r="K683" s="259"/>
      <c r="L683" s="259"/>
      <c r="M683" s="259"/>
    </row>
    <row r="684" spans="6:13" ht="13.5" customHeight="1">
      <c r="F684" s="259"/>
      <c r="G684" s="259"/>
      <c r="H684" s="259"/>
      <c r="I684" s="259"/>
      <c r="J684" s="259"/>
      <c r="K684" s="259"/>
      <c r="L684" s="259"/>
      <c r="M684" s="259"/>
    </row>
    <row r="685" spans="6:13" ht="13.5" customHeight="1">
      <c r="F685" s="259"/>
      <c r="G685" s="259"/>
      <c r="H685" s="259"/>
      <c r="I685" s="259"/>
      <c r="J685" s="259"/>
      <c r="K685" s="259"/>
      <c r="L685" s="259"/>
      <c r="M685" s="259"/>
    </row>
    <row r="686" spans="6:13" ht="13.5" customHeight="1">
      <c r="F686" s="259"/>
      <c r="G686" s="259"/>
      <c r="H686" s="259"/>
      <c r="I686" s="259"/>
      <c r="J686" s="259"/>
      <c r="K686" s="259"/>
      <c r="L686" s="259"/>
      <c r="M686" s="259"/>
    </row>
    <row r="687" spans="6:13" ht="13.5" customHeight="1">
      <c r="F687" s="259"/>
      <c r="G687" s="259"/>
      <c r="H687" s="259"/>
      <c r="I687" s="259"/>
      <c r="J687" s="259"/>
      <c r="K687" s="259"/>
      <c r="L687" s="259"/>
      <c r="M687" s="259"/>
    </row>
    <row r="688" spans="6:13" ht="13.5" customHeight="1">
      <c r="F688" s="259"/>
      <c r="G688" s="259"/>
      <c r="H688" s="259"/>
      <c r="I688" s="259"/>
      <c r="J688" s="259"/>
      <c r="K688" s="259"/>
      <c r="L688" s="259"/>
      <c r="M688" s="259"/>
    </row>
    <row r="689" spans="6:13" ht="13.5" customHeight="1">
      <c r="F689" s="259"/>
      <c r="G689" s="259"/>
      <c r="H689" s="259"/>
      <c r="I689" s="259"/>
      <c r="J689" s="259"/>
      <c r="K689" s="259"/>
      <c r="L689" s="259"/>
      <c r="M689" s="259"/>
    </row>
    <row r="690" spans="6:13" ht="13.5" customHeight="1">
      <c r="F690" s="259"/>
      <c r="G690" s="259"/>
      <c r="H690" s="259"/>
      <c r="I690" s="259"/>
      <c r="J690" s="259"/>
      <c r="K690" s="259"/>
      <c r="L690" s="259"/>
      <c r="M690" s="259"/>
    </row>
    <row r="691" spans="6:13" ht="13.5" customHeight="1">
      <c r="F691" s="259"/>
      <c r="G691" s="259"/>
      <c r="H691" s="259"/>
      <c r="I691" s="259"/>
      <c r="J691" s="259"/>
      <c r="K691" s="259"/>
      <c r="L691" s="259"/>
      <c r="M691" s="259"/>
    </row>
    <row r="692" spans="6:13" ht="13.5" customHeight="1">
      <c r="F692" s="259"/>
      <c r="G692" s="259"/>
      <c r="H692" s="259"/>
      <c r="I692" s="259"/>
      <c r="J692" s="259"/>
      <c r="K692" s="259"/>
      <c r="L692" s="259"/>
      <c r="M692" s="259"/>
    </row>
    <row r="693" spans="6:13" ht="13.5" customHeight="1">
      <c r="F693" s="259"/>
      <c r="G693" s="259"/>
      <c r="H693" s="259"/>
      <c r="I693" s="259"/>
      <c r="J693" s="259"/>
      <c r="K693" s="259"/>
      <c r="L693" s="259"/>
      <c r="M693" s="259"/>
    </row>
    <row r="694" spans="6:13" ht="13.5" customHeight="1">
      <c r="F694" s="259"/>
      <c r="G694" s="259"/>
      <c r="H694" s="259"/>
      <c r="I694" s="259"/>
      <c r="J694" s="259"/>
      <c r="K694" s="259"/>
      <c r="L694" s="259"/>
      <c r="M694" s="259"/>
    </row>
    <row r="695" spans="6:13" ht="13.5" customHeight="1">
      <c r="F695" s="259"/>
      <c r="G695" s="259"/>
      <c r="H695" s="259"/>
      <c r="I695" s="259"/>
      <c r="J695" s="259"/>
      <c r="K695" s="259"/>
      <c r="L695" s="259"/>
      <c r="M695" s="259"/>
    </row>
    <row r="696" spans="6:13" ht="13.5" customHeight="1">
      <c r="F696" s="259"/>
      <c r="G696" s="259"/>
      <c r="H696" s="259"/>
      <c r="I696" s="259"/>
      <c r="J696" s="259"/>
      <c r="K696" s="259"/>
      <c r="L696" s="259"/>
      <c r="M696" s="259"/>
    </row>
    <row r="697" spans="6:13" ht="13.5" customHeight="1">
      <c r="F697" s="259"/>
      <c r="G697" s="259"/>
      <c r="H697" s="259"/>
      <c r="I697" s="259"/>
      <c r="J697" s="259"/>
      <c r="K697" s="259"/>
      <c r="L697" s="259"/>
      <c r="M697" s="259"/>
    </row>
    <row r="698" spans="6:13" ht="13.5" customHeight="1">
      <c r="F698" s="259"/>
      <c r="G698" s="259"/>
      <c r="H698" s="259"/>
      <c r="I698" s="259"/>
      <c r="J698" s="259"/>
      <c r="K698" s="259"/>
      <c r="L698" s="259"/>
      <c r="M698" s="259"/>
    </row>
    <row r="699" spans="6:13" ht="13.5" customHeight="1">
      <c r="F699" s="259"/>
      <c r="G699" s="259"/>
      <c r="H699" s="259"/>
      <c r="I699" s="259"/>
      <c r="J699" s="259"/>
      <c r="K699" s="259"/>
      <c r="L699" s="259"/>
      <c r="M699" s="259"/>
    </row>
    <row r="700" spans="6:13" ht="13.5" customHeight="1">
      <c r="F700" s="259"/>
      <c r="G700" s="259"/>
      <c r="H700" s="259"/>
      <c r="I700" s="259"/>
      <c r="J700" s="259"/>
      <c r="K700" s="259"/>
      <c r="L700" s="259"/>
      <c r="M700" s="259"/>
    </row>
    <row r="701" spans="6:13" ht="13.5" customHeight="1">
      <c r="F701" s="259"/>
      <c r="G701" s="259"/>
      <c r="H701" s="259"/>
      <c r="I701" s="259"/>
      <c r="J701" s="259"/>
      <c r="K701" s="259"/>
      <c r="L701" s="259"/>
      <c r="M701" s="259"/>
    </row>
    <row r="702" spans="6:13" ht="13.5" customHeight="1">
      <c r="F702" s="259"/>
      <c r="G702" s="259"/>
      <c r="H702" s="259"/>
      <c r="I702" s="259"/>
      <c r="J702" s="259"/>
      <c r="K702" s="259"/>
      <c r="L702" s="259"/>
      <c r="M702" s="259"/>
    </row>
    <row r="703" spans="6:13" ht="13.5" customHeight="1">
      <c r="F703" s="259"/>
      <c r="G703" s="259"/>
      <c r="H703" s="259"/>
      <c r="I703" s="259"/>
      <c r="J703" s="259"/>
      <c r="K703" s="259"/>
      <c r="L703" s="259"/>
      <c r="M703" s="259"/>
    </row>
    <row r="704" spans="6:13" ht="13.5" customHeight="1">
      <c r="F704" s="259"/>
      <c r="G704" s="259"/>
      <c r="H704" s="259"/>
      <c r="I704" s="259"/>
      <c r="J704" s="259"/>
      <c r="K704" s="259"/>
      <c r="L704" s="259"/>
      <c r="M704" s="259"/>
    </row>
    <row r="705" spans="6:13" ht="13.5" customHeight="1">
      <c r="F705" s="259"/>
      <c r="G705" s="259"/>
      <c r="H705" s="259"/>
      <c r="I705" s="259"/>
      <c r="J705" s="259"/>
      <c r="K705" s="259"/>
      <c r="L705" s="259"/>
      <c r="M705" s="259"/>
    </row>
    <row r="706" spans="6:13" ht="13.5" customHeight="1">
      <c r="F706" s="259"/>
      <c r="G706" s="259"/>
      <c r="H706" s="259"/>
      <c r="I706" s="259"/>
      <c r="J706" s="259"/>
      <c r="K706" s="259"/>
      <c r="L706" s="259"/>
      <c r="M706" s="259"/>
    </row>
    <row r="707" spans="6:13" ht="13.5" customHeight="1">
      <c r="F707" s="259"/>
      <c r="G707" s="259"/>
      <c r="H707" s="259"/>
      <c r="I707" s="259"/>
      <c r="J707" s="259"/>
      <c r="K707" s="259"/>
      <c r="L707" s="259"/>
      <c r="M707" s="259"/>
    </row>
    <row r="708" spans="6:13" ht="13.5" customHeight="1">
      <c r="F708" s="259"/>
      <c r="G708" s="259"/>
      <c r="H708" s="259"/>
      <c r="I708" s="259"/>
      <c r="J708" s="259"/>
      <c r="K708" s="259"/>
      <c r="L708" s="259"/>
      <c r="M708" s="259"/>
    </row>
    <row r="709" spans="6:13" ht="13.5" customHeight="1">
      <c r="F709" s="259"/>
      <c r="G709" s="259"/>
      <c r="H709" s="259"/>
      <c r="I709" s="259"/>
      <c r="J709" s="259"/>
      <c r="K709" s="259"/>
      <c r="L709" s="259"/>
      <c r="M709" s="259"/>
    </row>
    <row r="710" spans="6:13" ht="13.5" customHeight="1">
      <c r="F710" s="259"/>
      <c r="G710" s="259"/>
      <c r="H710" s="259"/>
      <c r="I710" s="259"/>
      <c r="J710" s="259"/>
      <c r="K710" s="259"/>
      <c r="L710" s="259"/>
      <c r="M710" s="259"/>
    </row>
    <row r="711" spans="6:13" ht="13.5" customHeight="1">
      <c r="F711" s="259"/>
      <c r="G711" s="259"/>
      <c r="H711" s="259"/>
      <c r="I711" s="259"/>
      <c r="J711" s="259"/>
      <c r="K711" s="259"/>
      <c r="L711" s="259"/>
      <c r="M711" s="259"/>
    </row>
    <row r="712" spans="6:13" ht="13.5" customHeight="1">
      <c r="F712" s="259"/>
      <c r="G712" s="259"/>
      <c r="H712" s="259"/>
      <c r="I712" s="259"/>
      <c r="J712" s="259"/>
      <c r="K712" s="259"/>
      <c r="L712" s="259"/>
      <c r="M712" s="259"/>
    </row>
    <row r="713" spans="6:13" ht="13.5" customHeight="1">
      <c r="F713" s="259"/>
      <c r="G713" s="259"/>
      <c r="H713" s="259"/>
      <c r="I713" s="259"/>
      <c r="J713" s="259"/>
      <c r="K713" s="259"/>
      <c r="L713" s="259"/>
      <c r="M713" s="259"/>
    </row>
    <row r="714" spans="6:13" ht="13.5" customHeight="1">
      <c r="F714" s="259"/>
      <c r="G714" s="259"/>
      <c r="H714" s="259"/>
      <c r="I714" s="259"/>
      <c r="J714" s="259"/>
      <c r="K714" s="259"/>
      <c r="L714" s="259"/>
      <c r="M714" s="259"/>
    </row>
    <row r="715" spans="6:13" ht="13.5" customHeight="1">
      <c r="F715" s="259"/>
      <c r="G715" s="259"/>
      <c r="H715" s="259"/>
      <c r="I715" s="259"/>
      <c r="J715" s="259"/>
      <c r="K715" s="259"/>
      <c r="L715" s="259"/>
      <c r="M715" s="259"/>
    </row>
    <row r="716" spans="6:13" ht="13.5" customHeight="1">
      <c r="F716" s="259"/>
      <c r="G716" s="259"/>
      <c r="H716" s="259"/>
      <c r="I716" s="259"/>
      <c r="J716" s="259"/>
      <c r="K716" s="259"/>
      <c r="L716" s="259"/>
      <c r="M716" s="259"/>
    </row>
    <row r="717" spans="6:13" ht="13.5" customHeight="1">
      <c r="F717" s="259"/>
      <c r="G717" s="259"/>
      <c r="H717" s="259"/>
      <c r="I717" s="259"/>
      <c r="J717" s="259"/>
      <c r="K717" s="259"/>
      <c r="L717" s="259"/>
      <c r="M717" s="259"/>
    </row>
    <row r="718" spans="6:13" ht="13.5" customHeight="1">
      <c r="F718" s="259"/>
      <c r="G718" s="259"/>
      <c r="H718" s="259"/>
      <c r="I718" s="259"/>
      <c r="J718" s="259"/>
      <c r="K718" s="259"/>
      <c r="L718" s="259"/>
      <c r="M718" s="259"/>
    </row>
    <row r="719" spans="6:13" ht="13.5" customHeight="1">
      <c r="F719" s="259"/>
      <c r="G719" s="259"/>
      <c r="H719" s="259"/>
      <c r="I719" s="259"/>
      <c r="J719" s="259"/>
      <c r="K719" s="259"/>
      <c r="L719" s="259"/>
      <c r="M719" s="259"/>
    </row>
    <row r="720" spans="6:13" ht="13.5" customHeight="1">
      <c r="F720" s="259"/>
      <c r="G720" s="259"/>
      <c r="H720" s="259"/>
      <c r="I720" s="259"/>
      <c r="J720" s="259"/>
      <c r="K720" s="259"/>
      <c r="L720" s="259"/>
      <c r="M720" s="259"/>
    </row>
    <row r="721" spans="6:13" ht="13.5" customHeight="1">
      <c r="F721" s="259"/>
      <c r="G721" s="259"/>
      <c r="H721" s="259"/>
      <c r="I721" s="259"/>
      <c r="J721" s="259"/>
      <c r="K721" s="259"/>
      <c r="L721" s="259"/>
      <c r="M721" s="259"/>
    </row>
    <row r="722" spans="6:13" ht="13.5" customHeight="1">
      <c r="F722" s="259"/>
      <c r="G722" s="259"/>
      <c r="H722" s="259"/>
      <c r="I722" s="259"/>
      <c r="J722" s="259"/>
      <c r="K722" s="259"/>
      <c r="L722" s="259"/>
      <c r="M722" s="259"/>
    </row>
    <row r="723" spans="6:13" ht="13.5" customHeight="1">
      <c r="F723" s="259"/>
      <c r="G723" s="259"/>
      <c r="H723" s="259"/>
      <c r="I723" s="259"/>
      <c r="J723" s="259"/>
      <c r="K723" s="259"/>
      <c r="L723" s="259"/>
      <c r="M723" s="259"/>
    </row>
    <row r="724" spans="6:13" ht="13.5" customHeight="1">
      <c r="F724" s="259"/>
      <c r="G724" s="259"/>
      <c r="H724" s="259"/>
      <c r="I724" s="259"/>
      <c r="J724" s="259"/>
      <c r="K724" s="259"/>
      <c r="L724" s="259"/>
      <c r="M724" s="259"/>
    </row>
    <row r="725" spans="6:13" ht="13.5" customHeight="1">
      <c r="F725" s="259"/>
      <c r="G725" s="259"/>
      <c r="H725" s="259"/>
      <c r="I725" s="259"/>
      <c r="J725" s="259"/>
      <c r="K725" s="259"/>
      <c r="L725" s="259"/>
      <c r="M725" s="259"/>
    </row>
    <row r="726" spans="6:13" ht="13.5" customHeight="1">
      <c r="F726" s="259"/>
      <c r="G726" s="259"/>
      <c r="H726" s="259"/>
      <c r="I726" s="259"/>
      <c r="J726" s="259"/>
      <c r="K726" s="259"/>
      <c r="L726" s="259"/>
      <c r="M726" s="259"/>
    </row>
    <row r="727" spans="6:13" ht="13.5" customHeight="1">
      <c r="F727" s="259"/>
      <c r="G727" s="259"/>
      <c r="H727" s="259"/>
      <c r="I727" s="259"/>
      <c r="J727" s="259"/>
      <c r="K727" s="259"/>
      <c r="L727" s="259"/>
      <c r="M727" s="259"/>
    </row>
    <row r="728" spans="6:13" ht="13.5" customHeight="1">
      <c r="F728" s="259"/>
      <c r="G728" s="259"/>
      <c r="H728" s="259"/>
      <c r="I728" s="259"/>
      <c r="J728" s="259"/>
      <c r="K728" s="259"/>
      <c r="L728" s="259"/>
      <c r="M728" s="259"/>
    </row>
    <row r="729" spans="6:13" ht="13.5" customHeight="1">
      <c r="F729" s="259"/>
      <c r="G729" s="259"/>
      <c r="H729" s="259"/>
      <c r="I729" s="259"/>
      <c r="J729" s="259"/>
      <c r="K729" s="259"/>
      <c r="L729" s="259"/>
      <c r="M729" s="259"/>
    </row>
    <row r="730" spans="6:13" ht="13.5" customHeight="1">
      <c r="F730" s="259"/>
      <c r="G730" s="259"/>
      <c r="H730" s="259"/>
      <c r="I730" s="259"/>
      <c r="J730" s="259"/>
      <c r="K730" s="259"/>
      <c r="L730" s="259"/>
      <c r="M730" s="259"/>
    </row>
    <row r="731" spans="6:13" ht="13.5" customHeight="1">
      <c r="F731" s="259"/>
      <c r="G731" s="259"/>
      <c r="H731" s="259"/>
      <c r="I731" s="259"/>
      <c r="J731" s="259"/>
      <c r="K731" s="259"/>
      <c r="L731" s="259"/>
      <c r="M731" s="259"/>
    </row>
    <row r="732" spans="6:13" ht="13.5" customHeight="1">
      <c r="F732" s="259"/>
      <c r="G732" s="259"/>
      <c r="H732" s="259"/>
      <c r="I732" s="259"/>
      <c r="J732" s="259"/>
      <c r="K732" s="259"/>
      <c r="L732" s="259"/>
      <c r="M732" s="259"/>
    </row>
    <row r="733" spans="6:13" ht="13.5" customHeight="1">
      <c r="F733" s="259"/>
      <c r="G733" s="259"/>
      <c r="H733" s="259"/>
      <c r="I733" s="259"/>
      <c r="J733" s="259"/>
      <c r="K733" s="259"/>
      <c r="L733" s="259"/>
      <c r="M733" s="259"/>
    </row>
    <row r="734" spans="6:13" ht="13.5" customHeight="1">
      <c r="F734" s="259"/>
      <c r="G734" s="259"/>
      <c r="H734" s="259"/>
      <c r="I734" s="259"/>
      <c r="J734" s="259"/>
      <c r="K734" s="259"/>
      <c r="L734" s="259"/>
      <c r="M734" s="259"/>
    </row>
    <row r="735" spans="6:13" ht="13.5" customHeight="1">
      <c r="F735" s="259"/>
      <c r="G735" s="259"/>
      <c r="H735" s="259"/>
      <c r="I735" s="259"/>
      <c r="J735" s="259"/>
      <c r="K735" s="259"/>
      <c r="L735" s="259"/>
      <c r="M735" s="259"/>
    </row>
    <row r="736" spans="6:13" ht="13.5" customHeight="1">
      <c r="F736" s="259"/>
      <c r="G736" s="259"/>
      <c r="H736" s="259"/>
      <c r="I736" s="259"/>
      <c r="J736" s="259"/>
      <c r="K736" s="259"/>
      <c r="L736" s="259"/>
      <c r="M736" s="259"/>
    </row>
    <row r="737" spans="6:13" ht="13.5" customHeight="1">
      <c r="F737" s="259"/>
      <c r="G737" s="259"/>
      <c r="H737" s="259"/>
      <c r="I737" s="259"/>
      <c r="J737" s="259"/>
      <c r="K737" s="259"/>
      <c r="L737" s="259"/>
      <c r="M737" s="259"/>
    </row>
    <row r="738" spans="6:13" ht="13.5" customHeight="1">
      <c r="F738" s="259"/>
      <c r="G738" s="259"/>
      <c r="H738" s="259"/>
      <c r="I738" s="259"/>
      <c r="J738" s="259"/>
      <c r="K738" s="259"/>
      <c r="L738" s="259"/>
      <c r="M738" s="259"/>
    </row>
    <row r="739" spans="6:13" ht="13.5" customHeight="1">
      <c r="F739" s="259"/>
      <c r="G739" s="259"/>
      <c r="H739" s="259"/>
      <c r="I739" s="259"/>
      <c r="J739" s="259"/>
      <c r="K739" s="259"/>
      <c r="L739" s="259"/>
      <c r="M739" s="259"/>
    </row>
    <row r="740" spans="6:13" ht="13.5" customHeight="1">
      <c r="F740" s="259"/>
      <c r="G740" s="259"/>
      <c r="H740" s="259"/>
      <c r="I740" s="259"/>
      <c r="J740" s="259"/>
      <c r="K740" s="259"/>
      <c r="L740" s="259"/>
      <c r="M740" s="259"/>
    </row>
    <row r="741" spans="6:13" ht="13.5" customHeight="1">
      <c r="F741" s="259"/>
      <c r="G741" s="259"/>
      <c r="H741" s="259"/>
      <c r="I741" s="259"/>
      <c r="J741" s="259"/>
      <c r="K741" s="259"/>
      <c r="L741" s="259"/>
      <c r="M741" s="259"/>
    </row>
    <row r="742" spans="6:13" ht="13.5" customHeight="1">
      <c r="F742" s="259"/>
      <c r="G742" s="259"/>
      <c r="H742" s="259"/>
      <c r="I742" s="259"/>
      <c r="J742" s="259"/>
      <c r="K742" s="259"/>
      <c r="L742" s="259"/>
      <c r="M742" s="259"/>
    </row>
    <row r="743" spans="6:13" ht="13.5" customHeight="1">
      <c r="F743" s="259"/>
      <c r="G743" s="259"/>
      <c r="H743" s="259"/>
      <c r="I743" s="259"/>
      <c r="J743" s="259"/>
      <c r="K743" s="259"/>
      <c r="L743" s="259"/>
      <c r="M743" s="259"/>
    </row>
    <row r="744" spans="6:13" ht="13.5" customHeight="1">
      <c r="F744" s="259"/>
      <c r="G744" s="259"/>
      <c r="H744" s="259"/>
      <c r="I744" s="259"/>
      <c r="J744" s="259"/>
      <c r="K744" s="259"/>
      <c r="L744" s="259"/>
      <c r="M744" s="259"/>
    </row>
    <row r="745" spans="6:13" ht="13.5" customHeight="1">
      <c r="F745" s="259"/>
      <c r="G745" s="259"/>
      <c r="H745" s="259"/>
      <c r="I745" s="259"/>
      <c r="J745" s="259"/>
      <c r="K745" s="259"/>
      <c r="L745" s="259"/>
      <c r="M745" s="259"/>
    </row>
    <row r="746" spans="6:13" ht="13.5" customHeight="1">
      <c r="F746" s="259"/>
      <c r="G746" s="259"/>
      <c r="H746" s="259"/>
      <c r="I746" s="259"/>
      <c r="J746" s="259"/>
      <c r="K746" s="259"/>
      <c r="L746" s="259"/>
      <c r="M746" s="259"/>
    </row>
    <row r="747" spans="6:13" ht="13.5" customHeight="1">
      <c r="F747" s="259"/>
      <c r="G747" s="259"/>
      <c r="H747" s="259"/>
      <c r="I747" s="259"/>
      <c r="J747" s="259"/>
      <c r="K747" s="259"/>
      <c r="L747" s="259"/>
      <c r="M747" s="259"/>
    </row>
    <row r="748" spans="6:13" ht="13.5" customHeight="1">
      <c r="F748" s="259"/>
      <c r="G748" s="259"/>
      <c r="H748" s="259"/>
      <c r="I748" s="259"/>
      <c r="J748" s="259"/>
      <c r="K748" s="259"/>
      <c r="L748" s="259"/>
      <c r="M748" s="259"/>
    </row>
    <row r="749" spans="6:13" ht="13.5" customHeight="1">
      <c r="F749" s="259"/>
      <c r="G749" s="259"/>
      <c r="H749" s="259"/>
      <c r="I749" s="259"/>
      <c r="J749" s="259"/>
      <c r="K749" s="259"/>
      <c r="L749" s="259"/>
      <c r="M749" s="259"/>
    </row>
    <row r="750" spans="6:13" ht="13.5" customHeight="1">
      <c r="F750" s="259"/>
      <c r="G750" s="259"/>
      <c r="H750" s="259"/>
      <c r="I750" s="259"/>
      <c r="J750" s="259"/>
      <c r="K750" s="259"/>
      <c r="L750" s="259"/>
      <c r="M750" s="259"/>
    </row>
    <row r="751" spans="6:13" ht="13.5" customHeight="1">
      <c r="F751" s="259"/>
      <c r="G751" s="259"/>
      <c r="H751" s="259"/>
      <c r="I751" s="259"/>
      <c r="J751" s="259"/>
      <c r="K751" s="259"/>
      <c r="L751" s="259"/>
      <c r="M751" s="259"/>
    </row>
    <row r="752" spans="6:13" ht="13.5" customHeight="1">
      <c r="F752" s="259"/>
      <c r="G752" s="259"/>
      <c r="H752" s="259"/>
      <c r="I752" s="259"/>
      <c r="J752" s="259"/>
      <c r="K752" s="259"/>
      <c r="L752" s="259"/>
      <c r="M752" s="259"/>
    </row>
    <row r="753" spans="6:13" ht="13.5" customHeight="1">
      <c r="F753" s="259"/>
      <c r="G753" s="259"/>
      <c r="H753" s="259"/>
      <c r="I753" s="259"/>
      <c r="J753" s="259"/>
      <c r="K753" s="259"/>
      <c r="L753" s="259"/>
      <c r="M753" s="259"/>
    </row>
    <row r="754" spans="6:13" ht="13.5" customHeight="1">
      <c r="F754" s="259"/>
      <c r="G754" s="259"/>
      <c r="H754" s="259"/>
      <c r="I754" s="259"/>
      <c r="J754" s="259"/>
      <c r="K754" s="259"/>
      <c r="L754" s="259"/>
      <c r="M754" s="259"/>
    </row>
    <row r="755" spans="6:13" ht="13.5" customHeight="1">
      <c r="F755" s="259"/>
      <c r="G755" s="259"/>
      <c r="H755" s="259"/>
      <c r="I755" s="259"/>
      <c r="J755" s="259"/>
      <c r="K755" s="259"/>
      <c r="L755" s="259"/>
      <c r="M755" s="259"/>
    </row>
    <row r="756" spans="6:13" ht="13.5" customHeight="1">
      <c r="F756" s="259"/>
      <c r="G756" s="259"/>
      <c r="H756" s="259"/>
      <c r="I756" s="259"/>
      <c r="J756" s="259"/>
      <c r="K756" s="259"/>
      <c r="L756" s="259"/>
      <c r="M756" s="259"/>
    </row>
    <row r="757" spans="6:13" ht="13.5" customHeight="1">
      <c r="F757" s="259"/>
      <c r="G757" s="259"/>
      <c r="H757" s="259"/>
      <c r="I757" s="259"/>
      <c r="J757" s="259"/>
      <c r="K757" s="259"/>
      <c r="L757" s="259"/>
      <c r="M757" s="259"/>
    </row>
    <row r="758" spans="6:13" ht="13.5" customHeight="1">
      <c r="F758" s="259"/>
      <c r="G758" s="259"/>
      <c r="H758" s="259"/>
      <c r="I758" s="259"/>
      <c r="J758" s="259"/>
      <c r="K758" s="259"/>
      <c r="L758" s="259"/>
      <c r="M758" s="259"/>
    </row>
    <row r="759" spans="6:13" ht="13.5" customHeight="1">
      <c r="F759" s="259"/>
      <c r="G759" s="259"/>
      <c r="H759" s="259"/>
      <c r="I759" s="259"/>
      <c r="J759" s="259"/>
      <c r="K759" s="259"/>
      <c r="L759" s="259"/>
      <c r="M759" s="259"/>
    </row>
    <row r="760" spans="6:13" ht="13.5" customHeight="1">
      <c r="F760" s="259"/>
      <c r="G760" s="259"/>
      <c r="H760" s="259"/>
      <c r="I760" s="259"/>
      <c r="J760" s="259"/>
      <c r="K760" s="259"/>
      <c r="L760" s="259"/>
      <c r="M760" s="259"/>
    </row>
    <row r="761" spans="6:13" ht="13.5" customHeight="1">
      <c r="F761" s="259"/>
      <c r="G761" s="259"/>
      <c r="H761" s="259"/>
      <c r="I761" s="259"/>
      <c r="J761" s="259"/>
      <c r="K761" s="259"/>
      <c r="L761" s="259"/>
      <c r="M761" s="259"/>
    </row>
    <row r="762" spans="6:13" ht="13.5" customHeight="1">
      <c r="F762" s="259"/>
      <c r="G762" s="259"/>
      <c r="H762" s="259"/>
      <c r="I762" s="259"/>
      <c r="J762" s="259"/>
      <c r="K762" s="259"/>
      <c r="L762" s="259"/>
      <c r="M762" s="259"/>
    </row>
    <row r="763" spans="6:13" ht="13.5" customHeight="1">
      <c r="F763" s="259"/>
      <c r="G763" s="259"/>
      <c r="H763" s="259"/>
      <c r="I763" s="259"/>
      <c r="J763" s="259"/>
      <c r="K763" s="259"/>
      <c r="L763" s="259"/>
      <c r="M763" s="259"/>
    </row>
    <row r="764" spans="6:13" ht="13.5" customHeight="1">
      <c r="F764" s="259"/>
      <c r="G764" s="259"/>
      <c r="H764" s="259"/>
      <c r="I764" s="259"/>
      <c r="J764" s="259"/>
      <c r="K764" s="259"/>
      <c r="L764" s="259"/>
      <c r="M764" s="259"/>
    </row>
    <row r="765" spans="6:13" ht="13.5" customHeight="1">
      <c r="F765" s="259"/>
      <c r="G765" s="259"/>
      <c r="H765" s="259"/>
      <c r="I765" s="259"/>
      <c r="J765" s="259"/>
      <c r="K765" s="259"/>
      <c r="L765" s="259"/>
      <c r="M765" s="259"/>
    </row>
    <row r="766" spans="6:13" ht="13.5" customHeight="1">
      <c r="F766" s="259"/>
      <c r="G766" s="259"/>
      <c r="H766" s="259"/>
      <c r="I766" s="259"/>
      <c r="J766" s="259"/>
      <c r="K766" s="259"/>
      <c r="L766" s="259"/>
      <c r="M766" s="259"/>
    </row>
    <row r="767" spans="6:13" ht="13.5" customHeight="1">
      <c r="F767" s="259"/>
      <c r="G767" s="259"/>
      <c r="H767" s="259"/>
      <c r="I767" s="259"/>
      <c r="J767" s="259"/>
      <c r="K767" s="259"/>
      <c r="L767" s="259"/>
      <c r="M767" s="259"/>
    </row>
    <row r="768" spans="6:13" ht="13.5" customHeight="1">
      <c r="F768" s="259"/>
      <c r="G768" s="259"/>
      <c r="H768" s="259"/>
      <c r="I768" s="259"/>
      <c r="J768" s="259"/>
      <c r="K768" s="259"/>
      <c r="L768" s="259"/>
      <c r="M768" s="259"/>
    </row>
    <row r="769" spans="6:13" ht="13.5" customHeight="1">
      <c r="F769" s="259"/>
      <c r="G769" s="259"/>
      <c r="H769" s="259"/>
      <c r="I769" s="259"/>
      <c r="J769" s="259"/>
      <c r="K769" s="259"/>
      <c r="L769" s="259"/>
      <c r="M769" s="259"/>
    </row>
    <row r="770" spans="6:13" ht="13.5" customHeight="1">
      <c r="F770" s="259"/>
      <c r="G770" s="259"/>
      <c r="H770" s="259"/>
      <c r="I770" s="259"/>
      <c r="J770" s="259"/>
      <c r="K770" s="259"/>
      <c r="L770" s="259"/>
      <c r="M770" s="259"/>
    </row>
    <row r="771" spans="6:13" ht="13.5" customHeight="1">
      <c r="F771" s="259"/>
      <c r="G771" s="259"/>
      <c r="H771" s="259"/>
      <c r="I771" s="259"/>
      <c r="J771" s="259"/>
      <c r="K771" s="259"/>
      <c r="L771" s="259"/>
      <c r="M771" s="259"/>
    </row>
    <row r="772" spans="6:13" ht="13.5" customHeight="1">
      <c r="F772" s="259"/>
      <c r="G772" s="259"/>
      <c r="H772" s="259"/>
      <c r="I772" s="259"/>
      <c r="J772" s="259"/>
      <c r="K772" s="259"/>
      <c r="L772" s="259"/>
      <c r="M772" s="259"/>
    </row>
    <row r="773" spans="6:13" ht="13.5" customHeight="1">
      <c r="F773" s="259"/>
      <c r="G773" s="259"/>
      <c r="H773" s="259"/>
      <c r="I773" s="259"/>
      <c r="J773" s="259"/>
      <c r="K773" s="259"/>
      <c r="L773" s="259"/>
      <c r="M773" s="259"/>
    </row>
    <row r="774" spans="6:13" ht="13.5" customHeight="1">
      <c r="F774" s="259"/>
      <c r="G774" s="259"/>
      <c r="H774" s="259"/>
      <c r="I774" s="259"/>
      <c r="J774" s="259"/>
      <c r="K774" s="259"/>
      <c r="L774" s="259"/>
      <c r="M774" s="259"/>
    </row>
    <row r="775" spans="6:13" ht="13.5" customHeight="1">
      <c r="F775" s="259"/>
      <c r="G775" s="259"/>
      <c r="H775" s="259"/>
      <c r="I775" s="259"/>
      <c r="J775" s="259"/>
      <c r="K775" s="259"/>
      <c r="L775" s="259"/>
      <c r="M775" s="259"/>
    </row>
    <row r="776" spans="6:13" ht="13.5" customHeight="1">
      <c r="F776" s="259"/>
      <c r="G776" s="259"/>
      <c r="H776" s="259"/>
      <c r="I776" s="259"/>
      <c r="J776" s="259"/>
      <c r="K776" s="259"/>
      <c r="L776" s="259"/>
      <c r="M776" s="259"/>
    </row>
    <row r="777" spans="6:13" ht="13.5" customHeight="1">
      <c r="F777" s="259"/>
      <c r="G777" s="259"/>
      <c r="H777" s="259"/>
      <c r="I777" s="259"/>
      <c r="J777" s="259"/>
      <c r="K777" s="259"/>
      <c r="L777" s="259"/>
      <c r="M777" s="259"/>
    </row>
    <row r="778" spans="6:13" ht="13.5" customHeight="1">
      <c r="F778" s="259"/>
      <c r="G778" s="259"/>
      <c r="H778" s="259"/>
      <c r="I778" s="259"/>
      <c r="J778" s="259"/>
      <c r="K778" s="259"/>
      <c r="L778" s="259"/>
      <c r="M778" s="259"/>
    </row>
    <row r="779" spans="6:13" ht="13.5" customHeight="1">
      <c r="F779" s="259"/>
      <c r="G779" s="259"/>
      <c r="H779" s="259"/>
      <c r="I779" s="259"/>
      <c r="J779" s="259"/>
      <c r="K779" s="259"/>
      <c r="L779" s="259"/>
      <c r="M779" s="259"/>
    </row>
    <row r="780" spans="6:13" ht="13.5" customHeight="1">
      <c r="F780" s="259"/>
      <c r="G780" s="259"/>
      <c r="H780" s="259"/>
      <c r="I780" s="259"/>
      <c r="J780" s="259"/>
      <c r="K780" s="259"/>
      <c r="L780" s="259"/>
      <c r="M780" s="259"/>
    </row>
    <row r="781" spans="6:13" ht="13.5" customHeight="1">
      <c r="F781" s="259"/>
      <c r="G781" s="259"/>
      <c r="H781" s="259"/>
      <c r="I781" s="259"/>
      <c r="J781" s="259"/>
      <c r="K781" s="259"/>
      <c r="L781" s="259"/>
      <c r="M781" s="259"/>
    </row>
    <row r="782" spans="6:13" ht="13.5" customHeight="1">
      <c r="F782" s="259"/>
      <c r="G782" s="259"/>
      <c r="H782" s="259"/>
      <c r="I782" s="259"/>
      <c r="J782" s="259"/>
      <c r="K782" s="259"/>
      <c r="L782" s="259"/>
      <c r="M782" s="259"/>
    </row>
    <row r="783" spans="6:13" ht="13.5" customHeight="1">
      <c r="F783" s="259"/>
      <c r="G783" s="259"/>
      <c r="H783" s="259"/>
      <c r="I783" s="259"/>
      <c r="J783" s="259"/>
      <c r="K783" s="259"/>
      <c r="L783" s="259"/>
      <c r="M783" s="259"/>
    </row>
    <row r="784" spans="6:13" ht="13.5" customHeight="1">
      <c r="F784" s="259"/>
      <c r="G784" s="259"/>
      <c r="H784" s="259"/>
      <c r="I784" s="259"/>
      <c r="J784" s="259"/>
      <c r="K784" s="259"/>
      <c r="L784" s="259"/>
      <c r="M784" s="259"/>
    </row>
    <row r="785" spans="6:13" ht="13.5" customHeight="1">
      <c r="F785" s="259"/>
      <c r="G785" s="259"/>
      <c r="H785" s="259"/>
      <c r="I785" s="259"/>
      <c r="J785" s="259"/>
      <c r="K785" s="259"/>
      <c r="L785" s="259"/>
      <c r="M785" s="259"/>
    </row>
    <row r="786" spans="6:13" ht="13.5" customHeight="1">
      <c r="F786" s="259"/>
      <c r="G786" s="259"/>
      <c r="H786" s="259"/>
      <c r="I786" s="259"/>
      <c r="J786" s="259"/>
      <c r="K786" s="259"/>
      <c r="L786" s="259"/>
      <c r="M786" s="259"/>
    </row>
    <row r="787" spans="6:13" ht="13.5" customHeight="1">
      <c r="F787" s="259"/>
      <c r="G787" s="259"/>
      <c r="H787" s="259"/>
      <c r="I787" s="259"/>
      <c r="J787" s="259"/>
      <c r="K787" s="259"/>
      <c r="L787" s="259"/>
      <c r="M787" s="259"/>
    </row>
    <row r="788" spans="6:13" ht="13.5" customHeight="1">
      <c r="F788" s="259"/>
      <c r="G788" s="259"/>
      <c r="H788" s="259"/>
      <c r="I788" s="259"/>
      <c r="J788" s="259"/>
      <c r="K788" s="259"/>
      <c r="L788" s="259"/>
      <c r="M788" s="259"/>
    </row>
    <row r="789" spans="6:13" ht="13.5" customHeight="1">
      <c r="F789" s="259"/>
      <c r="G789" s="259"/>
      <c r="H789" s="259"/>
      <c r="I789" s="259"/>
      <c r="J789" s="259"/>
      <c r="K789" s="259"/>
      <c r="L789" s="259"/>
      <c r="M789" s="259"/>
    </row>
    <row r="790" spans="6:13" ht="13.5" customHeight="1">
      <c r="F790" s="259"/>
      <c r="G790" s="259"/>
      <c r="H790" s="259"/>
      <c r="I790" s="259"/>
      <c r="J790" s="259"/>
      <c r="K790" s="259"/>
      <c r="L790" s="259"/>
      <c r="M790" s="259"/>
    </row>
    <row r="791" spans="6:13" ht="13.5" customHeight="1">
      <c r="F791" s="259"/>
      <c r="G791" s="259"/>
      <c r="H791" s="259"/>
      <c r="I791" s="259"/>
      <c r="J791" s="259"/>
      <c r="K791" s="259"/>
      <c r="L791" s="259"/>
      <c r="M791" s="259"/>
    </row>
    <row r="792" spans="6:13" ht="13.5" customHeight="1">
      <c r="F792" s="259"/>
      <c r="G792" s="259"/>
      <c r="H792" s="259"/>
      <c r="I792" s="259"/>
      <c r="J792" s="259"/>
      <c r="K792" s="259"/>
      <c r="L792" s="259"/>
      <c r="M792" s="259"/>
    </row>
    <row r="793" spans="6:13" ht="13.5" customHeight="1">
      <c r="F793" s="259"/>
      <c r="G793" s="259"/>
      <c r="H793" s="259"/>
      <c r="I793" s="259"/>
      <c r="J793" s="259"/>
      <c r="K793" s="259"/>
      <c r="L793" s="259"/>
      <c r="M793" s="259"/>
    </row>
    <row r="794" spans="6:13" ht="13.5" customHeight="1">
      <c r="F794" s="259"/>
      <c r="G794" s="259"/>
      <c r="H794" s="259"/>
      <c r="I794" s="259"/>
      <c r="J794" s="259"/>
      <c r="K794" s="259"/>
      <c r="L794" s="259"/>
      <c r="M794" s="259"/>
    </row>
    <row r="795" spans="6:13" ht="13.5" customHeight="1">
      <c r="F795" s="259"/>
      <c r="G795" s="259"/>
      <c r="H795" s="259"/>
      <c r="I795" s="259"/>
      <c r="J795" s="259"/>
      <c r="K795" s="259"/>
      <c r="L795" s="259"/>
      <c r="M795" s="259"/>
    </row>
    <row r="796" spans="6:13" ht="13.5" customHeight="1">
      <c r="F796" s="259"/>
      <c r="G796" s="259"/>
      <c r="H796" s="259"/>
      <c r="I796" s="259"/>
      <c r="J796" s="259"/>
      <c r="K796" s="259"/>
      <c r="L796" s="259"/>
      <c r="M796" s="259"/>
    </row>
    <row r="797" spans="6:13" ht="13.5" customHeight="1">
      <c r="F797" s="259"/>
      <c r="G797" s="259"/>
      <c r="H797" s="259"/>
      <c r="I797" s="259"/>
      <c r="J797" s="259"/>
      <c r="K797" s="259"/>
      <c r="L797" s="259"/>
      <c r="M797" s="259"/>
    </row>
    <row r="798" spans="6:13" ht="13.5" customHeight="1">
      <c r="F798" s="259"/>
      <c r="G798" s="259"/>
      <c r="H798" s="259"/>
      <c r="I798" s="259"/>
      <c r="J798" s="259"/>
      <c r="K798" s="259"/>
      <c r="L798" s="259"/>
      <c r="M798" s="259"/>
    </row>
    <row r="799" spans="6:13" ht="13.5" customHeight="1">
      <c r="F799" s="259"/>
      <c r="G799" s="259"/>
      <c r="H799" s="259"/>
      <c r="I799" s="259"/>
      <c r="J799" s="259"/>
      <c r="K799" s="259"/>
      <c r="L799" s="259"/>
      <c r="M799" s="259"/>
    </row>
    <row r="800" spans="6:13" ht="13.5" customHeight="1">
      <c r="F800" s="259"/>
      <c r="G800" s="259"/>
      <c r="H800" s="259"/>
      <c r="I800" s="259"/>
      <c r="J800" s="259"/>
      <c r="K800" s="259"/>
      <c r="L800" s="259"/>
      <c r="M800" s="259"/>
    </row>
    <row r="801" spans="6:13" ht="13.5" customHeight="1">
      <c r="F801" s="259"/>
      <c r="G801" s="259"/>
      <c r="H801" s="259"/>
      <c r="I801" s="259"/>
      <c r="J801" s="259"/>
      <c r="K801" s="259"/>
      <c r="L801" s="259"/>
      <c r="M801" s="259"/>
    </row>
    <row r="802" spans="6:13" ht="13.5" customHeight="1">
      <c r="F802" s="259"/>
      <c r="G802" s="259"/>
      <c r="H802" s="259"/>
      <c r="I802" s="259"/>
      <c r="J802" s="259"/>
      <c r="K802" s="259"/>
      <c r="L802" s="259"/>
      <c r="M802" s="259"/>
    </row>
    <row r="803" spans="6:13" ht="13.5" customHeight="1">
      <c r="F803" s="259"/>
      <c r="G803" s="259"/>
      <c r="H803" s="259"/>
      <c r="I803" s="259"/>
      <c r="J803" s="259"/>
      <c r="K803" s="259"/>
      <c r="L803" s="259"/>
      <c r="M803" s="259"/>
    </row>
    <row r="804" spans="6:13" ht="13.5" customHeight="1">
      <c r="F804" s="259"/>
      <c r="G804" s="259"/>
      <c r="H804" s="259"/>
      <c r="I804" s="259"/>
      <c r="J804" s="259"/>
      <c r="K804" s="259"/>
      <c r="L804" s="259"/>
      <c r="M804" s="259"/>
    </row>
    <row r="805" spans="6:13" ht="13.5" customHeight="1">
      <c r="F805" s="259"/>
      <c r="G805" s="259"/>
      <c r="H805" s="259"/>
      <c r="I805" s="259"/>
      <c r="J805" s="259"/>
      <c r="K805" s="259"/>
      <c r="L805" s="259"/>
      <c r="M805" s="259"/>
    </row>
    <row r="806" spans="6:13" ht="13.5" customHeight="1">
      <c r="F806" s="259"/>
      <c r="G806" s="259"/>
      <c r="H806" s="259"/>
      <c r="I806" s="259"/>
      <c r="J806" s="259"/>
      <c r="K806" s="259"/>
      <c r="L806" s="259"/>
      <c r="M806" s="259"/>
    </row>
    <row r="807" spans="6:13" ht="13.5" customHeight="1">
      <c r="F807" s="259"/>
      <c r="G807" s="259"/>
      <c r="H807" s="259"/>
      <c r="I807" s="259"/>
      <c r="J807" s="259"/>
      <c r="K807" s="259"/>
      <c r="L807" s="259"/>
      <c r="M807" s="259"/>
    </row>
    <row r="808" spans="6:13" ht="13.5" customHeight="1">
      <c r="F808" s="259"/>
      <c r="G808" s="259"/>
      <c r="H808" s="259"/>
      <c r="I808" s="259"/>
      <c r="J808" s="259"/>
      <c r="K808" s="259"/>
      <c r="L808" s="259"/>
      <c r="M808" s="259"/>
    </row>
    <row r="809" spans="6:13" ht="13.5" customHeight="1">
      <c r="F809" s="259"/>
      <c r="G809" s="259"/>
      <c r="H809" s="259"/>
      <c r="I809" s="259"/>
      <c r="J809" s="259"/>
      <c r="K809" s="259"/>
      <c r="L809" s="259"/>
      <c r="M809" s="259"/>
    </row>
    <row r="810" spans="6:13" ht="13.5" customHeight="1">
      <c r="F810" s="259"/>
      <c r="G810" s="259"/>
      <c r="H810" s="259"/>
      <c r="I810" s="259"/>
      <c r="J810" s="259"/>
      <c r="K810" s="259"/>
      <c r="L810" s="259"/>
      <c r="M810" s="259"/>
    </row>
    <row r="811" spans="6:13" ht="13.5" customHeight="1">
      <c r="F811" s="259"/>
      <c r="G811" s="259"/>
      <c r="H811" s="259"/>
      <c r="I811" s="259"/>
      <c r="J811" s="259"/>
      <c r="K811" s="259"/>
      <c r="L811" s="259"/>
      <c r="M811" s="259"/>
    </row>
    <row r="812" spans="6:13" ht="13.5" customHeight="1">
      <c r="F812" s="259"/>
      <c r="G812" s="259"/>
      <c r="H812" s="259"/>
      <c r="I812" s="259"/>
      <c r="J812" s="259"/>
      <c r="K812" s="259"/>
      <c r="L812" s="259"/>
      <c r="M812" s="259"/>
    </row>
    <row r="813" spans="6:13" ht="13.5" customHeight="1">
      <c r="F813" s="259"/>
      <c r="G813" s="259"/>
      <c r="H813" s="259"/>
      <c r="I813" s="259"/>
      <c r="J813" s="259"/>
      <c r="K813" s="259"/>
      <c r="L813" s="259"/>
      <c r="M813" s="259"/>
    </row>
    <row r="814" spans="6:13" ht="13.5" customHeight="1">
      <c r="F814" s="259"/>
      <c r="G814" s="259"/>
      <c r="H814" s="259"/>
      <c r="I814" s="259"/>
      <c r="J814" s="259"/>
      <c r="K814" s="259"/>
      <c r="L814" s="259"/>
      <c r="M814" s="259"/>
    </row>
    <row r="815" spans="6:13" ht="13.5" customHeight="1">
      <c r="F815" s="259"/>
      <c r="G815" s="259"/>
      <c r="H815" s="259"/>
      <c r="I815" s="259"/>
      <c r="J815" s="259"/>
      <c r="K815" s="259"/>
      <c r="L815" s="259"/>
      <c r="M815" s="259"/>
    </row>
    <row r="816" spans="6:13" ht="13.5" customHeight="1">
      <c r="F816" s="259"/>
      <c r="G816" s="259"/>
      <c r="H816" s="259"/>
      <c r="I816" s="259"/>
      <c r="J816" s="259"/>
      <c r="K816" s="259"/>
      <c r="L816" s="259"/>
      <c r="M816" s="259"/>
    </row>
    <row r="817" spans="6:13" ht="13.5" customHeight="1">
      <c r="F817" s="259"/>
      <c r="G817" s="259"/>
      <c r="H817" s="259"/>
      <c r="I817" s="259"/>
      <c r="J817" s="259"/>
      <c r="K817" s="259"/>
      <c r="L817" s="259"/>
      <c r="M817" s="259"/>
    </row>
    <row r="818" spans="6:13" ht="13.5" customHeight="1">
      <c r="F818" s="259"/>
      <c r="G818" s="259"/>
      <c r="H818" s="259"/>
      <c r="I818" s="259"/>
      <c r="J818" s="259"/>
      <c r="K818" s="259"/>
      <c r="L818" s="259"/>
      <c r="M818" s="259"/>
    </row>
    <row r="819" spans="6:13" ht="13.5" customHeight="1">
      <c r="F819" s="259"/>
      <c r="G819" s="259"/>
      <c r="H819" s="259"/>
      <c r="I819" s="259"/>
      <c r="J819" s="259"/>
      <c r="K819" s="259"/>
      <c r="L819" s="259"/>
      <c r="M819" s="259"/>
    </row>
    <row r="820" spans="6:13" ht="13.5" customHeight="1">
      <c r="F820" s="259"/>
      <c r="G820" s="259"/>
      <c r="H820" s="259"/>
      <c r="I820" s="259"/>
      <c r="J820" s="259"/>
      <c r="K820" s="259"/>
      <c r="L820" s="259"/>
      <c r="M820" s="259"/>
    </row>
    <row r="821" spans="6:13" ht="13.5" customHeight="1">
      <c r="F821" s="259"/>
      <c r="G821" s="259"/>
      <c r="H821" s="259"/>
      <c r="I821" s="259"/>
      <c r="J821" s="259"/>
      <c r="K821" s="259"/>
      <c r="L821" s="259"/>
      <c r="M821" s="259"/>
    </row>
    <row r="822" spans="6:13" ht="13.5" customHeight="1">
      <c r="F822" s="259"/>
      <c r="G822" s="259"/>
      <c r="H822" s="259"/>
      <c r="I822" s="259"/>
      <c r="J822" s="259"/>
      <c r="K822" s="259"/>
      <c r="L822" s="259"/>
      <c r="M822" s="259"/>
    </row>
    <row r="823" spans="6:13" ht="13.5" customHeight="1">
      <c r="F823" s="259"/>
      <c r="G823" s="259"/>
      <c r="H823" s="259"/>
      <c r="I823" s="259"/>
      <c r="J823" s="259"/>
      <c r="K823" s="259"/>
      <c r="L823" s="259"/>
      <c r="M823" s="259"/>
    </row>
    <row r="824" spans="6:13" ht="13.5" customHeight="1">
      <c r="F824" s="259"/>
      <c r="G824" s="259"/>
      <c r="H824" s="259"/>
      <c r="I824" s="259"/>
      <c r="J824" s="259"/>
      <c r="K824" s="259"/>
      <c r="L824" s="259"/>
      <c r="M824" s="259"/>
    </row>
    <row r="825" spans="6:13" ht="13.5" customHeight="1">
      <c r="F825" s="259"/>
      <c r="G825" s="259"/>
      <c r="H825" s="259"/>
      <c r="I825" s="259"/>
      <c r="J825" s="259"/>
      <c r="K825" s="259"/>
      <c r="L825" s="259"/>
      <c r="M825" s="259"/>
    </row>
    <row r="826" spans="6:13" ht="13.5" customHeight="1">
      <c r="F826" s="259"/>
      <c r="G826" s="259"/>
      <c r="H826" s="259"/>
      <c r="I826" s="259"/>
      <c r="J826" s="259"/>
      <c r="K826" s="259"/>
      <c r="L826" s="259"/>
      <c r="M826" s="259"/>
    </row>
    <row r="827" spans="6:13" ht="13.5" customHeight="1">
      <c r="F827" s="259"/>
      <c r="G827" s="259"/>
      <c r="H827" s="259"/>
      <c r="I827" s="259"/>
      <c r="J827" s="259"/>
      <c r="K827" s="259"/>
      <c r="L827" s="259"/>
      <c r="M827" s="259"/>
    </row>
    <row r="828" spans="6:13" ht="13.5" customHeight="1">
      <c r="F828" s="259"/>
      <c r="G828" s="259"/>
      <c r="H828" s="259"/>
      <c r="I828" s="259"/>
      <c r="J828" s="259"/>
      <c r="K828" s="259"/>
      <c r="L828" s="259"/>
      <c r="M828" s="259"/>
    </row>
    <row r="829" spans="6:13" ht="13.5" customHeight="1">
      <c r="F829" s="259"/>
      <c r="G829" s="259"/>
      <c r="H829" s="259"/>
      <c r="I829" s="259"/>
      <c r="J829" s="259"/>
      <c r="K829" s="259"/>
      <c r="L829" s="259"/>
      <c r="M829" s="259"/>
    </row>
    <row r="830" spans="6:13" ht="13.5" customHeight="1">
      <c r="F830" s="259"/>
      <c r="G830" s="259"/>
      <c r="H830" s="259"/>
      <c r="I830" s="259"/>
      <c r="J830" s="259"/>
      <c r="K830" s="259"/>
      <c r="L830" s="259"/>
      <c r="M830" s="259"/>
    </row>
    <row r="831" spans="6:13" ht="13.5" customHeight="1">
      <c r="F831" s="259"/>
      <c r="G831" s="259"/>
      <c r="H831" s="259"/>
      <c r="I831" s="259"/>
      <c r="J831" s="259"/>
      <c r="K831" s="259"/>
      <c r="L831" s="259"/>
      <c r="M831" s="259"/>
    </row>
    <row r="832" spans="6:13" ht="13.5" customHeight="1">
      <c r="F832" s="259"/>
      <c r="G832" s="259"/>
      <c r="H832" s="259"/>
      <c r="I832" s="259"/>
      <c r="J832" s="259"/>
      <c r="K832" s="259"/>
      <c r="L832" s="259"/>
      <c r="M832" s="259"/>
    </row>
    <row r="833" spans="6:13" ht="13.5" customHeight="1">
      <c r="F833" s="259"/>
      <c r="G833" s="259"/>
      <c r="H833" s="259"/>
      <c r="I833" s="259"/>
      <c r="J833" s="259"/>
      <c r="K833" s="259"/>
      <c r="L833" s="259"/>
      <c r="M833" s="259"/>
    </row>
    <row r="834" spans="6:13" ht="13.5" customHeight="1">
      <c r="F834" s="259"/>
      <c r="G834" s="259"/>
      <c r="H834" s="259"/>
      <c r="I834" s="259"/>
      <c r="J834" s="259"/>
      <c r="K834" s="259"/>
      <c r="L834" s="259"/>
      <c r="M834" s="259"/>
    </row>
    <row r="835" spans="6:13" ht="13.5" customHeight="1">
      <c r="F835" s="259"/>
      <c r="G835" s="259"/>
      <c r="H835" s="259"/>
      <c r="I835" s="259"/>
      <c r="J835" s="259"/>
      <c r="K835" s="259"/>
      <c r="L835" s="259"/>
      <c r="M835" s="259"/>
    </row>
    <row r="836" spans="6:13" ht="13.5" customHeight="1">
      <c r="F836" s="259"/>
      <c r="G836" s="259"/>
      <c r="H836" s="259"/>
      <c r="I836" s="259"/>
      <c r="J836" s="259"/>
      <c r="K836" s="259"/>
      <c r="L836" s="259"/>
      <c r="M836" s="259"/>
    </row>
    <row r="837" spans="6:13" ht="13.5" customHeight="1">
      <c r="F837" s="259"/>
      <c r="G837" s="259"/>
      <c r="H837" s="259"/>
      <c r="I837" s="259"/>
      <c r="J837" s="259"/>
      <c r="K837" s="259"/>
      <c r="L837" s="259"/>
      <c r="M837" s="259"/>
    </row>
    <row r="838" spans="6:13" ht="13.5" customHeight="1">
      <c r="F838" s="259"/>
      <c r="G838" s="259"/>
      <c r="H838" s="259"/>
      <c r="I838" s="259"/>
      <c r="J838" s="259"/>
      <c r="K838" s="259"/>
      <c r="L838" s="259"/>
      <c r="M838" s="259"/>
    </row>
    <row r="839" spans="6:13" ht="13.5" customHeight="1">
      <c r="F839" s="259"/>
      <c r="G839" s="259"/>
      <c r="H839" s="259"/>
      <c r="I839" s="259"/>
      <c r="J839" s="259"/>
      <c r="K839" s="259"/>
      <c r="L839" s="259"/>
      <c r="M839" s="259"/>
    </row>
    <row r="840" spans="6:13" ht="13.5" customHeight="1">
      <c r="F840" s="259"/>
      <c r="G840" s="259"/>
      <c r="H840" s="259"/>
      <c r="I840" s="259"/>
      <c r="J840" s="259"/>
      <c r="K840" s="259"/>
      <c r="L840" s="259"/>
      <c r="M840" s="259"/>
    </row>
    <row r="841" spans="6:13" ht="13.5" customHeight="1">
      <c r="F841" s="259"/>
      <c r="G841" s="259"/>
      <c r="H841" s="259"/>
      <c r="I841" s="259"/>
      <c r="J841" s="259"/>
      <c r="K841" s="259"/>
      <c r="L841" s="259"/>
      <c r="M841" s="259"/>
    </row>
    <row r="842" spans="6:13" ht="13.5" customHeight="1">
      <c r="F842" s="259"/>
      <c r="G842" s="259"/>
      <c r="H842" s="259"/>
      <c r="I842" s="259"/>
      <c r="J842" s="259"/>
      <c r="K842" s="259"/>
      <c r="L842" s="259"/>
      <c r="M842" s="259"/>
    </row>
    <row r="843" spans="6:13" ht="13.5" customHeight="1">
      <c r="F843" s="259"/>
      <c r="G843" s="259"/>
      <c r="H843" s="259"/>
      <c r="I843" s="259"/>
      <c r="J843" s="259"/>
      <c r="K843" s="259"/>
      <c r="L843" s="259"/>
      <c r="M843" s="259"/>
    </row>
    <row r="844" spans="6:13" ht="13.5" customHeight="1">
      <c r="F844" s="259"/>
      <c r="G844" s="259"/>
      <c r="H844" s="259"/>
      <c r="I844" s="259"/>
      <c r="J844" s="259"/>
      <c r="K844" s="259"/>
      <c r="L844" s="259"/>
      <c r="M844" s="259"/>
    </row>
    <row r="845" spans="6:13" ht="13.5" customHeight="1">
      <c r="F845" s="259"/>
      <c r="G845" s="259"/>
      <c r="H845" s="259"/>
      <c r="I845" s="259"/>
      <c r="J845" s="259"/>
      <c r="K845" s="259"/>
      <c r="L845" s="259"/>
      <c r="M845" s="259"/>
    </row>
    <row r="846" spans="6:13" ht="13.5" customHeight="1">
      <c r="F846" s="259"/>
      <c r="G846" s="259"/>
      <c r="H846" s="259"/>
      <c r="I846" s="259"/>
      <c r="J846" s="259"/>
      <c r="K846" s="259"/>
      <c r="L846" s="259"/>
      <c r="M846" s="259"/>
    </row>
    <row r="847" spans="6:13" ht="13.5" customHeight="1">
      <c r="F847" s="259"/>
      <c r="G847" s="259"/>
      <c r="H847" s="259"/>
      <c r="I847" s="259"/>
      <c r="J847" s="259"/>
      <c r="K847" s="259"/>
      <c r="L847" s="259"/>
      <c r="M847" s="259"/>
    </row>
    <row r="848" spans="6:13" ht="13.5" customHeight="1">
      <c r="F848" s="259"/>
      <c r="G848" s="259"/>
      <c r="H848" s="259"/>
      <c r="I848" s="259"/>
      <c r="J848" s="259"/>
      <c r="K848" s="259"/>
      <c r="L848" s="259"/>
      <c r="M848" s="259"/>
    </row>
    <row r="849" spans="6:13" ht="13.5" customHeight="1">
      <c r="F849" s="259"/>
      <c r="G849" s="259"/>
      <c r="H849" s="259"/>
      <c r="I849" s="259"/>
      <c r="J849" s="259"/>
      <c r="K849" s="259"/>
      <c r="L849" s="259"/>
      <c r="M849" s="259"/>
    </row>
    <row r="850" spans="6:13" ht="13.5" customHeight="1">
      <c r="F850" s="259"/>
      <c r="G850" s="259"/>
      <c r="H850" s="259"/>
      <c r="I850" s="259"/>
      <c r="J850" s="259"/>
      <c r="K850" s="259"/>
      <c r="L850" s="259"/>
      <c r="M850" s="259"/>
    </row>
    <row r="851" spans="6:13" ht="13.5" customHeight="1">
      <c r="F851" s="259"/>
      <c r="G851" s="259"/>
      <c r="H851" s="259"/>
      <c r="I851" s="259"/>
      <c r="J851" s="259"/>
      <c r="K851" s="259"/>
      <c r="L851" s="259"/>
      <c r="M851" s="259"/>
    </row>
    <row r="852" spans="6:13" ht="13.5" customHeight="1">
      <c r="F852" s="259"/>
      <c r="G852" s="259"/>
      <c r="H852" s="259"/>
      <c r="I852" s="259"/>
      <c r="J852" s="259"/>
      <c r="K852" s="259"/>
      <c r="L852" s="259"/>
      <c r="M852" s="259"/>
    </row>
    <row r="853" spans="6:13" ht="13.5" customHeight="1">
      <c r="F853" s="259"/>
      <c r="G853" s="259"/>
      <c r="H853" s="259"/>
      <c r="I853" s="259"/>
      <c r="J853" s="259"/>
      <c r="K853" s="259"/>
      <c r="L853" s="259"/>
      <c r="M853" s="259"/>
    </row>
    <row r="854" spans="6:13" ht="13.5" customHeight="1">
      <c r="F854" s="259"/>
      <c r="G854" s="259"/>
      <c r="H854" s="259"/>
      <c r="I854" s="259"/>
      <c r="J854" s="259"/>
      <c r="K854" s="259"/>
      <c r="L854" s="259"/>
      <c r="M854" s="259"/>
    </row>
    <row r="855" spans="6:13" ht="13.5" customHeight="1">
      <c r="F855" s="259"/>
      <c r="G855" s="259"/>
      <c r="H855" s="259"/>
      <c r="I855" s="259"/>
      <c r="J855" s="259"/>
      <c r="K855" s="259"/>
      <c r="L855" s="259"/>
      <c r="M855" s="259"/>
    </row>
    <row r="856" spans="6:13" ht="13.5" customHeight="1">
      <c r="F856" s="259"/>
      <c r="G856" s="259"/>
      <c r="H856" s="259"/>
      <c r="I856" s="259"/>
      <c r="J856" s="259"/>
      <c r="K856" s="259"/>
      <c r="L856" s="259"/>
      <c r="M856" s="259"/>
    </row>
    <row r="857" spans="6:13" ht="13.5" customHeight="1">
      <c r="F857" s="259"/>
      <c r="G857" s="259"/>
      <c r="H857" s="259"/>
      <c r="I857" s="259"/>
      <c r="J857" s="259"/>
      <c r="K857" s="259"/>
      <c r="L857" s="259"/>
      <c r="M857" s="259"/>
    </row>
    <row r="858" spans="6:13" ht="13.5" customHeight="1">
      <c r="F858" s="259"/>
      <c r="G858" s="259"/>
      <c r="H858" s="259"/>
      <c r="I858" s="259"/>
      <c r="J858" s="259"/>
      <c r="K858" s="259"/>
      <c r="L858" s="259"/>
      <c r="M858" s="259"/>
    </row>
    <row r="859" spans="6:13" ht="13.5" customHeight="1">
      <c r="F859" s="259"/>
      <c r="G859" s="259"/>
      <c r="H859" s="259"/>
      <c r="I859" s="259"/>
      <c r="J859" s="259"/>
      <c r="K859" s="259"/>
      <c r="L859" s="259"/>
      <c r="M859" s="259"/>
    </row>
    <row r="860" spans="6:13" ht="13.5" customHeight="1">
      <c r="F860" s="259"/>
      <c r="G860" s="259"/>
      <c r="H860" s="259"/>
      <c r="I860" s="259"/>
      <c r="J860" s="259"/>
      <c r="K860" s="259"/>
      <c r="L860" s="259"/>
      <c r="M860" s="259"/>
    </row>
    <row r="861" spans="6:13" ht="13.5" customHeight="1">
      <c r="F861" s="259"/>
      <c r="G861" s="259"/>
      <c r="H861" s="259"/>
      <c r="I861" s="259"/>
      <c r="J861" s="259"/>
      <c r="K861" s="259"/>
      <c r="L861" s="259"/>
      <c r="M861" s="259"/>
    </row>
    <row r="862" spans="6:13" ht="13.5" customHeight="1">
      <c r="F862" s="259"/>
      <c r="G862" s="259"/>
      <c r="H862" s="259"/>
      <c r="I862" s="259"/>
      <c r="J862" s="259"/>
      <c r="K862" s="259"/>
      <c r="L862" s="259"/>
      <c r="M862" s="259"/>
    </row>
    <row r="863" spans="6:13" ht="13.5" customHeight="1">
      <c r="F863" s="259"/>
      <c r="G863" s="259"/>
      <c r="H863" s="259"/>
      <c r="I863" s="259"/>
      <c r="J863" s="259"/>
      <c r="K863" s="259"/>
      <c r="L863" s="259"/>
      <c r="M863" s="259"/>
    </row>
    <row r="864" spans="6:13" ht="13.5" customHeight="1">
      <c r="F864" s="259"/>
      <c r="G864" s="259"/>
      <c r="H864" s="259"/>
      <c r="I864" s="259"/>
      <c r="J864" s="259"/>
      <c r="K864" s="259"/>
      <c r="L864" s="259"/>
      <c r="M864" s="259"/>
    </row>
    <row r="865" spans="6:13" ht="13.5" customHeight="1">
      <c r="F865" s="259"/>
      <c r="G865" s="259"/>
      <c r="H865" s="259"/>
      <c r="I865" s="259"/>
      <c r="J865" s="259"/>
      <c r="K865" s="259"/>
      <c r="L865" s="259"/>
      <c r="M865" s="259"/>
    </row>
    <row r="866" spans="6:13" ht="13.5" customHeight="1">
      <c r="F866" s="259"/>
      <c r="G866" s="259"/>
      <c r="H866" s="259"/>
      <c r="I866" s="259"/>
      <c r="J866" s="259"/>
      <c r="K866" s="259"/>
      <c r="L866" s="259"/>
      <c r="M866" s="259"/>
    </row>
    <row r="867" spans="6:13" ht="13.5" customHeight="1">
      <c r="F867" s="259"/>
      <c r="G867" s="259"/>
      <c r="H867" s="259"/>
      <c r="I867" s="259"/>
      <c r="J867" s="259"/>
      <c r="K867" s="259"/>
      <c r="L867" s="259"/>
      <c r="M867" s="259"/>
    </row>
    <row r="868" spans="6:13" ht="13.5" customHeight="1">
      <c r="F868" s="259"/>
      <c r="G868" s="259"/>
      <c r="H868" s="259"/>
      <c r="I868" s="259"/>
      <c r="J868" s="259"/>
      <c r="K868" s="259"/>
      <c r="L868" s="259"/>
      <c r="M868" s="259"/>
    </row>
    <row r="869" spans="6:13" ht="13.5" customHeight="1">
      <c r="F869" s="259"/>
      <c r="G869" s="259"/>
      <c r="H869" s="259"/>
      <c r="I869" s="259"/>
      <c r="J869" s="259"/>
      <c r="K869" s="259"/>
      <c r="L869" s="259"/>
      <c r="M869" s="259"/>
    </row>
    <row r="870" spans="6:13" ht="13.5" customHeight="1">
      <c r="F870" s="259"/>
      <c r="G870" s="259"/>
      <c r="H870" s="259"/>
      <c r="I870" s="259"/>
      <c r="J870" s="259"/>
      <c r="K870" s="259"/>
      <c r="L870" s="259"/>
      <c r="M870" s="259"/>
    </row>
    <row r="871" spans="6:13" ht="13.5" customHeight="1">
      <c r="F871" s="259"/>
      <c r="G871" s="259"/>
      <c r="H871" s="259"/>
      <c r="I871" s="259"/>
      <c r="J871" s="259"/>
      <c r="K871" s="259"/>
      <c r="L871" s="259"/>
      <c r="M871" s="259"/>
    </row>
    <row r="872" spans="6:13" ht="13.5" customHeight="1">
      <c r="F872" s="259"/>
      <c r="G872" s="259"/>
      <c r="H872" s="259"/>
      <c r="I872" s="259"/>
      <c r="J872" s="259"/>
      <c r="K872" s="259"/>
      <c r="L872" s="259"/>
      <c r="M872" s="259"/>
    </row>
    <row r="873" spans="6:13" ht="13.5" customHeight="1">
      <c r="F873" s="259"/>
      <c r="G873" s="259"/>
      <c r="H873" s="259"/>
      <c r="I873" s="259"/>
      <c r="J873" s="259"/>
      <c r="K873" s="259"/>
      <c r="L873" s="259"/>
      <c r="M873" s="259"/>
    </row>
    <row r="874" spans="6:13" ht="13.5" customHeight="1">
      <c r="F874" s="259"/>
      <c r="G874" s="259"/>
      <c r="H874" s="259"/>
      <c r="I874" s="259"/>
      <c r="J874" s="259"/>
      <c r="K874" s="259"/>
      <c r="L874" s="259"/>
      <c r="M874" s="259"/>
    </row>
    <row r="875" spans="6:13" ht="13.5" customHeight="1">
      <c r="F875" s="259"/>
      <c r="G875" s="259"/>
      <c r="H875" s="259"/>
      <c r="I875" s="259"/>
      <c r="J875" s="259"/>
      <c r="K875" s="259"/>
      <c r="L875" s="259"/>
      <c r="M875" s="259"/>
    </row>
    <row r="876" spans="6:13" ht="13.5" customHeight="1">
      <c r="F876" s="259"/>
      <c r="G876" s="259"/>
      <c r="H876" s="259"/>
      <c r="I876" s="259"/>
      <c r="J876" s="259"/>
      <c r="K876" s="259"/>
      <c r="L876" s="259"/>
      <c r="M876" s="259"/>
    </row>
    <row r="877" spans="6:13" ht="13.5" customHeight="1">
      <c r="F877" s="259"/>
      <c r="G877" s="259"/>
      <c r="H877" s="259"/>
      <c r="I877" s="259"/>
      <c r="J877" s="259"/>
      <c r="K877" s="259"/>
      <c r="L877" s="259"/>
      <c r="M877" s="259"/>
    </row>
    <row r="878" spans="6:13" ht="13.5" customHeight="1">
      <c r="F878" s="259"/>
      <c r="G878" s="259"/>
      <c r="H878" s="259"/>
      <c r="I878" s="259"/>
      <c r="J878" s="259"/>
      <c r="K878" s="259"/>
      <c r="L878" s="259"/>
      <c r="M878" s="259"/>
    </row>
    <row r="879" spans="6:13" ht="13.5" customHeight="1">
      <c r="F879" s="259"/>
      <c r="G879" s="259"/>
      <c r="H879" s="259"/>
      <c r="I879" s="259"/>
      <c r="J879" s="259"/>
      <c r="K879" s="259"/>
      <c r="L879" s="259"/>
      <c r="M879" s="259"/>
    </row>
    <row r="880" spans="6:13" ht="13.5" customHeight="1">
      <c r="F880" s="259"/>
      <c r="G880" s="259"/>
      <c r="H880" s="259"/>
      <c r="I880" s="259"/>
      <c r="J880" s="259"/>
      <c r="K880" s="259"/>
      <c r="L880" s="259"/>
      <c r="M880" s="259"/>
    </row>
    <row r="881" spans="6:13" ht="13.5" customHeight="1">
      <c r="F881" s="259"/>
      <c r="G881" s="259"/>
      <c r="H881" s="259"/>
      <c r="I881" s="259"/>
      <c r="J881" s="259"/>
      <c r="K881" s="259"/>
      <c r="L881" s="259"/>
      <c r="M881" s="259"/>
    </row>
    <row r="882" spans="6:13" ht="13.5" customHeight="1">
      <c r="F882" s="259"/>
      <c r="G882" s="259"/>
      <c r="H882" s="259"/>
      <c r="I882" s="259"/>
      <c r="J882" s="259"/>
      <c r="K882" s="259"/>
      <c r="L882" s="259"/>
      <c r="M882" s="259"/>
    </row>
    <row r="883" spans="6:13" ht="13.5" customHeight="1">
      <c r="F883" s="259"/>
      <c r="G883" s="259"/>
      <c r="H883" s="259"/>
      <c r="I883" s="259"/>
      <c r="J883" s="259"/>
      <c r="K883" s="259"/>
      <c r="L883" s="259"/>
      <c r="M883" s="259"/>
    </row>
    <row r="884" spans="6:13" ht="13.5" customHeight="1">
      <c r="F884" s="259"/>
      <c r="G884" s="259"/>
      <c r="H884" s="259"/>
      <c r="I884" s="259"/>
      <c r="J884" s="259"/>
      <c r="K884" s="259"/>
      <c r="L884" s="259"/>
      <c r="M884" s="259"/>
    </row>
    <row r="885" spans="6:13" ht="13.5" customHeight="1">
      <c r="F885" s="259"/>
      <c r="G885" s="259"/>
      <c r="H885" s="259"/>
      <c r="I885" s="259"/>
      <c r="J885" s="259"/>
      <c r="K885" s="259"/>
      <c r="L885" s="259"/>
      <c r="M885" s="259"/>
    </row>
    <row r="886" spans="6:13" ht="13.5" customHeight="1">
      <c r="F886" s="259"/>
      <c r="G886" s="259"/>
      <c r="H886" s="259"/>
      <c r="I886" s="259"/>
      <c r="J886" s="259"/>
      <c r="K886" s="259"/>
      <c r="L886" s="259"/>
      <c r="M886" s="259"/>
    </row>
    <row r="887" spans="6:13" ht="13.5" customHeight="1">
      <c r="F887" s="259"/>
      <c r="G887" s="259"/>
      <c r="H887" s="259"/>
      <c r="I887" s="259"/>
      <c r="J887" s="259"/>
      <c r="K887" s="259"/>
      <c r="L887" s="259"/>
      <c r="M887" s="259"/>
    </row>
    <row r="888" spans="6:13" ht="13.5" customHeight="1">
      <c r="F888" s="259"/>
      <c r="G888" s="259"/>
      <c r="H888" s="259"/>
      <c r="I888" s="259"/>
      <c r="J888" s="259"/>
      <c r="K888" s="259"/>
      <c r="L888" s="259"/>
      <c r="M888" s="259"/>
    </row>
    <row r="889" spans="6:13" ht="13.5" customHeight="1">
      <c r="F889" s="259"/>
      <c r="G889" s="259"/>
      <c r="H889" s="259"/>
      <c r="I889" s="259"/>
      <c r="J889" s="259"/>
      <c r="K889" s="259"/>
      <c r="L889" s="259"/>
      <c r="M889" s="259"/>
    </row>
    <row r="890" spans="6:13" ht="13.5" customHeight="1">
      <c r="F890" s="259"/>
      <c r="G890" s="259"/>
      <c r="H890" s="259"/>
      <c r="I890" s="259"/>
      <c r="J890" s="259"/>
      <c r="K890" s="259"/>
      <c r="L890" s="259"/>
      <c r="M890" s="259"/>
    </row>
    <row r="891" spans="6:13" ht="13.5" customHeight="1">
      <c r="F891" s="259"/>
      <c r="G891" s="259"/>
      <c r="H891" s="259"/>
      <c r="I891" s="259"/>
      <c r="J891" s="259"/>
      <c r="K891" s="259"/>
      <c r="L891" s="259"/>
      <c r="M891" s="259"/>
    </row>
    <row r="892" spans="6:13" ht="13.5" customHeight="1">
      <c r="F892" s="259"/>
      <c r="G892" s="259"/>
      <c r="H892" s="259"/>
      <c r="I892" s="259"/>
      <c r="J892" s="259"/>
      <c r="K892" s="259"/>
      <c r="L892" s="259"/>
      <c r="M892" s="259"/>
    </row>
    <row r="893" spans="6:13" ht="13.5" customHeight="1">
      <c r="F893" s="259"/>
      <c r="G893" s="259"/>
      <c r="H893" s="259"/>
      <c r="I893" s="259"/>
      <c r="J893" s="259"/>
      <c r="K893" s="259"/>
      <c r="L893" s="259"/>
      <c r="M893" s="259"/>
    </row>
    <row r="894" spans="6:13" ht="13.5" customHeight="1">
      <c r="F894" s="259"/>
      <c r="G894" s="259"/>
      <c r="H894" s="259"/>
      <c r="I894" s="259"/>
      <c r="J894" s="259"/>
      <c r="K894" s="259"/>
      <c r="L894" s="259"/>
      <c r="M894" s="259"/>
    </row>
    <row r="895" spans="6:13" ht="13.5" customHeight="1">
      <c r="F895" s="259"/>
      <c r="G895" s="259"/>
      <c r="H895" s="259"/>
      <c r="I895" s="259"/>
      <c r="J895" s="259"/>
      <c r="K895" s="259"/>
      <c r="L895" s="259"/>
      <c r="M895" s="259"/>
    </row>
    <row r="896" spans="6:13" ht="13.5" customHeight="1">
      <c r="F896" s="259"/>
      <c r="G896" s="259"/>
      <c r="H896" s="259"/>
      <c r="I896" s="259"/>
      <c r="J896" s="259"/>
      <c r="K896" s="259"/>
      <c r="L896" s="259"/>
      <c r="M896" s="259"/>
    </row>
    <row r="897" spans="6:13" ht="13.5" customHeight="1">
      <c r="F897" s="259"/>
      <c r="G897" s="259"/>
      <c r="H897" s="259"/>
      <c r="I897" s="259"/>
      <c r="J897" s="259"/>
      <c r="K897" s="259"/>
      <c r="L897" s="259"/>
      <c r="M897" s="259"/>
    </row>
    <row r="898" spans="6:13" ht="13.5" customHeight="1">
      <c r="F898" s="259"/>
      <c r="G898" s="259"/>
      <c r="H898" s="259"/>
      <c r="I898" s="259"/>
      <c r="J898" s="259"/>
      <c r="K898" s="259"/>
      <c r="L898" s="259"/>
      <c r="M898" s="259"/>
    </row>
    <row r="899" spans="6:13" ht="13.5" customHeight="1">
      <c r="F899" s="259"/>
      <c r="G899" s="259"/>
      <c r="H899" s="259"/>
      <c r="I899" s="259"/>
      <c r="J899" s="259"/>
      <c r="K899" s="259"/>
      <c r="L899" s="259"/>
      <c r="M899" s="259"/>
    </row>
    <row r="900" spans="6:13" ht="13.5" customHeight="1">
      <c r="F900" s="259"/>
      <c r="G900" s="259"/>
      <c r="H900" s="259"/>
      <c r="I900" s="259"/>
      <c r="J900" s="259"/>
      <c r="K900" s="259"/>
      <c r="L900" s="259"/>
      <c r="M900" s="259"/>
    </row>
    <row r="901" spans="6:13" ht="13.5" customHeight="1">
      <c r="F901" s="259"/>
      <c r="G901" s="259"/>
      <c r="H901" s="259"/>
      <c r="I901" s="259"/>
      <c r="J901" s="259"/>
      <c r="K901" s="259"/>
      <c r="L901" s="259"/>
      <c r="M901" s="259"/>
    </row>
    <row r="902" spans="6:13" ht="13.5" customHeight="1">
      <c r="F902" s="259"/>
      <c r="G902" s="259"/>
      <c r="H902" s="259"/>
      <c r="I902" s="259"/>
      <c r="J902" s="259"/>
      <c r="K902" s="259"/>
      <c r="L902" s="259"/>
      <c r="M902" s="259"/>
    </row>
    <row r="903" spans="6:13" ht="13.5" customHeight="1">
      <c r="F903" s="259"/>
      <c r="G903" s="259"/>
      <c r="H903" s="259"/>
      <c r="I903" s="259"/>
      <c r="J903" s="259"/>
      <c r="K903" s="259"/>
      <c r="L903" s="259"/>
      <c r="M903" s="259"/>
    </row>
    <row r="904" spans="6:13" ht="13.5" customHeight="1">
      <c r="F904" s="259"/>
      <c r="G904" s="259"/>
      <c r="H904" s="259"/>
      <c r="I904" s="259"/>
      <c r="J904" s="259"/>
      <c r="K904" s="259"/>
      <c r="L904" s="259"/>
      <c r="M904" s="259"/>
    </row>
    <row r="905" spans="6:13" ht="13.5" customHeight="1">
      <c r="F905" s="259"/>
      <c r="G905" s="259"/>
      <c r="H905" s="259"/>
      <c r="I905" s="259"/>
      <c r="J905" s="259"/>
      <c r="K905" s="259"/>
      <c r="L905" s="259"/>
      <c r="M905" s="259"/>
    </row>
    <row r="906" spans="6:13" ht="13.5" customHeight="1">
      <c r="F906" s="259"/>
      <c r="G906" s="259"/>
      <c r="H906" s="259"/>
      <c r="I906" s="259"/>
      <c r="J906" s="259"/>
      <c r="K906" s="259"/>
      <c r="L906" s="259"/>
      <c r="M906" s="259"/>
    </row>
    <row r="907" spans="6:13" ht="13.5" customHeight="1">
      <c r="F907" s="259"/>
      <c r="G907" s="259"/>
      <c r="H907" s="259"/>
      <c r="I907" s="259"/>
      <c r="J907" s="259"/>
      <c r="K907" s="259"/>
      <c r="L907" s="259"/>
      <c r="M907" s="259"/>
    </row>
    <row r="908" spans="6:13" ht="13.5" customHeight="1">
      <c r="F908" s="259"/>
      <c r="G908" s="259"/>
      <c r="H908" s="259"/>
      <c r="I908" s="259"/>
      <c r="J908" s="259"/>
      <c r="K908" s="259"/>
      <c r="L908" s="259"/>
      <c r="M908" s="259"/>
    </row>
    <row r="909" spans="6:13" ht="13.5" customHeight="1">
      <c r="F909" s="259"/>
      <c r="G909" s="259"/>
      <c r="H909" s="259"/>
      <c r="I909" s="259"/>
      <c r="J909" s="259"/>
      <c r="K909" s="259"/>
      <c r="L909" s="259"/>
      <c r="M909" s="259"/>
    </row>
    <row r="910" spans="6:13" ht="13.5" customHeight="1">
      <c r="F910" s="259"/>
      <c r="G910" s="259"/>
      <c r="H910" s="259"/>
      <c r="I910" s="259"/>
      <c r="J910" s="259"/>
      <c r="K910" s="259"/>
      <c r="L910" s="259"/>
      <c r="M910" s="259"/>
    </row>
    <row r="911" spans="6:13" ht="13.5" customHeight="1">
      <c r="F911" s="259"/>
      <c r="G911" s="259"/>
      <c r="H911" s="259"/>
      <c r="I911" s="259"/>
      <c r="J911" s="259"/>
      <c r="K911" s="259"/>
      <c r="L911" s="259"/>
      <c r="M911" s="259"/>
    </row>
    <row r="912" spans="6:13" ht="13.5" customHeight="1">
      <c r="F912" s="259"/>
      <c r="G912" s="259"/>
      <c r="H912" s="259"/>
      <c r="I912" s="259"/>
      <c r="J912" s="259"/>
      <c r="K912" s="259"/>
      <c r="L912" s="259"/>
      <c r="M912" s="259"/>
    </row>
    <row r="913" spans="6:13" ht="13.5" customHeight="1">
      <c r="F913" s="259"/>
      <c r="G913" s="259"/>
      <c r="H913" s="259"/>
      <c r="I913" s="259"/>
      <c r="J913" s="259"/>
      <c r="K913" s="259"/>
      <c r="L913" s="259"/>
      <c r="M913" s="259"/>
    </row>
    <row r="914" spans="6:13" ht="13.5" customHeight="1">
      <c r="F914" s="259"/>
      <c r="G914" s="259"/>
      <c r="H914" s="259"/>
      <c r="I914" s="259"/>
      <c r="J914" s="259"/>
      <c r="K914" s="259"/>
      <c r="L914" s="259"/>
      <c r="M914" s="259"/>
    </row>
    <row r="915" spans="6:13" ht="13.5" customHeight="1">
      <c r="F915" s="259"/>
      <c r="G915" s="259"/>
      <c r="H915" s="259"/>
      <c r="I915" s="259"/>
      <c r="J915" s="259"/>
      <c r="K915" s="259"/>
      <c r="L915" s="259"/>
      <c r="M915" s="259"/>
    </row>
    <row r="916" spans="6:13" ht="13.5" customHeight="1">
      <c r="F916" s="259"/>
      <c r="G916" s="259"/>
      <c r="H916" s="259"/>
      <c r="I916" s="259"/>
      <c r="J916" s="259"/>
      <c r="K916" s="259"/>
      <c r="L916" s="259"/>
      <c r="M916" s="259"/>
    </row>
    <row r="917" spans="6:13" ht="13.5" customHeight="1">
      <c r="F917" s="259"/>
      <c r="G917" s="259"/>
      <c r="H917" s="259"/>
      <c r="I917" s="259"/>
      <c r="J917" s="259"/>
      <c r="K917" s="259"/>
      <c r="L917" s="259"/>
      <c r="M917" s="259"/>
    </row>
    <row r="918" spans="6:13" ht="13.5" customHeight="1">
      <c r="F918" s="259"/>
      <c r="G918" s="259"/>
      <c r="H918" s="259"/>
      <c r="I918" s="259"/>
      <c r="J918" s="259"/>
      <c r="K918" s="259"/>
      <c r="L918" s="259"/>
      <c r="M918" s="259"/>
    </row>
    <row r="919" spans="6:13" ht="13.5" customHeight="1">
      <c r="F919" s="259"/>
      <c r="G919" s="259"/>
      <c r="H919" s="259"/>
      <c r="I919" s="259"/>
      <c r="J919" s="259"/>
      <c r="K919" s="259"/>
      <c r="L919" s="259"/>
      <c r="M919" s="259"/>
    </row>
    <row r="920" spans="6:13" ht="13.5" customHeight="1">
      <c r="F920" s="259"/>
      <c r="G920" s="259"/>
      <c r="H920" s="259"/>
      <c r="I920" s="259"/>
      <c r="J920" s="259"/>
      <c r="K920" s="259"/>
      <c r="L920" s="259"/>
      <c r="M920" s="259"/>
    </row>
    <row r="921" spans="6:13" ht="13.5" customHeight="1">
      <c r="F921" s="259"/>
      <c r="G921" s="259"/>
      <c r="H921" s="259"/>
      <c r="I921" s="259"/>
      <c r="J921" s="259"/>
      <c r="K921" s="259"/>
      <c r="L921" s="259"/>
      <c r="M921" s="259"/>
    </row>
    <row r="922" spans="6:13" ht="13.5" customHeight="1">
      <c r="F922" s="259"/>
      <c r="G922" s="259"/>
      <c r="H922" s="259"/>
      <c r="I922" s="259"/>
      <c r="J922" s="259"/>
      <c r="K922" s="259"/>
      <c r="L922" s="259"/>
      <c r="M922" s="259"/>
    </row>
    <row r="923" spans="6:13" ht="13.5" customHeight="1">
      <c r="F923" s="259"/>
      <c r="G923" s="259"/>
      <c r="H923" s="259"/>
      <c r="I923" s="259"/>
      <c r="J923" s="259"/>
      <c r="K923" s="259"/>
      <c r="L923" s="259"/>
      <c r="M923" s="259"/>
    </row>
    <row r="924" spans="6:13" ht="13.5" customHeight="1">
      <c r="F924" s="259"/>
      <c r="G924" s="259"/>
      <c r="H924" s="259"/>
      <c r="I924" s="259"/>
      <c r="J924" s="259"/>
      <c r="K924" s="259"/>
      <c r="L924" s="259"/>
      <c r="M924" s="259"/>
    </row>
    <row r="925" spans="6:13" ht="13.5" customHeight="1">
      <c r="F925" s="259"/>
      <c r="G925" s="259"/>
      <c r="H925" s="259"/>
      <c r="I925" s="259"/>
      <c r="J925" s="259"/>
      <c r="K925" s="259"/>
      <c r="L925" s="259"/>
      <c r="M925" s="259"/>
    </row>
    <row r="926" spans="6:13" ht="13.5" customHeight="1">
      <c r="F926" s="259"/>
      <c r="G926" s="259"/>
      <c r="H926" s="259"/>
      <c r="I926" s="259"/>
      <c r="J926" s="259"/>
      <c r="K926" s="259"/>
      <c r="L926" s="259"/>
      <c r="M926" s="259"/>
    </row>
    <row r="927" spans="6:13" ht="13.5" customHeight="1">
      <c r="F927" s="259"/>
      <c r="G927" s="259"/>
      <c r="H927" s="259"/>
      <c r="I927" s="259"/>
      <c r="J927" s="259"/>
      <c r="K927" s="259"/>
      <c r="L927" s="259"/>
      <c r="M927" s="259"/>
    </row>
    <row r="928" spans="6:13" ht="13.5" customHeight="1">
      <c r="F928" s="259"/>
      <c r="G928" s="259"/>
      <c r="H928" s="259"/>
      <c r="I928" s="259"/>
      <c r="J928" s="259"/>
      <c r="K928" s="259"/>
      <c r="L928" s="259"/>
      <c r="M928" s="259"/>
    </row>
    <row r="929" spans="6:13" ht="13.5" customHeight="1">
      <c r="F929" s="259"/>
      <c r="G929" s="259"/>
      <c r="H929" s="259"/>
      <c r="I929" s="259"/>
      <c r="J929" s="259"/>
      <c r="K929" s="259"/>
      <c r="L929" s="259"/>
      <c r="M929" s="259"/>
    </row>
    <row r="930" spans="6:13" ht="13.5" customHeight="1">
      <c r="F930" s="259"/>
      <c r="G930" s="259"/>
      <c r="H930" s="259"/>
      <c r="I930" s="259"/>
      <c r="J930" s="259"/>
      <c r="K930" s="259"/>
      <c r="L930" s="259"/>
      <c r="M930" s="259"/>
    </row>
    <row r="931" spans="6:13" ht="13.5" customHeight="1">
      <c r="F931" s="259"/>
      <c r="G931" s="259"/>
      <c r="H931" s="259"/>
      <c r="I931" s="259"/>
      <c r="J931" s="259"/>
      <c r="K931" s="259"/>
      <c r="L931" s="259"/>
      <c r="M931" s="259"/>
    </row>
    <row r="932" spans="6:13" ht="13.5" customHeight="1">
      <c r="F932" s="259"/>
      <c r="G932" s="259"/>
      <c r="H932" s="259"/>
      <c r="I932" s="259"/>
      <c r="J932" s="259"/>
      <c r="K932" s="259"/>
      <c r="L932" s="259"/>
      <c r="M932" s="259"/>
    </row>
    <row r="933" spans="6:13" ht="13.5" customHeight="1">
      <c r="F933" s="259"/>
      <c r="G933" s="259"/>
      <c r="H933" s="259"/>
      <c r="I933" s="259"/>
      <c r="J933" s="259"/>
      <c r="K933" s="259"/>
      <c r="L933" s="259"/>
      <c r="M933" s="259"/>
    </row>
    <row r="934" spans="6:13" ht="13.5" customHeight="1">
      <c r="F934" s="259"/>
      <c r="G934" s="259"/>
      <c r="H934" s="259"/>
      <c r="I934" s="259"/>
      <c r="J934" s="259"/>
      <c r="K934" s="259"/>
      <c r="L934" s="259"/>
      <c r="M934" s="259"/>
    </row>
    <row r="935" spans="6:13" ht="13.5" customHeight="1">
      <c r="F935" s="259"/>
      <c r="G935" s="259"/>
      <c r="H935" s="259"/>
      <c r="I935" s="259"/>
      <c r="J935" s="259"/>
      <c r="K935" s="259"/>
      <c r="L935" s="259"/>
      <c r="M935" s="259"/>
    </row>
    <row r="936" spans="6:13" ht="13.5" customHeight="1">
      <c r="F936" s="259"/>
      <c r="G936" s="259"/>
      <c r="H936" s="259"/>
      <c r="I936" s="259"/>
      <c r="J936" s="259"/>
      <c r="K936" s="259"/>
      <c r="L936" s="259"/>
      <c r="M936" s="259"/>
    </row>
    <row r="937" spans="6:13" ht="13.5" customHeight="1">
      <c r="F937" s="259"/>
      <c r="G937" s="259"/>
      <c r="H937" s="259"/>
      <c r="I937" s="259"/>
      <c r="J937" s="259"/>
      <c r="K937" s="259"/>
      <c r="L937" s="259"/>
      <c r="M937" s="259"/>
    </row>
    <row r="938" spans="6:13" ht="13.5" customHeight="1">
      <c r="F938" s="259"/>
      <c r="G938" s="259"/>
      <c r="H938" s="259"/>
      <c r="I938" s="259"/>
      <c r="J938" s="259"/>
      <c r="K938" s="259"/>
      <c r="L938" s="259"/>
      <c r="M938" s="259"/>
    </row>
    <row r="939" spans="6:13" ht="13.5" customHeight="1">
      <c r="F939" s="259"/>
      <c r="G939" s="259"/>
      <c r="H939" s="259"/>
      <c r="I939" s="259"/>
      <c r="J939" s="259"/>
      <c r="K939" s="259"/>
      <c r="L939" s="259"/>
      <c r="M939" s="259"/>
    </row>
    <row r="940" spans="6:13" ht="13.5" customHeight="1">
      <c r="F940" s="259"/>
      <c r="G940" s="259"/>
      <c r="H940" s="259"/>
      <c r="I940" s="259"/>
      <c r="J940" s="259"/>
      <c r="K940" s="259"/>
      <c r="L940" s="259"/>
      <c r="M940" s="259"/>
    </row>
    <row r="941" spans="6:13" ht="13.5" customHeight="1">
      <c r="F941" s="259"/>
      <c r="G941" s="259"/>
      <c r="H941" s="259"/>
      <c r="I941" s="259"/>
      <c r="J941" s="259"/>
      <c r="K941" s="259"/>
      <c r="L941" s="259"/>
      <c r="M941" s="259"/>
    </row>
    <row r="942" spans="6:13" ht="13.5" customHeight="1">
      <c r="F942" s="259"/>
      <c r="G942" s="259"/>
      <c r="H942" s="259"/>
      <c r="I942" s="259"/>
      <c r="J942" s="259"/>
      <c r="K942" s="259"/>
      <c r="L942" s="259"/>
      <c r="M942" s="259"/>
    </row>
    <row r="943" spans="6:13" ht="13.5" customHeight="1">
      <c r="F943" s="259"/>
      <c r="G943" s="259"/>
      <c r="H943" s="259"/>
      <c r="I943" s="259"/>
      <c r="J943" s="259"/>
      <c r="K943" s="259"/>
      <c r="L943" s="259"/>
      <c r="M943" s="259"/>
    </row>
    <row r="944" spans="6:13" ht="13.5" customHeight="1">
      <c r="F944" s="259"/>
      <c r="G944" s="259"/>
      <c r="H944" s="259"/>
      <c r="I944" s="259"/>
      <c r="J944" s="259"/>
      <c r="K944" s="259"/>
      <c r="L944" s="259"/>
      <c r="M944" s="259"/>
    </row>
    <row r="945" spans="6:13" ht="13.5" customHeight="1">
      <c r="F945" s="259"/>
      <c r="G945" s="259"/>
      <c r="H945" s="259"/>
      <c r="I945" s="259"/>
      <c r="J945" s="259"/>
      <c r="K945" s="259"/>
      <c r="L945" s="259"/>
      <c r="M945" s="259"/>
    </row>
    <row r="946" spans="6:13" ht="13.5" customHeight="1">
      <c r="F946" s="259"/>
      <c r="G946" s="259"/>
      <c r="H946" s="259"/>
      <c r="I946" s="259"/>
      <c r="J946" s="259"/>
      <c r="K946" s="259"/>
      <c r="L946" s="259"/>
      <c r="M946" s="259"/>
    </row>
    <row r="947" spans="6:13" ht="13.5" customHeight="1">
      <c r="F947" s="259"/>
      <c r="G947" s="259"/>
      <c r="H947" s="259"/>
      <c r="I947" s="259"/>
      <c r="J947" s="259"/>
      <c r="K947" s="259"/>
      <c r="L947" s="259"/>
      <c r="M947" s="259"/>
    </row>
    <row r="948" spans="6:13" ht="13.5" customHeight="1">
      <c r="F948" s="259"/>
      <c r="G948" s="259"/>
      <c r="H948" s="259"/>
      <c r="I948" s="259"/>
      <c r="J948" s="259"/>
      <c r="K948" s="259"/>
      <c r="L948" s="259"/>
      <c r="M948" s="259"/>
    </row>
    <row r="949" spans="6:13" ht="13.5" customHeight="1">
      <c r="F949" s="259"/>
      <c r="G949" s="259"/>
      <c r="H949" s="259"/>
      <c r="I949" s="259"/>
      <c r="J949" s="259"/>
      <c r="K949" s="259"/>
      <c r="L949" s="259"/>
      <c r="M949" s="259"/>
    </row>
    <row r="950" spans="6:13" ht="13.5" customHeight="1">
      <c r="F950" s="259"/>
      <c r="G950" s="259"/>
      <c r="H950" s="259"/>
      <c r="I950" s="259"/>
      <c r="J950" s="259"/>
      <c r="K950" s="259"/>
      <c r="L950" s="259"/>
      <c r="M950" s="259"/>
    </row>
    <row r="951" spans="6:13" ht="13.5" customHeight="1">
      <c r="F951" s="259"/>
      <c r="G951" s="259"/>
      <c r="H951" s="259"/>
      <c r="I951" s="259"/>
      <c r="J951" s="259"/>
      <c r="K951" s="259"/>
      <c r="L951" s="259"/>
      <c r="M951" s="259"/>
    </row>
    <row r="952" spans="6:13" ht="13.5" customHeight="1">
      <c r="F952" s="259"/>
      <c r="G952" s="259"/>
      <c r="H952" s="259"/>
      <c r="I952" s="259"/>
      <c r="J952" s="259"/>
      <c r="K952" s="259"/>
      <c r="L952" s="259"/>
      <c r="M952" s="259"/>
    </row>
    <row r="953" spans="6:13" ht="13.5" customHeight="1">
      <c r="F953" s="259"/>
      <c r="G953" s="259"/>
      <c r="H953" s="259"/>
      <c r="I953" s="259"/>
      <c r="J953" s="259"/>
      <c r="K953" s="259"/>
      <c r="L953" s="259"/>
      <c r="M953" s="259"/>
    </row>
    <row r="954" spans="6:13" ht="13.5" customHeight="1">
      <c r="F954" s="259"/>
      <c r="G954" s="259"/>
      <c r="H954" s="259"/>
      <c r="I954" s="259"/>
      <c r="J954" s="259"/>
      <c r="K954" s="259"/>
      <c r="L954" s="259"/>
      <c r="M954" s="259"/>
    </row>
    <row r="955" spans="6:13" ht="13.5" customHeight="1">
      <c r="F955" s="259"/>
      <c r="G955" s="259"/>
      <c r="H955" s="259"/>
      <c r="I955" s="259"/>
      <c r="J955" s="259"/>
      <c r="K955" s="259"/>
      <c r="L955" s="259"/>
      <c r="M955" s="259"/>
    </row>
    <row r="956" spans="6:13" ht="13.5" customHeight="1">
      <c r="F956" s="259"/>
      <c r="G956" s="259"/>
      <c r="H956" s="259"/>
      <c r="I956" s="259"/>
      <c r="J956" s="259"/>
      <c r="K956" s="259"/>
      <c r="L956" s="259"/>
      <c r="M956" s="259"/>
    </row>
    <row r="957" spans="6:13" ht="13.5" customHeight="1">
      <c r="F957" s="259"/>
      <c r="G957" s="259"/>
      <c r="H957" s="259"/>
      <c r="I957" s="259"/>
      <c r="J957" s="259"/>
      <c r="K957" s="259"/>
      <c r="L957" s="259"/>
      <c r="M957" s="259"/>
    </row>
    <row r="958" spans="6:13" ht="13.5" customHeight="1">
      <c r="F958" s="259"/>
      <c r="G958" s="259"/>
      <c r="H958" s="259"/>
      <c r="I958" s="259"/>
      <c r="J958" s="259"/>
      <c r="K958" s="259"/>
      <c r="L958" s="259"/>
      <c r="M958" s="259"/>
    </row>
    <row r="959" spans="6:13" ht="13.5" customHeight="1">
      <c r="F959" s="259"/>
      <c r="G959" s="259"/>
      <c r="H959" s="259"/>
      <c r="I959" s="259"/>
      <c r="J959" s="259"/>
      <c r="K959" s="259"/>
      <c r="L959" s="259"/>
      <c r="M959" s="259"/>
    </row>
    <row r="960" spans="6:13" ht="13.5" customHeight="1">
      <c r="F960" s="259"/>
      <c r="G960" s="259"/>
      <c r="H960" s="259"/>
      <c r="I960" s="259"/>
      <c r="J960" s="259"/>
      <c r="K960" s="259"/>
      <c r="L960" s="259"/>
      <c r="M960" s="259"/>
    </row>
    <row r="961" spans="6:13" ht="13.5" customHeight="1">
      <c r="F961" s="259"/>
      <c r="G961" s="259"/>
      <c r="H961" s="259"/>
      <c r="I961" s="259"/>
      <c r="J961" s="259"/>
      <c r="K961" s="259"/>
      <c r="L961" s="259"/>
      <c r="M961" s="259"/>
    </row>
    <row r="962" spans="6:13" ht="13.5" customHeight="1">
      <c r="F962" s="259"/>
      <c r="G962" s="259"/>
      <c r="H962" s="259"/>
      <c r="I962" s="259"/>
      <c r="J962" s="259"/>
      <c r="K962" s="259"/>
      <c r="L962" s="259"/>
      <c r="M962" s="259"/>
    </row>
    <row r="963" spans="6:13" ht="13.5" customHeight="1">
      <c r="F963" s="259"/>
      <c r="G963" s="259"/>
      <c r="H963" s="259"/>
      <c r="I963" s="259"/>
      <c r="J963" s="259"/>
      <c r="K963" s="259"/>
      <c r="L963" s="259"/>
      <c r="M963" s="259"/>
    </row>
    <row r="964" spans="6:13" ht="13.5" customHeight="1">
      <c r="F964" s="259"/>
      <c r="G964" s="259"/>
      <c r="H964" s="259"/>
      <c r="I964" s="259"/>
      <c r="J964" s="259"/>
      <c r="K964" s="259"/>
      <c r="L964" s="259"/>
      <c r="M964" s="259"/>
    </row>
    <row r="965" spans="6:13" ht="13.5" customHeight="1">
      <c r="F965" s="259"/>
      <c r="G965" s="259"/>
      <c r="H965" s="259"/>
      <c r="I965" s="259"/>
      <c r="J965" s="259"/>
      <c r="K965" s="259"/>
      <c r="L965" s="259"/>
      <c r="M965" s="259"/>
    </row>
    <row r="966" spans="6:13" ht="13.5" customHeight="1">
      <c r="F966" s="259"/>
      <c r="G966" s="259"/>
      <c r="H966" s="259"/>
      <c r="I966" s="259"/>
      <c r="J966" s="259"/>
      <c r="K966" s="259"/>
      <c r="L966" s="259"/>
      <c r="M966" s="259"/>
    </row>
    <row r="967" spans="6:13" ht="13.5" customHeight="1">
      <c r="F967" s="259"/>
      <c r="G967" s="259"/>
      <c r="H967" s="259"/>
      <c r="I967" s="259"/>
      <c r="J967" s="259"/>
      <c r="K967" s="259"/>
      <c r="L967" s="259"/>
      <c r="M967" s="259"/>
    </row>
    <row r="968" spans="6:13" ht="13.5" customHeight="1">
      <c r="F968" s="259"/>
      <c r="G968" s="259"/>
      <c r="H968" s="259"/>
      <c r="I968" s="259"/>
      <c r="J968" s="259"/>
      <c r="K968" s="259"/>
      <c r="L968" s="259"/>
      <c r="M968" s="259"/>
    </row>
    <row r="969" spans="6:13" ht="13.5" customHeight="1">
      <c r="F969" s="259"/>
      <c r="G969" s="259"/>
      <c r="H969" s="259"/>
      <c r="I969" s="259"/>
      <c r="J969" s="259"/>
      <c r="K969" s="259"/>
      <c r="L969" s="259"/>
      <c r="M969" s="259"/>
    </row>
    <row r="970" spans="6:13" ht="13.5" customHeight="1">
      <c r="F970" s="259"/>
      <c r="G970" s="259"/>
      <c r="H970" s="259"/>
      <c r="I970" s="259"/>
      <c r="J970" s="259"/>
      <c r="K970" s="259"/>
      <c r="L970" s="259"/>
      <c r="M970" s="259"/>
    </row>
    <row r="971" spans="6:13" ht="13.5" customHeight="1">
      <c r="F971" s="259"/>
      <c r="G971" s="259"/>
      <c r="H971" s="259"/>
      <c r="I971" s="259"/>
      <c r="J971" s="259"/>
      <c r="K971" s="259"/>
      <c r="L971" s="259"/>
      <c r="M971" s="259"/>
    </row>
    <row r="972" spans="6:13" ht="13.5" customHeight="1">
      <c r="F972" s="259"/>
      <c r="G972" s="259"/>
      <c r="H972" s="259"/>
      <c r="I972" s="259"/>
      <c r="J972" s="259"/>
      <c r="K972" s="259"/>
      <c r="L972" s="259"/>
      <c r="M972" s="259"/>
    </row>
    <row r="973" spans="6:13" ht="13.5" customHeight="1">
      <c r="F973" s="259"/>
      <c r="G973" s="259"/>
      <c r="H973" s="259"/>
      <c r="I973" s="259"/>
      <c r="J973" s="259"/>
      <c r="K973" s="259"/>
      <c r="L973" s="259"/>
      <c r="M973" s="259"/>
    </row>
    <row r="974" spans="6:13" ht="13.5" customHeight="1">
      <c r="F974" s="259"/>
      <c r="G974" s="259"/>
      <c r="H974" s="259"/>
      <c r="I974" s="259"/>
      <c r="J974" s="259"/>
      <c r="K974" s="259"/>
      <c r="L974" s="259"/>
      <c r="M974" s="259"/>
    </row>
    <row r="975" spans="6:13" ht="13.5" customHeight="1">
      <c r="F975" s="259"/>
      <c r="G975" s="259"/>
      <c r="H975" s="259"/>
      <c r="I975" s="259"/>
      <c r="J975" s="259"/>
      <c r="K975" s="259"/>
      <c r="L975" s="259"/>
      <c r="M975" s="259"/>
    </row>
    <row r="976" spans="6:13" ht="13.5" customHeight="1">
      <c r="F976" s="259"/>
      <c r="G976" s="259"/>
      <c r="H976" s="259"/>
      <c r="I976" s="259"/>
      <c r="J976" s="259"/>
      <c r="K976" s="259"/>
      <c r="L976" s="259"/>
      <c r="M976" s="259"/>
    </row>
    <row r="977" spans="6:13" ht="13.5" customHeight="1">
      <c r="F977" s="259"/>
      <c r="G977" s="259"/>
      <c r="H977" s="259"/>
      <c r="I977" s="259"/>
      <c r="J977" s="259"/>
      <c r="K977" s="259"/>
      <c r="L977" s="259"/>
      <c r="M977" s="259"/>
    </row>
    <row r="978" spans="6:13" ht="13.5" customHeight="1">
      <c r="F978" s="259"/>
      <c r="G978" s="259"/>
      <c r="H978" s="259"/>
      <c r="I978" s="259"/>
      <c r="J978" s="259"/>
      <c r="K978" s="259"/>
      <c r="L978" s="259"/>
      <c r="M978" s="259"/>
    </row>
    <row r="979" spans="6:13" ht="13.5" customHeight="1">
      <c r="F979" s="259"/>
      <c r="G979" s="259"/>
      <c r="H979" s="259"/>
      <c r="I979" s="259"/>
      <c r="J979" s="259"/>
      <c r="K979" s="259"/>
      <c r="L979" s="259"/>
      <c r="M979" s="259"/>
    </row>
    <row r="980" spans="6:13" ht="13.5" customHeight="1">
      <c r="F980" s="259"/>
      <c r="G980" s="259"/>
      <c r="H980" s="259"/>
      <c r="I980" s="259"/>
      <c r="J980" s="259"/>
      <c r="K980" s="259"/>
      <c r="L980" s="259"/>
      <c r="M980" s="259"/>
    </row>
    <row r="981" spans="6:13" ht="13.5" customHeight="1">
      <c r="F981" s="259"/>
      <c r="G981" s="259"/>
      <c r="H981" s="259"/>
      <c r="I981" s="259"/>
      <c r="J981" s="259"/>
      <c r="K981" s="259"/>
      <c r="L981" s="259"/>
      <c r="M981" s="259"/>
    </row>
    <row r="982" spans="6:13" ht="13.5" customHeight="1">
      <c r="F982" s="259"/>
      <c r="G982" s="259"/>
      <c r="H982" s="259"/>
      <c r="I982" s="259"/>
      <c r="J982" s="259"/>
      <c r="K982" s="259"/>
      <c r="L982" s="259"/>
      <c r="M982" s="259"/>
    </row>
    <row r="983" spans="6:13" ht="13.5" customHeight="1">
      <c r="F983" s="259"/>
      <c r="G983" s="259"/>
      <c r="H983" s="259"/>
      <c r="I983" s="259"/>
      <c r="J983" s="259"/>
      <c r="K983" s="259"/>
      <c r="L983" s="259"/>
      <c r="M983" s="259"/>
    </row>
    <row r="984" spans="6:13" ht="13.5" customHeight="1">
      <c r="F984" s="259"/>
      <c r="G984" s="259"/>
      <c r="H984" s="259"/>
      <c r="I984" s="259"/>
      <c r="J984" s="259"/>
      <c r="K984" s="259"/>
      <c r="L984" s="259"/>
      <c r="M984" s="259"/>
    </row>
    <row r="985" spans="6:13" ht="13.5" customHeight="1">
      <c r="F985" s="259"/>
      <c r="G985" s="259"/>
      <c r="H985" s="259"/>
      <c r="I985" s="259"/>
      <c r="J985" s="259"/>
      <c r="K985" s="259"/>
      <c r="L985" s="259"/>
      <c r="M985" s="259"/>
    </row>
    <row r="986" spans="6:13" ht="13.5" customHeight="1">
      <c r="F986" s="259"/>
      <c r="G986" s="259"/>
      <c r="H986" s="259"/>
      <c r="I986" s="259"/>
      <c r="J986" s="259"/>
      <c r="K986" s="259"/>
      <c r="L986" s="259"/>
      <c r="M986" s="259"/>
    </row>
    <row r="987" spans="6:13" ht="13.5" customHeight="1">
      <c r="F987" s="259"/>
      <c r="G987" s="259"/>
      <c r="H987" s="259"/>
      <c r="I987" s="259"/>
      <c r="J987" s="259"/>
      <c r="K987" s="259"/>
      <c r="L987" s="259"/>
      <c r="M987" s="259"/>
    </row>
    <row r="988" spans="6:13" ht="13.5" customHeight="1">
      <c r="F988" s="259"/>
      <c r="G988" s="259"/>
      <c r="H988" s="259"/>
      <c r="I988" s="259"/>
      <c r="J988" s="259"/>
      <c r="K988" s="259"/>
      <c r="L988" s="259"/>
      <c r="M988" s="259"/>
    </row>
    <row r="989" spans="6:13" ht="13.5" customHeight="1">
      <c r="F989" s="259"/>
      <c r="G989" s="259"/>
      <c r="H989" s="259"/>
      <c r="I989" s="259"/>
      <c r="J989" s="259"/>
      <c r="K989" s="259"/>
      <c r="L989" s="259"/>
      <c r="M989" s="259"/>
    </row>
    <row r="990" spans="6:13" ht="13.5" customHeight="1">
      <c r="F990" s="259"/>
      <c r="G990" s="259"/>
      <c r="H990" s="259"/>
      <c r="I990" s="259"/>
      <c r="J990" s="259"/>
      <c r="K990" s="259"/>
      <c r="L990" s="259"/>
      <c r="M990" s="259"/>
    </row>
    <row r="991" spans="6:13" ht="13.5" customHeight="1">
      <c r="F991" s="259"/>
      <c r="G991" s="259"/>
      <c r="H991" s="259"/>
      <c r="I991" s="259"/>
      <c r="J991" s="259"/>
      <c r="K991" s="259"/>
      <c r="L991" s="259"/>
      <c r="M991" s="259"/>
    </row>
    <row r="992" spans="6:13" ht="13.5" customHeight="1">
      <c r="F992" s="259"/>
      <c r="G992" s="259"/>
      <c r="H992" s="259"/>
      <c r="I992" s="259"/>
      <c r="J992" s="259"/>
      <c r="K992" s="259"/>
      <c r="L992" s="259"/>
      <c r="M992" s="259"/>
    </row>
    <row r="993" spans="6:13" ht="13.5" customHeight="1">
      <c r="F993" s="259"/>
      <c r="G993" s="259"/>
      <c r="H993" s="259"/>
      <c r="I993" s="259"/>
      <c r="J993" s="259"/>
      <c r="K993" s="259"/>
      <c r="L993" s="259"/>
      <c r="M993" s="259"/>
    </row>
    <row r="994" spans="6:13" ht="13.5" customHeight="1">
      <c r="F994" s="259"/>
      <c r="G994" s="259"/>
      <c r="H994" s="259"/>
      <c r="I994" s="259"/>
      <c r="J994" s="259"/>
      <c r="K994" s="259"/>
      <c r="L994" s="259"/>
      <c r="M994" s="259"/>
    </row>
    <row r="995" spans="6:13" ht="13.5" customHeight="1">
      <c r="F995" s="259"/>
      <c r="G995" s="259"/>
      <c r="H995" s="259"/>
      <c r="I995" s="259"/>
      <c r="J995" s="259"/>
      <c r="K995" s="259"/>
      <c r="L995" s="259"/>
      <c r="M995" s="259"/>
    </row>
    <row r="996" spans="6:13" ht="13.5" customHeight="1">
      <c r="F996" s="259"/>
      <c r="G996" s="259"/>
      <c r="H996" s="259"/>
      <c r="I996" s="259"/>
      <c r="J996" s="259"/>
      <c r="K996" s="259"/>
      <c r="L996" s="259"/>
      <c r="M996" s="259"/>
    </row>
    <row r="997" spans="6:13" ht="13.5" customHeight="1">
      <c r="F997" s="259"/>
      <c r="G997" s="259"/>
      <c r="H997" s="259"/>
      <c r="I997" s="259"/>
      <c r="J997" s="259"/>
      <c r="K997" s="259"/>
      <c r="L997" s="259"/>
      <c r="M997" s="259"/>
    </row>
    <row r="998" spans="6:13" ht="13.5" customHeight="1">
      <c r="F998" s="259"/>
      <c r="G998" s="259"/>
      <c r="H998" s="259"/>
      <c r="I998" s="259"/>
      <c r="J998" s="259"/>
      <c r="K998" s="259"/>
      <c r="L998" s="259"/>
      <c r="M998" s="259"/>
    </row>
    <row r="999" spans="6:13" ht="13.5" customHeight="1">
      <c r="F999" s="259"/>
      <c r="G999" s="259"/>
      <c r="H999" s="259"/>
      <c r="I999" s="259"/>
      <c r="J999" s="259"/>
      <c r="K999" s="259"/>
      <c r="L999" s="259"/>
      <c r="M999" s="259"/>
    </row>
    <row r="1000" spans="6:13" ht="13.5" customHeight="1">
      <c r="F1000" s="259"/>
      <c r="G1000" s="259"/>
      <c r="H1000" s="259"/>
      <c r="I1000" s="259"/>
      <c r="J1000" s="259"/>
      <c r="K1000" s="259"/>
      <c r="L1000" s="259"/>
      <c r="M1000" s="259"/>
    </row>
  </sheetData>
  <mergeCells count="3">
    <mergeCell ref="B1:E1"/>
    <mergeCell ref="F1:H1"/>
    <mergeCell ref="I1:K1"/>
  </mergeCell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1"/>
  <sheetViews>
    <sheetView topLeftCell="A50" workbookViewId="0">
      <selection activeCell="M2" sqref="M2:P89"/>
    </sheetView>
  </sheetViews>
  <sheetFormatPr defaultColWidth="12.59765625" defaultRowHeight="15" customHeight="1"/>
  <cols>
    <col min="1" max="1" width="8.69921875" customWidth="1"/>
    <col min="2" max="2" width="9.09765625" customWidth="1"/>
    <col min="3" max="3" width="8.8984375" customWidth="1"/>
    <col min="4" max="4" width="9.19921875" customWidth="1"/>
    <col min="5" max="5" width="8.8984375" customWidth="1"/>
    <col min="6" max="14" width="8.69921875" customWidth="1"/>
    <col min="15" max="26" width="8.59765625" customWidth="1"/>
  </cols>
  <sheetData>
    <row r="1" spans="1:26" ht="15" customHeight="1">
      <c r="B1" s="565" t="s">
        <v>22</v>
      </c>
      <c r="C1" s="565"/>
      <c r="D1" s="565"/>
      <c r="E1" s="565"/>
      <c r="F1" s="566" t="s">
        <v>23</v>
      </c>
      <c r="G1" s="566"/>
      <c r="H1" s="566"/>
      <c r="I1" s="567" t="s">
        <v>24</v>
      </c>
      <c r="J1" s="567"/>
      <c r="K1" s="567"/>
    </row>
    <row r="2" spans="1:26" ht="11.25" customHeight="1">
      <c r="A2" s="301" t="s">
        <v>9</v>
      </c>
      <c r="B2" s="301" t="s">
        <v>1139</v>
      </c>
      <c r="C2" s="301" t="s">
        <v>1140</v>
      </c>
      <c r="D2" s="301" t="s">
        <v>1141</v>
      </c>
      <c r="E2" s="303" t="s">
        <v>1142</v>
      </c>
      <c r="F2" s="360" t="s">
        <v>1139</v>
      </c>
      <c r="G2" s="360" t="s">
        <v>1140</v>
      </c>
      <c r="H2" s="360" t="s">
        <v>1142</v>
      </c>
      <c r="I2" s="360" t="s">
        <v>1139</v>
      </c>
      <c r="J2" s="360" t="s">
        <v>1140</v>
      </c>
      <c r="K2" s="360" t="s">
        <v>1142</v>
      </c>
      <c r="L2" s="301"/>
      <c r="M2" s="301" t="s">
        <v>9</v>
      </c>
      <c r="N2" s="303" t="s">
        <v>32</v>
      </c>
      <c r="O2" s="301"/>
      <c r="P2" s="301"/>
      <c r="Q2" s="301"/>
      <c r="R2" s="301"/>
      <c r="S2" s="301"/>
      <c r="T2" s="301"/>
      <c r="U2" s="301"/>
      <c r="V2" s="301"/>
      <c r="W2" s="301"/>
      <c r="X2" s="301"/>
      <c r="Y2" s="301"/>
      <c r="Z2" s="301"/>
    </row>
    <row r="3" spans="1:26" ht="11.25" customHeight="1">
      <c r="A3" s="305">
        <v>36616</v>
      </c>
      <c r="B3" s="301"/>
      <c r="C3" s="301"/>
      <c r="D3" s="301"/>
      <c r="E3" s="345">
        <v>7.69210483870968</v>
      </c>
      <c r="F3" s="360"/>
      <c r="G3" s="360"/>
      <c r="H3" s="361"/>
      <c r="I3" s="360"/>
      <c r="J3" s="360"/>
      <c r="K3" s="360"/>
      <c r="L3" s="301"/>
      <c r="M3" s="305">
        <v>36616</v>
      </c>
      <c r="N3" s="345">
        <v>7.69210483870968</v>
      </c>
      <c r="O3" s="301"/>
      <c r="P3" s="301"/>
      <c r="Q3" s="301"/>
      <c r="R3" s="301"/>
      <c r="S3" s="301"/>
      <c r="T3" s="301"/>
      <c r="U3" s="301"/>
      <c r="V3" s="301"/>
      <c r="W3" s="301"/>
      <c r="X3" s="301"/>
      <c r="Y3" s="301"/>
      <c r="Z3" s="301"/>
    </row>
    <row r="4" spans="1:26" ht="11.25" customHeight="1">
      <c r="A4" s="305">
        <v>36707</v>
      </c>
      <c r="B4" s="301"/>
      <c r="C4" s="301"/>
      <c r="D4" s="301"/>
      <c r="E4" s="345">
        <v>7.69210483870968</v>
      </c>
      <c r="F4" s="360"/>
      <c r="G4" s="360"/>
      <c r="H4" s="362">
        <v>7.69210483870968</v>
      </c>
      <c r="I4" s="360"/>
      <c r="J4" s="360"/>
      <c r="K4" s="362">
        <v>7.69210483870968</v>
      </c>
      <c r="L4" s="301"/>
      <c r="M4" s="305">
        <v>36707</v>
      </c>
      <c r="N4" s="345">
        <v>7.69210483870968</v>
      </c>
      <c r="O4" s="301"/>
      <c r="P4" s="301"/>
      <c r="Q4" s="301"/>
      <c r="R4" s="301"/>
      <c r="S4" s="301"/>
      <c r="T4" s="301"/>
      <c r="U4" s="301"/>
      <c r="V4" s="301"/>
      <c r="W4" s="301"/>
      <c r="X4" s="301"/>
      <c r="Y4" s="301"/>
      <c r="Z4" s="301"/>
    </row>
    <row r="5" spans="1:26" ht="11.25" customHeight="1">
      <c r="A5" s="305">
        <v>36799</v>
      </c>
      <c r="B5" s="301"/>
      <c r="C5" s="301"/>
      <c r="D5" s="301"/>
      <c r="E5" s="345">
        <v>7.5752415384615404</v>
      </c>
      <c r="F5" s="360"/>
      <c r="G5" s="360"/>
      <c r="H5" s="362">
        <v>7.5752415384615404</v>
      </c>
      <c r="I5" s="360"/>
      <c r="J5" s="360"/>
      <c r="K5" s="362">
        <v>7.5752415384615404</v>
      </c>
      <c r="L5" s="301"/>
      <c r="M5" s="305">
        <v>36799</v>
      </c>
      <c r="N5" s="345">
        <v>7.5752415384615404</v>
      </c>
      <c r="O5" s="301"/>
      <c r="P5" s="301"/>
      <c r="Q5" s="301"/>
      <c r="R5" s="301"/>
      <c r="S5" s="301"/>
      <c r="T5" s="301"/>
      <c r="U5" s="301"/>
      <c r="V5" s="301"/>
      <c r="W5" s="301"/>
      <c r="X5" s="301"/>
      <c r="Y5" s="301"/>
      <c r="Z5" s="301"/>
    </row>
    <row r="6" spans="1:26" ht="11.25" customHeight="1">
      <c r="A6" s="305">
        <v>36891</v>
      </c>
      <c r="B6" s="307">
        <f>SUM(vanjski_sektor!K3:K6)/1000</f>
        <v>0.67727361538637554</v>
      </c>
      <c r="C6" s="306">
        <f>SUM(vanjski_sektor!S3:S6)/1000</f>
        <v>-0.3377432708046274</v>
      </c>
      <c r="D6" s="306">
        <f>(SUM(vanjski_sektor!T3:T6)-SUM(vanjski_sektor!K3:K6))/1000</f>
        <v>-3.3053003761833648</v>
      </c>
      <c r="E6" s="345">
        <v>7.5630158730158703</v>
      </c>
      <c r="F6" s="363">
        <f>B6</f>
        <v>0.67727361538637554</v>
      </c>
      <c r="G6" s="364">
        <f>C6</f>
        <v>-0.3377432708046274</v>
      </c>
      <c r="H6" s="362">
        <v>7.5630158730158703</v>
      </c>
      <c r="I6" s="363">
        <f>B6</f>
        <v>0.67727361538637554</v>
      </c>
      <c r="J6" s="364">
        <f>C6</f>
        <v>-0.3377432708046274</v>
      </c>
      <c r="K6" s="362">
        <v>7.5630158730158703</v>
      </c>
      <c r="L6" s="301"/>
      <c r="M6" s="305">
        <v>36891</v>
      </c>
      <c r="N6" s="345">
        <v>7.5630158730158703</v>
      </c>
      <c r="O6" s="301"/>
      <c r="P6" s="301"/>
      <c r="Q6" s="301"/>
      <c r="R6" s="301"/>
      <c r="S6" s="301"/>
      <c r="T6" s="301"/>
      <c r="U6" s="301"/>
      <c r="V6" s="301"/>
      <c r="W6" s="301"/>
      <c r="X6" s="301"/>
      <c r="Y6" s="301"/>
      <c r="Z6" s="301"/>
    </row>
    <row r="7" spans="1:26" ht="11.25" customHeight="1">
      <c r="A7" s="305">
        <v>36981</v>
      </c>
      <c r="B7" s="307">
        <f>SUM(vanjski_sektor!K4:K7)/1000</f>
        <v>0.84449923674562588</v>
      </c>
      <c r="C7" s="306">
        <f>SUM(vanjski_sektor!S4:S7)/1000</f>
        <v>-0.58259252907869952</v>
      </c>
      <c r="D7" s="306">
        <f>(SUM(vanjski_sektor!T4:T7)-SUM(vanjski_sektor!K4:K7))/1000</f>
        <v>-3.7218953201676195</v>
      </c>
      <c r="E7" s="345">
        <v>7.6850937500000001</v>
      </c>
      <c r="F7" s="363">
        <f t="shared" ref="F7:G70" si="0">B7</f>
        <v>0.84449923674562588</v>
      </c>
      <c r="G7" s="364">
        <f t="shared" si="0"/>
        <v>-0.58259252907869952</v>
      </c>
      <c r="H7" s="362">
        <v>7.6850937500000001</v>
      </c>
      <c r="I7" s="363">
        <f t="shared" ref="I7:J70" si="1">B7</f>
        <v>0.84449923674562588</v>
      </c>
      <c r="J7" s="364">
        <f t="shared" si="1"/>
        <v>-0.58259252907869952</v>
      </c>
      <c r="K7" s="362">
        <v>7.6850937500000001</v>
      </c>
      <c r="L7" s="301"/>
      <c r="M7" s="305">
        <v>36981</v>
      </c>
      <c r="N7" s="345">
        <v>7.6850937500000001</v>
      </c>
      <c r="O7" s="301"/>
      <c r="P7" s="301"/>
      <c r="Q7" s="301"/>
      <c r="R7" s="301"/>
      <c r="S7" s="301"/>
      <c r="T7" s="301"/>
      <c r="U7" s="301"/>
      <c r="V7" s="301"/>
      <c r="W7" s="301"/>
      <c r="X7" s="301"/>
      <c r="Y7" s="301"/>
      <c r="Z7" s="301"/>
    </row>
    <row r="8" spans="1:26" ht="11.25" customHeight="1">
      <c r="A8" s="305">
        <v>37072</v>
      </c>
      <c r="B8" s="307">
        <f>SUM(vanjski_sektor!K5:K8)/1000</f>
        <v>0.93708952847828242</v>
      </c>
      <c r="C8" s="306">
        <f>SUM(vanjski_sektor!S5:S8)/1000</f>
        <v>-1.1170641546131732</v>
      </c>
      <c r="D8" s="306">
        <f>(SUM(vanjski_sektor!T5:T8)-SUM(vanjski_sektor!K5:K8))/1000</f>
        <v>-4.0408269290270376</v>
      </c>
      <c r="E8" s="345">
        <v>7.4129322580645196</v>
      </c>
      <c r="F8" s="363">
        <f t="shared" si="0"/>
        <v>0.93708952847828242</v>
      </c>
      <c r="G8" s="364">
        <f t="shared" si="0"/>
        <v>-1.1170641546131732</v>
      </c>
      <c r="H8" s="362">
        <v>7.4129322580645196</v>
      </c>
      <c r="I8" s="363">
        <f t="shared" si="1"/>
        <v>0.93708952847828242</v>
      </c>
      <c r="J8" s="364">
        <f t="shared" si="1"/>
        <v>-1.1170641546131732</v>
      </c>
      <c r="K8" s="362">
        <v>7.4129322580645196</v>
      </c>
      <c r="L8" s="301"/>
      <c r="M8" s="305">
        <v>37072</v>
      </c>
      <c r="N8" s="345">
        <v>7.4129322580645196</v>
      </c>
      <c r="O8" s="301"/>
      <c r="P8" s="301"/>
      <c r="Q8" s="301"/>
      <c r="R8" s="301"/>
      <c r="S8" s="301"/>
      <c r="T8" s="301"/>
      <c r="U8" s="301"/>
      <c r="V8" s="301"/>
      <c r="W8" s="301"/>
      <c r="X8" s="301"/>
      <c r="Y8" s="301"/>
      <c r="Z8" s="301"/>
    </row>
    <row r="9" spans="1:26" ht="11.25" customHeight="1">
      <c r="A9" s="305">
        <v>37164</v>
      </c>
      <c r="B9" s="307">
        <f>SUM(vanjski_sektor!K6:K9)/1000</f>
        <v>1.124809554567229</v>
      </c>
      <c r="C9" s="306">
        <f>SUM(vanjski_sektor!S6:S9)/1000</f>
        <v>-0.6657073693945067</v>
      </c>
      <c r="D9" s="306">
        <f>(SUM(vanjski_sektor!T6:T9)-SUM(vanjski_sektor!K6:K9))/1000</f>
        <v>-2.9531449996992141</v>
      </c>
      <c r="E9" s="345">
        <v>7.40759230769231</v>
      </c>
      <c r="F9" s="363">
        <f t="shared" si="0"/>
        <v>1.124809554567229</v>
      </c>
      <c r="G9" s="364">
        <f t="shared" si="0"/>
        <v>-0.6657073693945067</v>
      </c>
      <c r="H9" s="362">
        <v>7.40759230769231</v>
      </c>
      <c r="I9" s="363">
        <f t="shared" si="1"/>
        <v>1.124809554567229</v>
      </c>
      <c r="J9" s="364">
        <f t="shared" si="1"/>
        <v>-0.6657073693945067</v>
      </c>
      <c r="K9" s="362">
        <v>7.40759230769231</v>
      </c>
      <c r="L9" s="301"/>
      <c r="M9" s="305">
        <v>37164</v>
      </c>
      <c r="N9" s="345">
        <v>7.40759230769231</v>
      </c>
      <c r="O9" s="301"/>
      <c r="P9" s="301"/>
      <c r="Q9" s="301"/>
      <c r="R9" s="301"/>
      <c r="S9" s="301"/>
      <c r="T9" s="301"/>
      <c r="U9" s="301"/>
      <c r="V9" s="301"/>
      <c r="W9" s="301"/>
      <c r="X9" s="301"/>
      <c r="Y9" s="301"/>
      <c r="Z9" s="301"/>
    </row>
    <row r="10" spans="1:26" ht="11.25" customHeight="1">
      <c r="A10" s="305">
        <v>37256</v>
      </c>
      <c r="B10" s="307">
        <f>SUM(vanjski_sektor!K7:K10)/1000</f>
        <v>1.5489828212502661</v>
      </c>
      <c r="C10" s="306">
        <f>SUM(vanjski_sektor!S7:S10)/1000</f>
        <v>-0.56092868767653636</v>
      </c>
      <c r="D10" s="306">
        <f>(SUM(vanjski_sektor!T7:T10)-SUM(vanjski_sektor!K7:K10))/1000</f>
        <v>-3.5560296329897514</v>
      </c>
      <c r="E10" s="345">
        <v>7.4203238095238104</v>
      </c>
      <c r="F10" s="363">
        <f t="shared" si="0"/>
        <v>1.5489828212502661</v>
      </c>
      <c r="G10" s="364">
        <f t="shared" si="0"/>
        <v>-0.56092868767653636</v>
      </c>
      <c r="H10" s="362">
        <v>7.4203238095238104</v>
      </c>
      <c r="I10" s="363">
        <f t="shared" si="1"/>
        <v>1.5489828212502661</v>
      </c>
      <c r="J10" s="364">
        <f t="shared" si="1"/>
        <v>-0.56092868767653636</v>
      </c>
      <c r="K10" s="362">
        <v>7.4203238095238104</v>
      </c>
      <c r="L10" s="301"/>
      <c r="M10" s="305">
        <v>37256</v>
      </c>
      <c r="N10" s="345">
        <v>7.4203238095238104</v>
      </c>
      <c r="O10" s="301"/>
      <c r="P10" s="301"/>
      <c r="Q10" s="301"/>
      <c r="R10" s="301"/>
      <c r="S10" s="301"/>
      <c r="T10" s="301"/>
      <c r="U10" s="301"/>
      <c r="V10" s="301"/>
      <c r="W10" s="301"/>
      <c r="X10" s="301"/>
      <c r="Y10" s="301"/>
      <c r="Z10" s="301"/>
    </row>
    <row r="11" spans="1:26" ht="11.25" customHeight="1">
      <c r="A11" s="305">
        <v>37346</v>
      </c>
      <c r="B11" s="307">
        <f>SUM(vanjski_sektor!K8:K11)/1000</f>
        <v>1.6484544313248879</v>
      </c>
      <c r="C11" s="306">
        <f>SUM(vanjski_sektor!S8:S11)/1000</f>
        <v>-0.88412060843671225</v>
      </c>
      <c r="D11" s="306">
        <f>(SUM(vanjski_sektor!T8:T11)-SUM(vanjski_sektor!K8:K11))/1000</f>
        <v>-4.4400511923356554</v>
      </c>
      <c r="E11" s="345">
        <v>7.4699677419354904</v>
      </c>
      <c r="F11" s="363">
        <f t="shared" si="0"/>
        <v>1.6484544313248879</v>
      </c>
      <c r="G11" s="364">
        <f t="shared" si="0"/>
        <v>-0.88412060843671225</v>
      </c>
      <c r="H11" s="362">
        <v>7.4699677419354904</v>
      </c>
      <c r="I11" s="363">
        <f t="shared" si="1"/>
        <v>1.6484544313248879</v>
      </c>
      <c r="J11" s="364">
        <f t="shared" si="1"/>
        <v>-0.88412060843671225</v>
      </c>
      <c r="K11" s="362">
        <v>7.4699677419354904</v>
      </c>
      <c r="L11" s="301"/>
      <c r="M11" s="305">
        <v>37346</v>
      </c>
      <c r="N11" s="345">
        <v>7.4699677419354904</v>
      </c>
      <c r="O11" s="301"/>
      <c r="P11" s="301"/>
      <c r="Q11" s="301"/>
      <c r="R11" s="301"/>
      <c r="S11" s="301"/>
      <c r="T11" s="301"/>
      <c r="U11" s="301"/>
      <c r="V11" s="301"/>
      <c r="W11" s="301"/>
      <c r="X11" s="301"/>
      <c r="Y11" s="301"/>
      <c r="Z11" s="301"/>
    </row>
    <row r="12" spans="1:26" ht="11.25" customHeight="1">
      <c r="A12" s="305">
        <v>37437</v>
      </c>
      <c r="B12" s="307">
        <f>SUM(vanjski_sektor!K9:K12)/1000</f>
        <v>1.4939809081800617</v>
      </c>
      <c r="C12" s="306">
        <f>SUM(vanjski_sektor!S9:S12)/1000</f>
        <v>-0.90359918053366806</v>
      </c>
      <c r="D12" s="306">
        <f>(SUM(vanjski_sektor!T9:T12)-SUM(vanjski_sektor!K9:K12))/1000</f>
        <v>-3.5231033864105461</v>
      </c>
      <c r="E12" s="345">
        <v>7.3732634920634901</v>
      </c>
      <c r="F12" s="363">
        <f t="shared" si="0"/>
        <v>1.4939809081800617</v>
      </c>
      <c r="G12" s="364">
        <f t="shared" si="0"/>
        <v>-0.90359918053366806</v>
      </c>
      <c r="H12" s="362">
        <v>7.3732634920634901</v>
      </c>
      <c r="I12" s="363">
        <f t="shared" si="1"/>
        <v>1.4939809081800617</v>
      </c>
      <c r="J12" s="364">
        <f t="shared" si="1"/>
        <v>-0.90359918053366806</v>
      </c>
      <c r="K12" s="362">
        <v>7.3732634920634901</v>
      </c>
      <c r="L12" s="301"/>
      <c r="M12" s="305">
        <v>37437</v>
      </c>
      <c r="N12" s="345">
        <v>7.3732634920634901</v>
      </c>
      <c r="O12" s="301"/>
      <c r="P12" s="301"/>
      <c r="Q12" s="301"/>
      <c r="R12" s="301"/>
      <c r="S12" s="301"/>
      <c r="T12" s="301"/>
      <c r="U12" s="301"/>
      <c r="V12" s="301"/>
      <c r="W12" s="301"/>
      <c r="X12" s="301"/>
      <c r="Y12" s="301"/>
      <c r="Z12" s="301"/>
    </row>
    <row r="13" spans="1:26" ht="11.25" customHeight="1">
      <c r="A13" s="305">
        <v>37529</v>
      </c>
      <c r="B13" s="307">
        <f>SUM(vanjski_sektor!K10:K13)/1000</f>
        <v>1.1862530092042463</v>
      </c>
      <c r="C13" s="306">
        <f>SUM(vanjski_sektor!S10:S13)/1000</f>
        <v>-1.3332220880355194</v>
      </c>
      <c r="D13" s="306">
        <f>(SUM(vanjski_sektor!T10:T13)-SUM(vanjski_sektor!K10:K13))/1000</f>
        <v>-4.8764064840915875</v>
      </c>
      <c r="E13" s="345">
        <v>7.3652499999999996</v>
      </c>
      <c r="F13" s="363">
        <f t="shared" si="0"/>
        <v>1.1862530092042463</v>
      </c>
      <c r="G13" s="364">
        <f t="shared" si="0"/>
        <v>-1.3332220880355194</v>
      </c>
      <c r="H13" s="362">
        <v>7.3652499999999996</v>
      </c>
      <c r="I13" s="363">
        <f t="shared" si="1"/>
        <v>1.1862530092042463</v>
      </c>
      <c r="J13" s="364">
        <f t="shared" si="1"/>
        <v>-1.3332220880355194</v>
      </c>
      <c r="K13" s="362">
        <v>7.3652499999999996</v>
      </c>
      <c r="L13" s="301"/>
      <c r="M13" s="305">
        <v>37529</v>
      </c>
      <c r="N13" s="345">
        <v>7.3652499999999996</v>
      </c>
      <c r="O13" s="301"/>
      <c r="P13" s="301"/>
      <c r="Q13" s="301"/>
      <c r="R13" s="301"/>
      <c r="S13" s="301"/>
      <c r="T13" s="301"/>
      <c r="U13" s="301"/>
      <c r="V13" s="301"/>
      <c r="W13" s="301"/>
      <c r="X13" s="301"/>
      <c r="Y13" s="301"/>
      <c r="Z13" s="301"/>
    </row>
    <row r="14" spans="1:26" ht="11.25" customHeight="1">
      <c r="A14" s="305">
        <v>37621</v>
      </c>
      <c r="B14" s="307">
        <f>SUM(vanjski_sektor!K11:K14)/1000</f>
        <v>0.74186618808288962</v>
      </c>
      <c r="C14" s="306">
        <f>SUM(vanjski_sektor!S11:S14)/1000</f>
        <v>-1.8077562324782652</v>
      </c>
      <c r="D14" s="306">
        <f>(SUM(vanjski_sektor!T11:T14)-SUM(vanjski_sektor!K11:K14))/1000</f>
        <v>-4.6242185553659523</v>
      </c>
      <c r="E14" s="345">
        <v>7.4461437500000001</v>
      </c>
      <c r="F14" s="363">
        <f t="shared" si="0"/>
        <v>0.74186618808288962</v>
      </c>
      <c r="G14" s="364">
        <f t="shared" si="0"/>
        <v>-1.8077562324782652</v>
      </c>
      <c r="H14" s="362">
        <v>7.4461437500000001</v>
      </c>
      <c r="I14" s="363">
        <f t="shared" si="1"/>
        <v>0.74186618808288962</v>
      </c>
      <c r="J14" s="364">
        <f t="shared" si="1"/>
        <v>-1.8077562324782652</v>
      </c>
      <c r="K14" s="362">
        <v>7.4461437500000001</v>
      </c>
      <c r="L14" s="301"/>
      <c r="M14" s="305">
        <v>37621</v>
      </c>
      <c r="N14" s="345">
        <v>7.4461437500000001</v>
      </c>
      <c r="O14" s="301"/>
      <c r="P14" s="301"/>
      <c r="Q14" s="301"/>
      <c r="R14" s="301"/>
      <c r="S14" s="301"/>
      <c r="T14" s="301"/>
      <c r="U14" s="301"/>
      <c r="V14" s="301"/>
      <c r="W14" s="301"/>
      <c r="X14" s="301"/>
      <c r="Y14" s="301"/>
      <c r="Z14" s="301"/>
    </row>
    <row r="15" spans="1:26" ht="11.25" customHeight="1">
      <c r="A15" s="305">
        <v>37711</v>
      </c>
      <c r="B15" s="307">
        <f>SUM(vanjski_sektor!K12:K15)/1000</f>
        <v>0.67055415725125544</v>
      </c>
      <c r="C15" s="306">
        <f>SUM(vanjski_sektor!S12:S15)/1000</f>
        <v>-1.872499393353513</v>
      </c>
      <c r="D15" s="306">
        <f>(SUM(vanjski_sektor!T12:T15)-SUM(vanjski_sektor!K12:K15))/1000</f>
        <v>-4.8507389499403324</v>
      </c>
      <c r="E15" s="345">
        <v>7.6000079365079403</v>
      </c>
      <c r="F15" s="363">
        <f t="shared" si="0"/>
        <v>0.67055415725125544</v>
      </c>
      <c r="G15" s="364">
        <f t="shared" si="0"/>
        <v>-1.872499393353513</v>
      </c>
      <c r="H15" s="362">
        <v>7.6000079365079403</v>
      </c>
      <c r="I15" s="363">
        <f t="shared" si="1"/>
        <v>0.67055415725125544</v>
      </c>
      <c r="J15" s="364">
        <f t="shared" si="1"/>
        <v>-1.872499393353513</v>
      </c>
      <c r="K15" s="362">
        <v>7.6000079365079403</v>
      </c>
      <c r="L15" s="301"/>
      <c r="M15" s="305">
        <v>37711</v>
      </c>
      <c r="N15" s="345">
        <v>7.6000079365079403</v>
      </c>
      <c r="O15" s="301"/>
      <c r="P15" s="301"/>
      <c r="Q15" s="301"/>
      <c r="R15" s="301"/>
      <c r="S15" s="301"/>
      <c r="T15" s="301"/>
      <c r="U15" s="301"/>
      <c r="V15" s="301"/>
      <c r="W15" s="301"/>
      <c r="X15" s="301"/>
      <c r="Y15" s="301"/>
      <c r="Z15" s="301"/>
    </row>
    <row r="16" spans="1:26" ht="11.25" customHeight="1">
      <c r="A16" s="305">
        <v>37802</v>
      </c>
      <c r="B16" s="307">
        <f>SUM(vanjski_sektor!K13:K16)/1000</f>
        <v>0.62248348055174763</v>
      </c>
      <c r="C16" s="306">
        <f>SUM(vanjski_sektor!S13:S16)/1000</f>
        <v>-2.3385597874807127</v>
      </c>
      <c r="D16" s="306">
        <f>(SUM(vanjski_sektor!T13:T16)-SUM(vanjski_sektor!K13:K16))/1000</f>
        <v>-7.2510832474930451</v>
      </c>
      <c r="E16" s="345">
        <v>7.5381693548387103</v>
      </c>
      <c r="F16" s="363">
        <f t="shared" si="0"/>
        <v>0.62248348055174763</v>
      </c>
      <c r="G16" s="364">
        <f t="shared" si="0"/>
        <v>-2.3385597874807127</v>
      </c>
      <c r="H16" s="362">
        <v>7.5381693548387103</v>
      </c>
      <c r="I16" s="363">
        <f t="shared" si="1"/>
        <v>0.62248348055174763</v>
      </c>
      <c r="J16" s="364">
        <f t="shared" si="1"/>
        <v>-2.3385597874807127</v>
      </c>
      <c r="K16" s="362">
        <v>7.5381693548387103</v>
      </c>
      <c r="L16" s="301"/>
      <c r="M16" s="305">
        <v>37802</v>
      </c>
      <c r="N16" s="345">
        <v>7.5381693548387103</v>
      </c>
      <c r="O16" s="301"/>
      <c r="P16" s="301"/>
      <c r="Q16" s="301"/>
      <c r="R16" s="301"/>
      <c r="S16" s="301"/>
      <c r="T16" s="301"/>
      <c r="U16" s="301"/>
      <c r="V16" s="301"/>
      <c r="W16" s="301"/>
      <c r="X16" s="301"/>
      <c r="Y16" s="301"/>
      <c r="Z16" s="301"/>
    </row>
    <row r="17" spans="1:26" ht="11.25" customHeight="1">
      <c r="A17" s="305">
        <v>37894</v>
      </c>
      <c r="B17" s="307">
        <f>SUM(vanjski_sektor!K14:K17)/1000</f>
        <v>0.7008915698789604</v>
      </c>
      <c r="C17" s="306">
        <f>SUM(vanjski_sektor!S14:S17)/1000</f>
        <v>-2.4125318694700635</v>
      </c>
      <c r="D17" s="306">
        <f>(SUM(vanjski_sektor!T14:T17)-SUM(vanjski_sektor!K14:K17))/1000</f>
        <v>-7.1094844060182192</v>
      </c>
      <c r="E17" s="345">
        <v>7.5080696969696996</v>
      </c>
      <c r="F17" s="363">
        <f t="shared" si="0"/>
        <v>0.7008915698789604</v>
      </c>
      <c r="G17" s="364">
        <f t="shared" si="0"/>
        <v>-2.4125318694700635</v>
      </c>
      <c r="H17" s="362">
        <v>7.5080696969696996</v>
      </c>
      <c r="I17" s="363">
        <f t="shared" si="1"/>
        <v>0.7008915698789604</v>
      </c>
      <c r="J17" s="364">
        <f t="shared" si="1"/>
        <v>-2.4125318694700635</v>
      </c>
      <c r="K17" s="362">
        <v>7.5080696969696996</v>
      </c>
      <c r="L17" s="301"/>
      <c r="M17" s="305">
        <v>37894</v>
      </c>
      <c r="N17" s="345">
        <v>7.5080696969696996</v>
      </c>
      <c r="O17" s="301"/>
      <c r="P17" s="301"/>
      <c r="Q17" s="301"/>
      <c r="R17" s="301"/>
      <c r="S17" s="301"/>
      <c r="T17" s="301"/>
      <c r="U17" s="301"/>
      <c r="V17" s="301"/>
      <c r="W17" s="301"/>
      <c r="X17" s="301"/>
      <c r="Y17" s="301"/>
      <c r="Z17" s="301"/>
    </row>
    <row r="18" spans="1:26" ht="11.25" customHeight="1">
      <c r="A18" s="305">
        <v>37986</v>
      </c>
      <c r="B18" s="307">
        <f>SUM(vanjski_sektor!K15:K18)/1000</f>
        <v>1.2354710240709235</v>
      </c>
      <c r="C18" s="306">
        <f>SUM(vanjski_sektor!S15:S18)/1000</f>
        <v>-2.7857863126715063</v>
      </c>
      <c r="D18" s="306">
        <f>(SUM(vanjski_sektor!T15:T18)-SUM(vanjski_sektor!K15:K18))/1000</f>
        <v>-7.2455485069999455</v>
      </c>
      <c r="E18" s="345">
        <v>7.6302796874999999</v>
      </c>
      <c r="F18" s="363">
        <f t="shared" si="0"/>
        <v>1.2354710240709235</v>
      </c>
      <c r="G18" s="364">
        <f t="shared" si="0"/>
        <v>-2.7857863126715063</v>
      </c>
      <c r="H18" s="362">
        <v>7.6302796874999999</v>
      </c>
      <c r="I18" s="363">
        <f t="shared" si="1"/>
        <v>1.2354710240709235</v>
      </c>
      <c r="J18" s="364">
        <f t="shared" si="1"/>
        <v>-2.7857863126715063</v>
      </c>
      <c r="K18" s="362">
        <v>7.6302796874999999</v>
      </c>
      <c r="L18" s="301"/>
      <c r="M18" s="305">
        <v>37986</v>
      </c>
      <c r="N18" s="345">
        <v>7.6302796874999999</v>
      </c>
      <c r="O18" s="301"/>
      <c r="P18" s="301"/>
      <c r="Q18" s="301"/>
      <c r="R18" s="301"/>
      <c r="S18" s="301"/>
      <c r="T18" s="301"/>
      <c r="U18" s="301"/>
      <c r="V18" s="301"/>
      <c r="W18" s="301"/>
      <c r="X18" s="301"/>
      <c r="Y18" s="301"/>
      <c r="Z18" s="301"/>
    </row>
    <row r="19" spans="1:26" ht="11.25" customHeight="1">
      <c r="A19" s="305">
        <v>38077</v>
      </c>
      <c r="B19" s="307">
        <f>SUM(vanjski_sektor!K16:K19)/1000</f>
        <v>0.63289258238990642</v>
      </c>
      <c r="C19" s="306">
        <f>SUM(vanjski_sektor!S16:S19)/1000</f>
        <v>-3.0223214033437125</v>
      </c>
      <c r="D19" s="306">
        <f>(SUM(vanjski_sektor!T16:T19)-SUM(vanjski_sektor!K16:K19))/1000</f>
        <v>-6.6130075790736971</v>
      </c>
      <c r="E19" s="345">
        <v>7.6052749999999998</v>
      </c>
      <c r="F19" s="363">
        <f t="shared" si="0"/>
        <v>0.63289258238990642</v>
      </c>
      <c r="G19" s="364">
        <f t="shared" si="0"/>
        <v>-3.0223214033437125</v>
      </c>
      <c r="H19" s="362">
        <v>7.6052749999999998</v>
      </c>
      <c r="I19" s="363">
        <f t="shared" si="1"/>
        <v>0.63289258238990642</v>
      </c>
      <c r="J19" s="364">
        <f t="shared" si="1"/>
        <v>-3.0223214033437125</v>
      </c>
      <c r="K19" s="362">
        <v>7.6052749999999998</v>
      </c>
      <c r="L19" s="301"/>
      <c r="M19" s="305">
        <v>38077</v>
      </c>
      <c r="N19" s="345">
        <v>7.6052749999999998</v>
      </c>
      <c r="O19" s="301"/>
      <c r="P19" s="301"/>
      <c r="Q19" s="301"/>
      <c r="R19" s="301"/>
      <c r="S19" s="301"/>
      <c r="T19" s="301"/>
      <c r="U19" s="301"/>
      <c r="V19" s="301"/>
      <c r="W19" s="301"/>
      <c r="X19" s="301"/>
      <c r="Y19" s="301"/>
      <c r="Z19" s="301"/>
    </row>
    <row r="20" spans="1:26" ht="11.25" customHeight="1">
      <c r="A20" s="305">
        <v>38168</v>
      </c>
      <c r="B20" s="307">
        <f>SUM(vanjski_sektor!K17:K20)/1000</f>
        <v>0.5817448602155334</v>
      </c>
      <c r="C20" s="306">
        <f>SUM(vanjski_sektor!S17:S20)/1000</f>
        <v>-2.6006425313105019</v>
      </c>
      <c r="D20" s="306">
        <f>(SUM(vanjski_sektor!T17:T20)-SUM(vanjski_sektor!K17:K20))/1000</f>
        <v>-5.8368146287345404</v>
      </c>
      <c r="E20" s="345">
        <v>7.4340317460317502</v>
      </c>
      <c r="F20" s="363">
        <f t="shared" si="0"/>
        <v>0.5817448602155334</v>
      </c>
      <c r="G20" s="364">
        <f t="shared" si="0"/>
        <v>-2.6006425313105019</v>
      </c>
      <c r="H20" s="362">
        <v>7.4340317460317502</v>
      </c>
      <c r="I20" s="363">
        <f t="shared" si="1"/>
        <v>0.5817448602155334</v>
      </c>
      <c r="J20" s="364">
        <f t="shared" si="1"/>
        <v>-2.6006425313105019</v>
      </c>
      <c r="K20" s="362">
        <v>7.4340317460317502</v>
      </c>
      <c r="L20" s="301"/>
      <c r="M20" s="305">
        <v>38168</v>
      </c>
      <c r="N20" s="345">
        <v>7.4340317460317502</v>
      </c>
      <c r="O20" s="301"/>
      <c r="P20" s="301"/>
      <c r="Q20" s="301"/>
      <c r="R20" s="301"/>
      <c r="S20" s="301"/>
      <c r="T20" s="301"/>
      <c r="U20" s="301"/>
      <c r="V20" s="301"/>
      <c r="W20" s="301"/>
      <c r="X20" s="301"/>
      <c r="Y20" s="301"/>
      <c r="Z20" s="301"/>
    </row>
    <row r="21" spans="1:26" ht="11.25" customHeight="1">
      <c r="A21" s="305">
        <v>38260</v>
      </c>
      <c r="B21" s="307">
        <f>SUM(vanjski_sektor!K18:K21)/1000</f>
        <v>0.42030870240975721</v>
      </c>
      <c r="C21" s="306">
        <f>SUM(vanjski_sektor!S18:S21)/1000</f>
        <v>-2.2597435264446828</v>
      </c>
      <c r="D21" s="306">
        <f>(SUM(vanjski_sektor!T18:T21)-SUM(vanjski_sektor!K18:K21))/1000</f>
        <v>-5.5856139112655674</v>
      </c>
      <c r="E21" s="345">
        <v>7.3949560606060603</v>
      </c>
      <c r="F21" s="363">
        <f t="shared" si="0"/>
        <v>0.42030870240975721</v>
      </c>
      <c r="G21" s="364">
        <f t="shared" si="0"/>
        <v>-2.2597435264446828</v>
      </c>
      <c r="H21" s="362">
        <v>7.3949560606060603</v>
      </c>
      <c r="I21" s="363">
        <f t="shared" si="1"/>
        <v>0.42030870240975721</v>
      </c>
      <c r="J21" s="364">
        <f t="shared" si="1"/>
        <v>-2.2597435264446828</v>
      </c>
      <c r="K21" s="362">
        <v>7.3949560606060603</v>
      </c>
      <c r="L21" s="301"/>
      <c r="M21" s="305">
        <v>38260</v>
      </c>
      <c r="N21" s="345">
        <v>7.3949560606060603</v>
      </c>
      <c r="O21" s="301"/>
      <c r="P21" s="301"/>
      <c r="Q21" s="301"/>
      <c r="R21" s="301"/>
      <c r="S21" s="301"/>
      <c r="T21" s="301"/>
      <c r="U21" s="301"/>
      <c r="V21" s="301"/>
      <c r="W21" s="301"/>
      <c r="X21" s="301"/>
      <c r="Y21" s="301"/>
      <c r="Z21" s="301"/>
    </row>
    <row r="22" spans="1:26" ht="11.25" customHeight="1">
      <c r="A22" s="305">
        <v>38352</v>
      </c>
      <c r="B22" s="307">
        <f>SUM(vanjski_sektor!K19:K22)/1000</f>
        <v>4.3033827075195742E-2</v>
      </c>
      <c r="C22" s="306">
        <f>SUM(vanjski_sektor!S19:S22)/1000</f>
        <v>-2.0052392405654542</v>
      </c>
      <c r="D22" s="306">
        <f>(SUM(vanjski_sektor!T19:T22)-SUM(vanjski_sektor!K19:K22))/1000</f>
        <v>-5.2741496585915852</v>
      </c>
      <c r="E22" s="345">
        <v>7.55282424242424</v>
      </c>
      <c r="F22" s="363">
        <f t="shared" si="0"/>
        <v>4.3033827075195742E-2</v>
      </c>
      <c r="G22" s="364">
        <f t="shared" si="0"/>
        <v>-2.0052392405654542</v>
      </c>
      <c r="H22" s="362">
        <v>7.55282424242424</v>
      </c>
      <c r="I22" s="363">
        <f t="shared" si="1"/>
        <v>4.3033827075195742E-2</v>
      </c>
      <c r="J22" s="364">
        <f t="shared" si="1"/>
        <v>-2.0052392405654542</v>
      </c>
      <c r="K22" s="362">
        <v>7.55282424242424</v>
      </c>
      <c r="L22" s="301"/>
      <c r="M22" s="305">
        <v>38352</v>
      </c>
      <c r="N22" s="345">
        <v>7.55282424242424</v>
      </c>
      <c r="O22" s="301"/>
      <c r="P22" s="301"/>
      <c r="Q22" s="301"/>
      <c r="R22" s="301"/>
      <c r="S22" s="301"/>
      <c r="T22" s="301"/>
      <c r="U22" s="301"/>
      <c r="V22" s="301"/>
      <c r="W22" s="301"/>
      <c r="X22" s="301"/>
      <c r="Y22" s="301"/>
      <c r="Z22" s="301"/>
    </row>
    <row r="23" spans="1:26" ht="11.25" customHeight="1">
      <c r="A23" s="305">
        <v>38442</v>
      </c>
      <c r="B23" s="307">
        <f>SUM(vanjski_sektor!K20:K23)/1000</f>
        <v>0.65276711277459487</v>
      </c>
      <c r="C23" s="306">
        <f>SUM(vanjski_sektor!S20:S23)/1000</f>
        <v>-2.1573231349883173</v>
      </c>
      <c r="D23" s="306">
        <f>(SUM(vanjski_sektor!T20:T23)-SUM(vanjski_sektor!K20:K23))/1000</f>
        <v>-6.1174015855270278</v>
      </c>
      <c r="E23" s="345">
        <v>7.5080822580645101</v>
      </c>
      <c r="F23" s="363">
        <f t="shared" si="0"/>
        <v>0.65276711277459487</v>
      </c>
      <c r="G23" s="364">
        <f t="shared" si="0"/>
        <v>-2.1573231349883173</v>
      </c>
      <c r="H23" s="362">
        <v>7.5080822580645101</v>
      </c>
      <c r="I23" s="363">
        <f t="shared" si="1"/>
        <v>0.65276711277459487</v>
      </c>
      <c r="J23" s="364">
        <f t="shared" si="1"/>
        <v>-2.1573231349883173</v>
      </c>
      <c r="K23" s="362">
        <v>7.5080822580645101</v>
      </c>
      <c r="L23" s="301"/>
      <c r="M23" s="305">
        <v>38442</v>
      </c>
      <c r="N23" s="345">
        <v>7.5080822580645101</v>
      </c>
      <c r="O23" s="301"/>
      <c r="P23" s="301"/>
      <c r="Q23" s="301"/>
      <c r="R23" s="301"/>
      <c r="S23" s="301"/>
      <c r="T23" s="301"/>
      <c r="U23" s="301"/>
      <c r="V23" s="301"/>
      <c r="W23" s="301"/>
      <c r="X23" s="301"/>
      <c r="Y23" s="301"/>
      <c r="Z23" s="301"/>
    </row>
    <row r="24" spans="1:26" ht="11.25" customHeight="1">
      <c r="A24" s="305">
        <v>38533</v>
      </c>
      <c r="B24" s="307">
        <f>SUM(vanjski_sektor!K21:K24)/1000</f>
        <v>0.73245210931552807</v>
      </c>
      <c r="C24" s="306">
        <f>SUM(vanjski_sektor!S21:S24)/1000</f>
        <v>-2.4767454624114431</v>
      </c>
      <c r="D24" s="306">
        <f>(SUM(vanjski_sektor!T21:T24)-SUM(vanjski_sektor!K21:K24))/1000</f>
        <v>-6.5300944696119325</v>
      </c>
      <c r="E24" s="345">
        <v>7.3442646153846098</v>
      </c>
      <c r="F24" s="363">
        <f t="shared" si="0"/>
        <v>0.73245210931552807</v>
      </c>
      <c r="G24" s="364">
        <f t="shared" si="0"/>
        <v>-2.4767454624114431</v>
      </c>
      <c r="H24" s="362">
        <v>7.3442646153846098</v>
      </c>
      <c r="I24" s="363">
        <f t="shared" si="1"/>
        <v>0.73245210931552807</v>
      </c>
      <c r="J24" s="364">
        <f t="shared" si="1"/>
        <v>-2.4767454624114431</v>
      </c>
      <c r="K24" s="362">
        <v>7.3442646153846098</v>
      </c>
      <c r="L24" s="301"/>
      <c r="M24" s="305">
        <v>38533</v>
      </c>
      <c r="N24" s="345">
        <v>7.3442646153846098</v>
      </c>
      <c r="O24" s="301"/>
      <c r="P24" s="301"/>
      <c r="Q24" s="301"/>
      <c r="R24" s="301"/>
      <c r="S24" s="301"/>
      <c r="T24" s="301"/>
      <c r="U24" s="301"/>
      <c r="V24" s="301"/>
      <c r="W24" s="301"/>
      <c r="X24" s="301"/>
      <c r="Y24" s="301"/>
      <c r="Z24" s="301"/>
    </row>
    <row r="25" spans="1:26" ht="11.25" customHeight="1">
      <c r="A25" s="305">
        <v>38625</v>
      </c>
      <c r="B25" s="307">
        <f>SUM(vanjski_sektor!K22:K25)/1000</f>
        <v>0.57626136574141062</v>
      </c>
      <c r="C25" s="306">
        <f>SUM(vanjski_sektor!S22:S25)/1000</f>
        <v>-2.3805422209392288</v>
      </c>
      <c r="D25" s="306">
        <f>(SUM(vanjski_sektor!T22:T25)-SUM(vanjski_sektor!K22:K25))/1000</f>
        <v>-6.0655275885177407</v>
      </c>
      <c r="E25" s="345">
        <v>7.37284393939394</v>
      </c>
      <c r="F25" s="363">
        <f t="shared" si="0"/>
        <v>0.57626136574141062</v>
      </c>
      <c r="G25" s="364">
        <f t="shared" si="0"/>
        <v>-2.3805422209392288</v>
      </c>
      <c r="H25" s="362">
        <v>7.37284393939394</v>
      </c>
      <c r="I25" s="363">
        <f t="shared" si="1"/>
        <v>0.57626136574141062</v>
      </c>
      <c r="J25" s="364">
        <f t="shared" si="1"/>
        <v>-2.3805422209392288</v>
      </c>
      <c r="K25" s="362">
        <v>7.37284393939394</v>
      </c>
      <c r="L25" s="301"/>
      <c r="M25" s="305">
        <v>38625</v>
      </c>
      <c r="N25" s="345">
        <v>7.37284393939394</v>
      </c>
      <c r="O25" s="301"/>
      <c r="P25" s="301"/>
      <c r="Q25" s="301"/>
      <c r="R25" s="301"/>
      <c r="S25" s="301"/>
      <c r="T25" s="301"/>
      <c r="U25" s="301"/>
      <c r="V25" s="301"/>
      <c r="W25" s="301"/>
      <c r="X25" s="301"/>
      <c r="Y25" s="301"/>
      <c r="Z25" s="301"/>
    </row>
    <row r="26" spans="1:26" ht="11.25" customHeight="1">
      <c r="A26" s="305">
        <v>38717</v>
      </c>
      <c r="B26" s="307">
        <f>SUM(vanjski_sektor!K23:K26)/1000</f>
        <v>0.82181006774759069</v>
      </c>
      <c r="C26" s="306">
        <f>SUM(vanjski_sektor!S23:S26)/1000</f>
        <v>-2.6422774076092574</v>
      </c>
      <c r="D26" s="306">
        <f>(SUM(vanjski_sektor!T23:T26)-SUM(vanjski_sektor!K23:K26))/1000</f>
        <v>-7.2217151410857463</v>
      </c>
      <c r="E26" s="345">
        <v>7.3831015625000003</v>
      </c>
      <c r="F26" s="363">
        <f t="shared" si="0"/>
        <v>0.82181006774759069</v>
      </c>
      <c r="G26" s="364">
        <f t="shared" si="0"/>
        <v>-2.6422774076092574</v>
      </c>
      <c r="H26" s="362">
        <v>7.3831015625000003</v>
      </c>
      <c r="I26" s="363">
        <f t="shared" si="1"/>
        <v>0.82181006774759069</v>
      </c>
      <c r="J26" s="364">
        <f t="shared" si="1"/>
        <v>-2.6422774076092574</v>
      </c>
      <c r="K26" s="362">
        <v>7.3831015625000003</v>
      </c>
      <c r="L26" s="301"/>
      <c r="M26" s="305">
        <v>38717</v>
      </c>
      <c r="N26" s="345">
        <v>7.3831015625000003</v>
      </c>
      <c r="O26" s="301"/>
      <c r="P26" s="301"/>
      <c r="Q26" s="301"/>
      <c r="R26" s="301"/>
      <c r="S26" s="301"/>
      <c r="T26" s="301"/>
      <c r="U26" s="301"/>
      <c r="V26" s="301"/>
      <c r="W26" s="301"/>
      <c r="X26" s="301"/>
      <c r="Y26" s="301"/>
      <c r="Z26" s="301"/>
    </row>
    <row r="27" spans="1:26" ht="11.25" customHeight="1">
      <c r="A27" s="305">
        <v>38807</v>
      </c>
      <c r="B27" s="307">
        <f>SUM(vanjski_sektor!K24:K27)/1000</f>
        <v>1.3062872386471627</v>
      </c>
      <c r="C27" s="306">
        <f>SUM(vanjski_sektor!S24:S27)/1000</f>
        <v>-3.1198621359245817</v>
      </c>
      <c r="D27" s="306">
        <f>(SUM(vanjski_sektor!T24:T27)-SUM(vanjski_sektor!K24:K27))/1000</f>
        <v>-8.5884224286230815</v>
      </c>
      <c r="E27" s="345">
        <v>7.3426307692307704</v>
      </c>
      <c r="F27" s="363">
        <f t="shared" si="0"/>
        <v>1.3062872386471627</v>
      </c>
      <c r="G27" s="364">
        <f t="shared" si="0"/>
        <v>-3.1198621359245817</v>
      </c>
      <c r="H27" s="362">
        <v>7.3426307692307704</v>
      </c>
      <c r="I27" s="363">
        <f t="shared" si="1"/>
        <v>1.3062872386471627</v>
      </c>
      <c r="J27" s="364">
        <f t="shared" si="1"/>
        <v>-3.1198621359245817</v>
      </c>
      <c r="K27" s="362">
        <v>7.3426307692307704</v>
      </c>
      <c r="L27" s="301"/>
      <c r="M27" s="305">
        <v>38807</v>
      </c>
      <c r="N27" s="345">
        <v>7.3426307692307704</v>
      </c>
      <c r="O27" s="301"/>
      <c r="P27" s="301"/>
      <c r="Q27" s="301"/>
      <c r="R27" s="301"/>
      <c r="S27" s="301"/>
      <c r="T27" s="301"/>
      <c r="U27" s="301"/>
      <c r="V27" s="301"/>
      <c r="W27" s="301"/>
      <c r="X27" s="301"/>
      <c r="Y27" s="301"/>
      <c r="Z27" s="301"/>
    </row>
    <row r="28" spans="1:26" ht="11.25" customHeight="1">
      <c r="A28" s="305">
        <v>38898</v>
      </c>
      <c r="B28" s="307">
        <f>SUM(vanjski_sektor!K25:K28)/1000</f>
        <v>1.7210848997892827</v>
      </c>
      <c r="C28" s="306">
        <f>SUM(vanjski_sektor!S25:S28)/1000</f>
        <v>-3.2687589911713504</v>
      </c>
      <c r="D28" s="306">
        <f>(SUM(vanjski_sektor!T25:T28)-SUM(vanjski_sektor!K25:K28))/1000</f>
        <v>-9.7361478694634709</v>
      </c>
      <c r="E28" s="345">
        <v>7.2786096774193503</v>
      </c>
      <c r="F28" s="363">
        <f t="shared" si="0"/>
        <v>1.7210848997892827</v>
      </c>
      <c r="G28" s="364">
        <f t="shared" si="0"/>
        <v>-3.2687589911713504</v>
      </c>
      <c r="H28" s="362">
        <v>7.2786096774193503</v>
      </c>
      <c r="I28" s="363">
        <f t="shared" si="1"/>
        <v>1.7210848997892827</v>
      </c>
      <c r="J28" s="364">
        <f t="shared" si="1"/>
        <v>-3.2687589911713504</v>
      </c>
      <c r="K28" s="362">
        <v>7.2786096774193503</v>
      </c>
      <c r="L28" s="301"/>
      <c r="M28" s="305">
        <v>38898</v>
      </c>
      <c r="N28" s="345">
        <v>7.2786096774193503</v>
      </c>
      <c r="O28" s="301"/>
      <c r="P28" s="301"/>
      <c r="Q28" s="301"/>
      <c r="R28" s="301"/>
      <c r="S28" s="301"/>
      <c r="T28" s="301"/>
      <c r="U28" s="301"/>
      <c r="V28" s="301"/>
      <c r="W28" s="301"/>
      <c r="X28" s="301"/>
      <c r="Y28" s="301"/>
      <c r="Z28" s="301"/>
    </row>
    <row r="29" spans="1:26" ht="11.25" customHeight="1">
      <c r="A29" s="305">
        <v>38990</v>
      </c>
      <c r="B29" s="307">
        <f>SUM(vanjski_sektor!K26:K29)/1000</f>
        <v>1.1922462351050542</v>
      </c>
      <c r="C29" s="306">
        <f>SUM(vanjski_sektor!S26:S29)/1000</f>
        <v>-3.146920535527487</v>
      </c>
      <c r="D29" s="306">
        <f>(SUM(vanjski_sektor!T26:T29)-SUM(vanjski_sektor!K26:K29))/1000</f>
        <v>-9.6183015706824797</v>
      </c>
      <c r="E29" s="345">
        <v>7.3108815384615404</v>
      </c>
      <c r="F29" s="363">
        <f t="shared" si="0"/>
        <v>1.1922462351050542</v>
      </c>
      <c r="G29" s="364">
        <f t="shared" si="0"/>
        <v>-3.146920535527487</v>
      </c>
      <c r="H29" s="362">
        <v>7.3108815384615404</v>
      </c>
      <c r="I29" s="363">
        <f t="shared" si="1"/>
        <v>1.1922462351050542</v>
      </c>
      <c r="J29" s="364">
        <f t="shared" si="1"/>
        <v>-3.146920535527487</v>
      </c>
      <c r="K29" s="362">
        <v>7.3108815384615404</v>
      </c>
      <c r="L29" s="301"/>
      <c r="M29" s="305">
        <v>38990</v>
      </c>
      <c r="N29" s="345">
        <v>7.3108815384615404</v>
      </c>
      <c r="O29" s="301"/>
      <c r="P29" s="301"/>
      <c r="Q29" s="301"/>
      <c r="R29" s="301"/>
      <c r="S29" s="301"/>
      <c r="T29" s="301"/>
      <c r="U29" s="301"/>
      <c r="V29" s="301"/>
      <c r="W29" s="301"/>
      <c r="X29" s="301"/>
      <c r="Y29" s="301"/>
      <c r="Z29" s="301"/>
    </row>
    <row r="30" spans="1:26" ht="11.25" customHeight="1">
      <c r="A30" s="305">
        <v>39082</v>
      </c>
      <c r="B30" s="307">
        <f>SUM(vanjski_sektor!K27:K30)/1000</f>
        <v>1.4122303304319748</v>
      </c>
      <c r="C30" s="306">
        <f>SUM(vanjski_sektor!S27:S30)/1000</f>
        <v>-3.1316488574129355</v>
      </c>
      <c r="D30" s="306">
        <f>(SUM(vanjski_sektor!T27:T30)-SUM(vanjski_sektor!K27:K30))/1000</f>
        <v>-9.3283970899816442</v>
      </c>
      <c r="E30" s="345">
        <v>7.3657238095238098</v>
      </c>
      <c r="F30" s="363">
        <f t="shared" si="0"/>
        <v>1.4122303304319748</v>
      </c>
      <c r="G30" s="364">
        <f t="shared" si="0"/>
        <v>-3.1316488574129355</v>
      </c>
      <c r="H30" s="362">
        <v>7.3657238095238098</v>
      </c>
      <c r="I30" s="363">
        <f t="shared" si="1"/>
        <v>1.4122303304319748</v>
      </c>
      <c r="J30" s="364">
        <f t="shared" si="1"/>
        <v>-3.1316488574129355</v>
      </c>
      <c r="K30" s="362">
        <v>7.3657238095238098</v>
      </c>
      <c r="L30" s="301"/>
      <c r="M30" s="305">
        <v>39082</v>
      </c>
      <c r="N30" s="345">
        <v>7.3657238095238098</v>
      </c>
      <c r="O30" s="301"/>
      <c r="P30" s="301"/>
      <c r="Q30" s="301"/>
      <c r="R30" s="301"/>
      <c r="S30" s="301"/>
      <c r="T30" s="301"/>
      <c r="U30" s="301"/>
      <c r="V30" s="301"/>
      <c r="W30" s="301"/>
      <c r="X30" s="301"/>
      <c r="Y30" s="301"/>
      <c r="Z30" s="301"/>
    </row>
    <row r="31" spans="1:26" ht="11.25" customHeight="1">
      <c r="A31" s="305">
        <v>39172</v>
      </c>
      <c r="B31" s="307">
        <f>SUM(vanjski_sektor!K28:K31)/1000</f>
        <v>1.5478132552727135</v>
      </c>
      <c r="C31" s="306">
        <f>SUM(vanjski_sektor!S28:S31)/1000</f>
        <v>-3.2242631909668473</v>
      </c>
      <c r="D31" s="306">
        <f>(SUM(vanjski_sektor!T28:T31)-SUM(vanjski_sektor!K28:K31))/1000</f>
        <v>-9.9485527153220126</v>
      </c>
      <c r="E31" s="345">
        <v>7.3656078125000004</v>
      </c>
      <c r="F31" s="363">
        <f t="shared" si="0"/>
        <v>1.5478132552727135</v>
      </c>
      <c r="G31" s="364">
        <f t="shared" si="0"/>
        <v>-3.2242631909668473</v>
      </c>
      <c r="H31" s="362">
        <v>7.3656078125000004</v>
      </c>
      <c r="I31" s="363">
        <f t="shared" si="1"/>
        <v>1.5478132552727135</v>
      </c>
      <c r="J31" s="364">
        <f t="shared" si="1"/>
        <v>-3.2242631909668473</v>
      </c>
      <c r="K31" s="362">
        <v>7.3656078125000004</v>
      </c>
      <c r="L31" s="301"/>
      <c r="M31" s="305">
        <v>39172</v>
      </c>
      <c r="N31" s="345">
        <v>7.3656078125000004</v>
      </c>
      <c r="O31" s="301"/>
      <c r="P31" s="301"/>
      <c r="Q31" s="301"/>
      <c r="R31" s="301"/>
      <c r="S31" s="301"/>
      <c r="T31" s="301"/>
      <c r="U31" s="301"/>
      <c r="V31" s="301"/>
      <c r="W31" s="301"/>
      <c r="X31" s="301"/>
      <c r="Y31" s="301"/>
      <c r="Z31" s="301"/>
    </row>
    <row r="32" spans="1:26" ht="11.25" customHeight="1">
      <c r="A32" s="305">
        <v>39263</v>
      </c>
      <c r="B32" s="307">
        <f>SUM(vanjski_sektor!K29:K32)/1000</f>
        <v>0.51476567897705328</v>
      </c>
      <c r="C32" s="306">
        <f>SUM(vanjski_sektor!S29:S32)/1000</f>
        <v>-3.2749520068921947</v>
      </c>
      <c r="D32" s="306">
        <f>(SUM(vanjski_sektor!T29:T32)-SUM(vanjski_sektor!K29:K32))/1000</f>
        <v>-8.7689298840950407</v>
      </c>
      <c r="E32" s="345">
        <v>7.3493854838709698</v>
      </c>
      <c r="F32" s="363">
        <f t="shared" si="0"/>
        <v>0.51476567897705328</v>
      </c>
      <c r="G32" s="364">
        <f t="shared" si="0"/>
        <v>-3.2749520068921947</v>
      </c>
      <c r="H32" s="362">
        <v>7.3493854838709698</v>
      </c>
      <c r="I32" s="363">
        <f t="shared" si="1"/>
        <v>0.51476567897705328</v>
      </c>
      <c r="J32" s="364">
        <f t="shared" si="1"/>
        <v>-3.2749520068921947</v>
      </c>
      <c r="K32" s="362">
        <v>7.3493854838709698</v>
      </c>
      <c r="L32" s="301"/>
      <c r="M32" s="305">
        <v>39263</v>
      </c>
      <c r="N32" s="345">
        <v>7.3493854838709698</v>
      </c>
      <c r="O32" s="301"/>
      <c r="P32" s="301"/>
      <c r="Q32" s="301"/>
      <c r="R32" s="301"/>
      <c r="S32" s="301"/>
      <c r="T32" s="301"/>
      <c r="U32" s="301"/>
      <c r="V32" s="301"/>
      <c r="W32" s="301"/>
      <c r="X32" s="301"/>
      <c r="Y32" s="301"/>
      <c r="Z32" s="301"/>
    </row>
    <row r="33" spans="1:26" ht="11.25" customHeight="1">
      <c r="A33" s="305">
        <v>39355</v>
      </c>
      <c r="B33" s="307">
        <f>SUM(vanjski_sektor!K30:K33)/1000</f>
        <v>0.80071888759359422</v>
      </c>
      <c r="C33" s="306">
        <f>SUM(vanjski_sektor!S30:S33)/1000</f>
        <v>-3.0414669217701378</v>
      </c>
      <c r="D33" s="306">
        <f>(SUM(vanjski_sektor!T30:T33)-SUM(vanjski_sektor!K30:K33))/1000</f>
        <v>-8.7913392842786706</v>
      </c>
      <c r="E33" s="345">
        <v>7.3080123076923096</v>
      </c>
      <c r="F33" s="363">
        <f t="shared" si="0"/>
        <v>0.80071888759359422</v>
      </c>
      <c r="G33" s="364">
        <f t="shared" si="0"/>
        <v>-3.0414669217701378</v>
      </c>
      <c r="H33" s="362">
        <v>7.3080123076923096</v>
      </c>
      <c r="I33" s="363">
        <f t="shared" si="1"/>
        <v>0.80071888759359422</v>
      </c>
      <c r="J33" s="364">
        <f t="shared" si="1"/>
        <v>-3.0414669217701378</v>
      </c>
      <c r="K33" s="362">
        <v>7.3080123076923096</v>
      </c>
      <c r="L33" s="301"/>
      <c r="M33" s="305">
        <v>39355</v>
      </c>
      <c r="N33" s="345">
        <v>7.3080123076923096</v>
      </c>
      <c r="O33" s="301"/>
      <c r="P33" s="301"/>
      <c r="Q33" s="301"/>
      <c r="R33" s="301"/>
      <c r="S33" s="301"/>
      <c r="T33" s="301"/>
      <c r="U33" s="301"/>
      <c r="V33" s="301"/>
      <c r="W33" s="301"/>
      <c r="X33" s="301"/>
      <c r="Y33" s="301"/>
      <c r="Z33" s="301"/>
    </row>
    <row r="34" spans="1:26" ht="11.25" customHeight="1">
      <c r="A34" s="305">
        <v>39447</v>
      </c>
      <c r="B34" s="307">
        <f>SUM(vanjski_sektor!K31:K34)/1000</f>
        <v>0.72161587208356071</v>
      </c>
      <c r="C34" s="306">
        <f>SUM(vanjski_sektor!S31:S34)/1000</f>
        <v>-3.4358957236502428</v>
      </c>
      <c r="D34" s="306">
        <f>(SUM(vanjski_sektor!T31:T34)-SUM(vanjski_sektor!K31:K34))/1000</f>
        <v>-9.5060434475985431</v>
      </c>
      <c r="E34" s="345">
        <v>7.3280609375000001</v>
      </c>
      <c r="F34" s="363">
        <f t="shared" si="0"/>
        <v>0.72161587208356071</v>
      </c>
      <c r="G34" s="364">
        <f t="shared" si="0"/>
        <v>-3.4358957236502428</v>
      </c>
      <c r="H34" s="362">
        <v>7.3280609375000001</v>
      </c>
      <c r="I34" s="363">
        <f t="shared" si="1"/>
        <v>0.72161587208356071</v>
      </c>
      <c r="J34" s="364">
        <f t="shared" si="1"/>
        <v>-3.4358957236502428</v>
      </c>
      <c r="K34" s="362">
        <v>7.3280609375000001</v>
      </c>
      <c r="L34" s="301"/>
      <c r="M34" s="305">
        <v>39447</v>
      </c>
      <c r="N34" s="345">
        <v>7.3280609375000001</v>
      </c>
      <c r="O34" s="301"/>
      <c r="P34" s="301"/>
      <c r="Q34" s="301"/>
      <c r="R34" s="301"/>
      <c r="S34" s="301"/>
      <c r="T34" s="301"/>
      <c r="U34" s="301"/>
      <c r="V34" s="301"/>
      <c r="W34" s="301"/>
      <c r="X34" s="301"/>
      <c r="Y34" s="301"/>
      <c r="Z34" s="301"/>
    </row>
    <row r="35" spans="1:26" ht="11.25" customHeight="1">
      <c r="A35" s="305">
        <v>39538</v>
      </c>
      <c r="B35" s="307">
        <f>SUM(vanjski_sektor!K32:K35)/1000</f>
        <v>0.60940991598461947</v>
      </c>
      <c r="C35" s="306">
        <f>SUM(vanjski_sektor!S32:S35)/1000</f>
        <v>-3.9334096161409464</v>
      </c>
      <c r="D35" s="306">
        <f>(SUM(vanjski_sektor!T32:T35)-SUM(vanjski_sektor!K32:K35))/1000</f>
        <v>-10.72447488476443</v>
      </c>
      <c r="E35" s="345">
        <v>7.28522580645161</v>
      </c>
      <c r="F35" s="363">
        <f t="shared" si="0"/>
        <v>0.60940991598461947</v>
      </c>
      <c r="G35" s="364">
        <f t="shared" si="0"/>
        <v>-3.9334096161409464</v>
      </c>
      <c r="H35" s="362">
        <v>7.28522580645161</v>
      </c>
      <c r="I35" s="363">
        <f t="shared" si="1"/>
        <v>0.60940991598461947</v>
      </c>
      <c r="J35" s="364">
        <f t="shared" si="1"/>
        <v>-3.9334096161409464</v>
      </c>
      <c r="K35" s="362">
        <v>7.28522580645161</v>
      </c>
      <c r="L35" s="301"/>
      <c r="M35" s="305">
        <v>39538</v>
      </c>
      <c r="N35" s="345">
        <v>7.28522580645161</v>
      </c>
      <c r="O35" s="301"/>
      <c r="P35" s="301"/>
      <c r="Q35" s="301"/>
      <c r="R35" s="301"/>
      <c r="S35" s="301"/>
      <c r="T35" s="301"/>
      <c r="U35" s="301"/>
      <c r="V35" s="301"/>
      <c r="W35" s="301"/>
      <c r="X35" s="301"/>
      <c r="Y35" s="301"/>
      <c r="Z35" s="301"/>
    </row>
    <row r="36" spans="1:26" ht="11.25" customHeight="1">
      <c r="A36" s="305">
        <v>39629</v>
      </c>
      <c r="B36" s="307">
        <f>SUM(vanjski_sektor!K33:K36)/1000</f>
        <v>1.0410291218448331</v>
      </c>
      <c r="C36" s="306">
        <f>SUM(vanjski_sektor!S33:S36)/1000</f>
        <v>-4.623398074649125</v>
      </c>
      <c r="D36" s="306">
        <f>(SUM(vanjski_sektor!T33:T36)-SUM(vanjski_sektor!K33:K36))/1000</f>
        <v>-11.469186543171855</v>
      </c>
      <c r="E36" s="345">
        <v>7.2555593749999998</v>
      </c>
      <c r="F36" s="363">
        <f t="shared" si="0"/>
        <v>1.0410291218448331</v>
      </c>
      <c r="G36" s="364">
        <f t="shared" si="0"/>
        <v>-4.623398074649125</v>
      </c>
      <c r="H36" s="362">
        <v>7.2555593749999998</v>
      </c>
      <c r="I36" s="363">
        <f t="shared" si="1"/>
        <v>1.0410291218448331</v>
      </c>
      <c r="J36" s="364">
        <f t="shared" si="1"/>
        <v>-4.623398074649125</v>
      </c>
      <c r="K36" s="362">
        <v>7.2555593749999998</v>
      </c>
      <c r="L36" s="301"/>
      <c r="M36" s="305">
        <v>39629</v>
      </c>
      <c r="N36" s="345">
        <v>7.2555593749999998</v>
      </c>
      <c r="O36" s="301"/>
      <c r="P36" s="301"/>
      <c r="Q36" s="301"/>
      <c r="R36" s="301"/>
      <c r="S36" s="301"/>
      <c r="T36" s="301"/>
      <c r="U36" s="301"/>
      <c r="V36" s="301"/>
      <c r="W36" s="301"/>
      <c r="X36" s="301"/>
      <c r="Y36" s="301"/>
      <c r="Z36" s="301"/>
    </row>
    <row r="37" spans="1:26" ht="11.25" customHeight="1">
      <c r="A37" s="305">
        <v>39721</v>
      </c>
      <c r="B37" s="307">
        <f>SUM(vanjski_sektor!K34:K37)/1000</f>
        <v>0.9684827549057633</v>
      </c>
      <c r="C37" s="306">
        <f>SUM(vanjski_sektor!S34:S37)/1000</f>
        <v>-5.0238718512875407</v>
      </c>
      <c r="D37" s="306">
        <f>(SUM(vanjski_sektor!T34:T37)-SUM(vanjski_sektor!K34:K37))/1000</f>
        <v>-11.811372953585725</v>
      </c>
      <c r="E37" s="345">
        <v>7.1827287878787898</v>
      </c>
      <c r="F37" s="363">
        <f t="shared" si="0"/>
        <v>0.9684827549057633</v>
      </c>
      <c r="G37" s="364">
        <f t="shared" si="0"/>
        <v>-5.0238718512875407</v>
      </c>
      <c r="H37" s="362">
        <v>7.1827287878787898</v>
      </c>
      <c r="I37" s="363">
        <f t="shared" si="1"/>
        <v>0.9684827549057633</v>
      </c>
      <c r="J37" s="364">
        <f t="shared" si="1"/>
        <v>-5.0238718512875407</v>
      </c>
      <c r="K37" s="362">
        <v>7.1827287878787898</v>
      </c>
      <c r="L37" s="301"/>
      <c r="M37" s="305">
        <v>39721</v>
      </c>
      <c r="N37" s="345">
        <v>7.1827287878787898</v>
      </c>
      <c r="O37" s="301"/>
      <c r="P37" s="301"/>
      <c r="Q37" s="301"/>
      <c r="R37" s="301"/>
      <c r="S37" s="301"/>
      <c r="T37" s="301"/>
      <c r="U37" s="301"/>
      <c r="V37" s="301"/>
      <c r="W37" s="301"/>
      <c r="X37" s="301"/>
      <c r="Y37" s="301"/>
      <c r="Z37" s="301"/>
    </row>
    <row r="38" spans="1:26" ht="11.25" customHeight="1">
      <c r="A38" s="305">
        <v>39813</v>
      </c>
      <c r="B38" s="307">
        <f>SUM(vanjski_sektor!K35:K38)/1000</f>
        <v>-0.33040216344660861</v>
      </c>
      <c r="C38" s="306">
        <f>SUM(vanjski_sektor!S35:S38)/1000</f>
        <v>-5.047520526699854</v>
      </c>
      <c r="D38" s="306">
        <f>(SUM(vanjski_sektor!T35:T38)-SUM(vanjski_sektor!K35:K38))/1000</f>
        <v>-11.886624525215336</v>
      </c>
      <c r="E38" s="345">
        <v>7.1752453125000004</v>
      </c>
      <c r="F38" s="363">
        <f t="shared" si="0"/>
        <v>-0.33040216344660861</v>
      </c>
      <c r="G38" s="364">
        <f t="shared" si="0"/>
        <v>-5.047520526699854</v>
      </c>
      <c r="H38" s="362">
        <v>7.1752453125000004</v>
      </c>
      <c r="I38" s="363">
        <f t="shared" si="1"/>
        <v>-0.33040216344660861</v>
      </c>
      <c r="J38" s="364">
        <f t="shared" si="1"/>
        <v>-5.047520526699854</v>
      </c>
      <c r="K38" s="362">
        <v>7.1752453125000004</v>
      </c>
      <c r="L38" s="301"/>
      <c r="M38" s="305">
        <v>39813</v>
      </c>
      <c r="N38" s="345">
        <v>7.1752453125000004</v>
      </c>
      <c r="O38" s="301"/>
      <c r="P38" s="301"/>
      <c r="Q38" s="301"/>
      <c r="R38" s="301"/>
      <c r="S38" s="301"/>
      <c r="T38" s="301"/>
      <c r="U38" s="301"/>
      <c r="V38" s="301"/>
      <c r="W38" s="301"/>
      <c r="X38" s="301"/>
      <c r="Y38" s="301"/>
      <c r="Z38" s="301"/>
    </row>
    <row r="39" spans="1:26" ht="11.25" customHeight="1">
      <c r="A39" s="305">
        <v>39903</v>
      </c>
      <c r="B39" s="307">
        <f>SUM(vanjski_sektor!K36:K39)/1000</f>
        <v>-1.4370106404671743</v>
      </c>
      <c r="C39" s="306">
        <f>SUM(vanjski_sektor!S36:S39)/1000</f>
        <v>-4.4050955539078052</v>
      </c>
      <c r="D39" s="306">
        <f>(SUM(vanjski_sektor!T36:T39)-SUM(vanjski_sektor!K36:K39))/1000</f>
        <v>-9.3776578899886331</v>
      </c>
      <c r="E39" s="345">
        <v>7.4115761904761897</v>
      </c>
      <c r="F39" s="363">
        <f t="shared" si="0"/>
        <v>-1.4370106404671743</v>
      </c>
      <c r="G39" s="364">
        <f t="shared" si="0"/>
        <v>-4.4050955539078052</v>
      </c>
      <c r="H39" s="362">
        <v>7.4115761904761897</v>
      </c>
      <c r="I39" s="363">
        <f t="shared" si="1"/>
        <v>-1.4370106404671743</v>
      </c>
      <c r="J39" s="364">
        <f t="shared" si="1"/>
        <v>-4.4050955539078052</v>
      </c>
      <c r="K39" s="362">
        <v>7.4115761904761897</v>
      </c>
      <c r="L39" s="301"/>
      <c r="M39" s="305">
        <v>39903</v>
      </c>
      <c r="N39" s="345">
        <v>7.4115761904761897</v>
      </c>
      <c r="O39" s="301"/>
      <c r="P39" s="301"/>
      <c r="Q39" s="301"/>
      <c r="R39" s="301"/>
      <c r="S39" s="301"/>
      <c r="T39" s="301"/>
      <c r="U39" s="301"/>
      <c r="V39" s="301"/>
      <c r="W39" s="301"/>
      <c r="X39" s="301"/>
      <c r="Y39" s="301"/>
      <c r="Z39" s="301"/>
    </row>
    <row r="40" spans="1:26" ht="11.25" customHeight="1">
      <c r="A40" s="305">
        <v>39994</v>
      </c>
      <c r="B40" s="307">
        <f>SUM(vanjski_sektor!K37:K40)/1000</f>
        <v>-1.201455264418857</v>
      </c>
      <c r="C40" s="306">
        <f>SUM(vanjski_sektor!S37:S40)/1000</f>
        <v>-3.4141494328604822</v>
      </c>
      <c r="D40" s="306">
        <f>(SUM(vanjski_sektor!T37:T40)-SUM(vanjski_sektor!K37:K40))/1000</f>
        <v>-7.7791534823573656</v>
      </c>
      <c r="E40" s="345">
        <v>7.3527758064516098</v>
      </c>
      <c r="F40" s="363">
        <f t="shared" si="0"/>
        <v>-1.201455264418857</v>
      </c>
      <c r="G40" s="364">
        <f t="shared" si="0"/>
        <v>-3.4141494328604822</v>
      </c>
      <c r="H40" s="362">
        <v>7.3527758064516098</v>
      </c>
      <c r="I40" s="363">
        <f t="shared" si="1"/>
        <v>-1.201455264418857</v>
      </c>
      <c r="J40" s="364">
        <f t="shared" si="1"/>
        <v>-3.4141494328604822</v>
      </c>
      <c r="K40" s="362">
        <v>7.3527758064516098</v>
      </c>
      <c r="L40" s="301"/>
      <c r="M40" s="305">
        <v>39994</v>
      </c>
      <c r="N40" s="345">
        <v>7.3527758064516098</v>
      </c>
      <c r="O40" s="301"/>
      <c r="P40" s="301"/>
      <c r="Q40" s="301"/>
      <c r="R40" s="301"/>
      <c r="S40" s="301"/>
      <c r="T40" s="301"/>
      <c r="U40" s="301"/>
      <c r="V40" s="301"/>
      <c r="W40" s="301"/>
      <c r="X40" s="301"/>
      <c r="Y40" s="301"/>
      <c r="Z40" s="301"/>
    </row>
    <row r="41" spans="1:26" ht="11.25" customHeight="1">
      <c r="A41" s="305">
        <v>40086</v>
      </c>
      <c r="B41" s="307">
        <f>SUM(vanjski_sektor!K38:K41)/1000</f>
        <v>-0.51383931671223082</v>
      </c>
      <c r="C41" s="306">
        <f>SUM(vanjski_sektor!S38:S41)/1000</f>
        <v>-3.2831322868029429</v>
      </c>
      <c r="D41" s="306">
        <f>(SUM(vanjski_sektor!T38:T41)-SUM(vanjski_sektor!K38:K41))/1000</f>
        <v>-7.5177285351271239</v>
      </c>
      <c r="E41" s="345">
        <v>7.3232196969696997</v>
      </c>
      <c r="F41" s="363">
        <f t="shared" si="0"/>
        <v>-0.51383931671223082</v>
      </c>
      <c r="G41" s="364">
        <f t="shared" si="0"/>
        <v>-3.2831322868029429</v>
      </c>
      <c r="H41" s="362">
        <v>7.3232196969696997</v>
      </c>
      <c r="I41" s="363">
        <f t="shared" si="1"/>
        <v>-0.51383931671223082</v>
      </c>
      <c r="J41" s="364">
        <f t="shared" si="1"/>
        <v>-3.2831322868029429</v>
      </c>
      <c r="K41" s="362">
        <v>7.3232196969696997</v>
      </c>
      <c r="L41" s="301"/>
      <c r="M41" s="305">
        <v>40086</v>
      </c>
      <c r="N41" s="345">
        <v>7.3232196969696997</v>
      </c>
      <c r="O41" s="301"/>
      <c r="P41" s="301"/>
      <c r="Q41" s="301"/>
      <c r="R41" s="301"/>
      <c r="S41" s="301"/>
      <c r="T41" s="301"/>
      <c r="U41" s="301"/>
      <c r="V41" s="301"/>
      <c r="W41" s="301"/>
      <c r="X41" s="301"/>
      <c r="Y41" s="301"/>
      <c r="Z41" s="301"/>
    </row>
    <row r="42" spans="1:26" ht="11.25" customHeight="1">
      <c r="A42" s="305">
        <v>40178</v>
      </c>
      <c r="B42" s="307">
        <f>SUM(vanjski_sektor!K39:K42)/1000</f>
        <v>1.2282211305437178</v>
      </c>
      <c r="C42" s="306">
        <f>SUM(vanjski_sektor!S39:S42)/1000</f>
        <v>-2.9588230560751678</v>
      </c>
      <c r="D42" s="306">
        <f>(SUM(vanjski_sektor!T39:T42)-SUM(vanjski_sektor!K39:K42))/1000</f>
        <v>-7.2450940119177076</v>
      </c>
      <c r="E42" s="345">
        <v>7.2755984615384603</v>
      </c>
      <c r="F42" s="363">
        <f t="shared" si="0"/>
        <v>1.2282211305437178</v>
      </c>
      <c r="G42" s="364">
        <f t="shared" si="0"/>
        <v>-2.9588230560751678</v>
      </c>
      <c r="H42" s="362">
        <v>7.2755984615384603</v>
      </c>
      <c r="I42" s="363">
        <f t="shared" si="1"/>
        <v>1.2282211305437178</v>
      </c>
      <c r="J42" s="364">
        <f t="shared" si="1"/>
        <v>-2.9588230560751678</v>
      </c>
      <c r="K42" s="362">
        <v>7.2755984615384603</v>
      </c>
      <c r="L42" s="301"/>
      <c r="M42" s="305">
        <v>40178</v>
      </c>
      <c r="N42" s="345">
        <v>7.2755984615384603</v>
      </c>
      <c r="O42" s="301"/>
      <c r="P42" s="301"/>
      <c r="Q42" s="301"/>
      <c r="R42" s="301"/>
      <c r="S42" s="301"/>
      <c r="T42" s="301"/>
      <c r="U42" s="301"/>
      <c r="V42" s="301"/>
      <c r="W42" s="301"/>
      <c r="X42" s="301"/>
      <c r="Y42" s="301"/>
      <c r="Z42" s="301"/>
    </row>
    <row r="43" spans="1:26" ht="11.25" customHeight="1">
      <c r="A43" s="305">
        <v>40268</v>
      </c>
      <c r="B43" s="307">
        <f>SUM(vanjski_sektor!K40:K43)/1000</f>
        <v>1.1107590629306265</v>
      </c>
      <c r="C43" s="306">
        <f>SUM(vanjski_sektor!S40:S43)/1000</f>
        <v>-2.5214538959323938</v>
      </c>
      <c r="D43" s="306">
        <f>(SUM(vanjski_sektor!T40:T43)-SUM(vanjski_sektor!K40:K43))/1000</f>
        <v>-4.8277036270945697</v>
      </c>
      <c r="E43" s="345">
        <v>7.2849380952380898</v>
      </c>
      <c r="F43" s="363">
        <f t="shared" si="0"/>
        <v>1.1107590629306265</v>
      </c>
      <c r="G43" s="364">
        <f t="shared" si="0"/>
        <v>-2.5214538959323938</v>
      </c>
      <c r="H43" s="362">
        <v>7.2849380952380898</v>
      </c>
      <c r="I43" s="363">
        <f t="shared" si="1"/>
        <v>1.1107590629306265</v>
      </c>
      <c r="J43" s="364">
        <f t="shared" si="1"/>
        <v>-2.5214538959323938</v>
      </c>
      <c r="K43" s="362">
        <v>7.2849380952380898</v>
      </c>
      <c r="L43" s="301"/>
      <c r="M43" s="305">
        <v>40268</v>
      </c>
      <c r="N43" s="345">
        <v>7.2849380952380898</v>
      </c>
      <c r="O43" s="301"/>
      <c r="P43" s="301"/>
      <c r="Q43" s="301"/>
      <c r="R43" s="301"/>
      <c r="S43" s="301"/>
      <c r="T43" s="301"/>
      <c r="U43" s="301"/>
      <c r="V43" s="301"/>
      <c r="W43" s="301"/>
      <c r="X43" s="301"/>
      <c r="Y43" s="301"/>
      <c r="Z43" s="301"/>
    </row>
    <row r="44" spans="1:26" ht="11.25" customHeight="1">
      <c r="A44" s="305">
        <v>40359</v>
      </c>
      <c r="B44" s="307">
        <f>SUM(vanjski_sektor!K41:K44)/1000</f>
        <v>0.85253652175502148</v>
      </c>
      <c r="C44" s="306">
        <f>SUM(vanjski_sektor!S41:S44)/1000</f>
        <v>-1.6728034977328006</v>
      </c>
      <c r="D44" s="306">
        <f>(SUM(vanjski_sektor!T41:T44)-SUM(vanjski_sektor!K41:K44))/1000</f>
        <v>-2.7913597356819495</v>
      </c>
      <c r="E44" s="345">
        <v>7.2477174603174603</v>
      </c>
      <c r="F44" s="363">
        <f t="shared" si="0"/>
        <v>0.85253652175502148</v>
      </c>
      <c r="G44" s="364">
        <f t="shared" si="0"/>
        <v>-1.6728034977328006</v>
      </c>
      <c r="H44" s="362">
        <v>7.2477174603174603</v>
      </c>
      <c r="I44" s="363">
        <f t="shared" si="1"/>
        <v>0.85253652175502148</v>
      </c>
      <c r="J44" s="364">
        <f t="shared" si="1"/>
        <v>-1.6728034977328006</v>
      </c>
      <c r="K44" s="362">
        <v>7.2477174603174603</v>
      </c>
      <c r="L44" s="301"/>
      <c r="M44" s="305">
        <v>40359</v>
      </c>
      <c r="N44" s="345">
        <v>7.2477174603174603</v>
      </c>
      <c r="O44" s="301"/>
      <c r="P44" s="301"/>
      <c r="Q44" s="301"/>
      <c r="R44" s="301"/>
      <c r="S44" s="301"/>
      <c r="T44" s="301"/>
      <c r="U44" s="301"/>
      <c r="V44" s="301"/>
      <c r="W44" s="301"/>
      <c r="X44" s="301"/>
      <c r="Y44" s="301"/>
      <c r="Z44" s="301"/>
    </row>
    <row r="45" spans="1:26" ht="11.25" customHeight="1">
      <c r="A45" s="305">
        <v>40451</v>
      </c>
      <c r="B45" s="307">
        <f>SUM(vanjski_sektor!K42:K45)/1000</f>
        <v>1.684340436478899</v>
      </c>
      <c r="C45" s="306">
        <f>SUM(vanjski_sektor!S42:S45)/1000</f>
        <v>-1.432624522207544</v>
      </c>
      <c r="D45" s="306">
        <f>(SUM(vanjski_sektor!T42:T45)-SUM(vanjski_sektor!K42:K45))/1000</f>
        <v>-2.8765322065621222</v>
      </c>
      <c r="E45" s="345">
        <v>7.2532106060606001</v>
      </c>
      <c r="F45" s="363">
        <f t="shared" si="0"/>
        <v>1.684340436478899</v>
      </c>
      <c r="G45" s="364">
        <f t="shared" si="0"/>
        <v>-1.432624522207544</v>
      </c>
      <c r="H45" s="362">
        <v>7.2532106060606001</v>
      </c>
      <c r="I45" s="363">
        <f t="shared" si="1"/>
        <v>1.684340436478899</v>
      </c>
      <c r="J45" s="364">
        <f t="shared" si="1"/>
        <v>-1.432624522207544</v>
      </c>
      <c r="K45" s="362">
        <v>7.2532106060606001</v>
      </c>
      <c r="L45" s="301"/>
      <c r="M45" s="305">
        <v>40451</v>
      </c>
      <c r="N45" s="345">
        <v>7.2532106060606001</v>
      </c>
      <c r="O45" s="301"/>
      <c r="P45" s="301"/>
      <c r="Q45" s="301"/>
      <c r="R45" s="301"/>
      <c r="S45" s="301"/>
      <c r="T45" s="301"/>
      <c r="U45" s="301"/>
      <c r="V45" s="301"/>
      <c r="W45" s="301"/>
      <c r="X45" s="301"/>
      <c r="Y45" s="301"/>
      <c r="Z45" s="301"/>
    </row>
    <row r="46" spans="1:26" ht="11.25" customHeight="1">
      <c r="A46" s="305">
        <v>40543</v>
      </c>
      <c r="B46" s="307">
        <f>SUM(vanjski_sektor!K43:K46)/1000</f>
        <v>0.10678998076057099</v>
      </c>
      <c r="C46" s="306">
        <f>SUM(vanjski_sektor!S43:S46)/1000</f>
        <v>-0.97351535056872718</v>
      </c>
      <c r="D46" s="306">
        <f>(SUM(vanjski_sektor!T43:T46)-SUM(vanjski_sektor!K43:K46))/1000</f>
        <v>-1.7560316685615425</v>
      </c>
      <c r="E46" s="345">
        <v>7.3682878787878803</v>
      </c>
      <c r="F46" s="363">
        <f t="shared" si="0"/>
        <v>0.10678998076057099</v>
      </c>
      <c r="G46" s="364">
        <f t="shared" si="0"/>
        <v>-0.97351535056872718</v>
      </c>
      <c r="H46" s="362">
        <v>7.3682878787878803</v>
      </c>
      <c r="I46" s="363">
        <f t="shared" si="1"/>
        <v>0.10678998076057099</v>
      </c>
      <c r="J46" s="364">
        <f t="shared" si="1"/>
        <v>-0.97351535056872718</v>
      </c>
      <c r="K46" s="362">
        <v>7.3682878787878803</v>
      </c>
      <c r="L46" s="301"/>
      <c r="M46" s="305">
        <v>40543</v>
      </c>
      <c r="N46" s="345">
        <v>7.3682878787878803</v>
      </c>
      <c r="O46" s="301"/>
      <c r="P46" s="301"/>
      <c r="Q46" s="301"/>
      <c r="R46" s="301"/>
      <c r="S46" s="301"/>
      <c r="T46" s="301"/>
      <c r="U46" s="301"/>
      <c r="V46" s="301"/>
      <c r="W46" s="301"/>
      <c r="X46" s="301"/>
      <c r="Y46" s="301"/>
      <c r="Z46" s="301"/>
    </row>
    <row r="47" spans="1:26" ht="11.25" customHeight="1">
      <c r="A47" s="305">
        <v>40633</v>
      </c>
      <c r="B47" s="307">
        <f>SUM(vanjski_sektor!K44:K47)/1000</f>
        <v>1.5489049778886488</v>
      </c>
      <c r="C47" s="306">
        <f>SUM(vanjski_sektor!S44:S47)/1000</f>
        <v>-1.185355389734486</v>
      </c>
      <c r="D47" s="306">
        <f>(SUM(vanjski_sektor!T44:T47)-SUM(vanjski_sektor!K44:K47))/1000</f>
        <v>-4.5359291588020749</v>
      </c>
      <c r="E47" s="345">
        <v>7.4018390624999997</v>
      </c>
      <c r="F47" s="363">
        <f t="shared" si="0"/>
        <v>1.5489049778886488</v>
      </c>
      <c r="G47" s="364">
        <f t="shared" si="0"/>
        <v>-1.185355389734486</v>
      </c>
      <c r="H47" s="362">
        <v>7.4018390624999997</v>
      </c>
      <c r="I47" s="363">
        <f t="shared" si="1"/>
        <v>1.5489049778886488</v>
      </c>
      <c r="J47" s="364">
        <f t="shared" si="1"/>
        <v>-1.185355389734486</v>
      </c>
      <c r="K47" s="362">
        <v>7.4018390624999997</v>
      </c>
      <c r="L47" s="301"/>
      <c r="M47" s="305">
        <v>40633</v>
      </c>
      <c r="N47" s="345">
        <v>7.4018390624999997</v>
      </c>
      <c r="O47" s="301"/>
      <c r="P47" s="301"/>
      <c r="Q47" s="301"/>
      <c r="R47" s="301"/>
      <c r="S47" s="301"/>
      <c r="T47" s="301"/>
      <c r="U47" s="301"/>
      <c r="V47" s="301"/>
      <c r="W47" s="301"/>
      <c r="X47" s="301"/>
      <c r="Y47" s="301"/>
      <c r="Z47" s="301"/>
    </row>
    <row r="48" spans="1:26" ht="11.25" customHeight="1">
      <c r="A48" s="305">
        <v>40724</v>
      </c>
      <c r="B48" s="307">
        <f>SUM(vanjski_sektor!K45:K48)/1000</f>
        <v>1.5241392843860273</v>
      </c>
      <c r="C48" s="306">
        <f>SUM(vanjski_sektor!S45:S48)/1000</f>
        <v>-1.4258620778895961</v>
      </c>
      <c r="D48" s="306">
        <f>(SUM(vanjski_sektor!T45:T48)-SUM(vanjski_sektor!K45:K48))/1000</f>
        <v>-5.1162510892559938</v>
      </c>
      <c r="E48" s="345">
        <v>7.3931682539682502</v>
      </c>
      <c r="F48" s="363">
        <f t="shared" si="0"/>
        <v>1.5241392843860273</v>
      </c>
      <c r="G48" s="364">
        <f t="shared" si="0"/>
        <v>-1.4258620778895961</v>
      </c>
      <c r="H48" s="362">
        <v>7.3931682539682502</v>
      </c>
      <c r="I48" s="363">
        <f t="shared" si="1"/>
        <v>1.5241392843860273</v>
      </c>
      <c r="J48" s="364">
        <f t="shared" si="1"/>
        <v>-1.4258620778895961</v>
      </c>
      <c r="K48" s="362">
        <v>7.3931682539682502</v>
      </c>
      <c r="L48" s="301"/>
      <c r="M48" s="305">
        <v>40724</v>
      </c>
      <c r="N48" s="345">
        <v>7.3931682539682502</v>
      </c>
      <c r="O48" s="301"/>
      <c r="P48" s="301"/>
      <c r="Q48" s="301"/>
      <c r="R48" s="301"/>
      <c r="S48" s="301"/>
      <c r="T48" s="301"/>
      <c r="U48" s="301"/>
      <c r="V48" s="301"/>
      <c r="W48" s="301"/>
      <c r="X48" s="301"/>
      <c r="Y48" s="301"/>
      <c r="Z48" s="301"/>
    </row>
    <row r="49" spans="1:26" ht="11.25" customHeight="1">
      <c r="A49" s="305">
        <v>40816</v>
      </c>
      <c r="B49" s="307">
        <f>SUM(vanjski_sektor!K46:K49)/1000</f>
        <v>0.15357645675743559</v>
      </c>
      <c r="C49" s="306">
        <f>SUM(vanjski_sektor!S46:S49)/1000</f>
        <v>-0.93730078049493615</v>
      </c>
      <c r="D49" s="306">
        <f>(SUM(vanjski_sektor!T46:T49)-SUM(vanjski_sektor!K46:K49))/1000</f>
        <v>-2.9732020540232948</v>
      </c>
      <c r="E49" s="345">
        <v>7.4628621212121198</v>
      </c>
      <c r="F49" s="363">
        <f t="shared" si="0"/>
        <v>0.15357645675743559</v>
      </c>
      <c r="G49" s="364">
        <f t="shared" si="0"/>
        <v>-0.93730078049493615</v>
      </c>
      <c r="H49" s="362">
        <v>7.4628621212121198</v>
      </c>
      <c r="I49" s="363">
        <f t="shared" si="1"/>
        <v>0.15357645675743559</v>
      </c>
      <c r="J49" s="364">
        <f t="shared" si="1"/>
        <v>-0.93730078049493615</v>
      </c>
      <c r="K49" s="362">
        <v>7.4628621212121198</v>
      </c>
      <c r="L49" s="301"/>
      <c r="M49" s="305">
        <v>40816</v>
      </c>
      <c r="N49" s="345">
        <v>7.4628621212121198</v>
      </c>
      <c r="O49" s="301"/>
      <c r="P49" s="301"/>
      <c r="Q49" s="301"/>
      <c r="R49" s="301"/>
      <c r="S49" s="301"/>
      <c r="T49" s="301"/>
      <c r="U49" s="301"/>
      <c r="V49" s="301"/>
      <c r="W49" s="301"/>
      <c r="X49" s="301"/>
      <c r="Y49" s="301"/>
      <c r="Z49" s="301"/>
    </row>
    <row r="50" spans="1:26" ht="11.25" customHeight="1">
      <c r="A50" s="305">
        <v>40908</v>
      </c>
      <c r="B50" s="307">
        <f>SUM(vanjski_sektor!K47:K50)/1000</f>
        <v>0.4624148303860407</v>
      </c>
      <c r="C50" s="306">
        <f>SUM(vanjski_sektor!S47:S50)/1000</f>
        <v>-0.79946727392246297</v>
      </c>
      <c r="D50" s="306">
        <f>(SUM(vanjski_sektor!T47:T50)-SUM(vanjski_sektor!K47:K50))/1000</f>
        <v>-2.7514948538824675</v>
      </c>
      <c r="E50" s="345">
        <v>7.49684375</v>
      </c>
      <c r="F50" s="363">
        <f t="shared" si="0"/>
        <v>0.4624148303860407</v>
      </c>
      <c r="G50" s="364">
        <f t="shared" si="0"/>
        <v>-0.79946727392246297</v>
      </c>
      <c r="H50" s="362">
        <v>7.49684375</v>
      </c>
      <c r="I50" s="363">
        <f t="shared" si="1"/>
        <v>0.4624148303860407</v>
      </c>
      <c r="J50" s="364">
        <f t="shared" si="1"/>
        <v>-0.79946727392246297</v>
      </c>
      <c r="K50" s="362">
        <v>7.49684375</v>
      </c>
      <c r="L50" s="301"/>
      <c r="M50" s="305">
        <v>40908</v>
      </c>
      <c r="N50" s="345">
        <v>7.49684375</v>
      </c>
      <c r="O50" s="301"/>
      <c r="P50" s="301"/>
      <c r="Q50" s="301"/>
      <c r="R50" s="301"/>
      <c r="S50" s="301"/>
      <c r="T50" s="301"/>
      <c r="U50" s="301"/>
      <c r="V50" s="301"/>
      <c r="W50" s="301"/>
      <c r="X50" s="301"/>
      <c r="Y50" s="301"/>
      <c r="Z50" s="301"/>
    </row>
    <row r="51" spans="1:26" ht="11.25" customHeight="1">
      <c r="A51" s="305">
        <v>40999</v>
      </c>
      <c r="B51" s="307">
        <f>SUM(vanjski_sektor!K48:K51)/1000</f>
        <v>-0.22891224530877102</v>
      </c>
      <c r="C51" s="306">
        <f>SUM(vanjski_sektor!S48:S51)/1000</f>
        <v>-0.87414834791025353</v>
      </c>
      <c r="D51" s="306">
        <f>(SUM(vanjski_sektor!T48:T51)-SUM(vanjski_sektor!K48:K51))/1000</f>
        <v>-1.9957322050635782</v>
      </c>
      <c r="E51" s="345">
        <v>7.5568384615384598</v>
      </c>
      <c r="F51" s="363">
        <f t="shared" si="0"/>
        <v>-0.22891224530877102</v>
      </c>
      <c r="G51" s="364">
        <f t="shared" si="0"/>
        <v>-0.87414834791025353</v>
      </c>
      <c r="H51" s="362">
        <v>7.5568384615384598</v>
      </c>
      <c r="I51" s="363">
        <f t="shared" si="1"/>
        <v>-0.22891224530877102</v>
      </c>
      <c r="J51" s="364">
        <f t="shared" si="1"/>
        <v>-0.87414834791025353</v>
      </c>
      <c r="K51" s="362">
        <v>7.5568384615384598</v>
      </c>
      <c r="L51" s="301"/>
      <c r="M51" s="305">
        <v>40999</v>
      </c>
      <c r="N51" s="345">
        <v>7.5568384615384598</v>
      </c>
      <c r="O51" s="301"/>
      <c r="P51" s="301"/>
      <c r="Q51" s="301"/>
      <c r="R51" s="301"/>
      <c r="S51" s="301"/>
      <c r="T51" s="301"/>
      <c r="U51" s="301"/>
      <c r="V51" s="301"/>
      <c r="W51" s="301"/>
      <c r="X51" s="301"/>
      <c r="Y51" s="301"/>
      <c r="Z51" s="301"/>
    </row>
    <row r="52" spans="1:26" ht="11.25" customHeight="1">
      <c r="A52" s="305">
        <v>41090</v>
      </c>
      <c r="B52" s="307">
        <f>SUM(vanjski_sektor!K49:K52)/1000</f>
        <v>-0.1684898283282722</v>
      </c>
      <c r="C52" s="306">
        <f>SUM(vanjski_sektor!S49:S52)/1000</f>
        <v>-0.98522746399552941</v>
      </c>
      <c r="D52" s="306">
        <f>(SUM(vanjski_sektor!T49:T52)-SUM(vanjski_sektor!K49:K52))/1000</f>
        <v>-1.6424445664661109</v>
      </c>
      <c r="E52" s="345">
        <v>7.5280370967741899</v>
      </c>
      <c r="F52" s="363">
        <f t="shared" si="0"/>
        <v>-0.1684898283282722</v>
      </c>
      <c r="G52" s="364">
        <f t="shared" si="0"/>
        <v>-0.98522746399552941</v>
      </c>
      <c r="H52" s="362">
        <v>7.5280370967741899</v>
      </c>
      <c r="I52" s="363">
        <f t="shared" si="1"/>
        <v>-0.1684898283282722</v>
      </c>
      <c r="J52" s="364">
        <f t="shared" si="1"/>
        <v>-0.98522746399552941</v>
      </c>
      <c r="K52" s="362">
        <v>7.5280370967741899</v>
      </c>
      <c r="L52" s="301"/>
      <c r="M52" s="305">
        <v>41090</v>
      </c>
      <c r="N52" s="345">
        <v>7.5280370967741899</v>
      </c>
      <c r="O52" s="301"/>
      <c r="P52" s="301"/>
      <c r="Q52" s="301"/>
      <c r="R52" s="301"/>
      <c r="S52" s="301"/>
      <c r="T52" s="301"/>
      <c r="U52" s="301"/>
      <c r="V52" s="301"/>
      <c r="W52" s="301"/>
      <c r="X52" s="301"/>
      <c r="Y52" s="301"/>
      <c r="Z52" s="301"/>
    </row>
    <row r="53" spans="1:26" ht="11.25" customHeight="1">
      <c r="A53" s="305">
        <v>41182</v>
      </c>
      <c r="B53" s="307">
        <f>SUM(vanjski_sektor!K50:K53)/1000</f>
        <v>-0.11864989309790855</v>
      </c>
      <c r="C53" s="306">
        <f>SUM(vanjski_sektor!S50:S53)/1000</f>
        <v>-0.97907349597071602</v>
      </c>
      <c r="D53" s="306">
        <f>(SUM(vanjski_sektor!T50:T53)-SUM(vanjski_sektor!K50:K53))/1000</f>
        <v>-0.84017443258003843</v>
      </c>
      <c r="E53" s="345">
        <v>7.4731861538461501</v>
      </c>
      <c r="F53" s="363">
        <f t="shared" si="0"/>
        <v>-0.11864989309790855</v>
      </c>
      <c r="G53" s="364">
        <f t="shared" si="0"/>
        <v>-0.97907349597071602</v>
      </c>
      <c r="H53" s="362">
        <v>7.4731861538461501</v>
      </c>
      <c r="I53" s="363">
        <f t="shared" si="1"/>
        <v>-0.11864989309790855</v>
      </c>
      <c r="J53" s="364">
        <f t="shared" si="1"/>
        <v>-0.97907349597071602</v>
      </c>
      <c r="K53" s="362">
        <v>7.4731861538461501</v>
      </c>
      <c r="L53" s="301"/>
      <c r="M53" s="305">
        <v>41182</v>
      </c>
      <c r="N53" s="345">
        <v>7.4731861538461501</v>
      </c>
      <c r="O53" s="301"/>
      <c r="P53" s="301"/>
      <c r="Q53" s="301"/>
      <c r="R53" s="301"/>
      <c r="S53" s="301"/>
      <c r="T53" s="301"/>
      <c r="U53" s="301"/>
      <c r="V53" s="301"/>
      <c r="W53" s="301"/>
      <c r="X53" s="301"/>
      <c r="Y53" s="301"/>
      <c r="Z53" s="301"/>
    </row>
    <row r="54" spans="1:26" ht="11.25" customHeight="1">
      <c r="A54" s="305">
        <v>41274</v>
      </c>
      <c r="B54" s="307">
        <f>SUM(vanjski_sektor!K51:K54)/1000</f>
        <v>4.5809949937272491E-2</v>
      </c>
      <c r="C54" s="306">
        <f>SUM(vanjski_sektor!S51:S54)/1000</f>
        <v>-0.78890830419244407</v>
      </c>
      <c r="D54" s="306">
        <f>(SUM(vanjski_sektor!T51:T54)-SUM(vanjski_sektor!K51:K54))/1000</f>
        <v>-0.35957053670663397</v>
      </c>
      <c r="E54" s="345">
        <v>7.5290296874999996</v>
      </c>
      <c r="F54" s="363">
        <f t="shared" si="0"/>
        <v>4.5809949937272491E-2</v>
      </c>
      <c r="G54" s="364">
        <f t="shared" si="0"/>
        <v>-0.78890830419244407</v>
      </c>
      <c r="H54" s="362">
        <v>7.5290296874999996</v>
      </c>
      <c r="I54" s="363">
        <f t="shared" si="1"/>
        <v>4.5809949937272491E-2</v>
      </c>
      <c r="J54" s="364">
        <f t="shared" si="1"/>
        <v>-0.78890830419244407</v>
      </c>
      <c r="K54" s="362">
        <v>7.5290296874999996</v>
      </c>
      <c r="L54" s="301"/>
      <c r="M54" s="305">
        <v>41274</v>
      </c>
      <c r="N54" s="345">
        <v>7.5290296874999996</v>
      </c>
      <c r="O54" s="301"/>
      <c r="P54" s="301"/>
      <c r="Q54" s="301"/>
      <c r="R54" s="301"/>
      <c r="S54" s="301"/>
      <c r="T54" s="301"/>
      <c r="U54" s="301"/>
      <c r="V54" s="301"/>
      <c r="W54" s="301"/>
      <c r="X54" s="301"/>
      <c r="Y54" s="301"/>
      <c r="Z54" s="301"/>
    </row>
    <row r="55" spans="1:26" ht="11.25" customHeight="1">
      <c r="A55" s="305">
        <v>41364</v>
      </c>
      <c r="B55" s="307">
        <f>SUM(vanjski_sektor!K52:K55)/1000</f>
        <v>-0.21546156237945574</v>
      </c>
      <c r="C55" s="306">
        <f>SUM(vanjski_sektor!S52:S55)/1000</f>
        <v>-0.50649217793039225</v>
      </c>
      <c r="D55" s="306">
        <f>(SUM(vanjski_sektor!T52:T55)-SUM(vanjski_sektor!K52:K55))/1000</f>
        <v>0.27970311766179523</v>
      </c>
      <c r="E55" s="345">
        <v>7.5837870967742003</v>
      </c>
      <c r="F55" s="363">
        <f t="shared" si="0"/>
        <v>-0.21546156237945574</v>
      </c>
      <c r="G55" s="364">
        <f t="shared" si="0"/>
        <v>-0.50649217793039225</v>
      </c>
      <c r="H55" s="362">
        <v>7.5837870967742003</v>
      </c>
      <c r="I55" s="363">
        <f t="shared" si="1"/>
        <v>-0.21546156237945574</v>
      </c>
      <c r="J55" s="364">
        <f t="shared" si="1"/>
        <v>-0.50649217793039225</v>
      </c>
      <c r="K55" s="362">
        <v>7.5837870967742003</v>
      </c>
      <c r="L55" s="301"/>
      <c r="M55" s="305">
        <v>41364</v>
      </c>
      <c r="N55" s="345">
        <v>7.5837870967742003</v>
      </c>
      <c r="O55" s="301"/>
      <c r="P55" s="301"/>
      <c r="Q55" s="301"/>
      <c r="R55" s="301"/>
      <c r="S55" s="301"/>
      <c r="T55" s="301"/>
      <c r="U55" s="301"/>
      <c r="V55" s="301"/>
      <c r="W55" s="301"/>
      <c r="X55" s="301"/>
      <c r="Y55" s="301"/>
      <c r="Z55" s="301"/>
    </row>
    <row r="56" spans="1:26" ht="11.25" customHeight="1">
      <c r="A56" s="305">
        <v>41455</v>
      </c>
      <c r="B56" s="307">
        <f>SUM(vanjski_sektor!K53:K56)/1000</f>
        <v>0.4800136714224616</v>
      </c>
      <c r="C56" s="306">
        <f>SUM(vanjski_sektor!S53:S56)/1000</f>
        <v>-0.49487145528783638</v>
      </c>
      <c r="D56" s="306">
        <f>(SUM(vanjski_sektor!T53:T56)-SUM(vanjski_sektor!K53:K56))/1000</f>
        <v>-1.2706505087951099</v>
      </c>
      <c r="E56" s="345">
        <v>7.5566111111111098</v>
      </c>
      <c r="F56" s="363">
        <f t="shared" si="0"/>
        <v>0.4800136714224616</v>
      </c>
      <c r="G56" s="364">
        <f t="shared" si="0"/>
        <v>-0.49487145528783638</v>
      </c>
      <c r="H56" s="362">
        <v>7.5566111111111098</v>
      </c>
      <c r="I56" s="363">
        <f t="shared" si="1"/>
        <v>0.4800136714224616</v>
      </c>
      <c r="J56" s="364">
        <f t="shared" si="1"/>
        <v>-0.49487145528783638</v>
      </c>
      <c r="K56" s="362">
        <v>7.5566111111111098</v>
      </c>
      <c r="L56" s="301"/>
      <c r="M56" s="305">
        <v>41455</v>
      </c>
      <c r="N56" s="345">
        <v>7.5566111111111098</v>
      </c>
      <c r="O56" s="301"/>
      <c r="P56" s="301"/>
      <c r="Q56" s="301"/>
      <c r="R56" s="301"/>
      <c r="S56" s="301"/>
      <c r="T56" s="301"/>
      <c r="U56" s="301"/>
      <c r="V56" s="301"/>
      <c r="W56" s="301"/>
      <c r="X56" s="301"/>
      <c r="Y56" s="301"/>
      <c r="Z56" s="301"/>
    </row>
    <row r="57" spans="1:26" ht="11.25" customHeight="1">
      <c r="A57" s="305">
        <v>41547</v>
      </c>
      <c r="B57" s="307">
        <f>SUM(vanjski_sektor!K54:K57)/1000</f>
        <v>0.47917864384892628</v>
      </c>
      <c r="C57" s="306">
        <f>SUM(vanjski_sektor!S54:S57)/1000</f>
        <v>-0.36414631032399941</v>
      </c>
      <c r="D57" s="306">
        <f>(SUM(vanjski_sektor!T54:T57)-SUM(vanjski_sektor!K54:K57))/1000</f>
        <v>-1.9022313488310219</v>
      </c>
      <c r="E57" s="345">
        <v>7.5458803030302999</v>
      </c>
      <c r="F57" s="363">
        <f t="shared" si="0"/>
        <v>0.47917864384892628</v>
      </c>
      <c r="G57" s="364">
        <f t="shared" si="0"/>
        <v>-0.36414631032399941</v>
      </c>
      <c r="H57" s="362">
        <v>7.5458803030302999</v>
      </c>
      <c r="I57" s="363">
        <f t="shared" si="1"/>
        <v>0.47917864384892628</v>
      </c>
      <c r="J57" s="364">
        <f t="shared" si="1"/>
        <v>-0.36414631032399941</v>
      </c>
      <c r="K57" s="362">
        <v>7.5458803030302999</v>
      </c>
      <c r="L57" s="301"/>
      <c r="M57" s="305">
        <v>41547</v>
      </c>
      <c r="N57" s="345">
        <v>7.5458803030302999</v>
      </c>
      <c r="O57" s="301"/>
      <c r="P57" s="301"/>
      <c r="Q57" s="301"/>
      <c r="R57" s="301"/>
      <c r="S57" s="301"/>
      <c r="T57" s="301"/>
      <c r="U57" s="301"/>
      <c r="V57" s="301"/>
      <c r="W57" s="301"/>
      <c r="X57" s="301"/>
      <c r="Y57" s="301"/>
      <c r="Z57" s="301"/>
    </row>
    <row r="58" spans="1:26" ht="11.25" customHeight="1">
      <c r="A58" s="305">
        <v>41639</v>
      </c>
      <c r="B58" s="307">
        <f>SUM(vanjski_sektor!K55:K58)/1000</f>
        <v>1.8440875550001001</v>
      </c>
      <c r="C58" s="306">
        <f>SUM(vanjski_sektor!S55:S58)/1000</f>
        <v>-0.46099721355880774</v>
      </c>
      <c r="D58" s="306">
        <f>(SUM(vanjski_sektor!T55:T58)-SUM(vanjski_sektor!K55:K58))/1000</f>
        <v>-2.9194811594616632</v>
      </c>
      <c r="E58" s="345">
        <v>7.6290312499999997</v>
      </c>
      <c r="F58" s="363">
        <f t="shared" si="0"/>
        <v>1.8440875550001001</v>
      </c>
      <c r="G58" s="364">
        <f t="shared" si="0"/>
        <v>-0.46099721355880774</v>
      </c>
      <c r="H58" s="362">
        <v>7.6290312499999997</v>
      </c>
      <c r="I58" s="363">
        <f t="shared" si="1"/>
        <v>1.8440875550001001</v>
      </c>
      <c r="J58" s="364">
        <f t="shared" si="1"/>
        <v>-0.46099721355880774</v>
      </c>
      <c r="K58" s="362">
        <v>7.6290312499999997</v>
      </c>
      <c r="L58" s="301"/>
      <c r="M58" s="305">
        <v>41639</v>
      </c>
      <c r="N58" s="345">
        <v>7.6290312499999997</v>
      </c>
      <c r="O58" s="301"/>
      <c r="P58" s="301"/>
      <c r="Q58" s="301"/>
      <c r="R58" s="301"/>
      <c r="S58" s="301"/>
      <c r="T58" s="301"/>
      <c r="U58" s="301"/>
      <c r="V58" s="301"/>
      <c r="W58" s="301"/>
      <c r="X58" s="301"/>
      <c r="Y58" s="301"/>
      <c r="Z58" s="301"/>
    </row>
    <row r="59" spans="1:26" ht="11.25" customHeight="1">
      <c r="A59" s="305">
        <v>41729</v>
      </c>
      <c r="B59" s="307">
        <f>SUM(vanjski_sektor!K56:K59)/1000</f>
        <v>1.0813852350001003</v>
      </c>
      <c r="C59" s="306">
        <f>SUM(vanjski_sektor!S56:S59)/1000</f>
        <v>-0.52066931316339649</v>
      </c>
      <c r="D59" s="306">
        <f>(SUM(vanjski_sektor!T56:T59)-SUM(vanjski_sektor!K56:K59))/1000</f>
        <v>-1.5661209724473337</v>
      </c>
      <c r="E59" s="345">
        <v>7.6497682539682499</v>
      </c>
      <c r="F59" s="363">
        <f t="shared" si="0"/>
        <v>1.0813852350001003</v>
      </c>
      <c r="G59" s="364">
        <f t="shared" si="0"/>
        <v>-0.52066931316339649</v>
      </c>
      <c r="H59" s="362">
        <v>7.6497682539682499</v>
      </c>
      <c r="I59" s="363">
        <f t="shared" si="1"/>
        <v>1.0813852350001003</v>
      </c>
      <c r="J59" s="364">
        <f t="shared" si="1"/>
        <v>-0.52066931316339649</v>
      </c>
      <c r="K59" s="362">
        <v>7.6497682539682499</v>
      </c>
      <c r="L59" s="301"/>
      <c r="M59" s="305">
        <v>41729</v>
      </c>
      <c r="N59" s="345">
        <v>7.6497682539682499</v>
      </c>
      <c r="O59" s="301"/>
      <c r="P59" s="301"/>
      <c r="Q59" s="301"/>
      <c r="R59" s="301"/>
      <c r="S59" s="301"/>
      <c r="T59" s="301"/>
      <c r="U59" s="301"/>
      <c r="V59" s="301"/>
      <c r="W59" s="301"/>
      <c r="X59" s="301"/>
      <c r="Y59" s="301"/>
      <c r="Z59" s="301"/>
    </row>
    <row r="60" spans="1:26" ht="11.25" customHeight="1">
      <c r="A60" s="305">
        <v>41820</v>
      </c>
      <c r="B60" s="307">
        <f>SUM(vanjski_sektor!K57:K60)/1000</f>
        <v>0.485899621</v>
      </c>
      <c r="C60" s="306">
        <f>SUM(vanjski_sektor!S57:S60)/1000</f>
        <v>-0.52332888114609799</v>
      </c>
      <c r="D60" s="306">
        <f>(SUM(vanjski_sektor!T57:T60)-SUM(vanjski_sektor!K57:K60))/1000</f>
        <v>-2.3430844220083602E-3</v>
      </c>
      <c r="E60" s="345">
        <v>7.5991774193548398</v>
      </c>
      <c r="F60" s="363">
        <f t="shared" si="0"/>
        <v>0.485899621</v>
      </c>
      <c r="G60" s="364">
        <f t="shared" si="0"/>
        <v>-0.52332888114609799</v>
      </c>
      <c r="H60" s="362">
        <v>7.5991774193548398</v>
      </c>
      <c r="I60" s="363">
        <f t="shared" si="1"/>
        <v>0.485899621</v>
      </c>
      <c r="J60" s="364">
        <f t="shared" si="1"/>
        <v>-0.52332888114609799</v>
      </c>
      <c r="K60" s="362">
        <v>7.5991774193548398</v>
      </c>
      <c r="L60" s="301"/>
      <c r="M60" s="305">
        <v>41820</v>
      </c>
      <c r="N60" s="345">
        <v>7.5991774193548398</v>
      </c>
      <c r="O60" s="301"/>
      <c r="P60" s="301"/>
      <c r="Q60" s="301"/>
      <c r="R60" s="301"/>
      <c r="S60" s="301"/>
      <c r="T60" s="301"/>
      <c r="U60" s="301"/>
      <c r="V60" s="301"/>
      <c r="W60" s="301"/>
      <c r="X60" s="301"/>
      <c r="Y60" s="301"/>
      <c r="Z60" s="301"/>
    </row>
    <row r="61" spans="1:26" ht="11.25" customHeight="1">
      <c r="A61" s="305">
        <v>41912</v>
      </c>
      <c r="B61" s="307">
        <f>SUM(vanjski_sektor!K58:K61)/1000</f>
        <v>0.26338654199999995</v>
      </c>
      <c r="C61" s="306">
        <f>SUM(vanjski_sektor!S58:S61)/1000</f>
        <v>-0.50278835364497898</v>
      </c>
      <c r="D61" s="306">
        <f>(SUM(vanjski_sektor!T58:T61)-SUM(vanjski_sektor!K58:K61))/1000</f>
        <v>0.57823122870195376</v>
      </c>
      <c r="E61" s="345">
        <v>7.6233272727272698</v>
      </c>
      <c r="F61" s="363">
        <f t="shared" si="0"/>
        <v>0.26338654199999995</v>
      </c>
      <c r="G61" s="364">
        <f t="shared" si="0"/>
        <v>-0.50278835364497898</v>
      </c>
      <c r="H61" s="362">
        <v>7.6233272727272698</v>
      </c>
      <c r="I61" s="363">
        <f t="shared" si="1"/>
        <v>0.26338654199999995</v>
      </c>
      <c r="J61" s="364">
        <f t="shared" si="1"/>
        <v>-0.50278835364497898</v>
      </c>
      <c r="K61" s="362">
        <v>7.6233272727272698</v>
      </c>
      <c r="L61" s="301"/>
      <c r="M61" s="305">
        <v>41912</v>
      </c>
      <c r="N61" s="345">
        <v>7.6233272727272698</v>
      </c>
      <c r="O61" s="301"/>
      <c r="P61" s="301"/>
      <c r="Q61" s="301"/>
      <c r="R61" s="301"/>
      <c r="S61" s="301"/>
      <c r="T61" s="301"/>
      <c r="U61" s="301"/>
      <c r="V61" s="301"/>
      <c r="W61" s="301"/>
      <c r="X61" s="301"/>
      <c r="Y61" s="301"/>
      <c r="Z61" s="301"/>
    </row>
    <row r="62" spans="1:26" ht="11.25" customHeight="1">
      <c r="A62" s="305">
        <v>42004</v>
      </c>
      <c r="B62" s="307">
        <f>SUM(vanjski_sektor!K59:K62)/1000</f>
        <v>-0.52988015999999993</v>
      </c>
      <c r="C62" s="306">
        <f>SUM(vanjski_sektor!S59:S62)/1000</f>
        <v>0.11113160990711367</v>
      </c>
      <c r="D62" s="306">
        <f>(SUM(vanjski_sektor!T59:T62)-SUM(vanjski_sektor!K59:K62))/1000</f>
        <v>2.0661782276145706</v>
      </c>
      <c r="E62" s="345">
        <v>7.6648734374999998</v>
      </c>
      <c r="F62" s="363">
        <f t="shared" si="0"/>
        <v>-0.52988015999999993</v>
      </c>
      <c r="G62" s="364">
        <f t="shared" si="0"/>
        <v>0.11113160990711367</v>
      </c>
      <c r="H62" s="362">
        <v>7.6648734374999998</v>
      </c>
      <c r="I62" s="363">
        <f t="shared" si="1"/>
        <v>-0.52988015999999993</v>
      </c>
      <c r="J62" s="364">
        <f t="shared" si="1"/>
        <v>0.11113160990711367</v>
      </c>
      <c r="K62" s="362">
        <v>7.6648734374999998</v>
      </c>
      <c r="L62" s="301"/>
      <c r="M62" s="305">
        <v>42004</v>
      </c>
      <c r="N62" s="345">
        <v>7.6648734374999998</v>
      </c>
      <c r="O62" s="301"/>
      <c r="P62" s="301"/>
      <c r="Q62" s="301"/>
      <c r="R62" s="301"/>
      <c r="S62" s="301"/>
      <c r="T62" s="301"/>
      <c r="U62" s="301"/>
      <c r="V62" s="301"/>
      <c r="W62" s="301"/>
      <c r="X62" s="301"/>
      <c r="Y62" s="301"/>
      <c r="Z62" s="301"/>
    </row>
    <row r="63" spans="1:26" ht="11.25" customHeight="1">
      <c r="A63" s="305">
        <v>42094</v>
      </c>
      <c r="B63" s="307">
        <f>SUM(vanjski_sektor!K60:K63)/1000</f>
        <v>1.386860516</v>
      </c>
      <c r="C63" s="306">
        <f>SUM(vanjski_sektor!S60:S63)/1000</f>
        <v>0.25599223032435292</v>
      </c>
      <c r="D63" s="306">
        <f>(SUM(vanjski_sektor!T60:T63)-SUM(vanjski_sektor!K60:K63))/1000</f>
        <v>0.65667091410251277</v>
      </c>
      <c r="E63" s="345">
        <v>7.6810904761904801</v>
      </c>
      <c r="F63" s="363">
        <f t="shared" si="0"/>
        <v>1.386860516</v>
      </c>
      <c r="G63" s="364">
        <f t="shared" si="0"/>
        <v>0.25599223032435292</v>
      </c>
      <c r="H63" s="362">
        <v>7.6810904761904801</v>
      </c>
      <c r="I63" s="363">
        <f t="shared" si="1"/>
        <v>1.386860516</v>
      </c>
      <c r="J63" s="364">
        <f t="shared" si="1"/>
        <v>0.25599223032435292</v>
      </c>
      <c r="K63" s="362">
        <v>7.6810904761904801</v>
      </c>
      <c r="L63" s="301"/>
      <c r="M63" s="305">
        <v>42094</v>
      </c>
      <c r="N63" s="345">
        <v>7.6810904761904801</v>
      </c>
      <c r="O63" s="301"/>
      <c r="P63" s="301"/>
      <c r="Q63" s="301"/>
      <c r="R63" s="301"/>
      <c r="S63" s="301"/>
      <c r="T63" s="301"/>
      <c r="U63" s="301"/>
      <c r="V63" s="301"/>
      <c r="W63" s="301"/>
      <c r="X63" s="301"/>
      <c r="Y63" s="301"/>
      <c r="Z63" s="301"/>
    </row>
    <row r="64" spans="1:26" ht="11.25" customHeight="1">
      <c r="A64" s="305">
        <v>42185</v>
      </c>
      <c r="B64" s="307">
        <f>SUM(vanjski_sektor!K61:K64)/1000</f>
        <v>0.85518806699999994</v>
      </c>
      <c r="C64" s="306">
        <f>SUM(vanjski_sektor!S61:S64)/1000</f>
        <v>0.49104863420817035</v>
      </c>
      <c r="D64" s="306">
        <f>(SUM(vanjski_sektor!T61:T64)-SUM(vanjski_sektor!K61:K64))/1000</f>
        <v>1.017164429699883</v>
      </c>
      <c r="E64" s="345">
        <v>7.5735032258064496</v>
      </c>
      <c r="F64" s="363">
        <f t="shared" si="0"/>
        <v>0.85518806699999994</v>
      </c>
      <c r="G64" s="364">
        <f t="shared" si="0"/>
        <v>0.49104863420817035</v>
      </c>
      <c r="H64" s="362">
        <v>7.5735032258064496</v>
      </c>
      <c r="I64" s="363">
        <f t="shared" si="1"/>
        <v>0.85518806699999994</v>
      </c>
      <c r="J64" s="364">
        <f t="shared" si="1"/>
        <v>0.49104863420817035</v>
      </c>
      <c r="K64" s="362">
        <v>7.5735032258064496</v>
      </c>
      <c r="L64" s="301"/>
      <c r="M64" s="305">
        <v>42185</v>
      </c>
      <c r="N64" s="345">
        <v>7.5735032258064496</v>
      </c>
      <c r="O64" s="301"/>
      <c r="P64" s="301"/>
      <c r="Q64" s="301"/>
      <c r="R64" s="301"/>
      <c r="S64" s="301"/>
      <c r="T64" s="301"/>
      <c r="U64" s="301"/>
      <c r="V64" s="301"/>
      <c r="W64" s="301"/>
      <c r="X64" s="301"/>
      <c r="Y64" s="301"/>
      <c r="Z64" s="301"/>
    </row>
    <row r="65" spans="1:26" ht="11.25" customHeight="1">
      <c r="A65" s="305">
        <v>42277</v>
      </c>
      <c r="B65" s="307">
        <f>SUM(vanjski_sektor!K62:K65)/1000</f>
        <v>1.0208730180000001</v>
      </c>
      <c r="C65" s="306">
        <f>SUM(vanjski_sektor!S62:S65)/1000</f>
        <v>1.7166060446929723</v>
      </c>
      <c r="D65" s="306">
        <f>(SUM(vanjski_sektor!T62:T65)-SUM(vanjski_sektor!K62:K65))/1000</f>
        <v>2.8213712426741897</v>
      </c>
      <c r="E65" s="345">
        <v>7.5781196969696998</v>
      </c>
      <c r="F65" s="363">
        <f t="shared" si="0"/>
        <v>1.0208730180000001</v>
      </c>
      <c r="G65" s="364">
        <f t="shared" si="0"/>
        <v>1.7166060446929723</v>
      </c>
      <c r="H65" s="362">
        <v>7.5781196969696998</v>
      </c>
      <c r="I65" s="363">
        <f t="shared" si="1"/>
        <v>1.0208730180000001</v>
      </c>
      <c r="J65" s="364">
        <f t="shared" si="1"/>
        <v>1.7166060446929723</v>
      </c>
      <c r="K65" s="362">
        <v>7.5781196969696998</v>
      </c>
      <c r="L65" s="301"/>
      <c r="M65" s="305">
        <v>42277</v>
      </c>
      <c r="N65" s="345">
        <v>7.5781196969696998</v>
      </c>
      <c r="O65" s="301"/>
      <c r="P65" s="301"/>
      <c r="Q65" s="301"/>
      <c r="R65" s="301"/>
      <c r="S65" s="301"/>
      <c r="T65" s="301"/>
      <c r="U65" s="301"/>
      <c r="V65" s="301"/>
      <c r="W65" s="301"/>
      <c r="X65" s="301"/>
      <c r="Y65" s="301"/>
      <c r="Z65" s="301"/>
    </row>
    <row r="66" spans="1:26" ht="11.25" customHeight="1">
      <c r="A66" s="305">
        <v>42369</v>
      </c>
      <c r="B66" s="307">
        <f>SUM(vanjski_sektor!K63:K66)/1000</f>
        <v>0.7453460860000003</v>
      </c>
      <c r="C66" s="306">
        <f>SUM(vanjski_sektor!S63:S66)/1000</f>
        <v>1.4523680657510558</v>
      </c>
      <c r="D66" s="306">
        <f>(SUM(vanjski_sektor!T63:T66)-SUM(vanjski_sektor!K63:K66))/1000</f>
        <v>2.8510084971764429</v>
      </c>
      <c r="E66" s="345">
        <v>7.6228584615384598</v>
      </c>
      <c r="F66" s="363">
        <f t="shared" si="0"/>
        <v>0.7453460860000003</v>
      </c>
      <c r="G66" s="364">
        <f t="shared" si="0"/>
        <v>1.4523680657510558</v>
      </c>
      <c r="H66" s="362">
        <v>7.6228584615384598</v>
      </c>
      <c r="I66" s="363">
        <f t="shared" si="1"/>
        <v>0.7453460860000003</v>
      </c>
      <c r="J66" s="364">
        <f t="shared" si="1"/>
        <v>1.4523680657510558</v>
      </c>
      <c r="K66" s="362">
        <v>7.6228584615384598</v>
      </c>
      <c r="L66" s="301"/>
      <c r="M66" s="305">
        <v>42369</v>
      </c>
      <c r="N66" s="345">
        <v>7.6228584615384598</v>
      </c>
      <c r="O66" s="301"/>
      <c r="P66" s="301"/>
      <c r="Q66" s="301"/>
      <c r="R66" s="301"/>
      <c r="S66" s="301"/>
      <c r="T66" s="301"/>
      <c r="U66" s="301"/>
      <c r="V66" s="301"/>
      <c r="W66" s="301"/>
      <c r="X66" s="301"/>
      <c r="Y66" s="301"/>
      <c r="Z66" s="301"/>
    </row>
    <row r="67" spans="1:26" ht="11.25" customHeight="1">
      <c r="A67" s="305">
        <v>42460</v>
      </c>
      <c r="B67" s="307">
        <f>SUM(vanjski_sektor!K64:K67)/1000</f>
        <v>-0.81775744999999989</v>
      </c>
      <c r="C67" s="306">
        <f>SUM(vanjski_sektor!S64:S67)/1000</f>
        <v>1.1802582853284156</v>
      </c>
      <c r="D67" s="306">
        <f>(SUM(vanjski_sektor!T64:T67)-SUM(vanjski_sektor!K64:K67))/1000</f>
        <v>3.8398119536884368</v>
      </c>
      <c r="E67" s="345">
        <v>7.6170177419354799</v>
      </c>
      <c r="F67" s="363">
        <f t="shared" si="0"/>
        <v>-0.81775744999999989</v>
      </c>
      <c r="G67" s="364">
        <f t="shared" si="0"/>
        <v>1.1802582853284156</v>
      </c>
      <c r="H67" s="362">
        <v>7.6170177419354799</v>
      </c>
      <c r="I67" s="363">
        <f t="shared" si="1"/>
        <v>-0.81775744999999989</v>
      </c>
      <c r="J67" s="364">
        <f t="shared" si="1"/>
        <v>1.1802582853284156</v>
      </c>
      <c r="K67" s="362">
        <v>7.6170177419354799</v>
      </c>
      <c r="L67" s="301"/>
      <c r="M67" s="305">
        <v>42460</v>
      </c>
      <c r="N67" s="345">
        <v>7.6170177419354799</v>
      </c>
      <c r="O67" s="301"/>
      <c r="P67" s="301"/>
      <c r="Q67" s="301"/>
      <c r="R67" s="301"/>
      <c r="S67" s="301"/>
      <c r="T67" s="301"/>
      <c r="U67" s="301"/>
      <c r="V67" s="301"/>
      <c r="W67" s="301"/>
      <c r="X67" s="301"/>
      <c r="Y67" s="301"/>
      <c r="Z67" s="301"/>
    </row>
    <row r="68" spans="1:26" ht="11.25" customHeight="1">
      <c r="A68" s="305">
        <v>42551</v>
      </c>
      <c r="B68" s="307">
        <f>SUM(vanjski_sektor!K65:K68)/1000</f>
        <v>-0.88375095599999975</v>
      </c>
      <c r="C68" s="306">
        <f>SUM(vanjski_sektor!S65:S68)/1000</f>
        <v>1.459671235445845</v>
      </c>
      <c r="D68" s="306">
        <f>(SUM(vanjski_sektor!T65:T68)-SUM(vanjski_sektor!K65:K68))/1000</f>
        <v>4.7948707158781509</v>
      </c>
      <c r="E68" s="345">
        <v>7.5044646153846104</v>
      </c>
      <c r="F68" s="363">
        <f t="shared" si="0"/>
        <v>-0.88375095599999975</v>
      </c>
      <c r="G68" s="364">
        <f t="shared" si="0"/>
        <v>1.459671235445845</v>
      </c>
      <c r="H68" s="362">
        <v>7.5044646153846104</v>
      </c>
      <c r="I68" s="363">
        <f t="shared" si="1"/>
        <v>-0.88375095599999975</v>
      </c>
      <c r="J68" s="364">
        <f t="shared" si="1"/>
        <v>1.459671235445845</v>
      </c>
      <c r="K68" s="362">
        <v>7.5044646153846104</v>
      </c>
      <c r="L68" s="301"/>
      <c r="M68" s="305">
        <v>42551</v>
      </c>
      <c r="N68" s="345">
        <v>7.5044646153846104</v>
      </c>
      <c r="O68" s="301"/>
      <c r="P68" s="301"/>
      <c r="Q68" s="301"/>
      <c r="R68" s="301"/>
      <c r="S68" s="301"/>
      <c r="T68" s="301"/>
      <c r="U68" s="301"/>
      <c r="V68" s="301"/>
      <c r="W68" s="301"/>
      <c r="X68" s="301"/>
      <c r="Y68" s="301"/>
      <c r="Z68" s="301"/>
    </row>
    <row r="69" spans="1:26" ht="11.25" customHeight="1">
      <c r="A69" s="305">
        <v>42643</v>
      </c>
      <c r="B69" s="307">
        <f>SUM(vanjski_sektor!K66:K69)/1000</f>
        <v>-0.49978639900009986</v>
      </c>
      <c r="C69" s="306">
        <f>SUM(vanjski_sektor!S66:S69)/1000</f>
        <v>1.0942800343095487</v>
      </c>
      <c r="D69" s="306">
        <f>(SUM(vanjski_sektor!T66:T69)-SUM(vanjski_sektor!K66:K69))/1000</f>
        <v>3.6919861668509513</v>
      </c>
      <c r="E69" s="345">
        <v>7.4932606060606002</v>
      </c>
      <c r="F69" s="363">
        <f t="shared" si="0"/>
        <v>-0.49978639900009986</v>
      </c>
      <c r="G69" s="364">
        <f t="shared" si="0"/>
        <v>1.0942800343095487</v>
      </c>
      <c r="H69" s="362">
        <v>7.4932606060606002</v>
      </c>
      <c r="I69" s="363">
        <f t="shared" si="1"/>
        <v>-0.49978639900009986</v>
      </c>
      <c r="J69" s="364">
        <f t="shared" si="1"/>
        <v>1.0942800343095487</v>
      </c>
      <c r="K69" s="362">
        <v>7.4932606060606002</v>
      </c>
      <c r="L69" s="301"/>
      <c r="M69" s="305">
        <v>42643</v>
      </c>
      <c r="N69" s="345">
        <v>7.4932606060606002</v>
      </c>
      <c r="O69" s="301"/>
      <c r="P69" s="301"/>
      <c r="Q69" s="301"/>
      <c r="R69" s="301"/>
      <c r="S69" s="301"/>
      <c r="T69" s="301"/>
      <c r="U69" s="301"/>
      <c r="V69" s="301"/>
      <c r="W69" s="301"/>
      <c r="X69" s="301"/>
      <c r="Y69" s="301"/>
      <c r="Z69" s="301"/>
    </row>
    <row r="70" spans="1:26" ht="11.25" customHeight="1">
      <c r="A70" s="305">
        <v>42735</v>
      </c>
      <c r="B70" s="307">
        <f>SUM(vanjski_sektor!K67:K70)/1000</f>
        <v>-0.26468362500010018</v>
      </c>
      <c r="C70" s="306">
        <f>SUM(vanjski_sektor!S67:S70)/1000</f>
        <v>0.99371802914583807</v>
      </c>
      <c r="D70" s="306">
        <f>(SUM(vanjski_sektor!T67:T70)-SUM(vanjski_sektor!K67:K70))/1000</f>
        <v>3.2357745095680754</v>
      </c>
      <c r="E70" s="345">
        <v>7.5227374999999999</v>
      </c>
      <c r="F70" s="363">
        <f t="shared" si="0"/>
        <v>-0.26468362500010018</v>
      </c>
      <c r="G70" s="364">
        <f t="shared" si="0"/>
        <v>0.99371802914583807</v>
      </c>
      <c r="H70" s="362">
        <v>7.5227374999999999</v>
      </c>
      <c r="I70" s="363">
        <f t="shared" si="1"/>
        <v>-0.26468362500010018</v>
      </c>
      <c r="J70" s="364">
        <f t="shared" si="1"/>
        <v>0.99371802914583807</v>
      </c>
      <c r="K70" s="362">
        <v>7.5227374999999999</v>
      </c>
      <c r="L70" s="301"/>
      <c r="M70" s="305">
        <v>42735</v>
      </c>
      <c r="N70" s="345">
        <v>7.5227374999999999</v>
      </c>
      <c r="O70" s="301"/>
      <c r="P70" s="301"/>
      <c r="Q70" s="301"/>
      <c r="R70" s="301"/>
      <c r="S70" s="301"/>
      <c r="T70" s="301"/>
      <c r="U70" s="301"/>
      <c r="V70" s="301"/>
      <c r="W70" s="301"/>
      <c r="X70" s="301"/>
      <c r="Y70" s="301"/>
      <c r="Z70" s="301"/>
    </row>
    <row r="71" spans="1:26" ht="11.25" customHeight="1">
      <c r="A71" s="305">
        <v>42825</v>
      </c>
      <c r="B71" s="307">
        <f>SUM(vanjski_sektor!K68:K71)/1000</f>
        <v>2.8367595549999005</v>
      </c>
      <c r="C71" s="306">
        <f>SUM(vanjski_sektor!S68:S71)/1000</f>
        <v>1.2549325745703901</v>
      </c>
      <c r="D71" s="306">
        <f>(SUM(vanjski_sektor!T68:T71)-SUM(vanjski_sektor!K68:K71))/1000</f>
        <v>1.1836348651279605</v>
      </c>
      <c r="E71" s="345">
        <v>7.4668230769230801</v>
      </c>
      <c r="F71" s="363">
        <f t="shared" ref="F71:G86" si="2">B71</f>
        <v>2.8367595549999005</v>
      </c>
      <c r="G71" s="364">
        <f t="shared" si="2"/>
        <v>1.2549325745703901</v>
      </c>
      <c r="H71" s="362">
        <v>7.4668230769230801</v>
      </c>
      <c r="I71" s="363">
        <f t="shared" ref="I71:J86" si="3">B71</f>
        <v>2.8367595549999005</v>
      </c>
      <c r="J71" s="364">
        <f t="shared" si="3"/>
        <v>1.2549325745703901</v>
      </c>
      <c r="K71" s="362">
        <v>7.4668230769230801</v>
      </c>
      <c r="L71" s="301"/>
      <c r="M71" s="305">
        <v>42825</v>
      </c>
      <c r="N71" s="345">
        <v>7.4668230769230801</v>
      </c>
      <c r="O71" s="301"/>
      <c r="P71" s="301"/>
      <c r="Q71" s="301"/>
      <c r="R71" s="301"/>
      <c r="S71" s="301"/>
      <c r="T71" s="301"/>
      <c r="U71" s="301"/>
      <c r="V71" s="301"/>
      <c r="W71" s="301"/>
      <c r="X71" s="301"/>
      <c r="Y71" s="301"/>
      <c r="Z71" s="301"/>
    </row>
    <row r="72" spans="1:26" ht="11.25" customHeight="1">
      <c r="A72" s="305">
        <v>42916</v>
      </c>
      <c r="B72" s="307">
        <f>SUM(vanjski_sektor!K69:K72)/1000</f>
        <v>1.3424280809999005</v>
      </c>
      <c r="C72" s="306">
        <f>SUM(vanjski_sektor!S69:S72)/1000</f>
        <v>1.2082506786850418</v>
      </c>
      <c r="D72" s="306">
        <f>(SUM(vanjski_sektor!T69:T72)-SUM(vanjski_sektor!K69:K72))/1000</f>
        <v>2.1959363885400323</v>
      </c>
      <c r="E72" s="345">
        <v>7.42950483870968</v>
      </c>
      <c r="F72" s="363">
        <f t="shared" si="2"/>
        <v>1.3424280809999005</v>
      </c>
      <c r="G72" s="364">
        <f t="shared" si="2"/>
        <v>1.2082506786850418</v>
      </c>
      <c r="H72" s="362">
        <v>7.42950483870968</v>
      </c>
      <c r="I72" s="363">
        <f t="shared" si="3"/>
        <v>1.3424280809999005</v>
      </c>
      <c r="J72" s="364">
        <f t="shared" si="3"/>
        <v>1.2082506786850418</v>
      </c>
      <c r="K72" s="362">
        <v>7.42950483870968</v>
      </c>
      <c r="L72" s="301"/>
      <c r="M72" s="305">
        <v>42916</v>
      </c>
      <c r="N72" s="345">
        <v>7.42950483870968</v>
      </c>
      <c r="O72" s="301"/>
      <c r="P72" s="301"/>
      <c r="Q72" s="301"/>
      <c r="R72" s="301"/>
      <c r="S72" s="301"/>
      <c r="T72" s="301"/>
      <c r="U72" s="301"/>
      <c r="V72" s="301"/>
      <c r="W72" s="301"/>
      <c r="X72" s="301"/>
      <c r="Y72" s="301"/>
      <c r="Z72" s="301"/>
    </row>
    <row r="73" spans="1:26" ht="11.25" customHeight="1">
      <c r="A73" s="305">
        <v>43008</v>
      </c>
      <c r="B73" s="307">
        <f>SUM(vanjski_sektor!K70:K73)/1000</f>
        <v>2.2103717390000002</v>
      </c>
      <c r="C73" s="306">
        <f>SUM(vanjski_sektor!S70:S73)/1000</f>
        <v>1.7250583622162576</v>
      </c>
      <c r="D73" s="306">
        <f>(SUM(vanjski_sektor!T70:T73)-SUM(vanjski_sektor!K70:K73))/1000</f>
        <v>2.8425803234100413</v>
      </c>
      <c r="E73" s="345">
        <v>7.4263046153846197</v>
      </c>
      <c r="F73" s="363">
        <f t="shared" si="2"/>
        <v>2.2103717390000002</v>
      </c>
      <c r="G73" s="364">
        <f t="shared" si="2"/>
        <v>1.7250583622162576</v>
      </c>
      <c r="H73" s="362">
        <v>7.4263046153846197</v>
      </c>
      <c r="I73" s="363">
        <f t="shared" si="3"/>
        <v>2.2103717390000002</v>
      </c>
      <c r="J73" s="364">
        <f t="shared" si="3"/>
        <v>1.7250583622162576</v>
      </c>
      <c r="K73" s="362">
        <v>7.4263046153846197</v>
      </c>
      <c r="L73" s="301"/>
      <c r="M73" s="305">
        <v>43008</v>
      </c>
      <c r="N73" s="345">
        <v>7.4263046153846197</v>
      </c>
      <c r="O73" s="301"/>
      <c r="P73" s="301"/>
      <c r="Q73" s="301"/>
      <c r="R73" s="301"/>
      <c r="S73" s="301"/>
      <c r="T73" s="301"/>
      <c r="U73" s="301"/>
      <c r="V73" s="301"/>
      <c r="W73" s="301"/>
      <c r="X73" s="301"/>
      <c r="Y73" s="301"/>
      <c r="Z73" s="301"/>
    </row>
    <row r="74" spans="1:26" ht="11.25" customHeight="1">
      <c r="A74" s="305">
        <v>43100</v>
      </c>
      <c r="B74" s="307">
        <f>SUM(vanjski_sektor!K71:K74)/1000</f>
        <v>2.5931399290000003</v>
      </c>
      <c r="C74" s="306">
        <f>SUM(vanjski_sektor!S71:S74)/1000</f>
        <v>1.6785848514133641</v>
      </c>
      <c r="D74" s="306">
        <f>(SUM(vanjski_sektor!T71:T74)-SUM(vanjski_sektor!K71:K74))/1000</f>
        <v>2.1705706817363848</v>
      </c>
      <c r="E74" s="345">
        <v>7.5326984126984096</v>
      </c>
      <c r="F74" s="363">
        <f t="shared" si="2"/>
        <v>2.5931399290000003</v>
      </c>
      <c r="G74" s="364">
        <f t="shared" si="2"/>
        <v>1.6785848514133641</v>
      </c>
      <c r="H74" s="362">
        <v>7.5326984126984096</v>
      </c>
      <c r="I74" s="363">
        <f t="shared" si="3"/>
        <v>2.5931399290000003</v>
      </c>
      <c r="J74" s="364">
        <f t="shared" si="3"/>
        <v>1.6785848514133641</v>
      </c>
      <c r="K74" s="362">
        <v>7.5326984126984096</v>
      </c>
      <c r="L74" s="301"/>
      <c r="M74" s="305">
        <v>43100</v>
      </c>
      <c r="N74" s="345">
        <v>7.5326984126984096</v>
      </c>
      <c r="O74" s="301"/>
      <c r="P74" s="301"/>
      <c r="Q74" s="301"/>
      <c r="R74" s="301"/>
      <c r="S74" s="301"/>
      <c r="T74" s="301"/>
      <c r="U74" s="301"/>
      <c r="V74" s="301"/>
      <c r="W74" s="301"/>
      <c r="X74" s="301"/>
      <c r="Y74" s="301"/>
      <c r="Z74" s="301"/>
    </row>
    <row r="75" spans="1:26" ht="11.25" customHeight="1">
      <c r="A75" s="305">
        <v>43190</v>
      </c>
      <c r="B75" s="307">
        <f>SUM(vanjski_sektor!K72:K75)/1000</f>
        <v>0.72514427404999993</v>
      </c>
      <c r="C75" s="306">
        <f>SUM(vanjski_sektor!S72:S75)/1000</f>
        <v>1.1106052901765715</v>
      </c>
      <c r="D75" s="306">
        <f>(SUM(vanjski_sektor!T72:T75)-SUM(vanjski_sektor!K72:K75))/1000</f>
        <v>2.8991963043371296</v>
      </c>
      <c r="E75" s="345">
        <v>7.4379968253968203</v>
      </c>
      <c r="F75" s="363">
        <f t="shared" si="2"/>
        <v>0.72514427404999993</v>
      </c>
      <c r="G75" s="364">
        <f t="shared" si="2"/>
        <v>1.1106052901765715</v>
      </c>
      <c r="H75" s="362">
        <v>7.4379968253968203</v>
      </c>
      <c r="I75" s="363">
        <f t="shared" si="3"/>
        <v>0.72514427404999993</v>
      </c>
      <c r="J75" s="364">
        <f t="shared" si="3"/>
        <v>1.1106052901765715</v>
      </c>
      <c r="K75" s="362">
        <v>7.4379968253968203</v>
      </c>
      <c r="L75" s="301"/>
      <c r="M75" s="305">
        <v>43190</v>
      </c>
      <c r="N75" s="345">
        <v>7.4379968253968203</v>
      </c>
      <c r="O75" s="301"/>
      <c r="P75" s="301"/>
      <c r="Q75" s="301"/>
      <c r="R75" s="301"/>
      <c r="S75" s="301"/>
      <c r="T75" s="301"/>
      <c r="U75" s="301"/>
      <c r="V75" s="301"/>
      <c r="W75" s="301"/>
      <c r="X75" s="301"/>
      <c r="Y75" s="301"/>
      <c r="Z75" s="301"/>
    </row>
    <row r="76" spans="1:26" ht="11.25" customHeight="1">
      <c r="A76" s="305">
        <v>43281</v>
      </c>
      <c r="B76" s="307">
        <f>SUM(vanjski_sektor!K73:K76)/1000</f>
        <v>2.6334578289700001</v>
      </c>
      <c r="C76" s="306">
        <f>SUM(vanjski_sektor!S73:S76)/1000</f>
        <v>1.1811841133847447</v>
      </c>
      <c r="D76" s="306">
        <f>(SUM(vanjski_sektor!T73:T76)-SUM(vanjski_sektor!K73:K76))/1000</f>
        <v>1.3747164016159987</v>
      </c>
      <c r="E76" s="345">
        <v>7.3976333333333404</v>
      </c>
      <c r="F76" s="363">
        <f t="shared" si="2"/>
        <v>2.6334578289700001</v>
      </c>
      <c r="G76" s="364">
        <f t="shared" si="2"/>
        <v>1.1811841133847447</v>
      </c>
      <c r="H76" s="362">
        <v>7.3976333333333404</v>
      </c>
      <c r="I76" s="363">
        <f t="shared" si="3"/>
        <v>2.6334578289700001</v>
      </c>
      <c r="J76" s="364">
        <f t="shared" si="3"/>
        <v>1.1811841133847447</v>
      </c>
      <c r="K76" s="362">
        <v>7.3976333333333404</v>
      </c>
      <c r="L76" s="301"/>
      <c r="M76" s="305">
        <v>43281</v>
      </c>
      <c r="N76" s="345">
        <v>7.3976333333333404</v>
      </c>
      <c r="O76" s="301"/>
      <c r="P76" s="301"/>
      <c r="Q76" s="301"/>
      <c r="R76" s="301"/>
      <c r="S76" s="301"/>
      <c r="T76" s="301"/>
      <c r="U76" s="301"/>
      <c r="V76" s="301"/>
      <c r="W76" s="301"/>
      <c r="X76" s="301"/>
      <c r="Y76" s="301"/>
      <c r="Z76" s="301"/>
    </row>
    <row r="77" spans="1:26" ht="11.25" customHeight="1">
      <c r="A77" s="305">
        <v>43373</v>
      </c>
      <c r="B77" s="307">
        <f>SUM(vanjski_sektor!K74:K77)/1000</f>
        <v>1.6363091218200001</v>
      </c>
      <c r="C77" s="306">
        <f>SUM(vanjski_sektor!S74:S77)/1000</f>
        <v>1.2828916792780665</v>
      </c>
      <c r="D77" s="306">
        <f>(SUM(vanjski_sektor!T74:T77)-SUM(vanjski_sektor!K74:K77))/1000</f>
        <v>2.0460941215047201</v>
      </c>
      <c r="E77" s="345">
        <v>7.4173276923076896</v>
      </c>
      <c r="F77" s="363">
        <f t="shared" si="2"/>
        <v>1.6363091218200001</v>
      </c>
      <c r="G77" s="364">
        <f t="shared" si="2"/>
        <v>1.2828916792780665</v>
      </c>
      <c r="H77" s="362">
        <v>7.4173276923076896</v>
      </c>
      <c r="I77" s="363">
        <f t="shared" si="3"/>
        <v>1.6363091218200001</v>
      </c>
      <c r="J77" s="364">
        <f t="shared" si="3"/>
        <v>1.2828916792780665</v>
      </c>
      <c r="K77" s="362">
        <v>7.4173276923076896</v>
      </c>
      <c r="L77" s="301"/>
      <c r="M77" s="305">
        <v>43373</v>
      </c>
      <c r="N77" s="345">
        <v>7.4173276923076896</v>
      </c>
      <c r="O77" s="301"/>
      <c r="P77" s="301"/>
      <c r="Q77" s="301"/>
      <c r="R77" s="301"/>
      <c r="S77" s="301"/>
      <c r="T77" s="301"/>
      <c r="U77" s="301"/>
      <c r="V77" s="301"/>
      <c r="W77" s="301"/>
      <c r="X77" s="301"/>
      <c r="Y77" s="301"/>
      <c r="Z77" s="301"/>
    </row>
    <row r="78" spans="1:26" ht="11.25" customHeight="1">
      <c r="A78" s="305">
        <v>43465</v>
      </c>
      <c r="B78" s="307">
        <f>SUM(vanjski_sektor!K75:K78)/1000</f>
        <v>1.5450404381499998</v>
      </c>
      <c r="C78" s="306">
        <f>SUM(vanjski_sektor!S75:S78)/1000</f>
        <v>0.98208842840806487</v>
      </c>
      <c r="D78" s="306">
        <f>(SUM(vanjski_sektor!T75:T78)-SUM(vanjski_sektor!K75:K78))/1000</f>
        <v>2.0286866012917733</v>
      </c>
      <c r="E78" s="345">
        <v>7.4196703125000001</v>
      </c>
      <c r="F78" s="363">
        <f t="shared" si="2"/>
        <v>1.5450404381499998</v>
      </c>
      <c r="G78" s="364">
        <f t="shared" si="2"/>
        <v>0.98208842840806487</v>
      </c>
      <c r="H78" s="362">
        <v>7.4196703125000001</v>
      </c>
      <c r="I78" s="363">
        <f t="shared" si="3"/>
        <v>1.5450404381499998</v>
      </c>
      <c r="J78" s="364">
        <f t="shared" si="3"/>
        <v>0.98208842840806487</v>
      </c>
      <c r="K78" s="362">
        <v>7.4196703125000001</v>
      </c>
      <c r="L78" s="301"/>
      <c r="M78" s="305">
        <v>43465</v>
      </c>
      <c r="N78" s="345">
        <v>7.4196703125000001</v>
      </c>
      <c r="O78" s="301"/>
      <c r="P78" s="301"/>
      <c r="Q78" s="301"/>
      <c r="R78" s="301"/>
      <c r="S78" s="301"/>
      <c r="T78" s="301"/>
      <c r="U78" s="301"/>
      <c r="V78" s="301"/>
      <c r="W78" s="301"/>
      <c r="X78" s="301"/>
      <c r="Y78" s="301"/>
      <c r="Z78" s="301"/>
    </row>
    <row r="79" spans="1:26" ht="11.25" customHeight="1">
      <c r="A79" s="305">
        <v>43555</v>
      </c>
      <c r="B79" s="307">
        <f>SUM(vanjski_sektor!K76:K79)/1000</f>
        <v>1.4848227883499998</v>
      </c>
      <c r="C79" s="306">
        <f>SUM(vanjski_sektor!S76:S79)/1000</f>
        <v>0.73711150286874183</v>
      </c>
      <c r="D79" s="306">
        <f>(SUM(vanjski_sektor!T76:T79)-SUM(vanjski_sektor!K76:K79))/1000</f>
        <v>1.0606029709267173</v>
      </c>
      <c r="E79" s="345">
        <v>7.4216222222222203</v>
      </c>
      <c r="F79" s="363">
        <f t="shared" si="2"/>
        <v>1.4848227883499998</v>
      </c>
      <c r="G79" s="364">
        <f t="shared" si="2"/>
        <v>0.73711150286874183</v>
      </c>
      <c r="H79" s="362">
        <v>7.4216222222222203</v>
      </c>
      <c r="I79" s="363">
        <f t="shared" si="3"/>
        <v>1.4848227883499998</v>
      </c>
      <c r="J79" s="364">
        <f t="shared" si="3"/>
        <v>0.73711150286874183</v>
      </c>
      <c r="K79" s="362">
        <v>7.4216222222222203</v>
      </c>
      <c r="L79" s="301"/>
      <c r="M79" s="305">
        <v>43555</v>
      </c>
      <c r="N79" s="345">
        <v>7.4216222222222203</v>
      </c>
      <c r="O79" s="301"/>
      <c r="P79" s="301"/>
      <c r="Q79" s="301"/>
      <c r="R79" s="301"/>
      <c r="S79" s="301"/>
      <c r="T79" s="301"/>
      <c r="U79" s="301"/>
      <c r="V79" s="301"/>
      <c r="W79" s="301"/>
      <c r="X79" s="301"/>
      <c r="Y79" s="301"/>
      <c r="Z79" s="301"/>
    </row>
    <row r="80" spans="1:26" ht="11.25" customHeight="1">
      <c r="A80" s="305">
        <v>43646</v>
      </c>
      <c r="B80" s="307">
        <f>SUM(vanjski_sektor!K77:K80)/1000</f>
        <v>2.9914031417299998</v>
      </c>
      <c r="C80" s="306">
        <f>SUM(vanjski_sektor!S77:S80)/1000</f>
        <v>0.51604079265039038</v>
      </c>
      <c r="D80" s="306">
        <f>(SUM(vanjski_sektor!T77:T80)-SUM(vanjski_sektor!K77:K80))/1000</f>
        <v>-0.20193768361866432</v>
      </c>
      <c r="E80" s="345">
        <v>7.4183274193548403</v>
      </c>
      <c r="F80" s="363">
        <f t="shared" si="2"/>
        <v>2.9914031417299998</v>
      </c>
      <c r="G80" s="364">
        <f t="shared" si="2"/>
        <v>0.51604079265039038</v>
      </c>
      <c r="H80" s="362">
        <v>7.4183274193548403</v>
      </c>
      <c r="I80" s="363">
        <f t="shared" si="3"/>
        <v>2.9914031417299998</v>
      </c>
      <c r="J80" s="364">
        <f t="shared" si="3"/>
        <v>0.51604079265039038</v>
      </c>
      <c r="K80" s="362">
        <v>7.4183274193548403</v>
      </c>
      <c r="L80" s="301"/>
      <c r="M80" s="305">
        <v>43646</v>
      </c>
      <c r="N80" s="345">
        <v>7.4183274193548403</v>
      </c>
      <c r="O80" s="301"/>
      <c r="P80" s="301"/>
      <c r="Q80" s="301"/>
      <c r="R80" s="301"/>
      <c r="S80" s="301"/>
      <c r="T80" s="301"/>
      <c r="U80" s="301"/>
      <c r="V80" s="301"/>
      <c r="W80" s="301"/>
      <c r="X80" s="301"/>
      <c r="Y80" s="301"/>
      <c r="Z80" s="301"/>
    </row>
    <row r="81" spans="1:26" ht="11.25" customHeight="1">
      <c r="A81" s="305">
        <v>43738</v>
      </c>
      <c r="B81" s="307">
        <f>SUM(vanjski_sektor!K78:K81)/1000</f>
        <v>3.34441078464</v>
      </c>
      <c r="C81" s="306">
        <f>SUM(vanjski_sektor!S78:S81)/1000</f>
        <v>1.2891282122551866</v>
      </c>
      <c r="D81" s="306">
        <f>(SUM(vanjski_sektor!T78:T81)-SUM(vanjski_sektor!K78:K81))/1000</f>
        <v>1.2586259015445671</v>
      </c>
      <c r="E81" s="345">
        <v>7.3935742424242399</v>
      </c>
      <c r="F81" s="363">
        <f t="shared" si="2"/>
        <v>3.34441078464</v>
      </c>
      <c r="G81" s="364">
        <f t="shared" si="2"/>
        <v>1.2891282122551866</v>
      </c>
      <c r="H81" s="362">
        <v>7.3935742424242399</v>
      </c>
      <c r="I81" s="363">
        <f t="shared" si="3"/>
        <v>3.34441078464</v>
      </c>
      <c r="J81" s="364">
        <f t="shared" si="3"/>
        <v>1.2891282122551866</v>
      </c>
      <c r="K81" s="362">
        <v>7.3935742424242399</v>
      </c>
      <c r="L81" s="301"/>
      <c r="M81" s="305">
        <v>43738</v>
      </c>
      <c r="N81" s="345">
        <v>7.3935742424242399</v>
      </c>
      <c r="O81" s="301"/>
      <c r="P81" s="301"/>
      <c r="Q81" s="301"/>
      <c r="R81" s="301"/>
      <c r="S81" s="301"/>
      <c r="T81" s="301"/>
      <c r="U81" s="301"/>
      <c r="V81" s="301"/>
      <c r="W81" s="301"/>
      <c r="X81" s="301"/>
      <c r="Y81" s="301"/>
      <c r="Z81" s="301"/>
    </row>
    <row r="82" spans="1:26" ht="11.25" customHeight="1">
      <c r="A82" s="305">
        <v>43830</v>
      </c>
      <c r="B82" s="307">
        <f>SUM(vanjski_sektor!K79:K82)/1000</f>
        <v>0.98964903605999988</v>
      </c>
      <c r="C82" s="306">
        <f>SUM(vanjski_sektor!S79:S82)/1000</f>
        <v>1.5707723111990946</v>
      </c>
      <c r="D82" s="306">
        <f>(SUM(vanjski_sektor!T79:T82)-SUM(vanjski_sektor!K79:K82))/1000</f>
        <v>3.8443598131227237</v>
      </c>
      <c r="E82" s="345">
        <v>7.4391656250000002</v>
      </c>
      <c r="F82" s="363">
        <f t="shared" si="2"/>
        <v>0.98964903605999988</v>
      </c>
      <c r="G82" s="364">
        <f t="shared" si="2"/>
        <v>1.5707723111990946</v>
      </c>
      <c r="H82" s="362">
        <v>7.4391656250000002</v>
      </c>
      <c r="I82" s="363">
        <f t="shared" si="3"/>
        <v>0.98964903605999988</v>
      </c>
      <c r="J82" s="364">
        <f t="shared" si="3"/>
        <v>1.5707723111990946</v>
      </c>
      <c r="K82" s="362">
        <v>7.4391656250000002</v>
      </c>
      <c r="L82" s="301"/>
      <c r="M82" s="305">
        <v>43830</v>
      </c>
      <c r="N82" s="345">
        <v>7.4391656250000002</v>
      </c>
      <c r="O82" s="301"/>
      <c r="P82" s="301"/>
      <c r="Q82" s="301"/>
      <c r="R82" s="301"/>
      <c r="S82" s="301"/>
      <c r="T82" s="301"/>
      <c r="U82" s="301"/>
      <c r="V82" s="301"/>
      <c r="W82" s="301"/>
      <c r="X82" s="301"/>
      <c r="Y82" s="301"/>
      <c r="Z82" s="301"/>
    </row>
    <row r="83" spans="1:26" ht="11.25" customHeight="1">
      <c r="A83" s="314">
        <v>43921</v>
      </c>
      <c r="B83" s="319">
        <f>SUM(vanjski_sektor!K80:K83)/1000</f>
        <v>-2.1531203967779091</v>
      </c>
      <c r="C83" s="317">
        <f>SUM(vanjski_sektor!S80:S83)/1000</f>
        <v>1.6101832441287134</v>
      </c>
      <c r="D83" s="317">
        <f>(SUM(vanjski_sektor!T80:T83)-SUM(vanjski_sektor!K80:K83))/1000</f>
        <v>3.8837707460523414</v>
      </c>
      <c r="E83" s="345">
        <v>7.6092310000000003</v>
      </c>
      <c r="F83" s="365">
        <f t="shared" si="2"/>
        <v>-2.1531203967779091</v>
      </c>
      <c r="G83" s="366">
        <f>SUM(vanjski_sektor!S80:S82,vanjski_sektor!S88)/1000</f>
        <v>1.6101832441287134</v>
      </c>
      <c r="H83" s="345">
        <v>7.6092310000000003</v>
      </c>
      <c r="I83" s="365">
        <f t="shared" si="3"/>
        <v>-2.1531203967779091</v>
      </c>
      <c r="J83" s="366">
        <f>SUM(vanjski_sektor!S80:S82,vanjski_sektor!S93)/1000</f>
        <v>1.6101832441287134</v>
      </c>
      <c r="K83" s="345">
        <v>7.6092310000000003</v>
      </c>
      <c r="L83" s="301"/>
      <c r="M83" s="301"/>
      <c r="N83" s="305"/>
      <c r="O83" s="301"/>
      <c r="P83" s="301"/>
      <c r="Q83" s="301"/>
      <c r="R83" s="301"/>
      <c r="S83" s="301"/>
      <c r="T83" s="301"/>
      <c r="U83" s="301"/>
      <c r="V83" s="301"/>
      <c r="W83" s="301"/>
      <c r="X83" s="301"/>
      <c r="Y83" s="301"/>
      <c r="Z83" s="301"/>
    </row>
    <row r="84" spans="1:26" ht="11.25" customHeight="1">
      <c r="A84" s="314">
        <v>44012</v>
      </c>
      <c r="B84" s="319">
        <f>SUM(vanjski_sektor!K81:K84)/1000</f>
        <v>-3.6847575280779092</v>
      </c>
      <c r="C84" s="317">
        <f>SUM(vanjski_sektor!S81:S84)/1000</f>
        <v>0.59348578319274015</v>
      </c>
      <c r="D84" s="317">
        <f>(SUM(vanjski_sektor!T81:T84)-SUM(vanjski_sektor!K81:K84))/1000</f>
        <v>2.8670732851163665</v>
      </c>
      <c r="E84" s="346">
        <f t="shared" ref="E84:E86" si="4">$B$97+$B$98*B84+$B$99*D84</f>
        <v>7.6688281451040936</v>
      </c>
      <c r="F84" s="365">
        <f t="shared" si="2"/>
        <v>-3.6847575280779092</v>
      </c>
      <c r="G84" s="366">
        <f>SUM(vanjski_sektor!S81:S82,vanjski_sektor!S88:S89)/1000</f>
        <v>0.59348578319274015</v>
      </c>
      <c r="H84" s="367">
        <f>$B$92+$B$93*F84+$B$94*G84</f>
        <v>7.7160081110387715</v>
      </c>
      <c r="I84" s="365">
        <f t="shared" si="3"/>
        <v>-3.6847575280779092</v>
      </c>
      <c r="J84" s="366">
        <f>SUM(vanjski_sektor!S81:S82,vanjski_sektor!S93:S94)/1000</f>
        <v>0.59348578319274015</v>
      </c>
      <c r="K84" s="367">
        <f>$B$92+$B$93*I84+$B$94*J84</f>
        <v>7.7160081110387715</v>
      </c>
      <c r="L84" s="301"/>
      <c r="M84" s="301" t="s">
        <v>9</v>
      </c>
      <c r="N84" s="301" t="s">
        <v>1162</v>
      </c>
      <c r="O84" s="301" t="s">
        <v>1164</v>
      </c>
      <c r="P84" s="301" t="s">
        <v>1163</v>
      </c>
      <c r="Q84" s="301"/>
      <c r="R84" s="301"/>
      <c r="S84" s="301"/>
      <c r="T84" s="301"/>
      <c r="U84" s="301"/>
      <c r="V84" s="301"/>
      <c r="W84" s="301"/>
      <c r="X84" s="301"/>
      <c r="Y84" s="301"/>
      <c r="Z84" s="301"/>
    </row>
    <row r="85" spans="1:26" ht="11.25" customHeight="1">
      <c r="A85" s="314">
        <v>44104</v>
      </c>
      <c r="B85" s="319">
        <f>SUM(vanjski_sektor!K82:K85)/1000</f>
        <v>-4.050551818837909</v>
      </c>
      <c r="C85" s="317">
        <f>SUM(vanjski_sektor!S82:S85)/1000</f>
        <v>-1.9137494213244699</v>
      </c>
      <c r="D85" s="317">
        <f>(SUM(vanjski_sektor!T82:T85)-SUM(vanjski_sektor!K82:K85))/1000</f>
        <v>0.35983808059915556</v>
      </c>
      <c r="E85" s="346">
        <f t="shared" si="4"/>
        <v>7.6405849123973288</v>
      </c>
      <c r="F85" s="365">
        <f t="shared" si="2"/>
        <v>-4.050551818837909</v>
      </c>
      <c r="G85" s="366">
        <f>SUM(vanjski_sektor!S82,vanjski_sektor!S88:S90)/1000</f>
        <v>-1.0612894517886171</v>
      </c>
      <c r="H85" s="367">
        <f t="shared" ref="H85:H86" si="5">$B$92+$B$93*F85+$B$94*G85</f>
        <v>7.6629308401121445</v>
      </c>
      <c r="I85" s="365">
        <f t="shared" si="3"/>
        <v>-4.050551818837909</v>
      </c>
      <c r="J85" s="366">
        <f>SUM(vanjski_sektor!S82,vanjski_sektor!S93:S95)/1000</f>
        <v>0.59348578319274015</v>
      </c>
      <c r="K85" s="367">
        <f t="shared" ref="K85:K86" si="6">$B$92+$B$93*I85+$B$94*J85</f>
        <v>7.7316933702265596</v>
      </c>
      <c r="L85" s="301"/>
      <c r="M85" s="305">
        <v>43830</v>
      </c>
      <c r="N85" s="345">
        <v>7.4391656250000002</v>
      </c>
      <c r="O85" s="345">
        <v>7.4391656250000002</v>
      </c>
      <c r="P85" s="345">
        <v>7.4391656250000002</v>
      </c>
      <c r="Q85" s="301"/>
      <c r="R85" s="301"/>
      <c r="S85" s="301"/>
      <c r="T85" s="301"/>
      <c r="U85" s="301"/>
      <c r="V85" s="301"/>
      <c r="W85" s="301"/>
      <c r="X85" s="301"/>
      <c r="Y85" s="301"/>
      <c r="Z85" s="301"/>
    </row>
    <row r="86" spans="1:26" ht="11.25" customHeight="1">
      <c r="A86" s="314">
        <v>44196</v>
      </c>
      <c r="B86" s="319">
        <f>SUM(vanjski_sektor!K83:K86)/1000</f>
        <v>-2.4172278335879089</v>
      </c>
      <c r="C86" s="317">
        <f>SUM(vanjski_sektor!S83:S86)/1000</f>
        <v>-2.0255205853102844</v>
      </c>
      <c r="D86" s="317">
        <f>(SUM(vanjski_sektor!T83:T86)-SUM(vanjski_sektor!K83:K86))/1000</f>
        <v>0.24806691661334115</v>
      </c>
      <c r="E86" s="346">
        <f t="shared" si="4"/>
        <v>7.5935518866204976</v>
      </c>
      <c r="F86" s="365">
        <f t="shared" si="2"/>
        <v>-2.4172278335879089</v>
      </c>
      <c r="G86" s="366">
        <f>SUM(vanjski_sektor!S88:S91)/1000</f>
        <v>-1.1171750337815265</v>
      </c>
      <c r="H86" s="367">
        <f t="shared" si="5"/>
        <v>7.5905716381504922</v>
      </c>
      <c r="I86" s="365">
        <f t="shared" si="3"/>
        <v>-2.4172278335879089</v>
      </c>
      <c r="J86" s="366">
        <f>SUM(vanjski_sektor!S93:S96)/1000</f>
        <v>0.59348578319274015</v>
      </c>
      <c r="K86" s="367">
        <f t="shared" si="6"/>
        <v>7.6616564377390404</v>
      </c>
      <c r="L86" s="301"/>
      <c r="M86" s="314">
        <v>43921</v>
      </c>
      <c r="N86" s="345">
        <v>7.6092310000000003</v>
      </c>
      <c r="O86" s="345">
        <v>7.6092310000000003</v>
      </c>
      <c r="P86" s="345">
        <v>7.6092310000000003</v>
      </c>
      <c r="Q86" s="301"/>
      <c r="R86" s="301"/>
      <c r="S86" s="301"/>
      <c r="T86" s="301"/>
      <c r="U86" s="301"/>
      <c r="V86" s="301"/>
      <c r="W86" s="301"/>
      <c r="X86" s="301"/>
      <c r="Y86" s="301"/>
      <c r="Z86" s="301"/>
    </row>
    <row r="87" spans="1:26" ht="11.25" customHeight="1">
      <c r="A87" s="301"/>
      <c r="B87" s="301"/>
      <c r="C87" s="301"/>
      <c r="D87" s="301"/>
      <c r="E87" s="301"/>
      <c r="F87" s="301"/>
      <c r="G87" s="301"/>
      <c r="H87" s="301"/>
      <c r="I87" s="301"/>
      <c r="J87" s="301"/>
      <c r="K87" s="301"/>
      <c r="L87" s="301"/>
      <c r="M87" s="314">
        <v>44012</v>
      </c>
      <c r="N87" s="346">
        <v>7.6688281451040936</v>
      </c>
      <c r="O87" s="367">
        <v>7.7160081110387715</v>
      </c>
      <c r="P87" s="367">
        <v>7.7160081110387715</v>
      </c>
      <c r="Q87" s="301"/>
      <c r="R87" s="301"/>
      <c r="S87" s="301"/>
      <c r="T87" s="301"/>
      <c r="U87" s="301"/>
      <c r="V87" s="301"/>
      <c r="W87" s="301"/>
      <c r="X87" s="301"/>
      <c r="Y87" s="301"/>
      <c r="Z87" s="301"/>
    </row>
    <row r="88" spans="1:26" ht="11.25" customHeight="1">
      <c r="A88" s="301"/>
      <c r="B88" s="301"/>
      <c r="C88" s="301"/>
      <c r="D88" s="301"/>
      <c r="E88" s="301"/>
      <c r="F88" s="301"/>
      <c r="G88" s="301"/>
      <c r="H88" s="301"/>
      <c r="I88" s="301"/>
      <c r="J88" s="301"/>
      <c r="K88" s="301"/>
      <c r="L88" s="301"/>
      <c r="M88" s="314">
        <v>44104</v>
      </c>
      <c r="N88" s="346">
        <v>7.6405849123973288</v>
      </c>
      <c r="O88" s="367">
        <v>7.6629308401121445</v>
      </c>
      <c r="P88" s="367">
        <v>7.7316933702265596</v>
      </c>
      <c r="Q88" s="301"/>
      <c r="R88" s="301"/>
      <c r="S88" s="301"/>
      <c r="T88" s="301"/>
      <c r="U88" s="301"/>
      <c r="V88" s="301"/>
      <c r="W88" s="301"/>
      <c r="X88" s="301"/>
      <c r="Y88" s="301"/>
      <c r="Z88" s="301"/>
    </row>
    <row r="89" spans="1:26" ht="11.25" customHeight="1">
      <c r="A89" s="301"/>
      <c r="B89" s="301"/>
      <c r="C89" s="301"/>
      <c r="D89" s="301"/>
      <c r="E89" s="301"/>
      <c r="F89" s="301"/>
      <c r="G89" s="301"/>
      <c r="H89" s="301"/>
      <c r="I89" s="301"/>
      <c r="J89" s="301"/>
      <c r="K89" s="301"/>
      <c r="L89" s="301"/>
      <c r="M89" s="314">
        <v>44196</v>
      </c>
      <c r="N89" s="346">
        <v>7.5935518866204976</v>
      </c>
      <c r="O89" s="367">
        <v>7.5905716381504922</v>
      </c>
      <c r="P89" s="367">
        <v>7.6616564377390404</v>
      </c>
      <c r="Q89" s="301"/>
      <c r="R89" s="301"/>
      <c r="S89" s="301"/>
      <c r="T89" s="301"/>
      <c r="U89" s="301"/>
      <c r="V89" s="301"/>
      <c r="W89" s="301"/>
      <c r="X89" s="301"/>
      <c r="Y89" s="301"/>
      <c r="Z89" s="301"/>
    </row>
    <row r="90" spans="1:26" ht="11.25" customHeight="1">
      <c r="A90" s="301"/>
      <c r="B90" s="301"/>
      <c r="C90" s="301"/>
      <c r="D90" s="301"/>
      <c r="E90" s="301"/>
      <c r="F90" s="301"/>
      <c r="G90" s="301"/>
      <c r="H90" s="301"/>
      <c r="I90" s="301"/>
      <c r="J90" s="301"/>
      <c r="K90" s="301"/>
      <c r="L90" s="301"/>
      <c r="M90" s="301"/>
      <c r="N90" s="301"/>
      <c r="O90" s="301"/>
      <c r="P90" s="301"/>
      <c r="Q90" s="301"/>
      <c r="R90" s="301"/>
      <c r="S90" s="301"/>
      <c r="T90" s="301"/>
      <c r="U90" s="301"/>
      <c r="V90" s="301"/>
      <c r="W90" s="301"/>
      <c r="X90" s="301"/>
      <c r="Y90" s="301"/>
      <c r="Z90" s="301"/>
    </row>
    <row r="91" spans="1:26" ht="11.25" customHeight="1">
      <c r="A91" s="249" t="s">
        <v>1143</v>
      </c>
      <c r="B91" s="105" t="s">
        <v>189</v>
      </c>
      <c r="C91" s="105" t="s">
        <v>190</v>
      </c>
      <c r="D91" s="105" t="s">
        <v>191</v>
      </c>
      <c r="E91" s="105" t="s">
        <v>192</v>
      </c>
      <c r="F91" s="301"/>
      <c r="G91" s="301"/>
      <c r="H91" s="301"/>
      <c r="I91" s="301"/>
      <c r="J91" s="301"/>
      <c r="K91" s="301"/>
      <c r="L91" s="301"/>
      <c r="M91" s="301"/>
      <c r="N91" s="301"/>
      <c r="O91" s="301"/>
      <c r="P91" s="301"/>
      <c r="Q91" s="301"/>
      <c r="R91" s="301"/>
      <c r="S91" s="301"/>
      <c r="T91" s="301"/>
      <c r="U91" s="301"/>
      <c r="V91" s="301"/>
      <c r="W91" s="301"/>
      <c r="X91" s="301"/>
      <c r="Y91" s="301"/>
      <c r="Z91" s="301"/>
    </row>
    <row r="92" spans="1:26" ht="11.25" customHeight="1">
      <c r="A92" s="105" t="s">
        <v>193</v>
      </c>
      <c r="B92" s="250">
        <v>7.5333439999999996</v>
      </c>
      <c r="C92" s="250">
        <v>1.8232000000000002E-2</v>
      </c>
      <c r="D92" s="250">
        <v>413.18200000000002</v>
      </c>
      <c r="E92" s="250" t="s">
        <v>972</v>
      </c>
      <c r="F92" s="301"/>
      <c r="G92" s="301"/>
      <c r="H92" s="301"/>
      <c r="I92" s="301"/>
      <c r="J92" s="301"/>
      <c r="K92" s="301"/>
      <c r="L92" s="301"/>
      <c r="M92" s="301"/>
      <c r="N92" s="301"/>
      <c r="O92" s="301"/>
      <c r="P92" s="301"/>
      <c r="Q92" s="301"/>
      <c r="R92" s="301"/>
      <c r="S92" s="301"/>
      <c r="T92" s="301"/>
      <c r="U92" s="301"/>
      <c r="V92" s="301"/>
      <c r="W92" s="301"/>
      <c r="X92" s="301"/>
      <c r="Y92" s="301"/>
      <c r="Z92" s="301"/>
    </row>
    <row r="93" spans="1:26" ht="11.25" customHeight="1">
      <c r="A93" s="105" t="s">
        <v>1139</v>
      </c>
      <c r="B93" s="250">
        <v>-4.2880000000000001E-2</v>
      </c>
      <c r="C93" s="250">
        <v>1.2670000000000001E-2</v>
      </c>
      <c r="D93" s="250">
        <v>-3.3839999999999999</v>
      </c>
      <c r="E93" s="250">
        <v>1.14E-3</v>
      </c>
      <c r="F93" s="301"/>
      <c r="G93" s="301"/>
      <c r="H93" s="301"/>
      <c r="I93" s="301"/>
      <c r="J93" s="301"/>
      <c r="K93" s="301"/>
      <c r="L93" s="301"/>
      <c r="M93" s="301"/>
      <c r="N93" s="301"/>
      <c r="O93" s="301"/>
      <c r="P93" s="301"/>
      <c r="Q93" s="301"/>
      <c r="R93" s="301"/>
      <c r="S93" s="301"/>
      <c r="T93" s="301"/>
      <c r="U93" s="301"/>
      <c r="V93" s="301"/>
      <c r="W93" s="301"/>
      <c r="X93" s="301"/>
      <c r="Y93" s="301"/>
      <c r="Z93" s="301"/>
    </row>
    <row r="94" spans="1:26" ht="11.25" customHeight="1">
      <c r="A94" s="105" t="s">
        <v>1140</v>
      </c>
      <c r="B94" s="250">
        <v>4.1554000000000001E-2</v>
      </c>
      <c r="C94" s="250">
        <v>6.4140000000000004E-3</v>
      </c>
      <c r="D94" s="250">
        <v>6.4790000000000001</v>
      </c>
      <c r="E94" s="250">
        <v>9.0599999999999997E-9</v>
      </c>
      <c r="F94" s="301"/>
      <c r="G94" s="301"/>
      <c r="H94" s="301"/>
      <c r="I94" s="301"/>
      <c r="J94" s="301"/>
      <c r="K94" s="301"/>
      <c r="L94" s="301"/>
      <c r="M94" s="301"/>
      <c r="N94" s="301"/>
      <c r="O94" s="301"/>
      <c r="P94" s="301"/>
      <c r="Q94" s="301"/>
      <c r="R94" s="301"/>
      <c r="S94" s="301"/>
      <c r="T94" s="301"/>
      <c r="U94" s="301"/>
      <c r="V94" s="301"/>
      <c r="W94" s="301"/>
      <c r="X94" s="301"/>
      <c r="Y94" s="301"/>
      <c r="Z94" s="301"/>
    </row>
    <row r="95" spans="1:26" ht="11.25" customHeight="1">
      <c r="A95" s="301"/>
      <c r="B95" s="301"/>
      <c r="C95" s="301"/>
      <c r="D95" s="301"/>
      <c r="E95" s="301"/>
      <c r="F95" s="301"/>
      <c r="G95" s="301"/>
      <c r="H95" s="301"/>
      <c r="I95" s="301"/>
      <c r="J95" s="301"/>
      <c r="K95" s="301"/>
      <c r="L95" s="301"/>
      <c r="M95" s="301"/>
      <c r="N95" s="301"/>
      <c r="O95" s="301"/>
      <c r="P95" s="301"/>
      <c r="Q95" s="301"/>
      <c r="R95" s="301"/>
      <c r="S95" s="301"/>
      <c r="T95" s="301"/>
      <c r="U95" s="301"/>
      <c r="V95" s="301"/>
      <c r="W95" s="301"/>
      <c r="X95" s="301"/>
      <c r="Y95" s="301"/>
      <c r="Z95" s="301"/>
    </row>
    <row r="96" spans="1:26" ht="11.25" customHeight="1">
      <c r="A96" s="249" t="s">
        <v>1144</v>
      </c>
      <c r="B96" s="105" t="s">
        <v>189</v>
      </c>
      <c r="C96" s="105" t="s">
        <v>190</v>
      </c>
      <c r="D96" s="105" t="s">
        <v>191</v>
      </c>
      <c r="E96" s="105" t="s">
        <v>192</v>
      </c>
      <c r="F96" s="301"/>
      <c r="G96" s="301"/>
      <c r="H96" s="301"/>
      <c r="I96" s="301"/>
      <c r="J96" s="301"/>
      <c r="K96" s="301"/>
      <c r="L96" s="301"/>
      <c r="M96" s="301"/>
      <c r="N96" s="301"/>
      <c r="O96" s="301"/>
      <c r="P96" s="301"/>
      <c r="Q96" s="301"/>
      <c r="R96" s="301"/>
      <c r="S96" s="301"/>
      <c r="T96" s="301"/>
      <c r="U96" s="301"/>
      <c r="V96" s="301"/>
      <c r="W96" s="301"/>
      <c r="X96" s="301"/>
      <c r="Y96" s="301"/>
      <c r="Z96" s="301"/>
    </row>
    <row r="97" spans="1:26" ht="11.25" customHeight="1">
      <c r="A97" s="105" t="s">
        <v>193</v>
      </c>
      <c r="B97" s="250">
        <v>7.5226800000000003</v>
      </c>
      <c r="C97" s="250">
        <v>1.8128999999999999E-2</v>
      </c>
      <c r="D97" s="250">
        <v>414.96100000000001</v>
      </c>
      <c r="E97" s="250" t="s">
        <v>972</v>
      </c>
      <c r="F97" s="301"/>
      <c r="G97" s="301"/>
      <c r="H97" s="301"/>
      <c r="I97" s="301"/>
      <c r="J97" s="301"/>
      <c r="K97" s="301"/>
      <c r="L97" s="301"/>
      <c r="M97" s="301"/>
      <c r="N97" s="301"/>
      <c r="O97" s="301"/>
      <c r="P97" s="301"/>
      <c r="Q97" s="301"/>
      <c r="R97" s="301"/>
      <c r="S97" s="301"/>
      <c r="T97" s="301"/>
      <c r="U97" s="301"/>
      <c r="V97" s="301"/>
      <c r="W97" s="301"/>
      <c r="X97" s="301"/>
      <c r="Y97" s="301"/>
      <c r="Z97" s="301"/>
    </row>
    <row r="98" spans="1:26" ht="11.25" customHeight="1">
      <c r="A98" s="105" t="s">
        <v>1139</v>
      </c>
      <c r="B98" s="250">
        <v>-2.7747999999999998E-2</v>
      </c>
      <c r="C98" s="250">
        <v>1.2638E-2</v>
      </c>
      <c r="D98" s="250">
        <v>-2.1960000000000002</v>
      </c>
      <c r="E98" s="250">
        <v>3.1300000000000001E-2</v>
      </c>
      <c r="F98" s="301"/>
      <c r="G98" s="301"/>
      <c r="H98" s="301"/>
      <c r="I98" s="301"/>
      <c r="J98" s="301"/>
      <c r="K98" s="301"/>
      <c r="L98" s="301"/>
      <c r="M98" s="301"/>
      <c r="N98" s="301"/>
      <c r="O98" s="301"/>
      <c r="P98" s="301"/>
      <c r="Q98" s="301"/>
      <c r="R98" s="301"/>
      <c r="S98" s="301"/>
      <c r="T98" s="301"/>
      <c r="U98" s="301"/>
      <c r="V98" s="301"/>
      <c r="W98" s="301"/>
      <c r="X98" s="301"/>
      <c r="Y98" s="301"/>
      <c r="Z98" s="301"/>
    </row>
    <row r="99" spans="1:26" ht="11.25" customHeight="1">
      <c r="A99" s="105" t="s">
        <v>1141</v>
      </c>
      <c r="B99" s="250">
        <v>1.5313E-2</v>
      </c>
      <c r="C99" s="250">
        <v>2.5730000000000002E-3</v>
      </c>
      <c r="D99" s="250">
        <v>5.952</v>
      </c>
      <c r="E99" s="250">
        <v>8.1800000000000005E-8</v>
      </c>
      <c r="F99" s="301"/>
      <c r="G99" s="301"/>
      <c r="H99" s="301"/>
      <c r="I99" s="301"/>
      <c r="J99" s="301"/>
      <c r="K99" s="301"/>
      <c r="L99" s="301"/>
      <c r="M99" s="301"/>
      <c r="N99" s="301"/>
      <c r="O99" s="301"/>
      <c r="P99" s="301"/>
      <c r="Q99" s="301"/>
      <c r="R99" s="301"/>
      <c r="S99" s="301"/>
      <c r="T99" s="301"/>
      <c r="U99" s="301"/>
      <c r="V99" s="301"/>
      <c r="W99" s="301"/>
      <c r="X99" s="301"/>
      <c r="Y99" s="301"/>
      <c r="Z99" s="301"/>
    </row>
    <row r="100" spans="1:26" ht="11.25" customHeight="1">
      <c r="A100" s="301"/>
      <c r="B100" s="301"/>
      <c r="C100" s="301"/>
      <c r="D100" s="301"/>
      <c r="E100" s="301"/>
      <c r="F100" s="301"/>
      <c r="G100" s="301"/>
      <c r="H100" s="301"/>
      <c r="I100" s="301"/>
      <c r="J100" s="301"/>
      <c r="K100" s="301"/>
      <c r="L100" s="301"/>
      <c r="M100" s="301"/>
      <c r="N100" s="301"/>
      <c r="O100" s="301"/>
      <c r="P100" s="301"/>
      <c r="Q100" s="301"/>
      <c r="R100" s="301"/>
      <c r="S100" s="301"/>
      <c r="T100" s="301"/>
      <c r="U100" s="301"/>
      <c r="V100" s="301"/>
      <c r="W100" s="301"/>
      <c r="X100" s="301"/>
      <c r="Y100" s="301"/>
      <c r="Z100" s="301"/>
    </row>
    <row r="101" spans="1:26" ht="11.25" customHeight="1">
      <c r="A101" s="301"/>
      <c r="B101" s="301"/>
      <c r="C101" s="301"/>
      <c r="D101" s="301"/>
      <c r="E101" s="301"/>
      <c r="F101" s="301"/>
      <c r="G101" s="301"/>
      <c r="H101" s="301"/>
      <c r="I101" s="301"/>
      <c r="J101" s="301"/>
      <c r="K101" s="301"/>
      <c r="L101" s="301"/>
      <c r="M101" s="301"/>
      <c r="N101" s="301"/>
      <c r="O101" s="301"/>
      <c r="P101" s="301"/>
      <c r="Q101" s="301"/>
      <c r="R101" s="301"/>
      <c r="S101" s="301"/>
      <c r="T101" s="301"/>
      <c r="U101" s="301"/>
      <c r="V101" s="301"/>
      <c r="W101" s="301"/>
      <c r="X101" s="301"/>
      <c r="Y101" s="301"/>
      <c r="Z101" s="301"/>
    </row>
    <row r="102" spans="1:26" ht="11.25" customHeight="1">
      <c r="A102" s="301"/>
      <c r="B102" s="301"/>
      <c r="C102" s="301"/>
      <c r="D102" s="301"/>
      <c r="E102" s="301"/>
      <c r="F102" s="301"/>
      <c r="G102" s="301"/>
      <c r="H102" s="301"/>
      <c r="I102" s="301"/>
      <c r="J102" s="301"/>
      <c r="K102" s="301"/>
      <c r="L102" s="301"/>
      <c r="M102" s="301"/>
      <c r="N102" s="301"/>
      <c r="O102" s="301"/>
      <c r="P102" s="301"/>
      <c r="Q102" s="301"/>
      <c r="R102" s="301"/>
      <c r="S102" s="301"/>
      <c r="T102" s="301"/>
      <c r="U102" s="301"/>
      <c r="V102" s="301"/>
      <c r="W102" s="301"/>
      <c r="X102" s="301"/>
      <c r="Y102" s="301"/>
      <c r="Z102" s="301"/>
    </row>
    <row r="103" spans="1:26" ht="11.25" customHeight="1">
      <c r="A103" s="301"/>
      <c r="B103" s="301"/>
      <c r="C103" s="301"/>
      <c r="D103" s="301"/>
      <c r="E103" s="301"/>
      <c r="F103" s="301"/>
      <c r="G103" s="301"/>
      <c r="H103" s="301"/>
      <c r="I103" s="301"/>
      <c r="J103" s="301"/>
      <c r="K103" s="301"/>
      <c r="L103" s="301"/>
      <c r="M103" s="301"/>
      <c r="N103" s="301"/>
      <c r="O103" s="301"/>
      <c r="P103" s="301"/>
      <c r="Q103" s="301"/>
      <c r="R103" s="301"/>
      <c r="S103" s="301"/>
      <c r="T103" s="301"/>
      <c r="U103" s="301"/>
      <c r="V103" s="301"/>
      <c r="W103" s="301"/>
      <c r="X103" s="301"/>
      <c r="Y103" s="301"/>
      <c r="Z103" s="301"/>
    </row>
    <row r="104" spans="1:26" ht="11.25" customHeight="1">
      <c r="A104" s="301"/>
      <c r="B104" s="301"/>
      <c r="C104" s="301"/>
      <c r="D104" s="301"/>
      <c r="E104" s="301"/>
      <c r="F104" s="301"/>
      <c r="G104" s="301"/>
      <c r="H104" s="301"/>
      <c r="I104" s="301"/>
      <c r="J104" s="301"/>
      <c r="K104" s="301"/>
      <c r="L104" s="301"/>
      <c r="M104" s="301"/>
      <c r="N104" s="301"/>
      <c r="O104" s="301"/>
      <c r="P104" s="301"/>
      <c r="Q104" s="301"/>
      <c r="R104" s="301"/>
      <c r="S104" s="301"/>
      <c r="T104" s="301"/>
      <c r="U104" s="301"/>
      <c r="V104" s="301"/>
      <c r="W104" s="301"/>
      <c r="X104" s="301"/>
      <c r="Y104" s="301"/>
      <c r="Z104" s="301"/>
    </row>
    <row r="105" spans="1:26" ht="11.25" customHeight="1">
      <c r="A105" s="301"/>
      <c r="B105" s="301"/>
      <c r="C105" s="301"/>
      <c r="D105" s="301"/>
      <c r="E105" s="301"/>
      <c r="F105" s="301"/>
      <c r="G105" s="301"/>
      <c r="H105" s="301"/>
      <c r="I105" s="301"/>
      <c r="J105" s="301"/>
      <c r="K105" s="301"/>
      <c r="L105" s="301"/>
      <c r="M105" s="301"/>
      <c r="N105" s="301"/>
      <c r="O105" s="301"/>
      <c r="P105" s="301"/>
      <c r="Q105" s="301"/>
      <c r="R105" s="301"/>
      <c r="S105" s="301"/>
      <c r="T105" s="301"/>
      <c r="U105" s="301"/>
      <c r="V105" s="301"/>
      <c r="W105" s="301"/>
      <c r="X105" s="301"/>
      <c r="Y105" s="301"/>
      <c r="Z105" s="301"/>
    </row>
    <row r="106" spans="1:26" ht="11.25" customHeight="1">
      <c r="A106" s="301"/>
      <c r="B106" s="301"/>
      <c r="C106" s="301"/>
      <c r="D106" s="301"/>
      <c r="E106" s="301"/>
      <c r="F106" s="301"/>
      <c r="G106" s="301"/>
      <c r="H106" s="301"/>
      <c r="I106" s="301"/>
      <c r="J106" s="301"/>
      <c r="K106" s="301"/>
      <c r="L106" s="301"/>
      <c r="M106" s="301"/>
      <c r="N106" s="301"/>
      <c r="O106" s="301"/>
      <c r="P106" s="301"/>
      <c r="Q106" s="301"/>
      <c r="R106" s="301"/>
      <c r="S106" s="301"/>
      <c r="T106" s="301"/>
      <c r="U106" s="301"/>
      <c r="V106" s="301"/>
      <c r="W106" s="301"/>
      <c r="X106" s="301"/>
      <c r="Y106" s="301"/>
      <c r="Z106" s="301"/>
    </row>
    <row r="107" spans="1:26" ht="11.25" customHeight="1">
      <c r="A107" s="301"/>
      <c r="B107" s="301"/>
      <c r="C107" s="301"/>
      <c r="D107" s="301"/>
      <c r="E107" s="301"/>
      <c r="F107" s="301"/>
      <c r="G107" s="301"/>
      <c r="H107" s="301"/>
      <c r="I107" s="301"/>
      <c r="J107" s="301"/>
      <c r="K107" s="301"/>
      <c r="L107" s="301"/>
      <c r="M107" s="301"/>
      <c r="N107" s="301"/>
      <c r="O107" s="301"/>
      <c r="P107" s="301"/>
      <c r="Q107" s="301"/>
      <c r="R107" s="301"/>
      <c r="S107" s="301"/>
      <c r="T107" s="301"/>
      <c r="U107" s="301"/>
      <c r="V107" s="301"/>
      <c r="W107" s="301"/>
      <c r="X107" s="301"/>
      <c r="Y107" s="301"/>
      <c r="Z107" s="301"/>
    </row>
    <row r="108" spans="1:26" ht="11.25" customHeight="1">
      <c r="A108" s="301"/>
      <c r="B108" s="301"/>
      <c r="C108" s="301"/>
      <c r="D108" s="301"/>
      <c r="E108" s="301"/>
      <c r="F108" s="301"/>
      <c r="G108" s="301"/>
      <c r="H108" s="301"/>
      <c r="I108" s="301"/>
      <c r="J108" s="301"/>
      <c r="K108" s="301"/>
      <c r="L108" s="301"/>
      <c r="M108" s="301"/>
      <c r="N108" s="301"/>
      <c r="O108" s="301"/>
      <c r="P108" s="301"/>
      <c r="Q108" s="301"/>
      <c r="R108" s="301"/>
      <c r="S108" s="301"/>
      <c r="T108" s="301"/>
      <c r="U108" s="301"/>
      <c r="V108" s="301"/>
      <c r="W108" s="301"/>
      <c r="X108" s="301"/>
      <c r="Y108" s="301"/>
      <c r="Z108" s="301"/>
    </row>
    <row r="109" spans="1:26" ht="11.25" customHeight="1">
      <c r="A109" s="301"/>
      <c r="B109" s="301"/>
      <c r="C109" s="301"/>
      <c r="D109" s="301"/>
      <c r="E109" s="301"/>
      <c r="F109" s="301"/>
      <c r="G109" s="301"/>
      <c r="H109" s="301"/>
      <c r="I109" s="301"/>
      <c r="J109" s="301"/>
      <c r="K109" s="301"/>
      <c r="L109" s="301"/>
      <c r="M109" s="301"/>
      <c r="N109" s="301"/>
      <c r="O109" s="301"/>
      <c r="P109" s="301"/>
      <c r="Q109" s="301"/>
      <c r="R109" s="301"/>
      <c r="S109" s="301"/>
      <c r="T109" s="301"/>
      <c r="U109" s="301"/>
      <c r="V109" s="301"/>
      <c r="W109" s="301"/>
      <c r="X109" s="301"/>
      <c r="Y109" s="301"/>
      <c r="Z109" s="301"/>
    </row>
    <row r="110" spans="1:26" ht="11.25" customHeight="1">
      <c r="A110" s="301"/>
      <c r="B110" s="301"/>
      <c r="C110" s="301"/>
      <c r="D110" s="301"/>
      <c r="E110" s="301"/>
      <c r="F110" s="301"/>
      <c r="G110" s="301"/>
      <c r="H110" s="301"/>
      <c r="I110" s="301"/>
      <c r="J110" s="301"/>
      <c r="K110" s="301"/>
      <c r="L110" s="301"/>
      <c r="M110" s="301"/>
      <c r="N110" s="301"/>
      <c r="O110" s="301"/>
      <c r="P110" s="301"/>
      <c r="Q110" s="301"/>
      <c r="R110" s="301"/>
      <c r="S110" s="301"/>
      <c r="T110" s="301"/>
      <c r="U110" s="301"/>
      <c r="V110" s="301"/>
      <c r="W110" s="301"/>
      <c r="X110" s="301"/>
      <c r="Y110" s="301"/>
      <c r="Z110" s="301"/>
    </row>
    <row r="111" spans="1:26" ht="11.25" customHeight="1">
      <c r="A111" s="301"/>
      <c r="B111" s="301"/>
      <c r="C111" s="301"/>
      <c r="D111" s="301"/>
      <c r="E111" s="301"/>
      <c r="F111" s="301"/>
      <c r="G111" s="301"/>
      <c r="H111" s="301"/>
      <c r="I111" s="301"/>
      <c r="J111" s="301"/>
      <c r="K111" s="301"/>
      <c r="L111" s="301"/>
      <c r="M111" s="301"/>
      <c r="N111" s="301"/>
      <c r="O111" s="301"/>
      <c r="P111" s="301"/>
      <c r="Q111" s="301"/>
      <c r="R111" s="301"/>
      <c r="S111" s="301"/>
      <c r="T111" s="301"/>
      <c r="U111" s="301"/>
      <c r="V111" s="301"/>
      <c r="W111" s="301"/>
      <c r="X111" s="301"/>
      <c r="Y111" s="301"/>
      <c r="Z111" s="301"/>
    </row>
    <row r="112" spans="1:26" ht="11.25" customHeight="1">
      <c r="A112" s="301"/>
      <c r="B112" s="301"/>
      <c r="C112" s="301"/>
      <c r="D112" s="301"/>
      <c r="E112" s="301"/>
      <c r="F112" s="301"/>
      <c r="G112" s="301"/>
      <c r="H112" s="301"/>
      <c r="I112" s="301"/>
      <c r="J112" s="301"/>
      <c r="K112" s="301"/>
      <c r="L112" s="301"/>
      <c r="M112" s="301"/>
      <c r="N112" s="301"/>
      <c r="O112" s="301"/>
      <c r="P112" s="301"/>
      <c r="Q112" s="301"/>
      <c r="R112" s="301"/>
      <c r="S112" s="301"/>
      <c r="T112" s="301"/>
      <c r="U112" s="301"/>
      <c r="V112" s="301"/>
      <c r="W112" s="301"/>
      <c r="X112" s="301"/>
      <c r="Y112" s="301"/>
      <c r="Z112" s="301"/>
    </row>
    <row r="113" spans="1:26" ht="11.25" customHeight="1">
      <c r="A113" s="301"/>
      <c r="B113" s="301"/>
      <c r="C113" s="301"/>
      <c r="D113" s="301"/>
      <c r="E113" s="301"/>
      <c r="F113" s="301"/>
      <c r="G113" s="301"/>
      <c r="H113" s="301"/>
      <c r="I113" s="301"/>
      <c r="J113" s="301"/>
      <c r="K113" s="301"/>
      <c r="L113" s="301"/>
      <c r="M113" s="301"/>
      <c r="N113" s="301"/>
      <c r="O113" s="301"/>
      <c r="P113" s="301"/>
      <c r="Q113" s="301"/>
      <c r="R113" s="301"/>
      <c r="S113" s="301"/>
      <c r="T113" s="301"/>
      <c r="U113" s="301"/>
      <c r="V113" s="301"/>
      <c r="W113" s="301"/>
      <c r="X113" s="301"/>
      <c r="Y113" s="301"/>
      <c r="Z113" s="301"/>
    </row>
    <row r="114" spans="1:26" ht="11.25" customHeight="1">
      <c r="A114" s="301"/>
      <c r="B114" s="301"/>
      <c r="C114" s="301"/>
      <c r="D114" s="301"/>
      <c r="E114" s="301"/>
      <c r="F114" s="301"/>
      <c r="G114" s="301"/>
      <c r="H114" s="301"/>
      <c r="I114" s="301"/>
      <c r="J114" s="301"/>
      <c r="K114" s="301"/>
      <c r="L114" s="301"/>
      <c r="M114" s="301"/>
      <c r="N114" s="301"/>
      <c r="O114" s="301"/>
      <c r="P114" s="301"/>
      <c r="Q114" s="301"/>
      <c r="R114" s="301"/>
      <c r="S114" s="301"/>
      <c r="T114" s="301"/>
      <c r="U114" s="301"/>
      <c r="V114" s="301"/>
      <c r="W114" s="301"/>
      <c r="X114" s="301"/>
      <c r="Y114" s="301"/>
      <c r="Z114" s="301"/>
    </row>
    <row r="115" spans="1:26" ht="11.25" customHeight="1">
      <c r="A115" s="301"/>
      <c r="B115" s="301"/>
      <c r="C115" s="301"/>
      <c r="D115" s="301"/>
      <c r="E115" s="301"/>
      <c r="F115" s="301"/>
      <c r="G115" s="301"/>
      <c r="H115" s="301"/>
      <c r="I115" s="301"/>
      <c r="J115" s="301"/>
      <c r="K115" s="301"/>
      <c r="L115" s="301"/>
      <c r="M115" s="301"/>
      <c r="N115" s="301"/>
      <c r="O115" s="301"/>
      <c r="P115" s="301"/>
      <c r="Q115" s="301"/>
      <c r="R115" s="301"/>
      <c r="S115" s="301"/>
      <c r="T115" s="301"/>
      <c r="U115" s="301"/>
      <c r="V115" s="301"/>
      <c r="W115" s="301"/>
      <c r="X115" s="301"/>
      <c r="Y115" s="301"/>
      <c r="Z115" s="301"/>
    </row>
    <row r="116" spans="1:26" ht="11.25" customHeight="1">
      <c r="A116" s="301"/>
      <c r="B116" s="301"/>
      <c r="C116" s="301"/>
      <c r="D116" s="301"/>
      <c r="E116" s="301"/>
      <c r="F116" s="301"/>
      <c r="G116" s="301"/>
      <c r="H116" s="301"/>
      <c r="I116" s="301"/>
      <c r="J116" s="301"/>
      <c r="K116" s="301"/>
      <c r="L116" s="301"/>
      <c r="M116" s="301"/>
      <c r="N116" s="301"/>
      <c r="O116" s="301"/>
      <c r="P116" s="301"/>
      <c r="Q116" s="301"/>
      <c r="R116" s="301"/>
      <c r="S116" s="301"/>
      <c r="T116" s="301"/>
      <c r="U116" s="301"/>
      <c r="V116" s="301"/>
      <c r="W116" s="301"/>
      <c r="X116" s="301"/>
      <c r="Y116" s="301"/>
      <c r="Z116" s="301"/>
    </row>
    <row r="117" spans="1:26" ht="11.25" customHeight="1">
      <c r="A117" s="301"/>
      <c r="B117" s="301"/>
      <c r="C117" s="301"/>
      <c r="D117" s="301"/>
      <c r="E117" s="301"/>
      <c r="F117" s="301"/>
      <c r="G117" s="301"/>
      <c r="H117" s="301"/>
      <c r="I117" s="301"/>
      <c r="J117" s="301"/>
      <c r="K117" s="301"/>
      <c r="L117" s="301"/>
      <c r="M117" s="301"/>
      <c r="N117" s="301"/>
      <c r="O117" s="301"/>
      <c r="P117" s="301"/>
      <c r="Q117" s="301"/>
      <c r="R117" s="301"/>
      <c r="S117" s="301"/>
      <c r="T117" s="301"/>
      <c r="U117" s="301"/>
      <c r="V117" s="301"/>
      <c r="W117" s="301"/>
      <c r="X117" s="301"/>
      <c r="Y117" s="301"/>
      <c r="Z117" s="301"/>
    </row>
    <row r="118" spans="1:26" ht="11.25" customHeight="1">
      <c r="A118" s="301"/>
      <c r="B118" s="301"/>
      <c r="C118" s="301"/>
      <c r="D118" s="301"/>
      <c r="E118" s="301"/>
      <c r="F118" s="301"/>
      <c r="G118" s="301"/>
      <c r="H118" s="301"/>
      <c r="I118" s="301"/>
      <c r="J118" s="301"/>
      <c r="K118" s="301"/>
      <c r="L118" s="301"/>
      <c r="M118" s="301"/>
      <c r="N118" s="301"/>
      <c r="O118" s="301"/>
      <c r="P118" s="301"/>
      <c r="Q118" s="301"/>
      <c r="R118" s="301"/>
      <c r="S118" s="301"/>
      <c r="T118" s="301"/>
      <c r="U118" s="301"/>
      <c r="V118" s="301"/>
      <c r="W118" s="301"/>
      <c r="X118" s="301"/>
      <c r="Y118" s="301"/>
      <c r="Z118" s="301"/>
    </row>
    <row r="119" spans="1:26" ht="11.25" customHeight="1">
      <c r="A119" s="301"/>
      <c r="B119" s="301"/>
      <c r="C119" s="301"/>
      <c r="D119" s="301"/>
      <c r="E119" s="301"/>
      <c r="F119" s="301"/>
      <c r="G119" s="301"/>
      <c r="H119" s="301"/>
      <c r="I119" s="301"/>
      <c r="J119" s="301"/>
      <c r="K119" s="301"/>
      <c r="L119" s="301"/>
      <c r="M119" s="301"/>
      <c r="N119" s="301"/>
      <c r="O119" s="301"/>
      <c r="P119" s="301"/>
      <c r="Q119" s="301"/>
      <c r="R119" s="301"/>
      <c r="S119" s="301"/>
      <c r="T119" s="301"/>
      <c r="U119" s="301"/>
      <c r="V119" s="301"/>
      <c r="W119" s="301"/>
      <c r="X119" s="301"/>
      <c r="Y119" s="301"/>
      <c r="Z119" s="301"/>
    </row>
    <row r="120" spans="1:26" ht="11.25" customHeight="1">
      <c r="A120" s="301"/>
      <c r="B120" s="301"/>
      <c r="C120" s="301"/>
      <c r="D120" s="301"/>
      <c r="E120" s="301"/>
      <c r="F120" s="301"/>
      <c r="G120" s="301"/>
      <c r="H120" s="301"/>
      <c r="I120" s="301"/>
      <c r="J120" s="301"/>
      <c r="K120" s="301"/>
      <c r="L120" s="301"/>
      <c r="M120" s="301"/>
      <c r="N120" s="301"/>
      <c r="O120" s="301"/>
      <c r="P120" s="301"/>
      <c r="Q120" s="301"/>
      <c r="R120" s="301"/>
      <c r="S120" s="301"/>
      <c r="T120" s="301"/>
      <c r="U120" s="301"/>
      <c r="V120" s="301"/>
      <c r="W120" s="301"/>
      <c r="X120" s="301"/>
      <c r="Y120" s="301"/>
      <c r="Z120" s="301"/>
    </row>
    <row r="121" spans="1:26" ht="11.25" customHeight="1">
      <c r="A121" s="301"/>
      <c r="B121" s="301"/>
      <c r="C121" s="301"/>
      <c r="D121" s="301"/>
      <c r="E121" s="301"/>
      <c r="F121" s="301"/>
      <c r="G121" s="301"/>
      <c r="H121" s="301"/>
      <c r="I121" s="301"/>
      <c r="J121" s="301"/>
      <c r="K121" s="301"/>
      <c r="L121" s="301"/>
      <c r="M121" s="301"/>
      <c r="N121" s="301"/>
      <c r="O121" s="301"/>
      <c r="P121" s="301"/>
      <c r="Q121" s="301"/>
      <c r="R121" s="301"/>
      <c r="S121" s="301"/>
      <c r="T121" s="301"/>
      <c r="U121" s="301"/>
      <c r="V121" s="301"/>
      <c r="W121" s="301"/>
      <c r="X121" s="301"/>
      <c r="Y121" s="301"/>
      <c r="Z121" s="301"/>
    </row>
    <row r="122" spans="1:26" ht="11.25" customHeight="1">
      <c r="A122" s="301"/>
      <c r="B122" s="301"/>
      <c r="C122" s="301"/>
      <c r="D122" s="301"/>
      <c r="E122" s="301"/>
      <c r="F122" s="301"/>
      <c r="G122" s="301"/>
      <c r="H122" s="301"/>
      <c r="I122" s="301"/>
      <c r="J122" s="301"/>
      <c r="K122" s="301"/>
      <c r="L122" s="301"/>
      <c r="M122" s="301"/>
      <c r="N122" s="301"/>
      <c r="O122" s="301"/>
      <c r="P122" s="301"/>
      <c r="Q122" s="301"/>
      <c r="R122" s="301"/>
      <c r="S122" s="301"/>
      <c r="T122" s="301"/>
      <c r="U122" s="301"/>
      <c r="V122" s="301"/>
      <c r="W122" s="301"/>
      <c r="X122" s="301"/>
      <c r="Y122" s="301"/>
      <c r="Z122" s="301"/>
    </row>
    <row r="123" spans="1:26" ht="11.25" customHeight="1">
      <c r="A123" s="301"/>
      <c r="B123" s="301"/>
      <c r="C123" s="301"/>
      <c r="D123" s="301"/>
      <c r="E123" s="301"/>
      <c r="F123" s="301"/>
      <c r="G123" s="301"/>
      <c r="H123" s="301"/>
      <c r="I123" s="301"/>
      <c r="J123" s="301"/>
      <c r="K123" s="301"/>
      <c r="L123" s="301"/>
      <c r="M123" s="301"/>
      <c r="N123" s="301"/>
      <c r="O123" s="301"/>
      <c r="P123" s="301"/>
      <c r="Q123" s="301"/>
      <c r="R123" s="301"/>
      <c r="S123" s="301"/>
      <c r="T123" s="301"/>
      <c r="U123" s="301"/>
      <c r="V123" s="301"/>
      <c r="W123" s="301"/>
      <c r="X123" s="301"/>
      <c r="Y123" s="301"/>
      <c r="Z123" s="301"/>
    </row>
    <row r="124" spans="1:26" ht="11.25" customHeight="1">
      <c r="A124" s="301"/>
      <c r="B124" s="301"/>
      <c r="C124" s="301"/>
      <c r="D124" s="301"/>
      <c r="E124" s="301"/>
      <c r="F124" s="301"/>
      <c r="G124" s="301"/>
      <c r="H124" s="301"/>
      <c r="I124" s="301"/>
      <c r="J124" s="301"/>
      <c r="K124" s="301"/>
      <c r="L124" s="301"/>
      <c r="M124" s="301"/>
      <c r="N124" s="301"/>
      <c r="O124" s="301"/>
      <c r="P124" s="301"/>
      <c r="Q124" s="301"/>
      <c r="R124" s="301"/>
      <c r="S124" s="301"/>
      <c r="T124" s="301"/>
      <c r="U124" s="301"/>
      <c r="V124" s="301"/>
      <c r="W124" s="301"/>
      <c r="X124" s="301"/>
      <c r="Y124" s="301"/>
      <c r="Z124" s="301"/>
    </row>
    <row r="125" spans="1:26" ht="11.25" customHeight="1">
      <c r="A125" s="301"/>
      <c r="B125" s="301"/>
      <c r="C125" s="301"/>
      <c r="D125" s="301"/>
      <c r="E125" s="301"/>
      <c r="F125" s="301"/>
      <c r="G125" s="301"/>
      <c r="H125" s="301"/>
      <c r="I125" s="301"/>
      <c r="J125" s="301"/>
      <c r="K125" s="301"/>
      <c r="L125" s="301"/>
      <c r="M125" s="301"/>
      <c r="N125" s="301"/>
      <c r="O125" s="301"/>
      <c r="P125" s="301"/>
      <c r="Q125" s="301"/>
      <c r="R125" s="301"/>
      <c r="S125" s="301"/>
      <c r="T125" s="301"/>
      <c r="U125" s="301"/>
      <c r="V125" s="301"/>
      <c r="W125" s="301"/>
      <c r="X125" s="301"/>
      <c r="Y125" s="301"/>
      <c r="Z125" s="301"/>
    </row>
    <row r="126" spans="1:26" ht="11.25" customHeight="1">
      <c r="A126" s="301"/>
      <c r="B126" s="301"/>
      <c r="C126" s="301"/>
      <c r="D126" s="301"/>
      <c r="E126" s="301"/>
      <c r="F126" s="301"/>
      <c r="G126" s="301"/>
      <c r="H126" s="301"/>
      <c r="I126" s="301"/>
      <c r="J126" s="301"/>
      <c r="K126" s="301"/>
      <c r="L126" s="301"/>
      <c r="M126" s="301"/>
      <c r="N126" s="301"/>
      <c r="O126" s="301"/>
      <c r="P126" s="301"/>
      <c r="Q126" s="301"/>
      <c r="R126" s="301"/>
      <c r="S126" s="301"/>
      <c r="T126" s="301"/>
      <c r="U126" s="301"/>
      <c r="V126" s="301"/>
      <c r="W126" s="301"/>
      <c r="X126" s="301"/>
      <c r="Y126" s="301"/>
      <c r="Z126" s="301"/>
    </row>
    <row r="127" spans="1:26" ht="11.25" customHeight="1">
      <c r="A127" s="301"/>
      <c r="B127" s="301"/>
      <c r="C127" s="301"/>
      <c r="D127" s="301"/>
      <c r="E127" s="301"/>
      <c r="F127" s="301"/>
      <c r="G127" s="301"/>
      <c r="H127" s="301"/>
      <c r="I127" s="301"/>
      <c r="J127" s="301"/>
      <c r="K127" s="301"/>
      <c r="L127" s="301"/>
      <c r="M127" s="301"/>
      <c r="N127" s="301"/>
      <c r="O127" s="301"/>
      <c r="P127" s="301"/>
      <c r="Q127" s="301"/>
      <c r="R127" s="301"/>
      <c r="S127" s="301"/>
      <c r="T127" s="301"/>
      <c r="U127" s="301"/>
      <c r="V127" s="301"/>
      <c r="W127" s="301"/>
      <c r="X127" s="301"/>
      <c r="Y127" s="301"/>
      <c r="Z127" s="301"/>
    </row>
    <row r="128" spans="1:26" ht="11.25" customHeight="1">
      <c r="A128" s="301"/>
      <c r="B128" s="301"/>
      <c r="C128" s="301"/>
      <c r="D128" s="301"/>
      <c r="E128" s="301"/>
      <c r="F128" s="301"/>
      <c r="G128" s="301"/>
      <c r="H128" s="301"/>
      <c r="I128" s="301"/>
      <c r="J128" s="301"/>
      <c r="K128" s="301"/>
      <c r="L128" s="301"/>
      <c r="M128" s="301"/>
      <c r="N128" s="301"/>
      <c r="O128" s="301"/>
      <c r="P128" s="301"/>
      <c r="Q128" s="301"/>
      <c r="R128" s="301"/>
      <c r="S128" s="301"/>
      <c r="T128" s="301"/>
      <c r="U128" s="301"/>
      <c r="V128" s="301"/>
      <c r="W128" s="301"/>
      <c r="X128" s="301"/>
      <c r="Y128" s="301"/>
      <c r="Z128" s="301"/>
    </row>
    <row r="129" spans="1:26" ht="11.25" customHeight="1">
      <c r="A129" s="301"/>
      <c r="B129" s="301"/>
      <c r="C129" s="301"/>
      <c r="D129" s="301"/>
      <c r="E129" s="301"/>
      <c r="F129" s="301"/>
      <c r="G129" s="301"/>
      <c r="H129" s="301"/>
      <c r="I129" s="301"/>
      <c r="J129" s="301"/>
      <c r="K129" s="301"/>
      <c r="L129" s="301"/>
      <c r="M129" s="301"/>
      <c r="N129" s="301"/>
      <c r="O129" s="301"/>
      <c r="P129" s="301"/>
      <c r="Q129" s="301"/>
      <c r="R129" s="301"/>
      <c r="S129" s="301"/>
      <c r="T129" s="301"/>
      <c r="U129" s="301"/>
      <c r="V129" s="301"/>
      <c r="W129" s="301"/>
      <c r="X129" s="301"/>
      <c r="Y129" s="301"/>
      <c r="Z129" s="301"/>
    </row>
    <row r="130" spans="1:26" ht="11.25" customHeight="1">
      <c r="A130" s="301"/>
      <c r="B130" s="301"/>
      <c r="C130" s="301"/>
      <c r="D130" s="301"/>
      <c r="E130" s="301"/>
      <c r="F130" s="301"/>
      <c r="G130" s="301"/>
      <c r="H130" s="301"/>
      <c r="I130" s="301"/>
      <c r="J130" s="301"/>
      <c r="K130" s="301"/>
      <c r="L130" s="301"/>
      <c r="M130" s="301"/>
      <c r="N130" s="301"/>
      <c r="O130" s="301"/>
      <c r="P130" s="301"/>
      <c r="Q130" s="301"/>
      <c r="R130" s="301"/>
      <c r="S130" s="301"/>
      <c r="T130" s="301"/>
      <c r="U130" s="301"/>
      <c r="V130" s="301"/>
      <c r="W130" s="301"/>
      <c r="X130" s="301"/>
      <c r="Y130" s="301"/>
      <c r="Z130" s="301"/>
    </row>
    <row r="131" spans="1:26" ht="11.25" customHeight="1">
      <c r="A131" s="301"/>
      <c r="B131" s="301"/>
      <c r="C131" s="301"/>
      <c r="D131" s="301"/>
      <c r="E131" s="301"/>
      <c r="F131" s="301"/>
      <c r="G131" s="301"/>
      <c r="H131" s="301"/>
      <c r="I131" s="301"/>
      <c r="J131" s="301"/>
      <c r="K131" s="301"/>
      <c r="L131" s="301"/>
      <c r="M131" s="301"/>
      <c r="N131" s="301"/>
      <c r="O131" s="301"/>
      <c r="P131" s="301"/>
      <c r="Q131" s="301"/>
      <c r="R131" s="301"/>
      <c r="S131" s="301"/>
      <c r="T131" s="301"/>
      <c r="U131" s="301"/>
      <c r="V131" s="301"/>
      <c r="W131" s="301"/>
      <c r="X131" s="301"/>
      <c r="Y131" s="301"/>
      <c r="Z131" s="301"/>
    </row>
    <row r="132" spans="1:26" ht="11.25" customHeight="1">
      <c r="A132" s="301"/>
      <c r="B132" s="301"/>
      <c r="C132" s="301"/>
      <c r="D132" s="301"/>
      <c r="E132" s="301"/>
      <c r="F132" s="301"/>
      <c r="G132" s="301"/>
      <c r="H132" s="301"/>
      <c r="I132" s="301"/>
      <c r="J132" s="301"/>
      <c r="K132" s="301"/>
      <c r="L132" s="301"/>
      <c r="M132" s="301"/>
      <c r="N132" s="301"/>
      <c r="O132" s="301"/>
      <c r="P132" s="301"/>
      <c r="Q132" s="301"/>
      <c r="R132" s="301"/>
      <c r="S132" s="301"/>
      <c r="T132" s="301"/>
      <c r="U132" s="301"/>
      <c r="V132" s="301"/>
      <c r="W132" s="301"/>
      <c r="X132" s="301"/>
      <c r="Y132" s="301"/>
      <c r="Z132" s="301"/>
    </row>
    <row r="133" spans="1:26" ht="11.25" customHeight="1">
      <c r="A133" s="301"/>
      <c r="B133" s="301"/>
      <c r="C133" s="301"/>
      <c r="D133" s="301"/>
      <c r="E133" s="301"/>
      <c r="F133" s="301"/>
      <c r="G133" s="301"/>
      <c r="H133" s="301"/>
      <c r="I133" s="301"/>
      <c r="J133" s="301"/>
      <c r="K133" s="301"/>
      <c r="L133" s="301"/>
      <c r="M133" s="301"/>
      <c r="N133" s="301"/>
      <c r="O133" s="301"/>
      <c r="P133" s="301"/>
      <c r="Q133" s="301"/>
      <c r="R133" s="301"/>
      <c r="S133" s="301"/>
      <c r="T133" s="301"/>
      <c r="U133" s="301"/>
      <c r="V133" s="301"/>
      <c r="W133" s="301"/>
      <c r="X133" s="301"/>
      <c r="Y133" s="301"/>
      <c r="Z133" s="301"/>
    </row>
    <row r="134" spans="1:26" ht="11.25" customHeight="1">
      <c r="A134" s="301"/>
      <c r="B134" s="301"/>
      <c r="C134" s="301"/>
      <c r="D134" s="301"/>
      <c r="E134" s="301"/>
      <c r="F134" s="301"/>
      <c r="G134" s="301"/>
      <c r="H134" s="301"/>
      <c r="I134" s="301"/>
      <c r="J134" s="301"/>
      <c r="K134" s="301"/>
      <c r="L134" s="301"/>
      <c r="M134" s="301"/>
      <c r="N134" s="301"/>
      <c r="O134" s="301"/>
      <c r="P134" s="301"/>
      <c r="Q134" s="301"/>
      <c r="R134" s="301"/>
      <c r="S134" s="301"/>
      <c r="T134" s="301"/>
      <c r="U134" s="301"/>
      <c r="V134" s="301"/>
      <c r="W134" s="301"/>
      <c r="X134" s="301"/>
      <c r="Y134" s="301"/>
      <c r="Z134" s="301"/>
    </row>
    <row r="135" spans="1:26" ht="11.25" customHeight="1">
      <c r="A135" s="301"/>
      <c r="B135" s="301"/>
      <c r="C135" s="301"/>
      <c r="D135" s="301"/>
      <c r="E135" s="301"/>
      <c r="F135" s="301"/>
      <c r="G135" s="301"/>
      <c r="H135" s="301"/>
      <c r="I135" s="301"/>
      <c r="J135" s="301"/>
      <c r="K135" s="301"/>
      <c r="L135" s="301"/>
      <c r="M135" s="301"/>
      <c r="N135" s="301"/>
      <c r="O135" s="301"/>
      <c r="P135" s="301"/>
      <c r="Q135" s="301"/>
      <c r="R135" s="301"/>
      <c r="S135" s="301"/>
      <c r="T135" s="301"/>
      <c r="U135" s="301"/>
      <c r="V135" s="301"/>
      <c r="W135" s="301"/>
      <c r="X135" s="301"/>
      <c r="Y135" s="301"/>
      <c r="Z135" s="301"/>
    </row>
    <row r="136" spans="1:26" ht="11.25" customHeight="1">
      <c r="A136" s="301"/>
      <c r="B136" s="301"/>
      <c r="C136" s="301"/>
      <c r="D136" s="301"/>
      <c r="E136" s="301"/>
      <c r="F136" s="301"/>
      <c r="G136" s="301"/>
      <c r="H136" s="301"/>
      <c r="I136" s="301"/>
      <c r="J136" s="301"/>
      <c r="K136" s="301"/>
      <c r="L136" s="301"/>
      <c r="M136" s="301"/>
      <c r="N136" s="301"/>
      <c r="O136" s="301"/>
      <c r="P136" s="301"/>
      <c r="Q136" s="301"/>
      <c r="R136" s="301"/>
      <c r="S136" s="301"/>
      <c r="T136" s="301"/>
      <c r="U136" s="301"/>
      <c r="V136" s="301"/>
      <c r="W136" s="301"/>
      <c r="X136" s="301"/>
      <c r="Y136" s="301"/>
      <c r="Z136" s="301"/>
    </row>
    <row r="137" spans="1:26" ht="11.25" customHeight="1">
      <c r="A137" s="301"/>
      <c r="B137" s="301"/>
      <c r="C137" s="301"/>
      <c r="D137" s="301"/>
      <c r="E137" s="301"/>
      <c r="F137" s="301"/>
      <c r="G137" s="301"/>
      <c r="H137" s="301"/>
      <c r="I137" s="301"/>
      <c r="J137" s="301"/>
      <c r="K137" s="301"/>
      <c r="L137" s="301"/>
      <c r="M137" s="301"/>
      <c r="N137" s="301"/>
      <c r="O137" s="301"/>
      <c r="P137" s="301"/>
      <c r="Q137" s="301"/>
      <c r="R137" s="301"/>
      <c r="S137" s="301"/>
      <c r="T137" s="301"/>
      <c r="U137" s="301"/>
      <c r="V137" s="301"/>
      <c r="W137" s="301"/>
      <c r="X137" s="301"/>
      <c r="Y137" s="301"/>
      <c r="Z137" s="301"/>
    </row>
    <row r="138" spans="1:26" ht="11.25" customHeight="1">
      <c r="A138" s="301"/>
      <c r="B138" s="301"/>
      <c r="C138" s="301"/>
      <c r="D138" s="301"/>
      <c r="E138" s="301"/>
      <c r="F138" s="301"/>
      <c r="G138" s="301"/>
      <c r="H138" s="301"/>
      <c r="I138" s="301"/>
      <c r="J138" s="301"/>
      <c r="K138" s="301"/>
      <c r="L138" s="301"/>
      <c r="M138" s="301"/>
      <c r="N138" s="301"/>
      <c r="O138" s="301"/>
      <c r="P138" s="301"/>
      <c r="Q138" s="301"/>
      <c r="R138" s="301"/>
      <c r="S138" s="301"/>
      <c r="T138" s="301"/>
      <c r="U138" s="301"/>
      <c r="V138" s="301"/>
      <c r="W138" s="301"/>
      <c r="X138" s="301"/>
      <c r="Y138" s="301"/>
      <c r="Z138" s="301"/>
    </row>
    <row r="139" spans="1:26" ht="11.25" customHeight="1">
      <c r="A139" s="301"/>
      <c r="B139" s="301"/>
      <c r="C139" s="301"/>
      <c r="D139" s="301"/>
      <c r="E139" s="301"/>
      <c r="F139" s="301"/>
      <c r="G139" s="301"/>
      <c r="H139" s="301"/>
      <c r="I139" s="301"/>
      <c r="J139" s="301"/>
      <c r="K139" s="301"/>
      <c r="L139" s="301"/>
      <c r="M139" s="301"/>
      <c r="N139" s="301"/>
      <c r="O139" s="301"/>
      <c r="P139" s="301"/>
      <c r="Q139" s="301"/>
      <c r="R139" s="301"/>
      <c r="S139" s="301"/>
      <c r="T139" s="301"/>
      <c r="U139" s="301"/>
      <c r="V139" s="301"/>
      <c r="W139" s="301"/>
      <c r="X139" s="301"/>
      <c r="Y139" s="301"/>
      <c r="Z139" s="301"/>
    </row>
    <row r="140" spans="1:26" ht="11.25" customHeight="1">
      <c r="A140" s="301"/>
      <c r="B140" s="301"/>
      <c r="C140" s="301"/>
      <c r="D140" s="301"/>
      <c r="E140" s="301"/>
      <c r="F140" s="301"/>
      <c r="G140" s="301"/>
      <c r="H140" s="301"/>
      <c r="I140" s="301"/>
      <c r="J140" s="301"/>
      <c r="K140" s="301"/>
      <c r="L140" s="301"/>
      <c r="M140" s="301"/>
      <c r="N140" s="301"/>
      <c r="O140" s="301"/>
      <c r="P140" s="301"/>
      <c r="Q140" s="301"/>
      <c r="R140" s="301"/>
      <c r="S140" s="301"/>
      <c r="T140" s="301"/>
      <c r="U140" s="301"/>
      <c r="V140" s="301"/>
      <c r="W140" s="301"/>
      <c r="X140" s="301"/>
      <c r="Y140" s="301"/>
      <c r="Z140" s="301"/>
    </row>
    <row r="141" spans="1:26" ht="11.25" customHeight="1">
      <c r="A141" s="301"/>
      <c r="B141" s="301"/>
      <c r="C141" s="301"/>
      <c r="D141" s="301"/>
      <c r="E141" s="301"/>
      <c r="F141" s="301"/>
      <c r="G141" s="301"/>
      <c r="H141" s="301"/>
      <c r="I141" s="301"/>
      <c r="J141" s="301"/>
      <c r="K141" s="301"/>
      <c r="L141" s="301"/>
      <c r="M141" s="301"/>
      <c r="N141" s="301"/>
      <c r="O141" s="301"/>
      <c r="P141" s="301"/>
      <c r="Q141" s="301"/>
      <c r="R141" s="301"/>
      <c r="S141" s="301"/>
      <c r="T141" s="301"/>
      <c r="U141" s="301"/>
      <c r="V141" s="301"/>
      <c r="W141" s="301"/>
      <c r="X141" s="301"/>
      <c r="Y141" s="301"/>
      <c r="Z141" s="301"/>
    </row>
    <row r="142" spans="1:26" ht="11.25" customHeight="1">
      <c r="A142" s="301"/>
      <c r="B142" s="301"/>
      <c r="C142" s="301"/>
      <c r="D142" s="301"/>
      <c r="E142" s="301"/>
      <c r="F142" s="301"/>
      <c r="G142" s="301"/>
      <c r="H142" s="301"/>
      <c r="I142" s="301"/>
      <c r="J142" s="301"/>
      <c r="K142" s="301"/>
      <c r="L142" s="301"/>
      <c r="M142" s="301"/>
      <c r="N142" s="301"/>
      <c r="O142" s="301"/>
      <c r="P142" s="301"/>
      <c r="Q142" s="301"/>
      <c r="R142" s="301"/>
      <c r="S142" s="301"/>
      <c r="T142" s="301"/>
      <c r="U142" s="301"/>
      <c r="V142" s="301"/>
      <c r="W142" s="301"/>
      <c r="X142" s="301"/>
      <c r="Y142" s="301"/>
      <c r="Z142" s="301"/>
    </row>
    <row r="143" spans="1:26" ht="11.25" customHeight="1">
      <c r="A143" s="301"/>
      <c r="B143" s="301"/>
      <c r="C143" s="301"/>
      <c r="D143" s="301"/>
      <c r="E143" s="301"/>
      <c r="F143" s="301"/>
      <c r="G143" s="301"/>
      <c r="H143" s="301"/>
      <c r="I143" s="301"/>
      <c r="J143" s="301"/>
      <c r="K143" s="301"/>
      <c r="L143" s="301"/>
      <c r="M143" s="301"/>
      <c r="N143" s="301"/>
      <c r="O143" s="301"/>
      <c r="P143" s="301"/>
      <c r="Q143" s="301"/>
      <c r="R143" s="301"/>
      <c r="S143" s="301"/>
      <c r="T143" s="301"/>
      <c r="U143" s="301"/>
      <c r="V143" s="301"/>
      <c r="W143" s="301"/>
      <c r="X143" s="301"/>
      <c r="Y143" s="301"/>
      <c r="Z143" s="301"/>
    </row>
    <row r="144" spans="1:26" ht="11.25" customHeight="1">
      <c r="A144" s="301"/>
      <c r="B144" s="301"/>
      <c r="C144" s="301"/>
      <c r="D144" s="301"/>
      <c r="E144" s="301"/>
      <c r="F144" s="301"/>
      <c r="G144" s="301"/>
      <c r="H144" s="301"/>
      <c r="I144" s="301"/>
      <c r="J144" s="301"/>
      <c r="K144" s="301"/>
      <c r="L144" s="301"/>
      <c r="M144" s="301"/>
      <c r="N144" s="301"/>
      <c r="O144" s="301"/>
      <c r="P144" s="301"/>
      <c r="Q144" s="301"/>
      <c r="R144" s="301"/>
      <c r="S144" s="301"/>
      <c r="T144" s="301"/>
      <c r="U144" s="301"/>
      <c r="V144" s="301"/>
      <c r="W144" s="301"/>
      <c r="X144" s="301"/>
      <c r="Y144" s="301"/>
      <c r="Z144" s="301"/>
    </row>
    <row r="145" spans="1:26" ht="11.25" customHeight="1">
      <c r="A145" s="301"/>
      <c r="B145" s="301"/>
      <c r="C145" s="301"/>
      <c r="D145" s="301"/>
      <c r="E145" s="301"/>
      <c r="F145" s="301"/>
      <c r="G145" s="301"/>
      <c r="H145" s="301"/>
      <c r="I145" s="301"/>
      <c r="J145" s="301"/>
      <c r="K145" s="301"/>
      <c r="L145" s="301"/>
      <c r="M145" s="301"/>
      <c r="N145" s="301"/>
      <c r="O145" s="301"/>
      <c r="P145" s="301"/>
      <c r="Q145" s="301"/>
      <c r="R145" s="301"/>
      <c r="S145" s="301"/>
      <c r="T145" s="301"/>
      <c r="U145" s="301"/>
      <c r="V145" s="301"/>
      <c r="W145" s="301"/>
      <c r="X145" s="301"/>
      <c r="Y145" s="301"/>
      <c r="Z145" s="301"/>
    </row>
    <row r="146" spans="1:26" ht="11.25" customHeight="1">
      <c r="A146" s="301"/>
      <c r="B146" s="301"/>
      <c r="C146" s="301"/>
      <c r="D146" s="301"/>
      <c r="E146" s="301"/>
      <c r="F146" s="301"/>
      <c r="G146" s="301"/>
      <c r="H146" s="301"/>
      <c r="I146" s="301"/>
      <c r="J146" s="301"/>
      <c r="K146" s="301"/>
      <c r="L146" s="301"/>
      <c r="M146" s="301"/>
      <c r="N146" s="301"/>
      <c r="O146" s="301"/>
      <c r="P146" s="301"/>
      <c r="Q146" s="301"/>
      <c r="R146" s="301"/>
      <c r="S146" s="301"/>
      <c r="T146" s="301"/>
      <c r="U146" s="301"/>
      <c r="V146" s="301"/>
      <c r="W146" s="301"/>
      <c r="X146" s="301"/>
      <c r="Y146" s="301"/>
      <c r="Z146" s="301"/>
    </row>
    <row r="147" spans="1:26" ht="11.25" customHeight="1">
      <c r="A147" s="301"/>
      <c r="B147" s="301"/>
      <c r="C147" s="301"/>
      <c r="D147" s="301"/>
      <c r="E147" s="301"/>
      <c r="F147" s="301"/>
      <c r="G147" s="301"/>
      <c r="H147" s="301"/>
      <c r="I147" s="301"/>
      <c r="J147" s="301"/>
      <c r="K147" s="301"/>
      <c r="L147" s="301"/>
      <c r="M147" s="301"/>
      <c r="N147" s="301"/>
      <c r="O147" s="301"/>
      <c r="P147" s="301"/>
      <c r="Q147" s="301"/>
      <c r="R147" s="301"/>
      <c r="S147" s="301"/>
      <c r="T147" s="301"/>
      <c r="U147" s="301"/>
      <c r="V147" s="301"/>
      <c r="W147" s="301"/>
      <c r="X147" s="301"/>
      <c r="Y147" s="301"/>
      <c r="Z147" s="301"/>
    </row>
    <row r="148" spans="1:26" ht="11.25" customHeight="1">
      <c r="A148" s="301"/>
      <c r="B148" s="301"/>
      <c r="C148" s="301"/>
      <c r="D148" s="301"/>
      <c r="E148" s="301"/>
      <c r="F148" s="301"/>
      <c r="G148" s="301"/>
      <c r="H148" s="301"/>
      <c r="I148" s="301"/>
      <c r="J148" s="301"/>
      <c r="K148" s="301"/>
      <c r="L148" s="301"/>
      <c r="M148" s="301"/>
      <c r="N148" s="301"/>
      <c r="O148" s="301"/>
      <c r="P148" s="301"/>
      <c r="Q148" s="301"/>
      <c r="R148" s="301"/>
      <c r="S148" s="301"/>
      <c r="T148" s="301"/>
      <c r="U148" s="301"/>
      <c r="V148" s="301"/>
      <c r="W148" s="301"/>
      <c r="X148" s="301"/>
      <c r="Y148" s="301"/>
      <c r="Z148" s="301"/>
    </row>
    <row r="149" spans="1:26" ht="11.25" customHeight="1">
      <c r="A149" s="301"/>
      <c r="B149" s="301"/>
      <c r="C149" s="301"/>
      <c r="D149" s="301"/>
      <c r="E149" s="301"/>
      <c r="F149" s="301"/>
      <c r="G149" s="301"/>
      <c r="H149" s="301"/>
      <c r="I149" s="301"/>
      <c r="J149" s="301"/>
      <c r="K149" s="301"/>
      <c r="L149" s="301"/>
      <c r="M149" s="301"/>
      <c r="N149" s="301"/>
      <c r="O149" s="301"/>
      <c r="P149" s="301"/>
      <c r="Q149" s="301"/>
      <c r="R149" s="301"/>
      <c r="S149" s="301"/>
      <c r="T149" s="301"/>
      <c r="U149" s="301"/>
      <c r="V149" s="301"/>
      <c r="W149" s="301"/>
      <c r="X149" s="301"/>
      <c r="Y149" s="301"/>
      <c r="Z149" s="301"/>
    </row>
    <row r="150" spans="1:26" ht="11.25" customHeight="1">
      <c r="A150" s="301"/>
      <c r="B150" s="301"/>
      <c r="C150" s="301"/>
      <c r="D150" s="301"/>
      <c r="E150" s="301"/>
      <c r="F150" s="301"/>
      <c r="G150" s="301"/>
      <c r="H150" s="301"/>
      <c r="I150" s="301"/>
      <c r="J150" s="301"/>
      <c r="K150" s="301"/>
      <c r="L150" s="301"/>
      <c r="M150" s="301"/>
      <c r="N150" s="301"/>
      <c r="O150" s="301"/>
      <c r="P150" s="301"/>
      <c r="Q150" s="301"/>
      <c r="R150" s="301"/>
      <c r="S150" s="301"/>
      <c r="T150" s="301"/>
      <c r="U150" s="301"/>
      <c r="V150" s="301"/>
      <c r="W150" s="301"/>
      <c r="X150" s="301"/>
      <c r="Y150" s="301"/>
      <c r="Z150" s="301"/>
    </row>
    <row r="151" spans="1:26" ht="11.25" customHeight="1">
      <c r="A151" s="301"/>
      <c r="B151" s="301"/>
      <c r="C151" s="301"/>
      <c r="D151" s="301"/>
      <c r="E151" s="301"/>
      <c r="F151" s="301"/>
      <c r="G151" s="301"/>
      <c r="H151" s="301"/>
      <c r="I151" s="301"/>
      <c r="J151" s="301"/>
      <c r="K151" s="301"/>
      <c r="L151" s="301"/>
      <c r="M151" s="301"/>
      <c r="N151" s="301"/>
      <c r="O151" s="301"/>
      <c r="P151" s="301"/>
      <c r="Q151" s="301"/>
      <c r="R151" s="301"/>
      <c r="S151" s="301"/>
      <c r="T151" s="301"/>
      <c r="U151" s="301"/>
      <c r="V151" s="301"/>
      <c r="W151" s="301"/>
      <c r="X151" s="301"/>
      <c r="Y151" s="301"/>
      <c r="Z151" s="301"/>
    </row>
    <row r="152" spans="1:26" ht="11.25" customHeight="1">
      <c r="A152" s="301"/>
      <c r="B152" s="301"/>
      <c r="C152" s="301"/>
      <c r="D152" s="301"/>
      <c r="E152" s="301"/>
      <c r="F152" s="301"/>
      <c r="G152" s="301"/>
      <c r="H152" s="301"/>
      <c r="I152" s="301"/>
      <c r="J152" s="301"/>
      <c r="K152" s="301"/>
      <c r="L152" s="301"/>
      <c r="M152" s="301"/>
      <c r="N152" s="301"/>
      <c r="O152" s="301"/>
      <c r="P152" s="301"/>
      <c r="Q152" s="301"/>
      <c r="R152" s="301"/>
      <c r="S152" s="301"/>
      <c r="T152" s="301"/>
      <c r="U152" s="301"/>
      <c r="V152" s="301"/>
      <c r="W152" s="301"/>
      <c r="X152" s="301"/>
      <c r="Y152" s="301"/>
      <c r="Z152" s="301"/>
    </row>
    <row r="153" spans="1:26" ht="11.25" customHeight="1">
      <c r="A153" s="301"/>
      <c r="B153" s="301"/>
      <c r="C153" s="301"/>
      <c r="D153" s="301"/>
      <c r="E153" s="301"/>
      <c r="F153" s="301"/>
      <c r="G153" s="301"/>
      <c r="H153" s="301"/>
      <c r="I153" s="301"/>
      <c r="J153" s="301"/>
      <c r="K153" s="301"/>
      <c r="L153" s="301"/>
      <c r="M153" s="301"/>
      <c r="N153" s="301"/>
      <c r="O153" s="301"/>
      <c r="P153" s="301"/>
      <c r="Q153" s="301"/>
      <c r="R153" s="301"/>
      <c r="S153" s="301"/>
      <c r="T153" s="301"/>
      <c r="U153" s="301"/>
      <c r="V153" s="301"/>
      <c r="W153" s="301"/>
      <c r="X153" s="301"/>
      <c r="Y153" s="301"/>
      <c r="Z153" s="301"/>
    </row>
    <row r="154" spans="1:26" ht="11.25" customHeight="1">
      <c r="A154" s="301"/>
      <c r="B154" s="301"/>
      <c r="C154" s="301"/>
      <c r="D154" s="301"/>
      <c r="E154" s="301"/>
      <c r="F154" s="301"/>
      <c r="G154" s="301"/>
      <c r="H154" s="301"/>
      <c r="I154" s="301"/>
      <c r="J154" s="301"/>
      <c r="K154" s="301"/>
      <c r="L154" s="301"/>
      <c r="M154" s="301"/>
      <c r="N154" s="301"/>
      <c r="O154" s="301"/>
      <c r="P154" s="301"/>
      <c r="Q154" s="301"/>
      <c r="R154" s="301"/>
      <c r="S154" s="301"/>
      <c r="T154" s="301"/>
      <c r="U154" s="301"/>
      <c r="V154" s="301"/>
      <c r="W154" s="301"/>
      <c r="X154" s="301"/>
      <c r="Y154" s="301"/>
      <c r="Z154" s="301"/>
    </row>
    <row r="155" spans="1:26" ht="11.25" customHeight="1">
      <c r="A155" s="301"/>
      <c r="B155" s="301"/>
      <c r="C155" s="301"/>
      <c r="D155" s="301"/>
      <c r="E155" s="301"/>
      <c r="F155" s="301"/>
      <c r="G155" s="301"/>
      <c r="H155" s="301"/>
      <c r="I155" s="301"/>
      <c r="J155" s="301"/>
      <c r="K155" s="301"/>
      <c r="L155" s="301"/>
      <c r="M155" s="301"/>
      <c r="N155" s="301"/>
      <c r="O155" s="301"/>
      <c r="P155" s="301"/>
      <c r="Q155" s="301"/>
      <c r="R155" s="301"/>
      <c r="S155" s="301"/>
      <c r="T155" s="301"/>
      <c r="U155" s="301"/>
      <c r="V155" s="301"/>
      <c r="W155" s="301"/>
      <c r="X155" s="301"/>
      <c r="Y155" s="301"/>
      <c r="Z155" s="301"/>
    </row>
    <row r="156" spans="1:26" ht="11.25" customHeight="1">
      <c r="A156" s="301"/>
      <c r="B156" s="301"/>
      <c r="C156" s="301"/>
      <c r="D156" s="301"/>
      <c r="E156" s="301"/>
      <c r="F156" s="301"/>
      <c r="G156" s="301"/>
      <c r="H156" s="301"/>
      <c r="I156" s="301"/>
      <c r="J156" s="301"/>
      <c r="K156" s="301"/>
      <c r="L156" s="301"/>
      <c r="M156" s="301"/>
      <c r="N156" s="301"/>
      <c r="O156" s="301"/>
      <c r="P156" s="301"/>
      <c r="Q156" s="301"/>
      <c r="R156" s="301"/>
      <c r="S156" s="301"/>
      <c r="T156" s="301"/>
      <c r="U156" s="301"/>
      <c r="V156" s="301"/>
      <c r="W156" s="301"/>
      <c r="X156" s="301"/>
      <c r="Y156" s="301"/>
      <c r="Z156" s="301"/>
    </row>
    <row r="157" spans="1:26" ht="11.25" customHeight="1">
      <c r="A157" s="301"/>
      <c r="B157" s="301"/>
      <c r="C157" s="301"/>
      <c r="D157" s="301"/>
      <c r="E157" s="301"/>
      <c r="F157" s="301"/>
      <c r="G157" s="301"/>
      <c r="H157" s="301"/>
      <c r="I157" s="301"/>
      <c r="J157" s="301"/>
      <c r="K157" s="301"/>
      <c r="L157" s="301"/>
      <c r="M157" s="301"/>
      <c r="N157" s="301"/>
      <c r="O157" s="301"/>
      <c r="P157" s="301"/>
      <c r="Q157" s="301"/>
      <c r="R157" s="301"/>
      <c r="S157" s="301"/>
      <c r="T157" s="301"/>
      <c r="U157" s="301"/>
      <c r="V157" s="301"/>
      <c r="W157" s="301"/>
      <c r="X157" s="301"/>
      <c r="Y157" s="301"/>
      <c r="Z157" s="301"/>
    </row>
    <row r="158" spans="1:26" ht="11.25" customHeight="1">
      <c r="A158" s="301"/>
      <c r="B158" s="301"/>
      <c r="C158" s="301"/>
      <c r="D158" s="301"/>
      <c r="E158" s="301"/>
      <c r="F158" s="301"/>
      <c r="G158" s="301"/>
      <c r="H158" s="301"/>
      <c r="I158" s="301"/>
      <c r="J158" s="301"/>
      <c r="K158" s="301"/>
      <c r="L158" s="301"/>
      <c r="M158" s="301"/>
      <c r="N158" s="301"/>
      <c r="O158" s="301"/>
      <c r="P158" s="301"/>
      <c r="Q158" s="301"/>
      <c r="R158" s="301"/>
      <c r="S158" s="301"/>
      <c r="T158" s="301"/>
      <c r="U158" s="301"/>
      <c r="V158" s="301"/>
      <c r="W158" s="301"/>
      <c r="X158" s="301"/>
      <c r="Y158" s="301"/>
      <c r="Z158" s="301"/>
    </row>
    <row r="159" spans="1:26" ht="11.25" customHeight="1">
      <c r="A159" s="301"/>
      <c r="B159" s="301"/>
      <c r="C159" s="301"/>
      <c r="D159" s="301"/>
      <c r="E159" s="301"/>
      <c r="F159" s="301"/>
      <c r="G159" s="301"/>
      <c r="H159" s="301"/>
      <c r="I159" s="301"/>
      <c r="J159" s="301"/>
      <c r="K159" s="301"/>
      <c r="L159" s="301"/>
      <c r="M159" s="301"/>
      <c r="N159" s="301"/>
      <c r="O159" s="301"/>
      <c r="P159" s="301"/>
      <c r="Q159" s="301"/>
      <c r="R159" s="301"/>
      <c r="S159" s="301"/>
      <c r="T159" s="301"/>
      <c r="U159" s="301"/>
      <c r="V159" s="301"/>
      <c r="W159" s="301"/>
      <c r="X159" s="301"/>
      <c r="Y159" s="301"/>
      <c r="Z159" s="301"/>
    </row>
    <row r="160" spans="1:26" ht="11.25" customHeight="1">
      <c r="A160" s="301"/>
      <c r="B160" s="301"/>
      <c r="C160" s="301"/>
      <c r="D160" s="301"/>
      <c r="E160" s="301"/>
      <c r="F160" s="301"/>
      <c r="G160" s="301"/>
      <c r="H160" s="301"/>
      <c r="I160" s="301"/>
      <c r="J160" s="301"/>
      <c r="K160" s="301"/>
      <c r="L160" s="301"/>
      <c r="M160" s="301"/>
      <c r="N160" s="301"/>
      <c r="O160" s="301"/>
      <c r="P160" s="301"/>
      <c r="Q160" s="301"/>
      <c r="R160" s="301"/>
      <c r="S160" s="301"/>
      <c r="T160" s="301"/>
      <c r="U160" s="301"/>
      <c r="V160" s="301"/>
      <c r="W160" s="301"/>
      <c r="X160" s="301"/>
      <c r="Y160" s="301"/>
      <c r="Z160" s="301"/>
    </row>
    <row r="161" spans="1:26" ht="11.25" customHeight="1">
      <c r="A161" s="301"/>
      <c r="B161" s="301"/>
      <c r="C161" s="301"/>
      <c r="D161" s="301"/>
      <c r="E161" s="301"/>
      <c r="F161" s="301"/>
      <c r="G161" s="301"/>
      <c r="H161" s="301"/>
      <c r="I161" s="301"/>
      <c r="J161" s="301"/>
      <c r="K161" s="301"/>
      <c r="L161" s="301"/>
      <c r="M161" s="301"/>
      <c r="N161" s="301"/>
      <c r="O161" s="301"/>
      <c r="P161" s="301"/>
      <c r="Q161" s="301"/>
      <c r="R161" s="301"/>
      <c r="S161" s="301"/>
      <c r="T161" s="301"/>
      <c r="U161" s="301"/>
      <c r="V161" s="301"/>
      <c r="W161" s="301"/>
      <c r="X161" s="301"/>
      <c r="Y161" s="301"/>
      <c r="Z161" s="301"/>
    </row>
    <row r="162" spans="1:26" ht="11.25" customHeight="1">
      <c r="A162" s="301"/>
      <c r="B162" s="301"/>
      <c r="C162" s="301"/>
      <c r="D162" s="301"/>
      <c r="E162" s="301"/>
      <c r="F162" s="301"/>
      <c r="G162" s="301"/>
      <c r="H162" s="301"/>
      <c r="I162" s="301"/>
      <c r="J162" s="301"/>
      <c r="K162" s="301"/>
      <c r="L162" s="301"/>
      <c r="M162" s="301"/>
      <c r="N162" s="301"/>
      <c r="O162" s="301"/>
      <c r="P162" s="301"/>
      <c r="Q162" s="301"/>
      <c r="R162" s="301"/>
      <c r="S162" s="301"/>
      <c r="T162" s="301"/>
      <c r="U162" s="301"/>
      <c r="V162" s="301"/>
      <c r="W162" s="301"/>
      <c r="X162" s="301"/>
      <c r="Y162" s="301"/>
      <c r="Z162" s="301"/>
    </row>
    <row r="163" spans="1:26" ht="11.25" customHeight="1">
      <c r="A163" s="301"/>
      <c r="B163" s="301"/>
      <c r="C163" s="301"/>
      <c r="D163" s="301"/>
      <c r="E163" s="301"/>
      <c r="F163" s="301"/>
      <c r="G163" s="301"/>
      <c r="H163" s="301"/>
      <c r="I163" s="301"/>
      <c r="J163" s="301"/>
      <c r="K163" s="301"/>
      <c r="L163" s="301"/>
      <c r="M163" s="301"/>
      <c r="N163" s="301"/>
      <c r="O163" s="301"/>
      <c r="P163" s="301"/>
      <c r="Q163" s="301"/>
      <c r="R163" s="301"/>
      <c r="S163" s="301"/>
      <c r="T163" s="301"/>
      <c r="U163" s="301"/>
      <c r="V163" s="301"/>
      <c r="W163" s="301"/>
      <c r="X163" s="301"/>
      <c r="Y163" s="301"/>
      <c r="Z163" s="301"/>
    </row>
    <row r="164" spans="1:26" ht="11.25" customHeight="1">
      <c r="A164" s="301"/>
      <c r="B164" s="301"/>
      <c r="C164" s="301"/>
      <c r="D164" s="301"/>
      <c r="E164" s="301"/>
      <c r="F164" s="301"/>
      <c r="G164" s="301"/>
      <c r="H164" s="301"/>
      <c r="I164" s="301"/>
      <c r="J164" s="301"/>
      <c r="K164" s="301"/>
      <c r="L164" s="301"/>
      <c r="M164" s="301"/>
      <c r="N164" s="301"/>
      <c r="O164" s="301"/>
      <c r="P164" s="301"/>
      <c r="Q164" s="301"/>
      <c r="R164" s="301"/>
      <c r="S164" s="301"/>
      <c r="T164" s="301"/>
      <c r="U164" s="301"/>
      <c r="V164" s="301"/>
      <c r="W164" s="301"/>
      <c r="X164" s="301"/>
      <c r="Y164" s="301"/>
      <c r="Z164" s="301"/>
    </row>
    <row r="165" spans="1:26" ht="11.25" customHeight="1">
      <c r="A165" s="301"/>
      <c r="B165" s="301"/>
      <c r="C165" s="301"/>
      <c r="D165" s="301"/>
      <c r="E165" s="301"/>
      <c r="F165" s="301"/>
      <c r="G165" s="301"/>
      <c r="H165" s="301"/>
      <c r="I165" s="301"/>
      <c r="J165" s="301"/>
      <c r="K165" s="301"/>
      <c r="L165" s="301"/>
      <c r="M165" s="301"/>
      <c r="N165" s="301"/>
      <c r="O165" s="301"/>
      <c r="P165" s="301"/>
      <c r="Q165" s="301"/>
      <c r="R165" s="301"/>
      <c r="S165" s="301"/>
      <c r="T165" s="301"/>
      <c r="U165" s="301"/>
      <c r="V165" s="301"/>
      <c r="W165" s="301"/>
      <c r="X165" s="301"/>
      <c r="Y165" s="301"/>
      <c r="Z165" s="301"/>
    </row>
    <row r="166" spans="1:26" ht="11.25" customHeight="1">
      <c r="A166" s="301"/>
      <c r="B166" s="301"/>
      <c r="C166" s="301"/>
      <c r="D166" s="301"/>
      <c r="E166" s="301"/>
      <c r="F166" s="301"/>
      <c r="G166" s="301"/>
      <c r="H166" s="301"/>
      <c r="I166" s="301"/>
      <c r="J166" s="301"/>
      <c r="K166" s="301"/>
      <c r="L166" s="301"/>
      <c r="M166" s="301"/>
      <c r="N166" s="301"/>
      <c r="O166" s="301"/>
      <c r="P166" s="301"/>
      <c r="Q166" s="301"/>
      <c r="R166" s="301"/>
      <c r="S166" s="301"/>
      <c r="T166" s="301"/>
      <c r="U166" s="301"/>
      <c r="V166" s="301"/>
      <c r="W166" s="301"/>
      <c r="X166" s="301"/>
      <c r="Y166" s="301"/>
      <c r="Z166" s="301"/>
    </row>
    <row r="167" spans="1:26" ht="11.25" customHeight="1">
      <c r="A167" s="301"/>
      <c r="B167" s="301"/>
      <c r="C167" s="301"/>
      <c r="D167" s="301"/>
      <c r="E167" s="301"/>
      <c r="F167" s="301"/>
      <c r="G167" s="301"/>
      <c r="H167" s="301"/>
      <c r="I167" s="301"/>
      <c r="J167" s="301"/>
      <c r="K167" s="301"/>
      <c r="L167" s="301"/>
      <c r="M167" s="301"/>
      <c r="N167" s="301"/>
      <c r="O167" s="301"/>
      <c r="P167" s="301"/>
      <c r="Q167" s="301"/>
      <c r="R167" s="301"/>
      <c r="S167" s="301"/>
      <c r="T167" s="301"/>
      <c r="U167" s="301"/>
      <c r="V167" s="301"/>
      <c r="W167" s="301"/>
      <c r="X167" s="301"/>
      <c r="Y167" s="301"/>
      <c r="Z167" s="301"/>
    </row>
    <row r="168" spans="1:26" ht="11.25" customHeight="1">
      <c r="A168" s="301"/>
      <c r="B168" s="301"/>
      <c r="C168" s="301"/>
      <c r="D168" s="301"/>
      <c r="E168" s="301"/>
      <c r="F168" s="301"/>
      <c r="G168" s="301"/>
      <c r="H168" s="301"/>
      <c r="I168" s="301"/>
      <c r="J168" s="301"/>
      <c r="K168" s="301"/>
      <c r="L168" s="301"/>
      <c r="M168" s="301"/>
      <c r="N168" s="301"/>
      <c r="O168" s="301"/>
      <c r="P168" s="301"/>
      <c r="Q168" s="301"/>
      <c r="R168" s="301"/>
      <c r="S168" s="301"/>
      <c r="T168" s="301"/>
      <c r="U168" s="301"/>
      <c r="V168" s="301"/>
      <c r="W168" s="301"/>
      <c r="X168" s="301"/>
      <c r="Y168" s="301"/>
      <c r="Z168" s="301"/>
    </row>
    <row r="169" spans="1:26" ht="11.25" customHeight="1">
      <c r="A169" s="301"/>
      <c r="B169" s="301"/>
      <c r="C169" s="301"/>
      <c r="D169" s="301"/>
      <c r="E169" s="301"/>
      <c r="F169" s="301"/>
      <c r="G169" s="301"/>
      <c r="H169" s="301"/>
      <c r="I169" s="301"/>
      <c r="J169" s="301"/>
      <c r="K169" s="301"/>
      <c r="L169" s="301"/>
      <c r="M169" s="301"/>
      <c r="N169" s="301"/>
      <c r="O169" s="301"/>
      <c r="P169" s="301"/>
      <c r="Q169" s="301"/>
      <c r="R169" s="301"/>
      <c r="S169" s="301"/>
      <c r="T169" s="301"/>
      <c r="U169" s="301"/>
      <c r="V169" s="301"/>
      <c r="W169" s="301"/>
      <c r="X169" s="301"/>
      <c r="Y169" s="301"/>
      <c r="Z169" s="301"/>
    </row>
    <row r="170" spans="1:26" ht="11.25" customHeight="1">
      <c r="A170" s="301"/>
      <c r="B170" s="301"/>
      <c r="C170" s="301"/>
      <c r="D170" s="301"/>
      <c r="E170" s="301"/>
      <c r="F170" s="301"/>
      <c r="G170" s="301"/>
      <c r="H170" s="301"/>
      <c r="I170" s="301"/>
      <c r="J170" s="301"/>
      <c r="K170" s="301"/>
      <c r="L170" s="301"/>
      <c r="M170" s="301"/>
      <c r="N170" s="301"/>
      <c r="O170" s="301"/>
      <c r="P170" s="301"/>
      <c r="Q170" s="301"/>
      <c r="R170" s="301"/>
      <c r="S170" s="301"/>
      <c r="T170" s="301"/>
      <c r="U170" s="301"/>
      <c r="V170" s="301"/>
      <c r="W170" s="301"/>
      <c r="X170" s="301"/>
      <c r="Y170" s="301"/>
      <c r="Z170" s="301"/>
    </row>
    <row r="171" spans="1:26" ht="11.25" customHeight="1">
      <c r="A171" s="301"/>
      <c r="B171" s="301"/>
      <c r="C171" s="301"/>
      <c r="D171" s="301"/>
      <c r="E171" s="301"/>
      <c r="F171" s="301"/>
      <c r="G171" s="301"/>
      <c r="H171" s="301"/>
      <c r="I171" s="301"/>
      <c r="J171" s="301"/>
      <c r="K171" s="301"/>
      <c r="L171" s="301"/>
      <c r="M171" s="301"/>
      <c r="N171" s="301"/>
      <c r="O171" s="301"/>
      <c r="P171" s="301"/>
      <c r="Q171" s="301"/>
      <c r="R171" s="301"/>
      <c r="S171" s="301"/>
      <c r="T171" s="301"/>
      <c r="U171" s="301"/>
      <c r="V171" s="301"/>
      <c r="W171" s="301"/>
      <c r="X171" s="301"/>
      <c r="Y171" s="301"/>
      <c r="Z171" s="301"/>
    </row>
    <row r="172" spans="1:26" ht="11.25" customHeight="1">
      <c r="A172" s="301"/>
      <c r="B172" s="301"/>
      <c r="C172" s="301"/>
      <c r="D172" s="301"/>
      <c r="E172" s="301"/>
      <c r="F172" s="301"/>
      <c r="G172" s="301"/>
      <c r="H172" s="301"/>
      <c r="I172" s="301"/>
      <c r="J172" s="301"/>
      <c r="K172" s="301"/>
      <c r="L172" s="301"/>
      <c r="M172" s="301"/>
      <c r="N172" s="301"/>
      <c r="O172" s="301"/>
      <c r="P172" s="301"/>
      <c r="Q172" s="301"/>
      <c r="R172" s="301"/>
      <c r="S172" s="301"/>
      <c r="T172" s="301"/>
      <c r="U172" s="301"/>
      <c r="V172" s="301"/>
      <c r="W172" s="301"/>
      <c r="X172" s="301"/>
      <c r="Y172" s="301"/>
      <c r="Z172" s="301"/>
    </row>
    <row r="173" spans="1:26" ht="11.25" customHeight="1">
      <c r="A173" s="301"/>
      <c r="B173" s="301"/>
      <c r="C173" s="301"/>
      <c r="D173" s="301"/>
      <c r="E173" s="301"/>
      <c r="F173" s="301"/>
      <c r="G173" s="301"/>
      <c r="H173" s="301"/>
      <c r="I173" s="301"/>
      <c r="J173" s="301"/>
      <c r="K173" s="301"/>
      <c r="L173" s="301"/>
      <c r="M173" s="301"/>
      <c r="N173" s="301"/>
      <c r="O173" s="301"/>
      <c r="P173" s="301"/>
      <c r="Q173" s="301"/>
      <c r="R173" s="301"/>
      <c r="S173" s="301"/>
      <c r="T173" s="301"/>
      <c r="U173" s="301"/>
      <c r="V173" s="301"/>
      <c r="W173" s="301"/>
      <c r="X173" s="301"/>
      <c r="Y173" s="301"/>
      <c r="Z173" s="301"/>
    </row>
    <row r="174" spans="1:26" ht="11.25" customHeight="1">
      <c r="A174" s="301"/>
      <c r="B174" s="301"/>
      <c r="C174" s="301"/>
      <c r="D174" s="301"/>
      <c r="E174" s="301"/>
      <c r="F174" s="301"/>
      <c r="G174" s="301"/>
      <c r="H174" s="301"/>
      <c r="I174" s="301"/>
      <c r="J174" s="301"/>
      <c r="K174" s="301"/>
      <c r="L174" s="301"/>
      <c r="M174" s="301"/>
      <c r="N174" s="301"/>
      <c r="O174" s="301"/>
      <c r="P174" s="301"/>
      <c r="Q174" s="301"/>
      <c r="R174" s="301"/>
      <c r="S174" s="301"/>
      <c r="T174" s="301"/>
      <c r="U174" s="301"/>
      <c r="V174" s="301"/>
      <c r="W174" s="301"/>
      <c r="X174" s="301"/>
      <c r="Y174" s="301"/>
      <c r="Z174" s="301"/>
    </row>
    <row r="175" spans="1:26" ht="11.25" customHeight="1">
      <c r="A175" s="301"/>
      <c r="B175" s="301"/>
      <c r="C175" s="301"/>
      <c r="D175" s="301"/>
      <c r="E175" s="301"/>
      <c r="F175" s="301"/>
      <c r="G175" s="301"/>
      <c r="H175" s="301"/>
      <c r="I175" s="301"/>
      <c r="J175" s="301"/>
      <c r="K175" s="301"/>
      <c r="L175" s="301"/>
      <c r="M175" s="301"/>
      <c r="N175" s="301"/>
      <c r="O175" s="301"/>
      <c r="P175" s="301"/>
      <c r="Q175" s="301"/>
      <c r="R175" s="301"/>
      <c r="S175" s="301"/>
      <c r="T175" s="301"/>
      <c r="U175" s="301"/>
      <c r="V175" s="301"/>
      <c r="W175" s="301"/>
      <c r="X175" s="301"/>
      <c r="Y175" s="301"/>
      <c r="Z175" s="301"/>
    </row>
    <row r="176" spans="1:26" ht="11.25" customHeight="1">
      <c r="A176" s="301"/>
      <c r="B176" s="301"/>
      <c r="C176" s="301"/>
      <c r="D176" s="301"/>
      <c r="E176" s="301"/>
      <c r="F176" s="301"/>
      <c r="G176" s="301"/>
      <c r="H176" s="301"/>
      <c r="I176" s="301"/>
      <c r="J176" s="301"/>
      <c r="K176" s="301"/>
      <c r="L176" s="301"/>
      <c r="M176" s="301"/>
      <c r="N176" s="301"/>
      <c r="O176" s="301"/>
      <c r="P176" s="301"/>
      <c r="Q176" s="301"/>
      <c r="R176" s="301"/>
      <c r="S176" s="301"/>
      <c r="T176" s="301"/>
      <c r="U176" s="301"/>
      <c r="V176" s="301"/>
      <c r="W176" s="301"/>
      <c r="X176" s="301"/>
      <c r="Y176" s="301"/>
      <c r="Z176" s="301"/>
    </row>
    <row r="177" spans="1:26" ht="11.25" customHeight="1">
      <c r="A177" s="301"/>
      <c r="B177" s="301"/>
      <c r="C177" s="301"/>
      <c r="D177" s="301"/>
      <c r="E177" s="301"/>
      <c r="F177" s="301"/>
      <c r="G177" s="301"/>
      <c r="H177" s="301"/>
      <c r="I177" s="301"/>
      <c r="J177" s="301"/>
      <c r="K177" s="301"/>
      <c r="L177" s="301"/>
      <c r="M177" s="301"/>
      <c r="N177" s="301"/>
      <c r="O177" s="301"/>
      <c r="P177" s="301"/>
      <c r="Q177" s="301"/>
      <c r="R177" s="301"/>
      <c r="S177" s="301"/>
      <c r="T177" s="301"/>
      <c r="U177" s="301"/>
      <c r="V177" s="301"/>
      <c r="W177" s="301"/>
      <c r="X177" s="301"/>
      <c r="Y177" s="301"/>
      <c r="Z177" s="301"/>
    </row>
    <row r="178" spans="1:26" ht="11.25" customHeight="1">
      <c r="A178" s="301"/>
      <c r="B178" s="301"/>
      <c r="C178" s="301"/>
      <c r="D178" s="301"/>
      <c r="E178" s="301"/>
      <c r="F178" s="301"/>
      <c r="G178" s="301"/>
      <c r="H178" s="301"/>
      <c r="I178" s="301"/>
      <c r="J178" s="301"/>
      <c r="K178" s="301"/>
      <c r="L178" s="301"/>
      <c r="M178" s="301"/>
      <c r="N178" s="301"/>
      <c r="O178" s="301"/>
      <c r="P178" s="301"/>
      <c r="Q178" s="301"/>
      <c r="R178" s="301"/>
      <c r="S178" s="301"/>
      <c r="T178" s="301"/>
      <c r="U178" s="301"/>
      <c r="V178" s="301"/>
      <c r="W178" s="301"/>
      <c r="X178" s="301"/>
      <c r="Y178" s="301"/>
      <c r="Z178" s="301"/>
    </row>
    <row r="179" spans="1:26" ht="11.25" customHeight="1">
      <c r="A179" s="301"/>
      <c r="B179" s="301"/>
      <c r="C179" s="301"/>
      <c r="D179" s="301"/>
      <c r="E179" s="301"/>
      <c r="F179" s="301"/>
      <c r="G179" s="301"/>
      <c r="H179" s="301"/>
      <c r="I179" s="301"/>
      <c r="J179" s="301"/>
      <c r="K179" s="301"/>
      <c r="L179" s="301"/>
      <c r="M179" s="301"/>
      <c r="N179" s="301"/>
      <c r="O179" s="301"/>
      <c r="P179" s="301"/>
      <c r="Q179" s="301"/>
      <c r="R179" s="301"/>
      <c r="S179" s="301"/>
      <c r="T179" s="301"/>
      <c r="U179" s="301"/>
      <c r="V179" s="301"/>
      <c r="W179" s="301"/>
      <c r="X179" s="301"/>
      <c r="Y179" s="301"/>
      <c r="Z179" s="301"/>
    </row>
    <row r="180" spans="1:26" ht="11.25" customHeight="1">
      <c r="A180" s="301"/>
      <c r="B180" s="301"/>
      <c r="C180" s="301"/>
      <c r="D180" s="301"/>
      <c r="E180" s="301"/>
      <c r="F180" s="301"/>
      <c r="G180" s="301"/>
      <c r="H180" s="301"/>
      <c r="I180" s="301"/>
      <c r="J180" s="301"/>
      <c r="K180" s="301"/>
      <c r="L180" s="301"/>
      <c r="M180" s="301"/>
      <c r="N180" s="301"/>
      <c r="O180" s="301"/>
      <c r="P180" s="301"/>
      <c r="Q180" s="301"/>
      <c r="R180" s="301"/>
      <c r="S180" s="301"/>
      <c r="T180" s="301"/>
      <c r="U180" s="301"/>
      <c r="V180" s="301"/>
      <c r="W180" s="301"/>
      <c r="X180" s="301"/>
      <c r="Y180" s="301"/>
      <c r="Z180" s="301"/>
    </row>
    <row r="181" spans="1:26" ht="11.25" customHeight="1">
      <c r="A181" s="301"/>
      <c r="B181" s="301"/>
      <c r="C181" s="301"/>
      <c r="D181" s="301"/>
      <c r="E181" s="301"/>
      <c r="F181" s="301"/>
      <c r="G181" s="301"/>
      <c r="H181" s="301"/>
      <c r="I181" s="301"/>
      <c r="J181" s="301"/>
      <c r="K181" s="301"/>
      <c r="L181" s="301"/>
      <c r="M181" s="301"/>
      <c r="N181" s="301"/>
      <c r="O181" s="301"/>
      <c r="P181" s="301"/>
      <c r="Q181" s="301"/>
      <c r="R181" s="301"/>
      <c r="S181" s="301"/>
      <c r="T181" s="301"/>
      <c r="U181" s="301"/>
      <c r="V181" s="301"/>
      <c r="W181" s="301"/>
      <c r="X181" s="301"/>
      <c r="Y181" s="301"/>
      <c r="Z181" s="301"/>
    </row>
    <row r="182" spans="1:26" ht="11.25" customHeight="1">
      <c r="A182" s="301"/>
      <c r="B182" s="301"/>
      <c r="C182" s="301"/>
      <c r="D182" s="301"/>
      <c r="E182" s="301"/>
      <c r="F182" s="301"/>
      <c r="G182" s="301"/>
      <c r="H182" s="301"/>
      <c r="I182" s="301"/>
      <c r="J182" s="301"/>
      <c r="K182" s="301"/>
      <c r="L182" s="301"/>
      <c r="M182" s="301"/>
      <c r="N182" s="301"/>
      <c r="O182" s="301"/>
      <c r="P182" s="301"/>
      <c r="Q182" s="301"/>
      <c r="R182" s="301"/>
      <c r="S182" s="301"/>
      <c r="T182" s="301"/>
      <c r="U182" s="301"/>
      <c r="V182" s="301"/>
      <c r="W182" s="301"/>
      <c r="X182" s="301"/>
      <c r="Y182" s="301"/>
      <c r="Z182" s="301"/>
    </row>
    <row r="183" spans="1:26" ht="11.25" customHeight="1">
      <c r="A183" s="301"/>
      <c r="B183" s="301"/>
      <c r="C183" s="301"/>
      <c r="D183" s="301"/>
      <c r="E183" s="301"/>
      <c r="F183" s="301"/>
      <c r="G183" s="301"/>
      <c r="H183" s="301"/>
      <c r="I183" s="301"/>
      <c r="J183" s="301"/>
      <c r="K183" s="301"/>
      <c r="L183" s="301"/>
      <c r="M183" s="301"/>
      <c r="N183" s="301"/>
      <c r="O183" s="301"/>
      <c r="P183" s="301"/>
      <c r="Q183" s="301"/>
      <c r="R183" s="301"/>
      <c r="S183" s="301"/>
      <c r="T183" s="301"/>
      <c r="U183" s="301"/>
      <c r="V183" s="301"/>
      <c r="W183" s="301"/>
      <c r="X183" s="301"/>
      <c r="Y183" s="301"/>
      <c r="Z183" s="301"/>
    </row>
    <row r="184" spans="1:26" ht="11.25" customHeight="1">
      <c r="A184" s="301"/>
      <c r="B184" s="301"/>
      <c r="C184" s="301"/>
      <c r="D184" s="301"/>
      <c r="E184" s="301"/>
      <c r="F184" s="301"/>
      <c r="G184" s="301"/>
      <c r="H184" s="301"/>
      <c r="I184" s="301"/>
      <c r="J184" s="301"/>
      <c r="K184" s="301"/>
      <c r="L184" s="301"/>
      <c r="M184" s="301"/>
      <c r="N184" s="301"/>
      <c r="O184" s="301"/>
      <c r="P184" s="301"/>
      <c r="Q184" s="301"/>
      <c r="R184" s="301"/>
      <c r="S184" s="301"/>
      <c r="T184" s="301"/>
      <c r="U184" s="301"/>
      <c r="V184" s="301"/>
      <c r="W184" s="301"/>
      <c r="X184" s="301"/>
      <c r="Y184" s="301"/>
      <c r="Z184" s="301"/>
    </row>
    <row r="185" spans="1:26" ht="11.25" customHeight="1">
      <c r="A185" s="301"/>
      <c r="B185" s="301"/>
      <c r="C185" s="301"/>
      <c r="D185" s="301"/>
      <c r="E185" s="301"/>
      <c r="F185" s="301"/>
      <c r="G185" s="301"/>
      <c r="H185" s="301"/>
      <c r="I185" s="301"/>
      <c r="J185" s="301"/>
      <c r="K185" s="301"/>
      <c r="L185" s="301"/>
      <c r="M185" s="301"/>
      <c r="N185" s="301"/>
      <c r="O185" s="301"/>
      <c r="P185" s="301"/>
      <c r="Q185" s="301"/>
      <c r="R185" s="301"/>
      <c r="S185" s="301"/>
      <c r="T185" s="301"/>
      <c r="U185" s="301"/>
      <c r="V185" s="301"/>
      <c r="W185" s="301"/>
      <c r="X185" s="301"/>
      <c r="Y185" s="301"/>
      <c r="Z185" s="301"/>
    </row>
    <row r="186" spans="1:26" ht="11.25" customHeight="1">
      <c r="A186" s="301"/>
      <c r="B186" s="301"/>
      <c r="C186" s="301"/>
      <c r="D186" s="301"/>
      <c r="E186" s="301"/>
      <c r="F186" s="301"/>
      <c r="G186" s="301"/>
      <c r="H186" s="301"/>
      <c r="I186" s="301"/>
      <c r="J186" s="301"/>
      <c r="K186" s="301"/>
      <c r="L186" s="301"/>
      <c r="M186" s="301"/>
      <c r="N186" s="301"/>
      <c r="O186" s="301"/>
      <c r="P186" s="301"/>
      <c r="Q186" s="301"/>
      <c r="R186" s="301"/>
      <c r="S186" s="301"/>
      <c r="T186" s="301"/>
      <c r="U186" s="301"/>
      <c r="V186" s="301"/>
      <c r="W186" s="301"/>
      <c r="X186" s="301"/>
      <c r="Y186" s="301"/>
      <c r="Z186" s="301"/>
    </row>
    <row r="187" spans="1:26" ht="11.25" customHeight="1">
      <c r="A187" s="301"/>
      <c r="B187" s="301"/>
      <c r="C187" s="301"/>
      <c r="D187" s="301"/>
      <c r="E187" s="301"/>
      <c r="F187" s="301"/>
      <c r="G187" s="301"/>
      <c r="H187" s="301"/>
      <c r="I187" s="301"/>
      <c r="J187" s="301"/>
      <c r="K187" s="301"/>
      <c r="L187" s="301"/>
      <c r="M187" s="301"/>
      <c r="N187" s="301"/>
      <c r="O187" s="301"/>
      <c r="P187" s="301"/>
      <c r="Q187" s="301"/>
      <c r="R187" s="301"/>
      <c r="S187" s="301"/>
      <c r="T187" s="301"/>
      <c r="U187" s="301"/>
      <c r="V187" s="301"/>
      <c r="W187" s="301"/>
      <c r="X187" s="301"/>
      <c r="Y187" s="301"/>
      <c r="Z187" s="301"/>
    </row>
    <row r="188" spans="1:26" ht="11.25" customHeight="1">
      <c r="A188" s="301"/>
      <c r="B188" s="301"/>
      <c r="C188" s="301"/>
      <c r="D188" s="301"/>
      <c r="E188" s="301"/>
      <c r="F188" s="301"/>
      <c r="G188" s="301"/>
      <c r="H188" s="301"/>
      <c r="I188" s="301"/>
      <c r="J188" s="301"/>
      <c r="K188" s="301"/>
      <c r="L188" s="301"/>
      <c r="M188" s="301"/>
      <c r="N188" s="301"/>
      <c r="O188" s="301"/>
      <c r="P188" s="301"/>
      <c r="Q188" s="301"/>
      <c r="R188" s="301"/>
      <c r="S188" s="301"/>
      <c r="T188" s="301"/>
      <c r="U188" s="301"/>
      <c r="V188" s="301"/>
      <c r="W188" s="301"/>
      <c r="X188" s="301"/>
      <c r="Y188" s="301"/>
      <c r="Z188" s="301"/>
    </row>
    <row r="189" spans="1:26" ht="11.25" customHeight="1">
      <c r="A189" s="301"/>
      <c r="B189" s="301"/>
      <c r="C189" s="301"/>
      <c r="D189" s="301"/>
      <c r="E189" s="301"/>
      <c r="F189" s="301"/>
      <c r="G189" s="301"/>
      <c r="H189" s="301"/>
      <c r="I189" s="301"/>
      <c r="J189" s="301"/>
      <c r="K189" s="301"/>
      <c r="L189" s="301"/>
      <c r="M189" s="301"/>
      <c r="N189" s="301"/>
      <c r="O189" s="301"/>
      <c r="P189" s="301"/>
      <c r="Q189" s="301"/>
      <c r="R189" s="301"/>
      <c r="S189" s="301"/>
      <c r="T189" s="301"/>
      <c r="U189" s="301"/>
      <c r="V189" s="301"/>
      <c r="W189" s="301"/>
      <c r="X189" s="301"/>
      <c r="Y189" s="301"/>
      <c r="Z189" s="301"/>
    </row>
    <row r="190" spans="1:26" ht="11.25" customHeight="1">
      <c r="A190" s="301"/>
      <c r="B190" s="301"/>
      <c r="C190" s="301"/>
      <c r="D190" s="301"/>
      <c r="E190" s="301"/>
      <c r="F190" s="301"/>
      <c r="G190" s="301"/>
      <c r="H190" s="301"/>
      <c r="I190" s="301"/>
      <c r="J190" s="301"/>
      <c r="K190" s="301"/>
      <c r="L190" s="301"/>
      <c r="M190" s="301"/>
      <c r="N190" s="301"/>
      <c r="O190" s="301"/>
      <c r="P190" s="301"/>
      <c r="Q190" s="301"/>
      <c r="R190" s="301"/>
      <c r="S190" s="301"/>
      <c r="T190" s="301"/>
      <c r="U190" s="301"/>
      <c r="V190" s="301"/>
      <c r="W190" s="301"/>
      <c r="X190" s="301"/>
      <c r="Y190" s="301"/>
      <c r="Z190" s="301"/>
    </row>
    <row r="191" spans="1:26" ht="11.25" customHeight="1">
      <c r="A191" s="301"/>
      <c r="B191" s="301"/>
      <c r="C191" s="301"/>
      <c r="D191" s="301"/>
      <c r="E191" s="301"/>
      <c r="F191" s="301"/>
      <c r="G191" s="301"/>
      <c r="H191" s="301"/>
      <c r="I191" s="301"/>
      <c r="J191" s="301"/>
      <c r="K191" s="301"/>
      <c r="L191" s="301"/>
      <c r="M191" s="301"/>
      <c r="N191" s="301"/>
      <c r="O191" s="301"/>
      <c r="P191" s="301"/>
      <c r="Q191" s="301"/>
      <c r="R191" s="301"/>
      <c r="S191" s="301"/>
      <c r="T191" s="301"/>
      <c r="U191" s="301"/>
      <c r="V191" s="301"/>
      <c r="W191" s="301"/>
      <c r="X191" s="301"/>
      <c r="Y191" s="301"/>
      <c r="Z191" s="301"/>
    </row>
    <row r="192" spans="1:26" ht="11.25" customHeight="1">
      <c r="A192" s="301"/>
      <c r="B192" s="301"/>
      <c r="C192" s="301"/>
      <c r="D192" s="301"/>
      <c r="E192" s="301"/>
      <c r="F192" s="301"/>
      <c r="G192" s="301"/>
      <c r="H192" s="301"/>
      <c r="I192" s="301"/>
      <c r="J192" s="301"/>
      <c r="K192" s="301"/>
      <c r="L192" s="301"/>
      <c r="M192" s="301"/>
      <c r="N192" s="301"/>
      <c r="O192" s="301"/>
      <c r="P192" s="301"/>
      <c r="Q192" s="301"/>
      <c r="R192" s="301"/>
      <c r="S192" s="301"/>
      <c r="T192" s="301"/>
      <c r="U192" s="301"/>
      <c r="V192" s="301"/>
      <c r="W192" s="301"/>
      <c r="X192" s="301"/>
      <c r="Y192" s="301"/>
      <c r="Z192" s="301"/>
    </row>
    <row r="193" spans="1:26" ht="11.25" customHeight="1">
      <c r="A193" s="301"/>
      <c r="B193" s="301"/>
      <c r="C193" s="301"/>
      <c r="D193" s="301"/>
      <c r="E193" s="301"/>
      <c r="F193" s="301"/>
      <c r="G193" s="301"/>
      <c r="H193" s="301"/>
      <c r="I193" s="301"/>
      <c r="J193" s="301"/>
      <c r="K193" s="301"/>
      <c r="L193" s="301"/>
      <c r="M193" s="301"/>
      <c r="N193" s="301"/>
      <c r="O193" s="301"/>
      <c r="P193" s="301"/>
      <c r="Q193" s="301"/>
      <c r="R193" s="301"/>
      <c r="S193" s="301"/>
      <c r="T193" s="301"/>
      <c r="U193" s="301"/>
      <c r="V193" s="301"/>
      <c r="W193" s="301"/>
      <c r="X193" s="301"/>
      <c r="Y193" s="301"/>
      <c r="Z193" s="301"/>
    </row>
    <row r="194" spans="1:26" ht="11.25" customHeight="1">
      <c r="A194" s="301"/>
      <c r="B194" s="301"/>
      <c r="C194" s="301"/>
      <c r="D194" s="301"/>
      <c r="E194" s="301"/>
      <c r="F194" s="301"/>
      <c r="G194" s="301"/>
      <c r="H194" s="301"/>
      <c r="I194" s="301"/>
      <c r="J194" s="301"/>
      <c r="K194" s="301"/>
      <c r="L194" s="301"/>
      <c r="M194" s="301"/>
      <c r="N194" s="301"/>
      <c r="O194" s="301"/>
      <c r="P194" s="301"/>
      <c r="Q194" s="301"/>
      <c r="R194" s="301"/>
      <c r="S194" s="301"/>
      <c r="T194" s="301"/>
      <c r="U194" s="301"/>
      <c r="V194" s="301"/>
      <c r="W194" s="301"/>
      <c r="X194" s="301"/>
      <c r="Y194" s="301"/>
      <c r="Z194" s="301"/>
    </row>
    <row r="195" spans="1:26" ht="11.25" customHeight="1">
      <c r="A195" s="301"/>
      <c r="B195" s="301"/>
      <c r="C195" s="301"/>
      <c r="D195" s="301"/>
      <c r="E195" s="301"/>
      <c r="F195" s="301"/>
      <c r="G195" s="301"/>
      <c r="H195" s="301"/>
      <c r="I195" s="301"/>
      <c r="J195" s="301"/>
      <c r="K195" s="301"/>
      <c r="L195" s="301"/>
      <c r="M195" s="301"/>
      <c r="N195" s="301"/>
      <c r="O195" s="301"/>
      <c r="P195" s="301"/>
      <c r="Q195" s="301"/>
      <c r="R195" s="301"/>
      <c r="S195" s="301"/>
      <c r="T195" s="301"/>
      <c r="U195" s="301"/>
      <c r="V195" s="301"/>
      <c r="W195" s="301"/>
      <c r="X195" s="301"/>
      <c r="Y195" s="301"/>
      <c r="Z195" s="301"/>
    </row>
    <row r="196" spans="1:26" ht="11.25" customHeight="1">
      <c r="A196" s="301"/>
      <c r="B196" s="301"/>
      <c r="C196" s="301"/>
      <c r="D196" s="301"/>
      <c r="E196" s="301"/>
      <c r="F196" s="301"/>
      <c r="G196" s="301"/>
      <c r="H196" s="301"/>
      <c r="I196" s="301"/>
      <c r="J196" s="301"/>
      <c r="K196" s="301"/>
      <c r="L196" s="301"/>
      <c r="M196" s="301"/>
      <c r="N196" s="301"/>
      <c r="O196" s="301"/>
      <c r="P196" s="301"/>
      <c r="Q196" s="301"/>
      <c r="R196" s="301"/>
      <c r="S196" s="301"/>
      <c r="T196" s="301"/>
      <c r="U196" s="301"/>
      <c r="V196" s="301"/>
      <c r="W196" s="301"/>
      <c r="X196" s="301"/>
      <c r="Y196" s="301"/>
      <c r="Z196" s="301"/>
    </row>
    <row r="197" spans="1:26" ht="11.25" customHeight="1">
      <c r="A197" s="301"/>
      <c r="B197" s="301"/>
      <c r="C197" s="301"/>
      <c r="D197" s="301"/>
      <c r="E197" s="301"/>
      <c r="F197" s="301"/>
      <c r="G197" s="301"/>
      <c r="H197" s="301"/>
      <c r="I197" s="301"/>
      <c r="J197" s="301"/>
      <c r="K197" s="301"/>
      <c r="L197" s="301"/>
      <c r="M197" s="301"/>
      <c r="N197" s="301"/>
      <c r="O197" s="301"/>
      <c r="P197" s="301"/>
      <c r="Q197" s="301"/>
      <c r="R197" s="301"/>
      <c r="S197" s="301"/>
      <c r="T197" s="301"/>
      <c r="U197" s="301"/>
      <c r="V197" s="301"/>
      <c r="W197" s="301"/>
      <c r="X197" s="301"/>
      <c r="Y197" s="301"/>
      <c r="Z197" s="301"/>
    </row>
    <row r="198" spans="1:26" ht="11.25" customHeight="1">
      <c r="A198" s="301"/>
      <c r="B198" s="301"/>
      <c r="C198" s="301"/>
      <c r="D198" s="301"/>
      <c r="E198" s="301"/>
      <c r="F198" s="301"/>
      <c r="G198" s="301"/>
      <c r="H198" s="301"/>
      <c r="I198" s="301"/>
      <c r="J198" s="301"/>
      <c r="K198" s="301"/>
      <c r="L198" s="301"/>
      <c r="M198" s="301"/>
      <c r="N198" s="301"/>
      <c r="O198" s="301"/>
      <c r="P198" s="301"/>
      <c r="Q198" s="301"/>
      <c r="R198" s="301"/>
      <c r="S198" s="301"/>
      <c r="T198" s="301"/>
      <c r="U198" s="301"/>
      <c r="V198" s="301"/>
      <c r="W198" s="301"/>
      <c r="X198" s="301"/>
      <c r="Y198" s="301"/>
      <c r="Z198" s="301"/>
    </row>
    <row r="199" spans="1:26" ht="11.25" customHeight="1">
      <c r="A199" s="301"/>
      <c r="B199" s="301"/>
      <c r="C199" s="301"/>
      <c r="D199" s="301"/>
      <c r="E199" s="301"/>
      <c r="F199" s="301"/>
      <c r="G199" s="301"/>
      <c r="H199" s="301"/>
      <c r="I199" s="301"/>
      <c r="J199" s="301"/>
      <c r="K199" s="301"/>
      <c r="L199" s="301"/>
      <c r="M199" s="301"/>
      <c r="N199" s="301"/>
      <c r="O199" s="301"/>
      <c r="P199" s="301"/>
      <c r="Q199" s="301"/>
      <c r="R199" s="301"/>
      <c r="S199" s="301"/>
      <c r="T199" s="301"/>
      <c r="U199" s="301"/>
      <c r="V199" s="301"/>
      <c r="W199" s="301"/>
      <c r="X199" s="301"/>
      <c r="Y199" s="301"/>
      <c r="Z199" s="301"/>
    </row>
    <row r="200" spans="1:26" ht="11.25" customHeight="1">
      <c r="A200" s="301"/>
      <c r="B200" s="301"/>
      <c r="C200" s="301"/>
      <c r="D200" s="301"/>
      <c r="E200" s="301"/>
      <c r="F200" s="301"/>
      <c r="G200" s="301"/>
      <c r="H200" s="301"/>
      <c r="I200" s="301"/>
      <c r="J200" s="301"/>
      <c r="K200" s="301"/>
      <c r="L200" s="301"/>
      <c r="M200" s="301"/>
      <c r="N200" s="301"/>
      <c r="O200" s="301"/>
      <c r="P200" s="301"/>
      <c r="Q200" s="301"/>
      <c r="R200" s="301"/>
      <c r="S200" s="301"/>
      <c r="T200" s="301"/>
      <c r="U200" s="301"/>
      <c r="V200" s="301"/>
      <c r="W200" s="301"/>
      <c r="X200" s="301"/>
      <c r="Y200" s="301"/>
      <c r="Z200" s="301"/>
    </row>
    <row r="201" spans="1:26" ht="11.25" customHeight="1">
      <c r="A201" s="301"/>
      <c r="B201" s="301"/>
      <c r="C201" s="301"/>
      <c r="D201" s="301"/>
      <c r="E201" s="301"/>
      <c r="F201" s="301"/>
      <c r="G201" s="301"/>
      <c r="H201" s="301"/>
      <c r="I201" s="301"/>
      <c r="J201" s="301"/>
      <c r="K201" s="301"/>
      <c r="L201" s="301"/>
      <c r="M201" s="301"/>
      <c r="N201" s="301"/>
      <c r="O201" s="301"/>
      <c r="P201" s="301"/>
      <c r="Q201" s="301"/>
      <c r="R201" s="301"/>
      <c r="S201" s="301"/>
      <c r="T201" s="301"/>
      <c r="U201" s="301"/>
      <c r="V201" s="301"/>
      <c r="W201" s="301"/>
      <c r="X201" s="301"/>
      <c r="Y201" s="301"/>
      <c r="Z201" s="301"/>
    </row>
    <row r="202" spans="1:26" ht="11.25" customHeight="1">
      <c r="A202" s="301"/>
      <c r="B202" s="301"/>
      <c r="C202" s="301"/>
      <c r="D202" s="301"/>
      <c r="E202" s="301"/>
      <c r="F202" s="301"/>
      <c r="G202" s="301"/>
      <c r="H202" s="301"/>
      <c r="I202" s="301"/>
      <c r="J202" s="301"/>
      <c r="K202" s="301"/>
      <c r="L202" s="301"/>
      <c r="M202" s="301"/>
      <c r="N202" s="301"/>
      <c r="O202" s="301"/>
      <c r="P202" s="301"/>
      <c r="Q202" s="301"/>
      <c r="R202" s="301"/>
      <c r="S202" s="301"/>
      <c r="T202" s="301"/>
      <c r="U202" s="301"/>
      <c r="V202" s="301"/>
      <c r="W202" s="301"/>
      <c r="X202" s="301"/>
      <c r="Y202" s="301"/>
      <c r="Z202" s="301"/>
    </row>
    <row r="203" spans="1:26" ht="11.25" customHeight="1">
      <c r="A203" s="301"/>
      <c r="B203" s="301"/>
      <c r="C203" s="301"/>
      <c r="D203" s="301"/>
      <c r="E203" s="301"/>
      <c r="F203" s="301"/>
      <c r="G203" s="301"/>
      <c r="H203" s="301"/>
      <c r="I203" s="301"/>
      <c r="J203" s="301"/>
      <c r="K203" s="301"/>
      <c r="L203" s="301"/>
      <c r="M203" s="301"/>
      <c r="N203" s="301"/>
      <c r="O203" s="301"/>
      <c r="P203" s="301"/>
      <c r="Q203" s="301"/>
      <c r="R203" s="301"/>
      <c r="S203" s="301"/>
      <c r="T203" s="301"/>
      <c r="U203" s="301"/>
      <c r="V203" s="301"/>
      <c r="W203" s="301"/>
      <c r="X203" s="301"/>
      <c r="Y203" s="301"/>
      <c r="Z203" s="301"/>
    </row>
    <row r="204" spans="1:26" ht="11.25" customHeight="1">
      <c r="A204" s="301"/>
      <c r="B204" s="301"/>
      <c r="C204" s="301"/>
      <c r="D204" s="301"/>
      <c r="E204" s="301"/>
      <c r="F204" s="301"/>
      <c r="G204" s="301"/>
      <c r="H204" s="301"/>
      <c r="I204" s="301"/>
      <c r="J204" s="301"/>
      <c r="K204" s="301"/>
      <c r="L204" s="301"/>
      <c r="M204" s="301"/>
      <c r="N204" s="301"/>
      <c r="O204" s="301"/>
      <c r="P204" s="301"/>
      <c r="Q204" s="301"/>
      <c r="R204" s="301"/>
      <c r="S204" s="301"/>
      <c r="T204" s="301"/>
      <c r="U204" s="301"/>
      <c r="V204" s="301"/>
      <c r="W204" s="301"/>
      <c r="X204" s="301"/>
      <c r="Y204" s="301"/>
      <c r="Z204" s="301"/>
    </row>
    <row r="205" spans="1:26" ht="11.25" customHeight="1">
      <c r="A205" s="301"/>
      <c r="B205" s="301"/>
      <c r="C205" s="301"/>
      <c r="D205" s="301"/>
      <c r="E205" s="301"/>
      <c r="F205" s="301"/>
      <c r="G205" s="301"/>
      <c r="H205" s="301"/>
      <c r="I205" s="301"/>
      <c r="J205" s="301"/>
      <c r="K205" s="301"/>
      <c r="L205" s="301"/>
      <c r="M205" s="301"/>
      <c r="N205" s="301"/>
      <c r="O205" s="301"/>
      <c r="P205" s="301"/>
      <c r="Q205" s="301"/>
      <c r="R205" s="301"/>
      <c r="S205" s="301"/>
      <c r="T205" s="301"/>
      <c r="U205" s="301"/>
      <c r="V205" s="301"/>
      <c r="W205" s="301"/>
      <c r="X205" s="301"/>
      <c r="Y205" s="301"/>
      <c r="Z205" s="301"/>
    </row>
    <row r="206" spans="1:26" ht="11.25" customHeight="1">
      <c r="A206" s="301"/>
      <c r="B206" s="301"/>
      <c r="C206" s="301"/>
      <c r="D206" s="301"/>
      <c r="E206" s="301"/>
      <c r="F206" s="301"/>
      <c r="G206" s="301"/>
      <c r="H206" s="301"/>
      <c r="I206" s="301"/>
      <c r="J206" s="301"/>
      <c r="K206" s="301"/>
      <c r="L206" s="301"/>
      <c r="M206" s="301"/>
      <c r="N206" s="301"/>
      <c r="O206" s="301"/>
      <c r="P206" s="301"/>
      <c r="Q206" s="301"/>
      <c r="R206" s="301"/>
      <c r="S206" s="301"/>
      <c r="T206" s="301"/>
      <c r="U206" s="301"/>
      <c r="V206" s="301"/>
      <c r="W206" s="301"/>
      <c r="X206" s="301"/>
      <c r="Y206" s="301"/>
      <c r="Z206" s="301"/>
    </row>
    <row r="207" spans="1:26" ht="11.25" customHeight="1">
      <c r="A207" s="301"/>
      <c r="B207" s="301"/>
      <c r="C207" s="301"/>
      <c r="D207" s="301"/>
      <c r="E207" s="301"/>
      <c r="F207" s="301"/>
      <c r="G207" s="301"/>
      <c r="H207" s="301"/>
      <c r="I207" s="301"/>
      <c r="J207" s="301"/>
      <c r="K207" s="301"/>
      <c r="L207" s="301"/>
      <c r="M207" s="301"/>
      <c r="N207" s="301"/>
      <c r="O207" s="301"/>
      <c r="P207" s="301"/>
      <c r="Q207" s="301"/>
      <c r="R207" s="301"/>
      <c r="S207" s="301"/>
      <c r="T207" s="301"/>
      <c r="U207" s="301"/>
      <c r="V207" s="301"/>
      <c r="W207" s="301"/>
      <c r="X207" s="301"/>
      <c r="Y207" s="301"/>
      <c r="Z207" s="301"/>
    </row>
    <row r="208" spans="1:26" ht="11.25" customHeight="1">
      <c r="A208" s="301"/>
      <c r="B208" s="301"/>
      <c r="C208" s="301"/>
      <c r="D208" s="301"/>
      <c r="E208" s="301"/>
      <c r="F208" s="301"/>
      <c r="G208" s="301"/>
      <c r="H208" s="301"/>
      <c r="I208" s="301"/>
      <c r="J208" s="301"/>
      <c r="K208" s="301"/>
      <c r="L208" s="301"/>
      <c r="M208" s="301"/>
      <c r="N208" s="301"/>
      <c r="O208" s="301"/>
      <c r="P208" s="301"/>
      <c r="Q208" s="301"/>
      <c r="R208" s="301"/>
      <c r="S208" s="301"/>
      <c r="T208" s="301"/>
      <c r="U208" s="301"/>
      <c r="V208" s="301"/>
      <c r="W208" s="301"/>
      <c r="X208" s="301"/>
      <c r="Y208" s="301"/>
      <c r="Z208" s="301"/>
    </row>
    <row r="209" spans="1:26" ht="11.25" customHeight="1">
      <c r="A209" s="301"/>
      <c r="B209" s="301"/>
      <c r="C209" s="301"/>
      <c r="D209" s="301"/>
      <c r="E209" s="301"/>
      <c r="F209" s="301"/>
      <c r="G209" s="301"/>
      <c r="H209" s="301"/>
      <c r="I209" s="301"/>
      <c r="J209" s="301"/>
      <c r="K209" s="301"/>
      <c r="L209" s="301"/>
      <c r="M209" s="301"/>
      <c r="N209" s="301"/>
      <c r="O209" s="301"/>
      <c r="P209" s="301"/>
      <c r="Q209" s="301"/>
      <c r="R209" s="301"/>
      <c r="S209" s="301"/>
      <c r="T209" s="301"/>
      <c r="U209" s="301"/>
      <c r="V209" s="301"/>
      <c r="W209" s="301"/>
      <c r="X209" s="301"/>
      <c r="Y209" s="301"/>
      <c r="Z209" s="301"/>
    </row>
    <row r="210" spans="1:26" ht="11.25" customHeight="1">
      <c r="A210" s="301"/>
      <c r="B210" s="301"/>
      <c r="C210" s="301"/>
      <c r="D210" s="301"/>
      <c r="E210" s="301"/>
      <c r="F210" s="301"/>
      <c r="G210" s="301"/>
      <c r="H210" s="301"/>
      <c r="I210" s="301"/>
      <c r="J210" s="301"/>
      <c r="K210" s="301"/>
      <c r="L210" s="301"/>
      <c r="M210" s="301"/>
      <c r="N210" s="301"/>
      <c r="O210" s="301"/>
      <c r="P210" s="301"/>
      <c r="Q210" s="301"/>
      <c r="R210" s="301"/>
      <c r="S210" s="301"/>
      <c r="T210" s="301"/>
      <c r="U210" s="301"/>
      <c r="V210" s="301"/>
      <c r="W210" s="301"/>
      <c r="X210" s="301"/>
      <c r="Y210" s="301"/>
      <c r="Z210" s="301"/>
    </row>
    <row r="211" spans="1:26" ht="11.25" customHeight="1">
      <c r="A211" s="301"/>
      <c r="B211" s="301"/>
      <c r="C211" s="301"/>
      <c r="D211" s="301"/>
      <c r="E211" s="301"/>
      <c r="F211" s="301"/>
      <c r="G211" s="301"/>
      <c r="H211" s="301"/>
      <c r="I211" s="301"/>
      <c r="J211" s="301"/>
      <c r="K211" s="301"/>
      <c r="L211" s="301"/>
      <c r="M211" s="301"/>
      <c r="N211" s="301"/>
      <c r="O211" s="301"/>
      <c r="P211" s="301"/>
      <c r="Q211" s="301"/>
      <c r="R211" s="301"/>
      <c r="S211" s="301"/>
      <c r="T211" s="301"/>
      <c r="U211" s="301"/>
      <c r="V211" s="301"/>
      <c r="W211" s="301"/>
      <c r="X211" s="301"/>
      <c r="Y211" s="301"/>
      <c r="Z211" s="301"/>
    </row>
    <row r="212" spans="1:26" ht="11.25" customHeight="1">
      <c r="A212" s="301"/>
      <c r="B212" s="301"/>
      <c r="C212" s="301"/>
      <c r="D212" s="301"/>
      <c r="E212" s="301"/>
      <c r="F212" s="301"/>
      <c r="G212" s="301"/>
      <c r="H212" s="301"/>
      <c r="I212" s="301"/>
      <c r="J212" s="301"/>
      <c r="K212" s="301"/>
      <c r="L212" s="301"/>
      <c r="M212" s="301"/>
      <c r="N212" s="301"/>
      <c r="O212" s="301"/>
      <c r="P212" s="301"/>
      <c r="Q212" s="301"/>
      <c r="R212" s="301"/>
      <c r="S212" s="301"/>
      <c r="T212" s="301"/>
      <c r="U212" s="301"/>
      <c r="V212" s="301"/>
      <c r="W212" s="301"/>
      <c r="X212" s="301"/>
      <c r="Y212" s="301"/>
      <c r="Z212" s="301"/>
    </row>
    <row r="213" spans="1:26" ht="11.25" customHeight="1">
      <c r="A213" s="301"/>
      <c r="B213" s="301"/>
      <c r="C213" s="301"/>
      <c r="D213" s="301"/>
      <c r="E213" s="301"/>
      <c r="F213" s="301"/>
      <c r="G213" s="301"/>
      <c r="H213" s="301"/>
      <c r="I213" s="301"/>
      <c r="J213" s="301"/>
      <c r="K213" s="301"/>
      <c r="L213" s="301"/>
      <c r="M213" s="301"/>
      <c r="N213" s="301"/>
      <c r="O213" s="301"/>
      <c r="P213" s="301"/>
      <c r="Q213" s="301"/>
      <c r="R213" s="301"/>
      <c r="S213" s="301"/>
      <c r="T213" s="301"/>
      <c r="U213" s="301"/>
      <c r="V213" s="301"/>
      <c r="W213" s="301"/>
      <c r="X213" s="301"/>
      <c r="Y213" s="301"/>
      <c r="Z213" s="301"/>
    </row>
    <row r="214" spans="1:26" ht="11.25" customHeight="1">
      <c r="A214" s="301"/>
      <c r="B214" s="301"/>
      <c r="C214" s="301"/>
      <c r="D214" s="301"/>
      <c r="E214" s="301"/>
      <c r="F214" s="301"/>
      <c r="G214" s="301"/>
      <c r="H214" s="301"/>
      <c r="I214" s="301"/>
      <c r="J214" s="301"/>
      <c r="K214" s="301"/>
      <c r="L214" s="301"/>
      <c r="M214" s="301"/>
      <c r="N214" s="301"/>
      <c r="O214" s="301"/>
      <c r="P214" s="301"/>
      <c r="Q214" s="301"/>
      <c r="R214" s="301"/>
      <c r="S214" s="301"/>
      <c r="T214" s="301"/>
      <c r="U214" s="301"/>
      <c r="V214" s="301"/>
      <c r="W214" s="301"/>
      <c r="X214" s="301"/>
      <c r="Y214" s="301"/>
      <c r="Z214" s="301"/>
    </row>
    <row r="215" spans="1:26" ht="11.25" customHeight="1">
      <c r="A215" s="301"/>
      <c r="B215" s="301"/>
      <c r="C215" s="301"/>
      <c r="D215" s="301"/>
      <c r="E215" s="301"/>
      <c r="F215" s="301"/>
      <c r="G215" s="301"/>
      <c r="H215" s="301"/>
      <c r="I215" s="301"/>
      <c r="J215" s="301"/>
      <c r="K215" s="301"/>
      <c r="L215" s="301"/>
      <c r="M215" s="301"/>
      <c r="N215" s="301"/>
      <c r="O215" s="301"/>
      <c r="P215" s="301"/>
      <c r="Q215" s="301"/>
      <c r="R215" s="301"/>
      <c r="S215" s="301"/>
      <c r="T215" s="301"/>
      <c r="U215" s="301"/>
      <c r="V215" s="301"/>
      <c r="W215" s="301"/>
      <c r="X215" s="301"/>
      <c r="Y215" s="301"/>
      <c r="Z215" s="301"/>
    </row>
    <row r="216" spans="1:26" ht="11.25" customHeight="1">
      <c r="A216" s="301"/>
      <c r="B216" s="301"/>
      <c r="C216" s="301"/>
      <c r="D216" s="301"/>
      <c r="E216" s="301"/>
      <c r="F216" s="301"/>
      <c r="G216" s="301"/>
      <c r="H216" s="301"/>
      <c r="I216" s="301"/>
      <c r="J216" s="301"/>
      <c r="K216" s="301"/>
      <c r="L216" s="301"/>
      <c r="M216" s="301"/>
      <c r="N216" s="301"/>
      <c r="O216" s="301"/>
      <c r="P216" s="301"/>
      <c r="Q216" s="301"/>
      <c r="R216" s="301"/>
      <c r="S216" s="301"/>
      <c r="T216" s="301"/>
      <c r="U216" s="301"/>
      <c r="V216" s="301"/>
      <c r="W216" s="301"/>
      <c r="X216" s="301"/>
      <c r="Y216" s="301"/>
      <c r="Z216" s="301"/>
    </row>
    <row r="217" spans="1:26" ht="11.25" customHeight="1">
      <c r="A217" s="301"/>
      <c r="B217" s="301"/>
      <c r="C217" s="301"/>
      <c r="D217" s="301"/>
      <c r="E217" s="301"/>
      <c r="F217" s="301"/>
      <c r="G217" s="301"/>
      <c r="H217" s="301"/>
      <c r="I217" s="301"/>
      <c r="J217" s="301"/>
      <c r="K217" s="301"/>
      <c r="L217" s="301"/>
      <c r="M217" s="301"/>
      <c r="N217" s="301"/>
      <c r="O217" s="301"/>
      <c r="P217" s="301"/>
      <c r="Q217" s="301"/>
      <c r="R217" s="301"/>
      <c r="S217" s="301"/>
      <c r="T217" s="301"/>
      <c r="U217" s="301"/>
      <c r="V217" s="301"/>
      <c r="W217" s="301"/>
      <c r="X217" s="301"/>
      <c r="Y217" s="301"/>
      <c r="Z217" s="301"/>
    </row>
    <row r="218" spans="1:26" ht="11.25" customHeight="1">
      <c r="A218" s="301"/>
      <c r="B218" s="301"/>
      <c r="C218" s="301"/>
      <c r="D218" s="301"/>
      <c r="E218" s="301"/>
      <c r="F218" s="301"/>
      <c r="G218" s="301"/>
      <c r="H218" s="301"/>
      <c r="I218" s="301"/>
      <c r="J218" s="301"/>
      <c r="K218" s="301"/>
      <c r="L218" s="301"/>
      <c r="M218" s="301"/>
      <c r="N218" s="301"/>
      <c r="O218" s="301"/>
      <c r="P218" s="301"/>
      <c r="Q218" s="301"/>
      <c r="R218" s="301"/>
      <c r="S218" s="301"/>
      <c r="T218" s="301"/>
      <c r="U218" s="301"/>
      <c r="V218" s="301"/>
      <c r="W218" s="301"/>
      <c r="X218" s="301"/>
      <c r="Y218" s="301"/>
      <c r="Z218" s="301"/>
    </row>
    <row r="219" spans="1:26" ht="11.25" customHeight="1">
      <c r="A219" s="301"/>
      <c r="B219" s="301"/>
      <c r="C219" s="301"/>
      <c r="D219" s="301"/>
      <c r="E219" s="301"/>
      <c r="F219" s="301"/>
      <c r="G219" s="301"/>
      <c r="H219" s="301"/>
      <c r="I219" s="301"/>
      <c r="J219" s="301"/>
      <c r="K219" s="301"/>
      <c r="L219" s="301"/>
      <c r="M219" s="301"/>
      <c r="N219" s="301"/>
      <c r="O219" s="301"/>
      <c r="P219" s="301"/>
      <c r="Q219" s="301"/>
      <c r="R219" s="301"/>
      <c r="S219" s="301"/>
      <c r="T219" s="301"/>
      <c r="U219" s="301"/>
      <c r="V219" s="301"/>
      <c r="W219" s="301"/>
      <c r="X219" s="301"/>
      <c r="Y219" s="301"/>
      <c r="Z219" s="301"/>
    </row>
    <row r="220" spans="1:26" ht="11.25" customHeight="1">
      <c r="A220" s="301"/>
      <c r="B220" s="301"/>
      <c r="C220" s="301"/>
      <c r="D220" s="301"/>
      <c r="E220" s="301"/>
      <c r="F220" s="301"/>
      <c r="G220" s="301"/>
      <c r="H220" s="301"/>
      <c r="I220" s="301"/>
      <c r="J220" s="301"/>
      <c r="K220" s="301"/>
      <c r="L220" s="301"/>
      <c r="M220" s="301"/>
      <c r="N220" s="301"/>
      <c r="O220" s="301"/>
      <c r="P220" s="301"/>
      <c r="Q220" s="301"/>
      <c r="R220" s="301"/>
      <c r="S220" s="301"/>
      <c r="T220" s="301"/>
      <c r="U220" s="301"/>
      <c r="V220" s="301"/>
      <c r="W220" s="301"/>
      <c r="X220" s="301"/>
      <c r="Y220" s="301"/>
      <c r="Z220" s="301"/>
    </row>
    <row r="221" spans="1:26" ht="11.25" customHeight="1">
      <c r="A221" s="301"/>
      <c r="B221" s="301"/>
      <c r="C221" s="301"/>
      <c r="D221" s="301"/>
      <c r="E221" s="301"/>
      <c r="F221" s="301"/>
      <c r="G221" s="301"/>
      <c r="H221" s="301"/>
      <c r="I221" s="301"/>
      <c r="J221" s="301"/>
      <c r="K221" s="301"/>
      <c r="L221" s="301"/>
      <c r="M221" s="301"/>
      <c r="N221" s="301"/>
      <c r="O221" s="301"/>
      <c r="P221" s="301"/>
      <c r="Q221" s="301"/>
      <c r="R221" s="301"/>
      <c r="S221" s="301"/>
      <c r="T221" s="301"/>
      <c r="U221" s="301"/>
      <c r="V221" s="301"/>
      <c r="W221" s="301"/>
      <c r="X221" s="301"/>
      <c r="Y221" s="301"/>
      <c r="Z221" s="301"/>
    </row>
    <row r="222" spans="1:26" ht="11.25" customHeight="1">
      <c r="A222" s="301"/>
      <c r="B222" s="301"/>
      <c r="C222" s="301"/>
      <c r="D222" s="301"/>
      <c r="E222" s="301"/>
      <c r="F222" s="301"/>
      <c r="G222" s="301"/>
      <c r="H222" s="301"/>
      <c r="I222" s="301"/>
      <c r="J222" s="301"/>
      <c r="K222" s="301"/>
      <c r="L222" s="301"/>
      <c r="M222" s="301"/>
      <c r="N222" s="301"/>
      <c r="O222" s="301"/>
      <c r="P222" s="301"/>
      <c r="Q222" s="301"/>
      <c r="R222" s="301"/>
      <c r="S222" s="301"/>
      <c r="T222" s="301"/>
      <c r="U222" s="301"/>
      <c r="V222" s="301"/>
      <c r="W222" s="301"/>
      <c r="X222" s="301"/>
      <c r="Y222" s="301"/>
      <c r="Z222" s="301"/>
    </row>
    <row r="223" spans="1:26" ht="11.25" customHeight="1">
      <c r="A223" s="301"/>
      <c r="B223" s="301"/>
      <c r="C223" s="301"/>
      <c r="D223" s="301"/>
      <c r="E223" s="301"/>
      <c r="F223" s="301"/>
      <c r="G223" s="301"/>
      <c r="H223" s="301"/>
      <c r="I223" s="301"/>
      <c r="J223" s="301"/>
      <c r="K223" s="301"/>
      <c r="L223" s="301"/>
      <c r="M223" s="301"/>
      <c r="N223" s="301"/>
      <c r="O223" s="301"/>
      <c r="P223" s="301"/>
      <c r="Q223" s="301"/>
      <c r="R223" s="301"/>
      <c r="S223" s="301"/>
      <c r="T223" s="301"/>
      <c r="U223" s="301"/>
      <c r="V223" s="301"/>
      <c r="W223" s="301"/>
      <c r="X223" s="301"/>
      <c r="Y223" s="301"/>
      <c r="Z223" s="301"/>
    </row>
    <row r="224" spans="1:26" ht="11.25" customHeight="1">
      <c r="A224" s="301"/>
      <c r="B224" s="301"/>
      <c r="C224" s="301"/>
      <c r="D224" s="301"/>
      <c r="E224" s="301"/>
      <c r="F224" s="301"/>
      <c r="G224" s="301"/>
      <c r="H224" s="301"/>
      <c r="I224" s="301"/>
      <c r="J224" s="301"/>
      <c r="K224" s="301"/>
      <c r="L224" s="301"/>
      <c r="M224" s="301"/>
      <c r="N224" s="301"/>
      <c r="O224" s="301"/>
      <c r="P224" s="301"/>
      <c r="Q224" s="301"/>
      <c r="R224" s="301"/>
      <c r="S224" s="301"/>
      <c r="T224" s="301"/>
      <c r="U224" s="301"/>
      <c r="V224" s="301"/>
      <c r="W224" s="301"/>
      <c r="X224" s="301"/>
      <c r="Y224" s="301"/>
      <c r="Z224" s="301"/>
    </row>
    <row r="225" spans="1:26" ht="11.25" customHeight="1">
      <c r="A225" s="301"/>
      <c r="B225" s="301"/>
      <c r="C225" s="301"/>
      <c r="D225" s="301"/>
      <c r="E225" s="301"/>
      <c r="F225" s="301"/>
      <c r="G225" s="301"/>
      <c r="H225" s="301"/>
      <c r="I225" s="301"/>
      <c r="J225" s="301"/>
      <c r="K225" s="301"/>
      <c r="L225" s="301"/>
      <c r="M225" s="301"/>
      <c r="N225" s="301"/>
      <c r="O225" s="301"/>
      <c r="P225" s="301"/>
      <c r="Q225" s="301"/>
      <c r="R225" s="301"/>
      <c r="S225" s="301"/>
      <c r="T225" s="301"/>
      <c r="U225" s="301"/>
      <c r="V225" s="301"/>
      <c r="W225" s="301"/>
      <c r="X225" s="301"/>
      <c r="Y225" s="301"/>
      <c r="Z225" s="301"/>
    </row>
    <row r="226" spans="1:26" ht="11.25" customHeight="1">
      <c r="A226" s="301"/>
      <c r="B226" s="301"/>
      <c r="C226" s="301"/>
      <c r="D226" s="301"/>
      <c r="E226" s="301"/>
      <c r="F226" s="301"/>
      <c r="G226" s="301"/>
      <c r="H226" s="301"/>
      <c r="I226" s="301"/>
      <c r="J226" s="301"/>
      <c r="K226" s="301"/>
      <c r="L226" s="301"/>
      <c r="M226" s="301"/>
      <c r="N226" s="301"/>
      <c r="O226" s="301"/>
      <c r="P226" s="301"/>
      <c r="Q226" s="301"/>
      <c r="R226" s="301"/>
      <c r="S226" s="301"/>
      <c r="T226" s="301"/>
      <c r="U226" s="301"/>
      <c r="V226" s="301"/>
      <c r="W226" s="301"/>
      <c r="X226" s="301"/>
      <c r="Y226" s="301"/>
      <c r="Z226" s="301"/>
    </row>
    <row r="227" spans="1:26" ht="11.25" customHeight="1">
      <c r="A227" s="301"/>
      <c r="B227" s="301"/>
      <c r="C227" s="301"/>
      <c r="D227" s="301"/>
      <c r="E227" s="301"/>
      <c r="F227" s="301"/>
      <c r="G227" s="301"/>
      <c r="H227" s="301"/>
      <c r="I227" s="301"/>
      <c r="J227" s="301"/>
      <c r="K227" s="301"/>
      <c r="L227" s="301"/>
      <c r="M227" s="301"/>
      <c r="N227" s="301"/>
      <c r="O227" s="301"/>
      <c r="P227" s="301"/>
      <c r="Q227" s="301"/>
      <c r="R227" s="301"/>
      <c r="S227" s="301"/>
      <c r="T227" s="301"/>
      <c r="U227" s="301"/>
      <c r="V227" s="301"/>
      <c r="W227" s="301"/>
      <c r="X227" s="301"/>
      <c r="Y227" s="301"/>
      <c r="Z227" s="301"/>
    </row>
    <row r="228" spans="1:26" ht="11.25" customHeight="1">
      <c r="A228" s="301"/>
      <c r="B228" s="301"/>
      <c r="C228" s="301"/>
      <c r="D228" s="301"/>
      <c r="E228" s="301"/>
      <c r="F228" s="301"/>
      <c r="G228" s="301"/>
      <c r="H228" s="301"/>
      <c r="I228" s="301"/>
      <c r="J228" s="301"/>
      <c r="K228" s="301"/>
      <c r="L228" s="301"/>
      <c r="M228" s="301"/>
      <c r="N228" s="301"/>
      <c r="O228" s="301"/>
      <c r="P228" s="301"/>
      <c r="Q228" s="301"/>
      <c r="R228" s="301"/>
      <c r="S228" s="301"/>
      <c r="T228" s="301"/>
      <c r="U228" s="301"/>
      <c r="V228" s="301"/>
      <c r="W228" s="301"/>
      <c r="X228" s="301"/>
      <c r="Y228" s="301"/>
      <c r="Z228" s="301"/>
    </row>
    <row r="229" spans="1:26" ht="11.25" customHeight="1">
      <c r="A229" s="301"/>
      <c r="B229" s="301"/>
      <c r="C229" s="301"/>
      <c r="D229" s="301"/>
      <c r="E229" s="301"/>
      <c r="F229" s="301"/>
      <c r="G229" s="301"/>
      <c r="H229" s="301"/>
      <c r="I229" s="301"/>
      <c r="J229" s="301"/>
      <c r="K229" s="301"/>
      <c r="L229" s="301"/>
      <c r="M229" s="301"/>
      <c r="N229" s="301"/>
      <c r="O229" s="301"/>
      <c r="P229" s="301"/>
      <c r="Q229" s="301"/>
      <c r="R229" s="301"/>
      <c r="S229" s="301"/>
      <c r="T229" s="301"/>
      <c r="U229" s="301"/>
      <c r="V229" s="301"/>
      <c r="W229" s="301"/>
      <c r="X229" s="301"/>
      <c r="Y229" s="301"/>
      <c r="Z229" s="301"/>
    </row>
    <row r="230" spans="1:26" ht="11.25" customHeight="1">
      <c r="A230" s="301"/>
      <c r="B230" s="301"/>
      <c r="C230" s="301"/>
      <c r="D230" s="301"/>
      <c r="E230" s="301"/>
      <c r="F230" s="301"/>
      <c r="G230" s="301"/>
      <c r="H230" s="301"/>
      <c r="I230" s="301"/>
      <c r="J230" s="301"/>
      <c r="K230" s="301"/>
      <c r="L230" s="301"/>
      <c r="M230" s="301"/>
      <c r="N230" s="301"/>
      <c r="O230" s="301"/>
      <c r="P230" s="301"/>
      <c r="Q230" s="301"/>
      <c r="R230" s="301"/>
      <c r="S230" s="301"/>
      <c r="T230" s="301"/>
      <c r="U230" s="301"/>
      <c r="V230" s="301"/>
      <c r="W230" s="301"/>
      <c r="X230" s="301"/>
      <c r="Y230" s="301"/>
      <c r="Z230" s="301"/>
    </row>
    <row r="231" spans="1:26" ht="11.25" customHeight="1">
      <c r="A231" s="301"/>
      <c r="B231" s="301"/>
      <c r="C231" s="301"/>
      <c r="D231" s="301"/>
      <c r="E231" s="301"/>
      <c r="F231" s="301"/>
      <c r="G231" s="301"/>
      <c r="H231" s="301"/>
      <c r="I231" s="301"/>
      <c r="J231" s="301"/>
      <c r="K231" s="301"/>
      <c r="L231" s="301"/>
      <c r="M231" s="301"/>
      <c r="N231" s="301"/>
      <c r="O231" s="301"/>
      <c r="P231" s="301"/>
      <c r="Q231" s="301"/>
      <c r="R231" s="301"/>
      <c r="S231" s="301"/>
      <c r="T231" s="301"/>
      <c r="U231" s="301"/>
      <c r="V231" s="301"/>
      <c r="W231" s="301"/>
      <c r="X231" s="301"/>
      <c r="Y231" s="301"/>
      <c r="Z231" s="301"/>
    </row>
    <row r="232" spans="1:26" ht="11.25" customHeight="1">
      <c r="A232" s="301"/>
      <c r="B232" s="301"/>
      <c r="C232" s="301"/>
      <c r="D232" s="301"/>
      <c r="E232" s="301"/>
      <c r="F232" s="301"/>
      <c r="G232" s="301"/>
      <c r="H232" s="301"/>
      <c r="I232" s="301"/>
      <c r="J232" s="301"/>
      <c r="K232" s="301"/>
      <c r="L232" s="301"/>
      <c r="M232" s="301"/>
      <c r="N232" s="301"/>
      <c r="O232" s="301"/>
      <c r="P232" s="301"/>
      <c r="Q232" s="301"/>
      <c r="R232" s="301"/>
      <c r="S232" s="301"/>
      <c r="T232" s="301"/>
      <c r="U232" s="301"/>
      <c r="V232" s="301"/>
      <c r="W232" s="301"/>
      <c r="X232" s="301"/>
      <c r="Y232" s="301"/>
      <c r="Z232" s="301"/>
    </row>
    <row r="233" spans="1:26" ht="11.25" customHeight="1">
      <c r="A233" s="301"/>
      <c r="B233" s="301"/>
      <c r="C233" s="301"/>
      <c r="D233" s="301"/>
      <c r="E233" s="301"/>
      <c r="F233" s="301"/>
      <c r="G233" s="301"/>
      <c r="H233" s="301"/>
      <c r="I233" s="301"/>
      <c r="J233" s="301"/>
      <c r="K233" s="301"/>
      <c r="L233" s="301"/>
      <c r="M233" s="301"/>
      <c r="N233" s="301"/>
      <c r="O233" s="301"/>
      <c r="P233" s="301"/>
      <c r="Q233" s="301"/>
      <c r="R233" s="301"/>
      <c r="S233" s="301"/>
      <c r="T233" s="301"/>
      <c r="U233" s="301"/>
      <c r="V233" s="301"/>
      <c r="W233" s="301"/>
      <c r="X233" s="301"/>
      <c r="Y233" s="301"/>
      <c r="Z233" s="301"/>
    </row>
    <row r="234" spans="1:26" ht="11.25" customHeight="1">
      <c r="A234" s="301"/>
      <c r="B234" s="301"/>
      <c r="C234" s="301"/>
      <c r="D234" s="301"/>
      <c r="E234" s="301"/>
      <c r="F234" s="301"/>
      <c r="G234" s="301"/>
      <c r="H234" s="301"/>
      <c r="I234" s="301"/>
      <c r="J234" s="301"/>
      <c r="K234" s="301"/>
      <c r="L234" s="301"/>
      <c r="M234" s="301"/>
      <c r="N234" s="301"/>
      <c r="O234" s="301"/>
      <c r="P234" s="301"/>
      <c r="Q234" s="301"/>
      <c r="R234" s="301"/>
      <c r="S234" s="301"/>
      <c r="T234" s="301"/>
      <c r="U234" s="301"/>
      <c r="V234" s="301"/>
      <c r="W234" s="301"/>
      <c r="X234" s="301"/>
      <c r="Y234" s="301"/>
      <c r="Z234" s="301"/>
    </row>
    <row r="235" spans="1:26" ht="11.25" customHeight="1">
      <c r="A235" s="301"/>
      <c r="B235" s="301"/>
      <c r="C235" s="301"/>
      <c r="D235" s="301"/>
      <c r="E235" s="301"/>
      <c r="F235" s="301"/>
      <c r="G235" s="301"/>
      <c r="H235" s="301"/>
      <c r="I235" s="301"/>
      <c r="J235" s="301"/>
      <c r="K235" s="301"/>
      <c r="L235" s="301"/>
      <c r="M235" s="301"/>
      <c r="N235" s="301"/>
      <c r="O235" s="301"/>
      <c r="P235" s="301"/>
      <c r="Q235" s="301"/>
      <c r="R235" s="301"/>
      <c r="S235" s="301"/>
      <c r="T235" s="301"/>
      <c r="U235" s="301"/>
      <c r="V235" s="301"/>
      <c r="W235" s="301"/>
      <c r="X235" s="301"/>
      <c r="Y235" s="301"/>
      <c r="Z235" s="301"/>
    </row>
    <row r="236" spans="1:26" ht="11.25" customHeight="1">
      <c r="A236" s="301"/>
      <c r="B236" s="301"/>
      <c r="C236" s="301"/>
      <c r="D236" s="301"/>
      <c r="E236" s="301"/>
      <c r="F236" s="301"/>
      <c r="G236" s="301"/>
      <c r="H236" s="301"/>
      <c r="I236" s="301"/>
      <c r="J236" s="301"/>
      <c r="K236" s="301"/>
      <c r="L236" s="301"/>
      <c r="M236" s="301"/>
      <c r="N236" s="301"/>
      <c r="O236" s="301"/>
      <c r="P236" s="301"/>
      <c r="Q236" s="301"/>
      <c r="R236" s="301"/>
      <c r="S236" s="301"/>
      <c r="T236" s="301"/>
      <c r="U236" s="301"/>
      <c r="V236" s="301"/>
      <c r="W236" s="301"/>
      <c r="X236" s="301"/>
      <c r="Y236" s="301"/>
      <c r="Z236" s="301"/>
    </row>
    <row r="237" spans="1:26" ht="11.25" customHeight="1">
      <c r="A237" s="301"/>
      <c r="B237" s="301"/>
      <c r="C237" s="301"/>
      <c r="D237" s="301"/>
      <c r="E237" s="301"/>
      <c r="F237" s="301"/>
      <c r="G237" s="301"/>
      <c r="H237" s="301"/>
      <c r="I237" s="301"/>
      <c r="J237" s="301"/>
      <c r="K237" s="301"/>
      <c r="L237" s="301"/>
      <c r="M237" s="301"/>
      <c r="N237" s="301"/>
      <c r="O237" s="301"/>
      <c r="P237" s="301"/>
      <c r="Q237" s="301"/>
      <c r="R237" s="301"/>
      <c r="S237" s="301"/>
      <c r="T237" s="301"/>
      <c r="U237" s="301"/>
      <c r="V237" s="301"/>
      <c r="W237" s="301"/>
      <c r="X237" s="301"/>
      <c r="Y237" s="301"/>
      <c r="Z237" s="301"/>
    </row>
    <row r="238" spans="1:26" ht="11.25" customHeight="1">
      <c r="A238" s="301"/>
      <c r="B238" s="301"/>
      <c r="C238" s="301"/>
      <c r="D238" s="301"/>
      <c r="E238" s="301"/>
      <c r="F238" s="301"/>
      <c r="G238" s="301"/>
      <c r="H238" s="301"/>
      <c r="I238" s="301"/>
      <c r="J238" s="301"/>
      <c r="K238" s="301"/>
      <c r="L238" s="301"/>
      <c r="M238" s="301"/>
      <c r="N238" s="301"/>
      <c r="O238" s="301"/>
      <c r="P238" s="301"/>
      <c r="Q238" s="301"/>
      <c r="R238" s="301"/>
      <c r="S238" s="301"/>
      <c r="T238" s="301"/>
      <c r="U238" s="301"/>
      <c r="V238" s="301"/>
      <c r="W238" s="301"/>
      <c r="X238" s="301"/>
      <c r="Y238" s="301"/>
      <c r="Z238" s="301"/>
    </row>
    <row r="239" spans="1:26" ht="11.25" customHeight="1">
      <c r="A239" s="301"/>
      <c r="B239" s="301"/>
      <c r="C239" s="301"/>
      <c r="D239" s="301"/>
      <c r="E239" s="301"/>
      <c r="F239" s="301"/>
      <c r="G239" s="301"/>
      <c r="H239" s="301"/>
      <c r="I239" s="301"/>
      <c r="J239" s="301"/>
      <c r="K239" s="301"/>
      <c r="L239" s="301"/>
      <c r="M239" s="301"/>
      <c r="N239" s="301"/>
      <c r="O239" s="301"/>
      <c r="P239" s="301"/>
      <c r="Q239" s="301"/>
      <c r="R239" s="301"/>
      <c r="S239" s="301"/>
      <c r="T239" s="301"/>
      <c r="U239" s="301"/>
      <c r="V239" s="301"/>
      <c r="W239" s="301"/>
      <c r="X239" s="301"/>
      <c r="Y239" s="301"/>
      <c r="Z239" s="301"/>
    </row>
    <row r="240" spans="1:26" ht="11.25" customHeight="1">
      <c r="A240" s="301"/>
      <c r="B240" s="301"/>
      <c r="C240" s="301"/>
      <c r="D240" s="301"/>
      <c r="E240" s="301"/>
      <c r="F240" s="301"/>
      <c r="G240" s="301"/>
      <c r="H240" s="301"/>
      <c r="I240" s="301"/>
      <c r="J240" s="301"/>
      <c r="K240" s="301"/>
      <c r="L240" s="301"/>
      <c r="M240" s="301"/>
      <c r="N240" s="301"/>
      <c r="O240" s="301"/>
      <c r="P240" s="301"/>
      <c r="Q240" s="301"/>
      <c r="R240" s="301"/>
      <c r="S240" s="301"/>
      <c r="T240" s="301"/>
      <c r="U240" s="301"/>
      <c r="V240" s="301"/>
      <c r="W240" s="301"/>
      <c r="X240" s="301"/>
      <c r="Y240" s="301"/>
      <c r="Z240" s="301"/>
    </row>
    <row r="241" spans="1:26" ht="11.25" customHeight="1">
      <c r="A241" s="301"/>
      <c r="B241" s="301"/>
      <c r="C241" s="301"/>
      <c r="D241" s="301"/>
      <c r="E241" s="301"/>
      <c r="F241" s="301"/>
      <c r="G241" s="301"/>
      <c r="H241" s="301"/>
      <c r="I241" s="301"/>
      <c r="J241" s="301"/>
      <c r="K241" s="301"/>
      <c r="L241" s="301"/>
      <c r="M241" s="301"/>
      <c r="N241" s="301"/>
      <c r="O241" s="301"/>
      <c r="P241" s="301"/>
      <c r="Q241" s="301"/>
      <c r="R241" s="301"/>
      <c r="S241" s="301"/>
      <c r="T241" s="301"/>
      <c r="U241" s="301"/>
      <c r="V241" s="301"/>
      <c r="W241" s="301"/>
      <c r="X241" s="301"/>
      <c r="Y241" s="301"/>
      <c r="Z241" s="301"/>
    </row>
    <row r="242" spans="1:26" ht="11.25" customHeight="1">
      <c r="A242" s="301"/>
      <c r="B242" s="301"/>
      <c r="C242" s="301"/>
      <c r="D242" s="301"/>
      <c r="E242" s="301"/>
      <c r="F242" s="301"/>
      <c r="G242" s="301"/>
      <c r="H242" s="301"/>
      <c r="I242" s="301"/>
      <c r="J242" s="301"/>
      <c r="K242" s="301"/>
      <c r="L242" s="301"/>
      <c r="M242" s="301"/>
      <c r="N242" s="301"/>
      <c r="O242" s="301"/>
      <c r="P242" s="301"/>
      <c r="Q242" s="301"/>
      <c r="R242" s="301"/>
      <c r="S242" s="301"/>
      <c r="T242" s="301"/>
      <c r="U242" s="301"/>
      <c r="V242" s="301"/>
      <c r="W242" s="301"/>
      <c r="X242" s="301"/>
      <c r="Y242" s="301"/>
      <c r="Z242" s="301"/>
    </row>
    <row r="243" spans="1:26" ht="11.25" customHeight="1">
      <c r="A243" s="301"/>
      <c r="B243" s="301"/>
      <c r="C243" s="301"/>
      <c r="D243" s="301"/>
      <c r="E243" s="301"/>
      <c r="F243" s="301"/>
      <c r="G243" s="301"/>
      <c r="H243" s="301"/>
      <c r="I243" s="301"/>
      <c r="J243" s="301"/>
      <c r="K243" s="301"/>
      <c r="L243" s="301"/>
      <c r="M243" s="301"/>
      <c r="N243" s="301"/>
      <c r="O243" s="301"/>
      <c r="P243" s="301"/>
      <c r="Q243" s="301"/>
      <c r="R243" s="301"/>
      <c r="S243" s="301"/>
      <c r="T243" s="301"/>
      <c r="U243" s="301"/>
      <c r="V243" s="301"/>
      <c r="W243" s="301"/>
      <c r="X243" s="301"/>
      <c r="Y243" s="301"/>
      <c r="Z243" s="301"/>
    </row>
    <row r="244" spans="1:26" ht="11.25" customHeight="1">
      <c r="A244" s="301"/>
      <c r="B244" s="301"/>
      <c r="C244" s="301"/>
      <c r="D244" s="301"/>
      <c r="E244" s="301"/>
      <c r="F244" s="301"/>
      <c r="G244" s="301"/>
      <c r="H244" s="301"/>
      <c r="I244" s="301"/>
      <c r="J244" s="301"/>
      <c r="K244" s="301"/>
      <c r="L244" s="301"/>
      <c r="M244" s="301"/>
      <c r="N244" s="301"/>
      <c r="O244" s="301"/>
      <c r="P244" s="301"/>
      <c r="Q244" s="301"/>
      <c r="R244" s="301"/>
      <c r="S244" s="301"/>
      <c r="T244" s="301"/>
      <c r="U244" s="301"/>
      <c r="V244" s="301"/>
      <c r="W244" s="301"/>
      <c r="X244" s="301"/>
      <c r="Y244" s="301"/>
      <c r="Z244" s="301"/>
    </row>
    <row r="245" spans="1:26" ht="11.25" customHeight="1">
      <c r="A245" s="301"/>
      <c r="B245" s="301"/>
      <c r="C245" s="301"/>
      <c r="D245" s="301"/>
      <c r="E245" s="301"/>
      <c r="F245" s="301"/>
      <c r="G245" s="301"/>
      <c r="H245" s="301"/>
      <c r="I245" s="301"/>
      <c r="J245" s="301"/>
      <c r="K245" s="301"/>
      <c r="L245" s="301"/>
      <c r="M245" s="301"/>
      <c r="N245" s="301"/>
      <c r="O245" s="301"/>
      <c r="P245" s="301"/>
      <c r="Q245" s="301"/>
      <c r="R245" s="301"/>
      <c r="S245" s="301"/>
      <c r="T245" s="301"/>
      <c r="U245" s="301"/>
      <c r="V245" s="301"/>
      <c r="W245" s="301"/>
      <c r="X245" s="301"/>
      <c r="Y245" s="301"/>
      <c r="Z245" s="301"/>
    </row>
    <row r="246" spans="1:26" ht="11.25" customHeight="1">
      <c r="A246" s="301"/>
      <c r="B246" s="301"/>
      <c r="C246" s="301"/>
      <c r="D246" s="301"/>
      <c r="E246" s="301"/>
      <c r="F246" s="301"/>
      <c r="G246" s="301"/>
      <c r="H246" s="301"/>
      <c r="I246" s="301"/>
      <c r="J246" s="301"/>
      <c r="K246" s="301"/>
      <c r="L246" s="301"/>
      <c r="M246" s="301"/>
      <c r="N246" s="301"/>
      <c r="O246" s="301"/>
      <c r="P246" s="301"/>
      <c r="Q246" s="301"/>
      <c r="R246" s="301"/>
      <c r="S246" s="301"/>
      <c r="T246" s="301"/>
      <c r="U246" s="301"/>
      <c r="V246" s="301"/>
      <c r="W246" s="301"/>
      <c r="X246" s="301"/>
      <c r="Y246" s="301"/>
      <c r="Z246" s="301"/>
    </row>
    <row r="247" spans="1:26" ht="11.25" customHeight="1">
      <c r="A247" s="301"/>
      <c r="B247" s="301"/>
      <c r="C247" s="301"/>
      <c r="D247" s="301"/>
      <c r="E247" s="301"/>
      <c r="F247" s="301"/>
      <c r="G247" s="301"/>
      <c r="H247" s="301"/>
      <c r="I247" s="301"/>
      <c r="J247" s="301"/>
      <c r="K247" s="301"/>
      <c r="L247" s="301"/>
      <c r="M247" s="301"/>
      <c r="N247" s="301"/>
      <c r="O247" s="301"/>
      <c r="P247" s="301"/>
      <c r="Q247" s="301"/>
      <c r="R247" s="301"/>
      <c r="S247" s="301"/>
      <c r="T247" s="301"/>
      <c r="U247" s="301"/>
      <c r="V247" s="301"/>
      <c r="W247" s="301"/>
      <c r="X247" s="301"/>
      <c r="Y247" s="301"/>
      <c r="Z247" s="301"/>
    </row>
    <row r="248" spans="1:26" ht="11.25" customHeight="1">
      <c r="A248" s="301"/>
      <c r="B248" s="301"/>
      <c r="C248" s="301"/>
      <c r="D248" s="301"/>
      <c r="E248" s="301"/>
      <c r="F248" s="301"/>
      <c r="G248" s="301"/>
      <c r="H248" s="301"/>
      <c r="I248" s="301"/>
      <c r="J248" s="301"/>
      <c r="K248" s="301"/>
      <c r="L248" s="301"/>
      <c r="M248" s="301"/>
      <c r="N248" s="301"/>
      <c r="O248" s="301"/>
      <c r="P248" s="301"/>
      <c r="Q248" s="301"/>
      <c r="R248" s="301"/>
      <c r="S248" s="301"/>
      <c r="T248" s="301"/>
      <c r="U248" s="301"/>
      <c r="V248" s="301"/>
      <c r="W248" s="301"/>
      <c r="X248" s="301"/>
      <c r="Y248" s="301"/>
      <c r="Z248" s="301"/>
    </row>
    <row r="249" spans="1:26" ht="11.25" customHeight="1">
      <c r="A249" s="301"/>
      <c r="B249" s="301"/>
      <c r="C249" s="301"/>
      <c r="D249" s="301"/>
      <c r="E249" s="301"/>
      <c r="F249" s="301"/>
      <c r="G249" s="301"/>
      <c r="H249" s="301"/>
      <c r="I249" s="301"/>
      <c r="J249" s="301"/>
      <c r="K249" s="301"/>
      <c r="L249" s="301"/>
      <c r="M249" s="301"/>
      <c r="N249" s="301"/>
      <c r="O249" s="301"/>
      <c r="P249" s="301"/>
      <c r="Q249" s="301"/>
      <c r="R249" s="301"/>
      <c r="S249" s="301"/>
      <c r="T249" s="301"/>
      <c r="U249" s="301"/>
      <c r="V249" s="301"/>
      <c r="W249" s="301"/>
      <c r="X249" s="301"/>
      <c r="Y249" s="301"/>
      <c r="Z249" s="301"/>
    </row>
    <row r="250" spans="1:26" ht="11.25" customHeight="1">
      <c r="A250" s="301"/>
      <c r="B250" s="301"/>
      <c r="C250" s="301"/>
      <c r="D250" s="301"/>
      <c r="E250" s="301"/>
      <c r="F250" s="301"/>
      <c r="G250" s="301"/>
      <c r="H250" s="301"/>
      <c r="I250" s="301"/>
      <c r="J250" s="301"/>
      <c r="K250" s="301"/>
      <c r="L250" s="301"/>
      <c r="M250" s="301"/>
      <c r="N250" s="301"/>
      <c r="O250" s="301"/>
      <c r="P250" s="301"/>
      <c r="Q250" s="301"/>
      <c r="R250" s="301"/>
      <c r="S250" s="301"/>
      <c r="T250" s="301"/>
      <c r="U250" s="301"/>
      <c r="V250" s="301"/>
      <c r="W250" s="301"/>
      <c r="X250" s="301"/>
      <c r="Y250" s="301"/>
      <c r="Z250" s="301"/>
    </row>
    <row r="251" spans="1:26" ht="11.25" customHeight="1">
      <c r="A251" s="301"/>
      <c r="B251" s="301"/>
      <c r="C251" s="301"/>
      <c r="D251" s="301"/>
      <c r="E251" s="301"/>
      <c r="F251" s="301"/>
      <c r="G251" s="301"/>
      <c r="H251" s="301"/>
      <c r="I251" s="301"/>
      <c r="J251" s="301"/>
      <c r="K251" s="301"/>
      <c r="L251" s="301"/>
      <c r="M251" s="301"/>
      <c r="N251" s="301"/>
      <c r="O251" s="301"/>
      <c r="P251" s="301"/>
      <c r="Q251" s="301"/>
      <c r="R251" s="301"/>
      <c r="S251" s="301"/>
      <c r="T251" s="301"/>
      <c r="U251" s="301"/>
      <c r="V251" s="301"/>
      <c r="W251" s="301"/>
      <c r="X251" s="301"/>
      <c r="Y251" s="301"/>
      <c r="Z251" s="301"/>
    </row>
    <row r="252" spans="1:26" ht="11.25" customHeight="1">
      <c r="A252" s="301"/>
      <c r="B252" s="301"/>
      <c r="C252" s="301"/>
      <c r="D252" s="301"/>
      <c r="E252" s="301"/>
      <c r="F252" s="301"/>
      <c r="G252" s="301"/>
      <c r="H252" s="301"/>
      <c r="I252" s="301"/>
      <c r="J252" s="301"/>
      <c r="K252" s="301"/>
      <c r="L252" s="301"/>
      <c r="M252" s="301"/>
      <c r="N252" s="301"/>
      <c r="O252" s="301"/>
      <c r="P252" s="301"/>
      <c r="Q252" s="301"/>
      <c r="R252" s="301"/>
      <c r="S252" s="301"/>
      <c r="T252" s="301"/>
      <c r="U252" s="301"/>
      <c r="V252" s="301"/>
      <c r="W252" s="301"/>
      <c r="X252" s="301"/>
      <c r="Y252" s="301"/>
      <c r="Z252" s="301"/>
    </row>
    <row r="253" spans="1:26" ht="11.25" customHeight="1">
      <c r="A253" s="301"/>
      <c r="B253" s="301"/>
      <c r="C253" s="301"/>
      <c r="D253" s="301"/>
      <c r="E253" s="301"/>
      <c r="F253" s="301"/>
      <c r="G253" s="301"/>
      <c r="H253" s="301"/>
      <c r="I253" s="301"/>
      <c r="J253" s="301"/>
      <c r="K253" s="301"/>
      <c r="L253" s="301"/>
      <c r="M253" s="301"/>
      <c r="N253" s="301"/>
      <c r="O253" s="301"/>
      <c r="P253" s="301"/>
      <c r="Q253" s="301"/>
      <c r="R253" s="301"/>
      <c r="S253" s="301"/>
      <c r="T253" s="301"/>
      <c r="U253" s="301"/>
      <c r="V253" s="301"/>
      <c r="W253" s="301"/>
      <c r="X253" s="301"/>
      <c r="Y253" s="301"/>
      <c r="Z253" s="301"/>
    </row>
    <row r="254" spans="1:26" ht="11.25" customHeight="1">
      <c r="A254" s="301"/>
      <c r="B254" s="301"/>
      <c r="C254" s="301"/>
      <c r="D254" s="301"/>
      <c r="E254" s="301"/>
      <c r="F254" s="301"/>
      <c r="G254" s="301"/>
      <c r="H254" s="301"/>
      <c r="I254" s="301"/>
      <c r="J254" s="301"/>
      <c r="K254" s="301"/>
      <c r="L254" s="301"/>
      <c r="M254" s="301"/>
      <c r="N254" s="301"/>
      <c r="O254" s="301"/>
      <c r="P254" s="301"/>
      <c r="Q254" s="301"/>
      <c r="R254" s="301"/>
      <c r="S254" s="301"/>
      <c r="T254" s="301"/>
      <c r="U254" s="301"/>
      <c r="V254" s="301"/>
      <c r="W254" s="301"/>
      <c r="X254" s="301"/>
      <c r="Y254" s="301"/>
      <c r="Z254" s="301"/>
    </row>
    <row r="255" spans="1:26" ht="11.25" customHeight="1">
      <c r="A255" s="301"/>
      <c r="B255" s="301"/>
      <c r="C255" s="301"/>
      <c r="D255" s="301"/>
      <c r="E255" s="301"/>
      <c r="F255" s="301"/>
      <c r="G255" s="301"/>
      <c r="H255" s="301"/>
      <c r="I255" s="301"/>
      <c r="J255" s="301"/>
      <c r="K255" s="301"/>
      <c r="L255" s="301"/>
      <c r="M255" s="301"/>
      <c r="N255" s="301"/>
      <c r="O255" s="301"/>
      <c r="P255" s="301"/>
      <c r="Q255" s="301"/>
      <c r="R255" s="301"/>
      <c r="S255" s="301"/>
      <c r="T255" s="301"/>
      <c r="U255" s="301"/>
      <c r="V255" s="301"/>
      <c r="W255" s="301"/>
      <c r="X255" s="301"/>
      <c r="Y255" s="301"/>
      <c r="Z255" s="301"/>
    </row>
    <row r="256" spans="1:26" ht="11.25" customHeight="1">
      <c r="A256" s="301"/>
      <c r="B256" s="301"/>
      <c r="C256" s="301"/>
      <c r="D256" s="301"/>
      <c r="E256" s="301"/>
      <c r="F256" s="301"/>
      <c r="G256" s="301"/>
      <c r="H256" s="301"/>
      <c r="I256" s="301"/>
      <c r="J256" s="301"/>
      <c r="K256" s="301"/>
      <c r="L256" s="301"/>
      <c r="M256" s="301"/>
      <c r="N256" s="301"/>
      <c r="O256" s="301"/>
      <c r="P256" s="301"/>
      <c r="Q256" s="301"/>
      <c r="R256" s="301"/>
      <c r="S256" s="301"/>
      <c r="T256" s="301"/>
      <c r="U256" s="301"/>
      <c r="V256" s="301"/>
      <c r="W256" s="301"/>
      <c r="X256" s="301"/>
      <c r="Y256" s="301"/>
      <c r="Z256" s="301"/>
    </row>
    <row r="257" spans="1:26" ht="11.25" customHeight="1">
      <c r="A257" s="301"/>
      <c r="B257" s="301"/>
      <c r="C257" s="301"/>
      <c r="D257" s="301"/>
      <c r="E257" s="301"/>
      <c r="F257" s="301"/>
      <c r="G257" s="301"/>
      <c r="H257" s="301"/>
      <c r="I257" s="301"/>
      <c r="J257" s="301"/>
      <c r="K257" s="301"/>
      <c r="L257" s="301"/>
      <c r="M257" s="301"/>
      <c r="N257" s="301"/>
      <c r="O257" s="301"/>
      <c r="P257" s="301"/>
      <c r="Q257" s="301"/>
      <c r="R257" s="301"/>
      <c r="S257" s="301"/>
      <c r="T257" s="301"/>
      <c r="U257" s="301"/>
      <c r="V257" s="301"/>
      <c r="W257" s="301"/>
      <c r="X257" s="301"/>
      <c r="Y257" s="301"/>
      <c r="Z257" s="301"/>
    </row>
    <row r="258" spans="1:26" ht="11.25" customHeight="1">
      <c r="A258" s="301"/>
      <c r="B258" s="301"/>
      <c r="C258" s="301"/>
      <c r="D258" s="301"/>
      <c r="E258" s="301"/>
      <c r="F258" s="301"/>
      <c r="G258" s="301"/>
      <c r="H258" s="301"/>
      <c r="I258" s="301"/>
      <c r="J258" s="301"/>
      <c r="K258" s="301"/>
      <c r="L258" s="301"/>
      <c r="M258" s="301"/>
      <c r="N258" s="301"/>
      <c r="O258" s="301"/>
      <c r="P258" s="301"/>
      <c r="Q258" s="301"/>
      <c r="R258" s="301"/>
      <c r="S258" s="301"/>
      <c r="T258" s="301"/>
      <c r="U258" s="301"/>
      <c r="V258" s="301"/>
      <c r="W258" s="301"/>
      <c r="X258" s="301"/>
      <c r="Y258" s="301"/>
      <c r="Z258" s="301"/>
    </row>
    <row r="259" spans="1:26" ht="11.25" customHeight="1">
      <c r="A259" s="301"/>
      <c r="B259" s="301"/>
      <c r="C259" s="301"/>
      <c r="D259" s="301"/>
      <c r="E259" s="301"/>
      <c r="F259" s="301"/>
      <c r="G259" s="301"/>
      <c r="H259" s="301"/>
      <c r="I259" s="301"/>
      <c r="J259" s="301"/>
      <c r="K259" s="301"/>
      <c r="L259" s="301"/>
      <c r="M259" s="301"/>
      <c r="N259" s="301"/>
      <c r="O259" s="301"/>
      <c r="P259" s="301"/>
      <c r="Q259" s="301"/>
      <c r="R259" s="301"/>
      <c r="S259" s="301"/>
      <c r="T259" s="301"/>
      <c r="U259" s="301"/>
      <c r="V259" s="301"/>
      <c r="W259" s="301"/>
      <c r="X259" s="301"/>
      <c r="Y259" s="301"/>
      <c r="Z259" s="301"/>
    </row>
    <row r="260" spans="1:26" ht="11.25" customHeight="1">
      <c r="A260" s="301"/>
      <c r="B260" s="301"/>
      <c r="C260" s="301"/>
      <c r="D260" s="301"/>
      <c r="E260" s="301"/>
      <c r="F260" s="301"/>
      <c r="G260" s="301"/>
      <c r="H260" s="301"/>
      <c r="I260" s="301"/>
      <c r="J260" s="301"/>
      <c r="K260" s="301"/>
      <c r="L260" s="301"/>
      <c r="M260" s="301"/>
      <c r="N260" s="301"/>
      <c r="O260" s="301"/>
      <c r="P260" s="301"/>
      <c r="Q260" s="301"/>
      <c r="R260" s="301"/>
      <c r="S260" s="301"/>
      <c r="T260" s="301"/>
      <c r="U260" s="301"/>
      <c r="V260" s="301"/>
      <c r="W260" s="301"/>
      <c r="X260" s="301"/>
      <c r="Y260" s="301"/>
      <c r="Z260" s="301"/>
    </row>
    <row r="261" spans="1:26" ht="11.25" customHeight="1">
      <c r="A261" s="301"/>
      <c r="B261" s="301"/>
      <c r="C261" s="301"/>
      <c r="D261" s="301"/>
      <c r="E261" s="301"/>
      <c r="F261" s="301"/>
      <c r="G261" s="301"/>
      <c r="H261" s="301"/>
      <c r="I261" s="301"/>
      <c r="J261" s="301"/>
      <c r="K261" s="301"/>
      <c r="L261" s="301"/>
      <c r="M261" s="301"/>
      <c r="N261" s="301"/>
      <c r="O261" s="301"/>
      <c r="P261" s="301"/>
      <c r="Q261" s="301"/>
      <c r="R261" s="301"/>
      <c r="S261" s="301"/>
      <c r="T261" s="301"/>
      <c r="U261" s="301"/>
      <c r="V261" s="301"/>
      <c r="W261" s="301"/>
      <c r="X261" s="301"/>
      <c r="Y261" s="301"/>
      <c r="Z261" s="301"/>
    </row>
    <row r="262" spans="1:26" ht="11.25" customHeight="1">
      <c r="A262" s="301"/>
      <c r="B262" s="301"/>
      <c r="C262" s="301"/>
      <c r="D262" s="301"/>
      <c r="E262" s="301"/>
      <c r="F262" s="301"/>
      <c r="G262" s="301"/>
      <c r="H262" s="301"/>
      <c r="I262" s="301"/>
      <c r="J262" s="301"/>
      <c r="K262" s="301"/>
      <c r="L262" s="301"/>
      <c r="M262" s="301"/>
      <c r="N262" s="301"/>
      <c r="O262" s="301"/>
      <c r="P262" s="301"/>
      <c r="Q262" s="301"/>
      <c r="R262" s="301"/>
      <c r="S262" s="301"/>
      <c r="T262" s="301"/>
      <c r="U262" s="301"/>
      <c r="V262" s="301"/>
      <c r="W262" s="301"/>
      <c r="X262" s="301"/>
      <c r="Y262" s="301"/>
      <c r="Z262" s="301"/>
    </row>
    <row r="263" spans="1:26" ht="11.25" customHeight="1">
      <c r="A263" s="301"/>
      <c r="B263" s="301"/>
      <c r="C263" s="301"/>
      <c r="D263" s="301"/>
      <c r="E263" s="301"/>
      <c r="F263" s="301"/>
      <c r="G263" s="301"/>
      <c r="H263" s="301"/>
      <c r="I263" s="301"/>
      <c r="J263" s="301"/>
      <c r="K263" s="301"/>
      <c r="L263" s="301"/>
      <c r="M263" s="301"/>
      <c r="N263" s="301"/>
      <c r="O263" s="301"/>
      <c r="P263" s="301"/>
      <c r="Q263" s="301"/>
      <c r="R263" s="301"/>
      <c r="S263" s="301"/>
      <c r="T263" s="301"/>
      <c r="U263" s="301"/>
      <c r="V263" s="301"/>
      <c r="W263" s="301"/>
      <c r="X263" s="301"/>
      <c r="Y263" s="301"/>
      <c r="Z263" s="301"/>
    </row>
    <row r="264" spans="1:26" ht="11.25" customHeight="1">
      <c r="A264" s="301"/>
      <c r="B264" s="301"/>
      <c r="C264" s="301"/>
      <c r="D264" s="301"/>
      <c r="E264" s="301"/>
      <c r="F264" s="301"/>
      <c r="G264" s="301"/>
      <c r="H264" s="301"/>
      <c r="I264" s="301"/>
      <c r="J264" s="301"/>
      <c r="K264" s="301"/>
      <c r="L264" s="301"/>
      <c r="M264" s="301"/>
      <c r="N264" s="301"/>
      <c r="O264" s="301"/>
      <c r="P264" s="301"/>
      <c r="Q264" s="301"/>
      <c r="R264" s="301"/>
      <c r="S264" s="301"/>
      <c r="T264" s="301"/>
      <c r="U264" s="301"/>
      <c r="V264" s="301"/>
      <c r="W264" s="301"/>
      <c r="X264" s="301"/>
      <c r="Y264" s="301"/>
      <c r="Z264" s="301"/>
    </row>
    <row r="265" spans="1:26" ht="11.25" customHeight="1">
      <c r="A265" s="301"/>
      <c r="B265" s="301"/>
      <c r="C265" s="301"/>
      <c r="D265" s="301"/>
      <c r="E265" s="301"/>
      <c r="F265" s="301"/>
      <c r="G265" s="301"/>
      <c r="H265" s="301"/>
      <c r="I265" s="301"/>
      <c r="J265" s="301"/>
      <c r="K265" s="301"/>
      <c r="L265" s="301"/>
      <c r="M265" s="301"/>
      <c r="N265" s="301"/>
      <c r="O265" s="301"/>
      <c r="P265" s="301"/>
      <c r="Q265" s="301"/>
      <c r="R265" s="301"/>
      <c r="S265" s="301"/>
      <c r="T265" s="301"/>
      <c r="U265" s="301"/>
      <c r="V265" s="301"/>
      <c r="W265" s="301"/>
      <c r="X265" s="301"/>
      <c r="Y265" s="301"/>
      <c r="Z265" s="301"/>
    </row>
    <row r="266" spans="1:26" ht="11.25" customHeight="1">
      <c r="A266" s="301"/>
      <c r="B266" s="301"/>
      <c r="C266" s="301"/>
      <c r="D266" s="301"/>
      <c r="E266" s="301"/>
      <c r="F266" s="301"/>
      <c r="G266" s="301"/>
      <c r="H266" s="301"/>
      <c r="I266" s="301"/>
      <c r="J266" s="301"/>
      <c r="K266" s="301"/>
      <c r="L266" s="301"/>
      <c r="M266" s="301"/>
      <c r="N266" s="301"/>
      <c r="O266" s="301"/>
      <c r="P266" s="301"/>
      <c r="Q266" s="301"/>
      <c r="R266" s="301"/>
      <c r="S266" s="301"/>
      <c r="T266" s="301"/>
      <c r="U266" s="301"/>
      <c r="V266" s="301"/>
      <c r="W266" s="301"/>
      <c r="X266" s="301"/>
      <c r="Y266" s="301"/>
      <c r="Z266" s="301"/>
    </row>
    <row r="267" spans="1:26" ht="11.25" customHeight="1">
      <c r="A267" s="301"/>
      <c r="B267" s="301"/>
      <c r="C267" s="301"/>
      <c r="D267" s="301"/>
      <c r="E267" s="301"/>
      <c r="F267" s="301"/>
      <c r="G267" s="301"/>
      <c r="H267" s="301"/>
      <c r="I267" s="301"/>
      <c r="J267" s="301"/>
      <c r="K267" s="301"/>
      <c r="L267" s="301"/>
      <c r="M267" s="301"/>
      <c r="N267" s="301"/>
      <c r="O267" s="301"/>
      <c r="P267" s="301"/>
      <c r="Q267" s="301"/>
      <c r="R267" s="301"/>
      <c r="S267" s="301"/>
      <c r="T267" s="301"/>
      <c r="U267" s="301"/>
      <c r="V267" s="301"/>
      <c r="W267" s="301"/>
      <c r="X267" s="301"/>
      <c r="Y267" s="301"/>
      <c r="Z267" s="301"/>
    </row>
    <row r="268" spans="1:26" ht="11.25" customHeight="1">
      <c r="A268" s="301"/>
      <c r="B268" s="301"/>
      <c r="C268" s="301"/>
      <c r="D268" s="301"/>
      <c r="E268" s="301"/>
      <c r="F268" s="301"/>
      <c r="G268" s="301"/>
      <c r="H268" s="301"/>
      <c r="I268" s="301"/>
      <c r="J268" s="301"/>
      <c r="K268" s="301"/>
      <c r="L268" s="301"/>
      <c r="M268" s="301"/>
      <c r="N268" s="301"/>
      <c r="O268" s="301"/>
      <c r="P268" s="301"/>
      <c r="Q268" s="301"/>
      <c r="R268" s="301"/>
      <c r="S268" s="301"/>
      <c r="T268" s="301"/>
      <c r="U268" s="301"/>
      <c r="V268" s="301"/>
      <c r="W268" s="301"/>
      <c r="X268" s="301"/>
      <c r="Y268" s="301"/>
      <c r="Z268" s="301"/>
    </row>
    <row r="269" spans="1:26" ht="11.25" customHeight="1">
      <c r="A269" s="301"/>
      <c r="B269" s="301"/>
      <c r="C269" s="301"/>
      <c r="D269" s="301"/>
      <c r="E269" s="301"/>
      <c r="F269" s="301"/>
      <c r="G269" s="301"/>
      <c r="H269" s="301"/>
      <c r="I269" s="301"/>
      <c r="J269" s="301"/>
      <c r="K269" s="301"/>
      <c r="L269" s="301"/>
      <c r="M269" s="301"/>
      <c r="N269" s="301"/>
      <c r="O269" s="301"/>
      <c r="P269" s="301"/>
      <c r="Q269" s="301"/>
      <c r="R269" s="301"/>
      <c r="S269" s="301"/>
      <c r="T269" s="301"/>
      <c r="U269" s="301"/>
      <c r="V269" s="301"/>
      <c r="W269" s="301"/>
      <c r="X269" s="301"/>
      <c r="Y269" s="301"/>
      <c r="Z269" s="301"/>
    </row>
    <row r="270" spans="1:26" ht="11.25" customHeight="1">
      <c r="A270" s="301"/>
      <c r="B270" s="301"/>
      <c r="C270" s="301"/>
      <c r="D270" s="301"/>
      <c r="E270" s="301"/>
      <c r="F270" s="301"/>
      <c r="G270" s="301"/>
      <c r="H270" s="301"/>
      <c r="I270" s="301"/>
      <c r="J270" s="301"/>
      <c r="K270" s="301"/>
      <c r="L270" s="301"/>
      <c r="M270" s="301"/>
      <c r="N270" s="301"/>
      <c r="O270" s="301"/>
      <c r="P270" s="301"/>
      <c r="Q270" s="301"/>
      <c r="R270" s="301"/>
      <c r="S270" s="301"/>
      <c r="T270" s="301"/>
      <c r="U270" s="301"/>
      <c r="V270" s="301"/>
      <c r="W270" s="301"/>
      <c r="X270" s="301"/>
      <c r="Y270" s="301"/>
      <c r="Z270" s="301"/>
    </row>
    <row r="271" spans="1:26" ht="11.25" customHeight="1">
      <c r="A271" s="301"/>
      <c r="B271" s="301"/>
      <c r="C271" s="301"/>
      <c r="D271" s="301"/>
      <c r="E271" s="301"/>
      <c r="F271" s="301"/>
      <c r="G271" s="301"/>
      <c r="H271" s="301"/>
      <c r="I271" s="301"/>
      <c r="J271" s="301"/>
      <c r="K271" s="301"/>
      <c r="L271" s="301"/>
      <c r="M271" s="301"/>
      <c r="N271" s="301"/>
      <c r="O271" s="301"/>
      <c r="P271" s="301"/>
      <c r="Q271" s="301"/>
      <c r="R271" s="301"/>
      <c r="S271" s="301"/>
      <c r="T271" s="301"/>
      <c r="U271" s="301"/>
      <c r="V271" s="301"/>
      <c r="W271" s="301"/>
      <c r="X271" s="301"/>
      <c r="Y271" s="301"/>
      <c r="Z271" s="301"/>
    </row>
    <row r="272" spans="1:26" ht="11.25" customHeight="1">
      <c r="A272" s="301"/>
      <c r="B272" s="301"/>
      <c r="C272" s="301"/>
      <c r="D272" s="301"/>
      <c r="E272" s="301"/>
      <c r="F272" s="301"/>
      <c r="G272" s="301"/>
      <c r="H272" s="301"/>
      <c r="I272" s="301"/>
      <c r="J272" s="301"/>
      <c r="K272" s="301"/>
      <c r="L272" s="301"/>
      <c r="M272" s="301"/>
      <c r="N272" s="301"/>
      <c r="O272" s="301"/>
      <c r="P272" s="301"/>
      <c r="Q272" s="301"/>
      <c r="R272" s="301"/>
      <c r="S272" s="301"/>
      <c r="T272" s="301"/>
      <c r="U272" s="301"/>
      <c r="V272" s="301"/>
      <c r="W272" s="301"/>
      <c r="X272" s="301"/>
      <c r="Y272" s="301"/>
      <c r="Z272" s="301"/>
    </row>
    <row r="273" spans="1:26" ht="11.25" customHeight="1">
      <c r="A273" s="301"/>
      <c r="B273" s="301"/>
      <c r="C273" s="301"/>
      <c r="D273" s="301"/>
      <c r="E273" s="301"/>
      <c r="F273" s="301"/>
      <c r="G273" s="301"/>
      <c r="H273" s="301"/>
      <c r="I273" s="301"/>
      <c r="J273" s="301"/>
      <c r="K273" s="301"/>
      <c r="L273" s="301"/>
      <c r="M273" s="301"/>
      <c r="N273" s="301"/>
      <c r="O273" s="301"/>
      <c r="P273" s="301"/>
      <c r="Q273" s="301"/>
      <c r="R273" s="301"/>
      <c r="S273" s="301"/>
      <c r="T273" s="301"/>
      <c r="U273" s="301"/>
      <c r="V273" s="301"/>
      <c r="W273" s="301"/>
      <c r="X273" s="301"/>
      <c r="Y273" s="301"/>
      <c r="Z273" s="301"/>
    </row>
    <row r="274" spans="1:26" ht="11.25" customHeight="1">
      <c r="A274" s="301"/>
      <c r="B274" s="301"/>
      <c r="C274" s="301"/>
      <c r="D274" s="301"/>
      <c r="E274" s="301"/>
      <c r="F274" s="301"/>
      <c r="G274" s="301"/>
      <c r="H274" s="301"/>
      <c r="I274" s="301"/>
      <c r="J274" s="301"/>
      <c r="K274" s="301"/>
      <c r="L274" s="301"/>
      <c r="M274" s="301"/>
      <c r="N274" s="301"/>
      <c r="O274" s="301"/>
      <c r="P274" s="301"/>
      <c r="Q274" s="301"/>
      <c r="R274" s="301"/>
      <c r="S274" s="301"/>
      <c r="T274" s="301"/>
      <c r="U274" s="301"/>
      <c r="V274" s="301"/>
      <c r="W274" s="301"/>
      <c r="X274" s="301"/>
      <c r="Y274" s="301"/>
      <c r="Z274" s="301"/>
    </row>
    <row r="275" spans="1:26" ht="11.25" customHeight="1">
      <c r="A275" s="301"/>
      <c r="B275" s="301"/>
      <c r="C275" s="301"/>
      <c r="D275" s="301"/>
      <c r="E275" s="301"/>
      <c r="F275" s="301"/>
      <c r="G275" s="301"/>
      <c r="H275" s="301"/>
      <c r="I275" s="301"/>
      <c r="J275" s="301"/>
      <c r="K275" s="301"/>
      <c r="L275" s="301"/>
      <c r="M275" s="301"/>
      <c r="N275" s="301"/>
      <c r="O275" s="301"/>
      <c r="P275" s="301"/>
      <c r="Q275" s="301"/>
      <c r="R275" s="301"/>
      <c r="S275" s="301"/>
      <c r="T275" s="301"/>
      <c r="U275" s="301"/>
      <c r="V275" s="301"/>
      <c r="W275" s="301"/>
      <c r="X275" s="301"/>
      <c r="Y275" s="301"/>
      <c r="Z275" s="301"/>
    </row>
    <row r="276" spans="1:26" ht="11.25" customHeight="1">
      <c r="A276" s="301"/>
      <c r="B276" s="301"/>
      <c r="C276" s="301"/>
      <c r="D276" s="301"/>
      <c r="E276" s="301"/>
      <c r="F276" s="301"/>
      <c r="G276" s="301"/>
      <c r="H276" s="301"/>
      <c r="I276" s="301"/>
      <c r="J276" s="301"/>
      <c r="K276" s="301"/>
      <c r="L276" s="301"/>
      <c r="M276" s="301"/>
      <c r="N276" s="301"/>
      <c r="O276" s="301"/>
      <c r="P276" s="301"/>
      <c r="Q276" s="301"/>
      <c r="R276" s="301"/>
      <c r="S276" s="301"/>
      <c r="T276" s="301"/>
      <c r="U276" s="301"/>
      <c r="V276" s="301"/>
      <c r="W276" s="301"/>
      <c r="X276" s="301"/>
      <c r="Y276" s="301"/>
      <c r="Z276" s="301"/>
    </row>
    <row r="277" spans="1:26" ht="11.25" customHeight="1">
      <c r="A277" s="301"/>
      <c r="B277" s="301"/>
      <c r="C277" s="301"/>
      <c r="D277" s="301"/>
      <c r="E277" s="301"/>
      <c r="F277" s="301"/>
      <c r="G277" s="301"/>
      <c r="H277" s="301"/>
      <c r="I277" s="301"/>
      <c r="J277" s="301"/>
      <c r="K277" s="301"/>
      <c r="L277" s="301"/>
      <c r="M277" s="301"/>
      <c r="N277" s="301"/>
      <c r="O277" s="301"/>
      <c r="P277" s="301"/>
      <c r="Q277" s="301"/>
      <c r="R277" s="301"/>
      <c r="S277" s="301"/>
      <c r="T277" s="301"/>
      <c r="U277" s="301"/>
      <c r="V277" s="301"/>
      <c r="W277" s="301"/>
      <c r="X277" s="301"/>
      <c r="Y277" s="301"/>
      <c r="Z277" s="301"/>
    </row>
    <row r="278" spans="1:26" ht="11.25" customHeight="1">
      <c r="A278" s="301"/>
      <c r="B278" s="301"/>
      <c r="C278" s="301"/>
      <c r="D278" s="301"/>
      <c r="E278" s="301"/>
      <c r="F278" s="301"/>
      <c r="G278" s="301"/>
      <c r="H278" s="301"/>
      <c r="I278" s="301"/>
      <c r="J278" s="301"/>
      <c r="K278" s="301"/>
      <c r="L278" s="301"/>
      <c r="M278" s="301"/>
      <c r="N278" s="301"/>
      <c r="O278" s="301"/>
      <c r="P278" s="301"/>
      <c r="Q278" s="301"/>
      <c r="R278" s="301"/>
      <c r="S278" s="301"/>
      <c r="T278" s="301"/>
      <c r="U278" s="301"/>
      <c r="V278" s="301"/>
      <c r="W278" s="301"/>
      <c r="X278" s="301"/>
      <c r="Y278" s="301"/>
      <c r="Z278" s="301"/>
    </row>
    <row r="279" spans="1:26" ht="11.25" customHeight="1">
      <c r="A279" s="301"/>
      <c r="B279" s="301"/>
      <c r="C279" s="301"/>
      <c r="D279" s="301"/>
      <c r="E279" s="301"/>
      <c r="F279" s="301"/>
      <c r="G279" s="301"/>
      <c r="H279" s="301"/>
      <c r="I279" s="301"/>
      <c r="J279" s="301"/>
      <c r="K279" s="301"/>
      <c r="L279" s="301"/>
      <c r="M279" s="301"/>
      <c r="N279" s="301"/>
      <c r="O279" s="301"/>
      <c r="P279" s="301"/>
      <c r="Q279" s="301"/>
      <c r="R279" s="301"/>
      <c r="S279" s="301"/>
      <c r="T279" s="301"/>
      <c r="U279" s="301"/>
      <c r="V279" s="301"/>
      <c r="W279" s="301"/>
      <c r="X279" s="301"/>
      <c r="Y279" s="301"/>
      <c r="Z279" s="301"/>
    </row>
    <row r="280" spans="1:26" ht="11.25" customHeight="1">
      <c r="A280" s="301"/>
      <c r="B280" s="301"/>
      <c r="C280" s="301"/>
      <c r="D280" s="301"/>
      <c r="E280" s="301"/>
      <c r="F280" s="301"/>
      <c r="G280" s="301"/>
      <c r="H280" s="301"/>
      <c r="I280" s="301"/>
      <c r="J280" s="301"/>
      <c r="K280" s="301"/>
      <c r="L280" s="301"/>
      <c r="M280" s="301"/>
      <c r="N280" s="301"/>
      <c r="O280" s="301"/>
      <c r="P280" s="301"/>
      <c r="Q280" s="301"/>
      <c r="R280" s="301"/>
      <c r="S280" s="301"/>
      <c r="T280" s="301"/>
      <c r="U280" s="301"/>
      <c r="V280" s="301"/>
      <c r="W280" s="301"/>
      <c r="X280" s="301"/>
      <c r="Y280" s="301"/>
      <c r="Z280" s="301"/>
    </row>
    <row r="281" spans="1:26" ht="11.25" customHeight="1">
      <c r="A281" s="301"/>
      <c r="B281" s="301"/>
      <c r="C281" s="301"/>
      <c r="D281" s="301"/>
      <c r="E281" s="301"/>
      <c r="F281" s="301"/>
      <c r="G281" s="301"/>
      <c r="H281" s="301"/>
      <c r="I281" s="301"/>
      <c r="J281" s="301"/>
      <c r="K281" s="301"/>
      <c r="L281" s="301"/>
      <c r="M281" s="301"/>
      <c r="N281" s="301"/>
      <c r="O281" s="301"/>
      <c r="P281" s="301"/>
      <c r="Q281" s="301"/>
      <c r="R281" s="301"/>
      <c r="S281" s="301"/>
      <c r="T281" s="301"/>
      <c r="U281" s="301"/>
      <c r="V281" s="301"/>
      <c r="W281" s="301"/>
      <c r="X281" s="301"/>
      <c r="Y281" s="301"/>
      <c r="Z281" s="301"/>
    </row>
    <row r="282" spans="1:26" ht="11.25" customHeight="1">
      <c r="A282" s="301"/>
      <c r="B282" s="301"/>
      <c r="C282" s="301"/>
      <c r="D282" s="301"/>
      <c r="E282" s="301"/>
      <c r="F282" s="301"/>
      <c r="G282" s="301"/>
      <c r="H282" s="301"/>
      <c r="I282" s="301"/>
      <c r="J282" s="301"/>
      <c r="K282" s="301"/>
      <c r="L282" s="301"/>
      <c r="M282" s="301"/>
      <c r="N282" s="301"/>
      <c r="O282" s="301"/>
      <c r="P282" s="301"/>
      <c r="Q282" s="301"/>
      <c r="R282" s="301"/>
      <c r="S282" s="301"/>
      <c r="T282" s="301"/>
      <c r="U282" s="301"/>
      <c r="V282" s="301"/>
      <c r="W282" s="301"/>
      <c r="X282" s="301"/>
      <c r="Y282" s="301"/>
      <c r="Z282" s="301"/>
    </row>
    <row r="283" spans="1:26" ht="11.25" customHeight="1">
      <c r="A283" s="301"/>
      <c r="B283" s="301"/>
      <c r="C283" s="301"/>
      <c r="D283" s="301"/>
      <c r="E283" s="301"/>
      <c r="F283" s="301"/>
      <c r="G283" s="301"/>
      <c r="H283" s="301"/>
      <c r="I283" s="301"/>
      <c r="J283" s="301"/>
      <c r="K283" s="301"/>
      <c r="L283" s="301"/>
      <c r="M283" s="301"/>
      <c r="N283" s="301"/>
      <c r="O283" s="301"/>
      <c r="P283" s="301"/>
      <c r="Q283" s="301"/>
      <c r="R283" s="301"/>
      <c r="S283" s="301"/>
      <c r="T283" s="301"/>
      <c r="U283" s="301"/>
      <c r="V283" s="301"/>
      <c r="W283" s="301"/>
      <c r="X283" s="301"/>
      <c r="Y283" s="301"/>
      <c r="Z283" s="301"/>
    </row>
    <row r="284" spans="1:26" ht="11.25" customHeight="1">
      <c r="A284" s="301"/>
      <c r="B284" s="301"/>
      <c r="C284" s="301"/>
      <c r="D284" s="301"/>
      <c r="E284" s="301"/>
      <c r="F284" s="301"/>
      <c r="G284" s="301"/>
      <c r="H284" s="301"/>
      <c r="I284" s="301"/>
      <c r="J284" s="301"/>
      <c r="K284" s="301"/>
      <c r="L284" s="301"/>
      <c r="M284" s="301"/>
      <c r="N284" s="301"/>
      <c r="O284" s="301"/>
      <c r="P284" s="301"/>
      <c r="Q284" s="301"/>
      <c r="R284" s="301"/>
      <c r="S284" s="301"/>
      <c r="T284" s="301"/>
      <c r="U284" s="301"/>
      <c r="V284" s="301"/>
      <c r="W284" s="301"/>
      <c r="X284" s="301"/>
      <c r="Y284" s="301"/>
      <c r="Z284" s="301"/>
    </row>
    <row r="285" spans="1:26" ht="11.25" customHeight="1">
      <c r="A285" s="301"/>
      <c r="B285" s="301"/>
      <c r="C285" s="301"/>
      <c r="D285" s="301"/>
      <c r="E285" s="301"/>
      <c r="F285" s="301"/>
      <c r="G285" s="301"/>
      <c r="H285" s="301"/>
      <c r="I285" s="301"/>
      <c r="J285" s="301"/>
      <c r="K285" s="301"/>
      <c r="L285" s="301"/>
      <c r="M285" s="301"/>
      <c r="N285" s="301"/>
      <c r="O285" s="301"/>
      <c r="P285" s="301"/>
      <c r="Q285" s="301"/>
      <c r="R285" s="301"/>
      <c r="S285" s="301"/>
      <c r="T285" s="301"/>
      <c r="U285" s="301"/>
      <c r="V285" s="301"/>
      <c r="W285" s="301"/>
      <c r="X285" s="301"/>
      <c r="Y285" s="301"/>
      <c r="Z285" s="301"/>
    </row>
    <row r="286" spans="1:26" ht="11.25" customHeight="1">
      <c r="A286" s="301"/>
      <c r="B286" s="301"/>
      <c r="C286" s="301"/>
      <c r="D286" s="301"/>
      <c r="E286" s="301"/>
      <c r="F286" s="301"/>
      <c r="G286" s="301"/>
      <c r="H286" s="301"/>
      <c r="I286" s="301"/>
      <c r="J286" s="301"/>
      <c r="K286" s="301"/>
      <c r="L286" s="301"/>
      <c r="M286" s="301"/>
      <c r="N286" s="301"/>
      <c r="O286" s="301"/>
      <c r="P286" s="301"/>
      <c r="Q286" s="301"/>
      <c r="R286" s="301"/>
      <c r="S286" s="301"/>
      <c r="T286" s="301"/>
      <c r="U286" s="301"/>
      <c r="V286" s="301"/>
      <c r="W286" s="301"/>
      <c r="X286" s="301"/>
      <c r="Y286" s="301"/>
      <c r="Z286" s="301"/>
    </row>
    <row r="287" spans="1:26" ht="11.25" customHeight="1">
      <c r="A287" s="301"/>
      <c r="B287" s="301"/>
      <c r="C287" s="301"/>
      <c r="D287" s="301"/>
      <c r="E287" s="301"/>
      <c r="F287" s="301"/>
      <c r="G287" s="301"/>
      <c r="H287" s="301"/>
      <c r="I287" s="301"/>
      <c r="J287" s="301"/>
      <c r="K287" s="301"/>
      <c r="L287" s="301"/>
      <c r="M287" s="301"/>
      <c r="N287" s="301"/>
      <c r="O287" s="301"/>
      <c r="P287" s="301"/>
      <c r="Q287" s="301"/>
      <c r="R287" s="301"/>
      <c r="S287" s="301"/>
      <c r="T287" s="301"/>
      <c r="U287" s="301"/>
      <c r="V287" s="301"/>
      <c r="W287" s="301"/>
      <c r="X287" s="301"/>
      <c r="Y287" s="301"/>
      <c r="Z287" s="301"/>
    </row>
    <row r="288" spans="1:26" ht="11.25" customHeight="1">
      <c r="A288" s="301"/>
      <c r="B288" s="301"/>
      <c r="C288" s="301"/>
      <c r="D288" s="301"/>
      <c r="E288" s="301"/>
      <c r="F288" s="301"/>
      <c r="G288" s="301"/>
      <c r="H288" s="301"/>
      <c r="I288" s="301"/>
      <c r="J288" s="301"/>
      <c r="K288" s="301"/>
      <c r="L288" s="301"/>
      <c r="M288" s="301"/>
      <c r="N288" s="301"/>
      <c r="O288" s="301"/>
      <c r="P288" s="301"/>
      <c r="Q288" s="301"/>
      <c r="R288" s="301"/>
      <c r="S288" s="301"/>
      <c r="T288" s="301"/>
      <c r="U288" s="301"/>
      <c r="V288" s="301"/>
      <c r="W288" s="301"/>
      <c r="X288" s="301"/>
      <c r="Y288" s="301"/>
      <c r="Z288" s="301"/>
    </row>
    <row r="289" spans="1:26" ht="11.25" customHeight="1">
      <c r="A289" s="301"/>
      <c r="B289" s="301"/>
      <c r="C289" s="301"/>
      <c r="D289" s="301"/>
      <c r="E289" s="301"/>
      <c r="F289" s="301"/>
      <c r="G289" s="301"/>
      <c r="H289" s="301"/>
      <c r="I289" s="301"/>
      <c r="J289" s="301"/>
      <c r="K289" s="301"/>
      <c r="L289" s="301"/>
      <c r="M289" s="301"/>
      <c r="N289" s="301"/>
      <c r="O289" s="301"/>
      <c r="P289" s="301"/>
      <c r="Q289" s="301"/>
      <c r="R289" s="301"/>
      <c r="S289" s="301"/>
      <c r="T289" s="301"/>
      <c r="U289" s="301"/>
      <c r="V289" s="301"/>
      <c r="W289" s="301"/>
      <c r="X289" s="301"/>
      <c r="Y289" s="301"/>
      <c r="Z289" s="301"/>
    </row>
    <row r="290" spans="1:26" ht="11.25" customHeight="1">
      <c r="A290" s="301"/>
      <c r="B290" s="301"/>
      <c r="C290" s="301"/>
      <c r="D290" s="301"/>
      <c r="E290" s="301"/>
      <c r="F290" s="301"/>
      <c r="G290" s="301"/>
      <c r="H290" s="301"/>
      <c r="I290" s="301"/>
      <c r="J290" s="301"/>
      <c r="K290" s="301"/>
      <c r="L290" s="301"/>
      <c r="M290" s="301"/>
      <c r="N290" s="301"/>
      <c r="O290" s="301"/>
      <c r="P290" s="301"/>
      <c r="Q290" s="301"/>
      <c r="R290" s="301"/>
      <c r="S290" s="301"/>
      <c r="T290" s="301"/>
      <c r="U290" s="301"/>
      <c r="V290" s="301"/>
      <c r="W290" s="301"/>
      <c r="X290" s="301"/>
      <c r="Y290" s="301"/>
      <c r="Z290" s="301"/>
    </row>
    <row r="291" spans="1:26" ht="11.25" customHeight="1">
      <c r="A291" s="301"/>
      <c r="B291" s="301"/>
      <c r="C291" s="301"/>
      <c r="D291" s="301"/>
      <c r="E291" s="301"/>
      <c r="F291" s="301"/>
      <c r="G291" s="301"/>
      <c r="H291" s="301"/>
      <c r="I291" s="301"/>
      <c r="J291" s="301"/>
      <c r="K291" s="301"/>
      <c r="L291" s="301"/>
      <c r="M291" s="301"/>
      <c r="N291" s="301"/>
      <c r="O291" s="301"/>
      <c r="P291" s="301"/>
      <c r="Q291" s="301"/>
      <c r="R291" s="301"/>
      <c r="S291" s="301"/>
      <c r="T291" s="301"/>
      <c r="U291" s="301"/>
      <c r="V291" s="301"/>
      <c r="W291" s="301"/>
      <c r="X291" s="301"/>
      <c r="Y291" s="301"/>
      <c r="Z291" s="301"/>
    </row>
    <row r="292" spans="1:26" ht="11.25" customHeight="1">
      <c r="A292" s="301"/>
      <c r="B292" s="301"/>
      <c r="C292" s="301"/>
      <c r="D292" s="301"/>
      <c r="E292" s="301"/>
      <c r="F292" s="301"/>
      <c r="G292" s="301"/>
      <c r="H292" s="301"/>
      <c r="I292" s="301"/>
      <c r="J292" s="301"/>
      <c r="K292" s="301"/>
      <c r="L292" s="301"/>
      <c r="M292" s="301"/>
      <c r="N292" s="301"/>
      <c r="O292" s="301"/>
      <c r="P292" s="301"/>
      <c r="Q292" s="301"/>
      <c r="R292" s="301"/>
      <c r="S292" s="301"/>
      <c r="T292" s="301"/>
      <c r="U292" s="301"/>
      <c r="V292" s="301"/>
      <c r="W292" s="301"/>
      <c r="X292" s="301"/>
      <c r="Y292" s="301"/>
      <c r="Z292" s="301"/>
    </row>
    <row r="293" spans="1:26" ht="11.25" customHeight="1">
      <c r="A293" s="301"/>
      <c r="B293" s="301"/>
      <c r="C293" s="301"/>
      <c r="D293" s="301"/>
      <c r="E293" s="301"/>
      <c r="F293" s="301"/>
      <c r="G293" s="301"/>
      <c r="H293" s="301"/>
      <c r="I293" s="301"/>
      <c r="J293" s="301"/>
      <c r="K293" s="301"/>
      <c r="L293" s="301"/>
      <c r="M293" s="301"/>
      <c r="N293" s="301"/>
      <c r="O293" s="301"/>
      <c r="P293" s="301"/>
      <c r="Q293" s="301"/>
      <c r="R293" s="301"/>
      <c r="S293" s="301"/>
      <c r="T293" s="301"/>
      <c r="U293" s="301"/>
      <c r="V293" s="301"/>
      <c r="W293" s="301"/>
      <c r="X293" s="301"/>
      <c r="Y293" s="301"/>
      <c r="Z293" s="301"/>
    </row>
    <row r="294" spans="1:26" ht="11.25" customHeight="1">
      <c r="A294" s="301"/>
      <c r="B294" s="301"/>
      <c r="C294" s="301"/>
      <c r="D294" s="301"/>
      <c r="E294" s="301"/>
      <c r="F294" s="301"/>
      <c r="G294" s="301"/>
      <c r="H294" s="301"/>
      <c r="I294" s="301"/>
      <c r="J294" s="301"/>
      <c r="K294" s="301"/>
      <c r="L294" s="301"/>
      <c r="M294" s="301"/>
      <c r="N294" s="301"/>
      <c r="O294" s="301"/>
      <c r="P294" s="301"/>
      <c r="Q294" s="301"/>
      <c r="R294" s="301"/>
      <c r="S294" s="301"/>
      <c r="T294" s="301"/>
      <c r="U294" s="301"/>
      <c r="V294" s="301"/>
      <c r="W294" s="301"/>
      <c r="X294" s="301"/>
      <c r="Y294" s="301"/>
      <c r="Z294" s="301"/>
    </row>
    <row r="295" spans="1:26" ht="11.25" customHeight="1">
      <c r="A295" s="301"/>
      <c r="B295" s="301"/>
      <c r="C295" s="301"/>
      <c r="D295" s="301"/>
      <c r="E295" s="301"/>
      <c r="F295" s="301"/>
      <c r="G295" s="301"/>
      <c r="H295" s="301"/>
      <c r="I295" s="301"/>
      <c r="J295" s="301"/>
      <c r="K295" s="301"/>
      <c r="L295" s="301"/>
      <c r="M295" s="301"/>
      <c r="N295" s="301"/>
      <c r="O295" s="301"/>
      <c r="P295" s="301"/>
      <c r="Q295" s="301"/>
      <c r="R295" s="301"/>
      <c r="S295" s="301"/>
      <c r="T295" s="301"/>
      <c r="U295" s="301"/>
      <c r="V295" s="301"/>
      <c r="W295" s="301"/>
      <c r="X295" s="301"/>
      <c r="Y295" s="301"/>
      <c r="Z295" s="301"/>
    </row>
    <row r="296" spans="1:26" ht="11.25" customHeight="1">
      <c r="A296" s="301"/>
      <c r="B296" s="301"/>
      <c r="C296" s="301"/>
      <c r="D296" s="301"/>
      <c r="E296" s="301"/>
      <c r="F296" s="301"/>
      <c r="G296" s="301"/>
      <c r="H296" s="301"/>
      <c r="I296" s="301"/>
      <c r="J296" s="301"/>
      <c r="K296" s="301"/>
      <c r="L296" s="301"/>
      <c r="M296" s="301"/>
      <c r="N296" s="301"/>
      <c r="O296" s="301"/>
      <c r="P296" s="301"/>
      <c r="Q296" s="301"/>
      <c r="R296" s="301"/>
      <c r="S296" s="301"/>
      <c r="T296" s="301"/>
      <c r="U296" s="301"/>
      <c r="V296" s="301"/>
      <c r="W296" s="301"/>
      <c r="X296" s="301"/>
      <c r="Y296" s="301"/>
      <c r="Z296" s="301"/>
    </row>
    <row r="297" spans="1:26" ht="11.25" customHeight="1">
      <c r="A297" s="301"/>
      <c r="B297" s="301"/>
      <c r="C297" s="301"/>
      <c r="D297" s="301"/>
      <c r="E297" s="301"/>
      <c r="F297" s="301"/>
      <c r="G297" s="301"/>
      <c r="H297" s="301"/>
      <c r="I297" s="301"/>
      <c r="J297" s="301"/>
      <c r="K297" s="301"/>
      <c r="L297" s="301"/>
      <c r="M297" s="301"/>
      <c r="N297" s="301"/>
      <c r="O297" s="301"/>
      <c r="P297" s="301"/>
      <c r="Q297" s="301"/>
      <c r="R297" s="301"/>
      <c r="S297" s="301"/>
      <c r="T297" s="301"/>
      <c r="U297" s="301"/>
      <c r="V297" s="301"/>
      <c r="W297" s="301"/>
      <c r="X297" s="301"/>
      <c r="Y297" s="301"/>
      <c r="Z297" s="301"/>
    </row>
    <row r="298" spans="1:26" ht="11.25" customHeight="1">
      <c r="A298" s="301"/>
      <c r="B298" s="301"/>
      <c r="C298" s="301"/>
      <c r="D298" s="301"/>
      <c r="E298" s="301"/>
      <c r="F298" s="301"/>
      <c r="G298" s="301"/>
      <c r="H298" s="301"/>
      <c r="I298" s="301"/>
      <c r="J298" s="301"/>
      <c r="K298" s="301"/>
      <c r="L298" s="301"/>
      <c r="M298" s="301"/>
      <c r="N298" s="301"/>
      <c r="O298" s="301"/>
      <c r="P298" s="301"/>
      <c r="Q298" s="301"/>
      <c r="R298" s="301"/>
      <c r="S298" s="301"/>
      <c r="T298" s="301"/>
      <c r="U298" s="301"/>
      <c r="V298" s="301"/>
      <c r="W298" s="301"/>
      <c r="X298" s="301"/>
      <c r="Y298" s="301"/>
      <c r="Z298" s="301"/>
    </row>
    <row r="299" spans="1:26" ht="11.25" customHeight="1">
      <c r="A299" s="301"/>
      <c r="B299" s="301"/>
      <c r="C299" s="301"/>
      <c r="D299" s="301"/>
      <c r="E299" s="301"/>
      <c r="F299" s="301"/>
      <c r="G299" s="301"/>
      <c r="H299" s="301"/>
      <c r="I299" s="301"/>
      <c r="J299" s="301"/>
      <c r="K299" s="301"/>
      <c r="L299" s="301"/>
      <c r="M299" s="301"/>
      <c r="N299" s="301"/>
      <c r="O299" s="301"/>
      <c r="P299" s="301"/>
      <c r="Q299" s="301"/>
      <c r="R299" s="301"/>
      <c r="S299" s="301"/>
      <c r="T299" s="301"/>
      <c r="U299" s="301"/>
      <c r="V299" s="301"/>
      <c r="W299" s="301"/>
      <c r="X299" s="301"/>
      <c r="Y299" s="301"/>
      <c r="Z299" s="301"/>
    </row>
    <row r="300" spans="1:26" ht="11.25" customHeight="1">
      <c r="A300" s="301"/>
      <c r="B300" s="301"/>
      <c r="C300" s="301"/>
      <c r="D300" s="301"/>
      <c r="E300" s="301"/>
      <c r="F300" s="301"/>
      <c r="G300" s="301"/>
      <c r="H300" s="301"/>
      <c r="I300" s="301"/>
      <c r="J300" s="301"/>
      <c r="K300" s="301"/>
      <c r="L300" s="301"/>
      <c r="M300" s="301"/>
      <c r="N300" s="301"/>
      <c r="O300" s="301"/>
      <c r="P300" s="301"/>
      <c r="Q300" s="301"/>
      <c r="R300" s="301"/>
      <c r="S300" s="301"/>
      <c r="T300" s="301"/>
      <c r="U300" s="301"/>
      <c r="V300" s="301"/>
      <c r="W300" s="301"/>
      <c r="X300" s="301"/>
      <c r="Y300" s="301"/>
      <c r="Z300" s="301"/>
    </row>
    <row r="301" spans="1:26" ht="11.25" customHeight="1">
      <c r="A301" s="301"/>
      <c r="B301" s="301"/>
      <c r="C301" s="301"/>
      <c r="D301" s="301"/>
      <c r="E301" s="301"/>
      <c r="F301" s="301"/>
      <c r="G301" s="301"/>
      <c r="H301" s="301"/>
      <c r="I301" s="301"/>
      <c r="J301" s="301"/>
      <c r="K301" s="301"/>
      <c r="L301" s="301"/>
      <c r="M301" s="301"/>
      <c r="N301" s="301"/>
      <c r="O301" s="301"/>
      <c r="P301" s="301"/>
      <c r="Q301" s="301"/>
      <c r="R301" s="301"/>
      <c r="S301" s="301"/>
      <c r="T301" s="301"/>
      <c r="U301" s="301"/>
      <c r="V301" s="301"/>
      <c r="W301" s="301"/>
      <c r="X301" s="301"/>
      <c r="Y301" s="301"/>
      <c r="Z301" s="301"/>
    </row>
    <row r="302" spans="1:26" ht="11.25" customHeight="1">
      <c r="A302" s="301"/>
      <c r="B302" s="301"/>
      <c r="C302" s="301"/>
      <c r="D302" s="301"/>
      <c r="E302" s="301"/>
      <c r="F302" s="301"/>
      <c r="G302" s="301"/>
      <c r="H302" s="301"/>
      <c r="I302" s="301"/>
      <c r="J302" s="301"/>
      <c r="K302" s="301"/>
      <c r="L302" s="301"/>
      <c r="M302" s="301"/>
      <c r="N302" s="301"/>
      <c r="O302" s="301"/>
      <c r="P302" s="301"/>
      <c r="Q302" s="301"/>
      <c r="R302" s="301"/>
      <c r="S302" s="301"/>
      <c r="T302" s="301"/>
      <c r="U302" s="301"/>
      <c r="V302" s="301"/>
      <c r="W302" s="301"/>
      <c r="X302" s="301"/>
      <c r="Y302" s="301"/>
      <c r="Z302" s="301"/>
    </row>
    <row r="303" spans="1:26" ht="11.25" customHeight="1">
      <c r="A303" s="301"/>
      <c r="B303" s="301"/>
      <c r="C303" s="301"/>
      <c r="D303" s="301"/>
      <c r="E303" s="301"/>
      <c r="F303" s="301"/>
      <c r="G303" s="301"/>
      <c r="H303" s="301"/>
      <c r="I303" s="301"/>
      <c r="J303" s="301"/>
      <c r="K303" s="301"/>
      <c r="L303" s="301"/>
      <c r="M303" s="301"/>
      <c r="N303" s="301"/>
      <c r="O303" s="301"/>
      <c r="P303" s="301"/>
      <c r="Q303" s="301"/>
      <c r="R303" s="301"/>
      <c r="S303" s="301"/>
      <c r="T303" s="301"/>
      <c r="U303" s="301"/>
      <c r="V303" s="301"/>
      <c r="W303" s="301"/>
      <c r="X303" s="301"/>
      <c r="Y303" s="301"/>
      <c r="Z303" s="301"/>
    </row>
    <row r="304" spans="1:26" ht="11.25" customHeight="1">
      <c r="A304" s="301"/>
      <c r="B304" s="301"/>
      <c r="C304" s="301"/>
      <c r="D304" s="301"/>
      <c r="E304" s="301"/>
      <c r="F304" s="301"/>
      <c r="G304" s="301"/>
      <c r="H304" s="301"/>
      <c r="I304" s="301"/>
      <c r="J304" s="301"/>
      <c r="K304" s="301"/>
      <c r="L304" s="301"/>
      <c r="M304" s="301"/>
      <c r="N304" s="301"/>
      <c r="O304" s="301"/>
      <c r="P304" s="301"/>
      <c r="Q304" s="301"/>
      <c r="R304" s="301"/>
      <c r="S304" s="301"/>
      <c r="T304" s="301"/>
      <c r="U304" s="301"/>
      <c r="V304" s="301"/>
      <c r="W304" s="301"/>
      <c r="X304" s="301"/>
      <c r="Y304" s="301"/>
      <c r="Z304" s="301"/>
    </row>
    <row r="305" spans="1:26" ht="11.25" customHeight="1">
      <c r="A305" s="301"/>
      <c r="B305" s="301"/>
      <c r="C305" s="301"/>
      <c r="D305" s="301"/>
      <c r="E305" s="301"/>
      <c r="F305" s="301"/>
      <c r="G305" s="301"/>
      <c r="H305" s="301"/>
      <c r="I305" s="301"/>
      <c r="J305" s="301"/>
      <c r="K305" s="301"/>
      <c r="L305" s="301"/>
      <c r="M305" s="301"/>
      <c r="N305" s="301"/>
      <c r="O305" s="301"/>
      <c r="P305" s="301"/>
      <c r="Q305" s="301"/>
      <c r="R305" s="301"/>
      <c r="S305" s="301"/>
      <c r="T305" s="301"/>
      <c r="U305" s="301"/>
      <c r="V305" s="301"/>
      <c r="W305" s="301"/>
      <c r="X305" s="301"/>
      <c r="Y305" s="301"/>
      <c r="Z305" s="301"/>
    </row>
    <row r="306" spans="1:26" ht="11.25" customHeight="1">
      <c r="A306" s="301"/>
      <c r="B306" s="301"/>
      <c r="C306" s="301"/>
      <c r="D306" s="301"/>
      <c r="E306" s="301"/>
      <c r="F306" s="301"/>
      <c r="G306" s="301"/>
      <c r="H306" s="301"/>
      <c r="I306" s="301"/>
      <c r="J306" s="301"/>
      <c r="K306" s="301"/>
      <c r="L306" s="301"/>
      <c r="M306" s="301"/>
      <c r="N306" s="301"/>
      <c r="O306" s="301"/>
      <c r="P306" s="301"/>
      <c r="Q306" s="301"/>
      <c r="R306" s="301"/>
      <c r="S306" s="301"/>
      <c r="T306" s="301"/>
      <c r="U306" s="301"/>
      <c r="V306" s="301"/>
      <c r="W306" s="301"/>
      <c r="X306" s="301"/>
      <c r="Y306" s="301"/>
      <c r="Z306" s="301"/>
    </row>
    <row r="307" spans="1:26" ht="11.25" customHeight="1">
      <c r="A307" s="301"/>
      <c r="B307" s="301"/>
      <c r="C307" s="301"/>
      <c r="D307" s="301"/>
      <c r="E307" s="301"/>
      <c r="F307" s="301"/>
      <c r="G307" s="301"/>
      <c r="H307" s="301"/>
      <c r="I307" s="301"/>
      <c r="J307" s="301"/>
      <c r="K307" s="301"/>
      <c r="L307" s="301"/>
      <c r="M307" s="301"/>
      <c r="N307" s="301"/>
      <c r="O307" s="301"/>
      <c r="P307" s="301"/>
      <c r="Q307" s="301"/>
      <c r="R307" s="301"/>
      <c r="S307" s="301"/>
      <c r="T307" s="301"/>
      <c r="U307" s="301"/>
      <c r="V307" s="301"/>
      <c r="W307" s="301"/>
      <c r="X307" s="301"/>
      <c r="Y307" s="301"/>
      <c r="Z307" s="301"/>
    </row>
    <row r="308" spans="1:26" ht="11.25" customHeight="1">
      <c r="A308" s="301"/>
      <c r="B308" s="301"/>
      <c r="C308" s="301"/>
      <c r="D308" s="301"/>
      <c r="E308" s="301"/>
      <c r="F308" s="301"/>
      <c r="G308" s="301"/>
      <c r="H308" s="301"/>
      <c r="I308" s="301"/>
      <c r="J308" s="301"/>
      <c r="K308" s="301"/>
      <c r="L308" s="301"/>
      <c r="M308" s="301"/>
      <c r="N308" s="301"/>
      <c r="O308" s="301"/>
      <c r="P308" s="301"/>
      <c r="Q308" s="301"/>
      <c r="R308" s="301"/>
      <c r="S308" s="301"/>
      <c r="T308" s="301"/>
      <c r="U308" s="301"/>
      <c r="V308" s="301"/>
      <c r="W308" s="301"/>
      <c r="X308" s="301"/>
      <c r="Y308" s="301"/>
      <c r="Z308" s="301"/>
    </row>
    <row r="309" spans="1:26" ht="11.25" customHeight="1">
      <c r="A309" s="301"/>
      <c r="B309" s="301"/>
      <c r="C309" s="301"/>
      <c r="D309" s="301"/>
      <c r="E309" s="301"/>
      <c r="F309" s="301"/>
      <c r="G309" s="301"/>
      <c r="H309" s="301"/>
      <c r="I309" s="301"/>
      <c r="J309" s="301"/>
      <c r="K309" s="301"/>
      <c r="L309" s="301"/>
      <c r="M309" s="301"/>
      <c r="N309" s="301"/>
      <c r="O309" s="301"/>
      <c r="P309" s="301"/>
      <c r="Q309" s="301"/>
      <c r="R309" s="301"/>
      <c r="S309" s="301"/>
      <c r="T309" s="301"/>
      <c r="U309" s="301"/>
      <c r="V309" s="301"/>
      <c r="W309" s="301"/>
      <c r="X309" s="301"/>
      <c r="Y309" s="301"/>
      <c r="Z309" s="301"/>
    </row>
    <row r="310" spans="1:26" ht="11.25" customHeight="1">
      <c r="A310" s="301"/>
      <c r="B310" s="301"/>
      <c r="C310" s="301"/>
      <c r="D310" s="301"/>
      <c r="E310" s="301"/>
      <c r="F310" s="301"/>
      <c r="G310" s="301"/>
      <c r="H310" s="301"/>
      <c r="I310" s="301"/>
      <c r="J310" s="301"/>
      <c r="K310" s="301"/>
      <c r="L310" s="301"/>
      <c r="M310" s="301"/>
      <c r="N310" s="301"/>
      <c r="O310" s="301"/>
      <c r="P310" s="301"/>
      <c r="Q310" s="301"/>
      <c r="R310" s="301"/>
      <c r="S310" s="301"/>
      <c r="T310" s="301"/>
      <c r="U310" s="301"/>
      <c r="V310" s="301"/>
      <c r="W310" s="301"/>
      <c r="X310" s="301"/>
      <c r="Y310" s="301"/>
      <c r="Z310" s="301"/>
    </row>
    <row r="311" spans="1:26" ht="11.25" customHeight="1">
      <c r="A311" s="301"/>
      <c r="B311" s="301"/>
      <c r="C311" s="301"/>
      <c r="D311" s="301"/>
      <c r="E311" s="301"/>
      <c r="F311" s="301"/>
      <c r="G311" s="301"/>
      <c r="H311" s="301"/>
      <c r="I311" s="301"/>
      <c r="J311" s="301"/>
      <c r="K311" s="301"/>
      <c r="L311" s="301"/>
      <c r="M311" s="301"/>
      <c r="N311" s="301"/>
      <c r="O311" s="301"/>
      <c r="P311" s="301"/>
      <c r="Q311" s="301"/>
      <c r="R311" s="301"/>
      <c r="S311" s="301"/>
      <c r="T311" s="301"/>
      <c r="U311" s="301"/>
      <c r="V311" s="301"/>
      <c r="W311" s="301"/>
      <c r="X311" s="301"/>
      <c r="Y311" s="301"/>
      <c r="Z311" s="301"/>
    </row>
    <row r="312" spans="1:26" ht="11.25" customHeight="1">
      <c r="A312" s="301"/>
      <c r="B312" s="301"/>
      <c r="C312" s="301"/>
      <c r="D312" s="301"/>
      <c r="E312" s="301"/>
      <c r="F312" s="301"/>
      <c r="G312" s="301"/>
      <c r="H312" s="301"/>
      <c r="I312" s="301"/>
      <c r="J312" s="301"/>
      <c r="K312" s="301"/>
      <c r="L312" s="301"/>
      <c r="M312" s="301"/>
      <c r="N312" s="301"/>
      <c r="O312" s="301"/>
      <c r="P312" s="301"/>
      <c r="Q312" s="301"/>
      <c r="R312" s="301"/>
      <c r="S312" s="301"/>
      <c r="T312" s="301"/>
      <c r="U312" s="301"/>
      <c r="V312" s="301"/>
      <c r="W312" s="301"/>
      <c r="X312" s="301"/>
      <c r="Y312" s="301"/>
      <c r="Z312" s="301"/>
    </row>
    <row r="313" spans="1:26" ht="11.25" customHeight="1">
      <c r="A313" s="301"/>
      <c r="B313" s="301"/>
      <c r="C313" s="301"/>
      <c r="D313" s="301"/>
      <c r="E313" s="301"/>
      <c r="F313" s="301"/>
      <c r="G313" s="301"/>
      <c r="H313" s="301"/>
      <c r="I313" s="301"/>
      <c r="J313" s="301"/>
      <c r="K313" s="301"/>
      <c r="L313" s="301"/>
      <c r="M313" s="301"/>
      <c r="N313" s="301"/>
      <c r="O313" s="301"/>
      <c r="P313" s="301"/>
      <c r="Q313" s="301"/>
      <c r="R313" s="301"/>
      <c r="S313" s="301"/>
      <c r="T313" s="301"/>
      <c r="U313" s="301"/>
      <c r="V313" s="301"/>
      <c r="W313" s="301"/>
      <c r="X313" s="301"/>
      <c r="Y313" s="301"/>
      <c r="Z313" s="301"/>
    </row>
    <row r="314" spans="1:26" ht="11.25" customHeight="1">
      <c r="A314" s="301"/>
      <c r="B314" s="301"/>
      <c r="C314" s="301"/>
      <c r="D314" s="301"/>
      <c r="E314" s="301"/>
      <c r="F314" s="301"/>
      <c r="G314" s="301"/>
      <c r="H314" s="301"/>
      <c r="I314" s="301"/>
      <c r="J314" s="301"/>
      <c r="K314" s="301"/>
      <c r="L314" s="301"/>
      <c r="M314" s="301"/>
      <c r="N314" s="301"/>
      <c r="O314" s="301"/>
      <c r="P314" s="301"/>
      <c r="Q314" s="301"/>
      <c r="R314" s="301"/>
      <c r="S314" s="301"/>
      <c r="T314" s="301"/>
      <c r="U314" s="301"/>
      <c r="V314" s="301"/>
      <c r="W314" s="301"/>
      <c r="X314" s="301"/>
      <c r="Y314" s="301"/>
      <c r="Z314" s="301"/>
    </row>
    <row r="315" spans="1:26" ht="11.25" customHeight="1">
      <c r="A315" s="301"/>
      <c r="B315" s="301"/>
      <c r="C315" s="301"/>
      <c r="D315" s="301"/>
      <c r="E315" s="301"/>
      <c r="F315" s="301"/>
      <c r="G315" s="301"/>
      <c r="H315" s="301"/>
      <c r="I315" s="301"/>
      <c r="J315" s="301"/>
      <c r="K315" s="301"/>
      <c r="L315" s="301"/>
      <c r="M315" s="301"/>
      <c r="N315" s="301"/>
      <c r="O315" s="301"/>
      <c r="P315" s="301"/>
      <c r="Q315" s="301"/>
      <c r="R315" s="301"/>
      <c r="S315" s="301"/>
      <c r="T315" s="301"/>
      <c r="U315" s="301"/>
      <c r="V315" s="301"/>
      <c r="W315" s="301"/>
      <c r="X315" s="301"/>
      <c r="Y315" s="301"/>
      <c r="Z315" s="301"/>
    </row>
    <row r="316" spans="1:26" ht="11.25" customHeight="1">
      <c r="A316" s="301"/>
      <c r="B316" s="301"/>
      <c r="C316" s="301"/>
      <c r="D316" s="301"/>
      <c r="E316" s="301"/>
      <c r="F316" s="301"/>
      <c r="G316" s="301"/>
      <c r="H316" s="301"/>
      <c r="I316" s="301"/>
      <c r="J316" s="301"/>
      <c r="K316" s="301"/>
      <c r="L316" s="301"/>
      <c r="M316" s="301"/>
      <c r="N316" s="301"/>
      <c r="O316" s="301"/>
      <c r="P316" s="301"/>
      <c r="Q316" s="301"/>
      <c r="R316" s="301"/>
      <c r="S316" s="301"/>
      <c r="T316" s="301"/>
      <c r="U316" s="301"/>
      <c r="V316" s="301"/>
      <c r="W316" s="301"/>
      <c r="X316" s="301"/>
      <c r="Y316" s="301"/>
      <c r="Z316" s="301"/>
    </row>
    <row r="317" spans="1:26" ht="11.25" customHeight="1">
      <c r="A317" s="301"/>
      <c r="B317" s="301"/>
      <c r="C317" s="301"/>
      <c r="D317" s="301"/>
      <c r="E317" s="301"/>
      <c r="F317" s="301"/>
      <c r="G317" s="301"/>
      <c r="H317" s="301"/>
      <c r="I317" s="301"/>
      <c r="J317" s="301"/>
      <c r="K317" s="301"/>
      <c r="L317" s="301"/>
      <c r="M317" s="301"/>
      <c r="N317" s="301"/>
      <c r="O317" s="301"/>
      <c r="P317" s="301"/>
      <c r="Q317" s="301"/>
      <c r="R317" s="301"/>
      <c r="S317" s="301"/>
      <c r="T317" s="301"/>
      <c r="U317" s="301"/>
      <c r="V317" s="301"/>
      <c r="W317" s="301"/>
      <c r="X317" s="301"/>
      <c r="Y317" s="301"/>
      <c r="Z317" s="301"/>
    </row>
    <row r="318" spans="1:26" ht="11.25" customHeight="1">
      <c r="A318" s="301"/>
      <c r="B318" s="301"/>
      <c r="C318" s="301"/>
      <c r="D318" s="301"/>
      <c r="E318" s="301"/>
      <c r="F318" s="301"/>
      <c r="G318" s="301"/>
      <c r="H318" s="301"/>
      <c r="I318" s="301"/>
      <c r="J318" s="301"/>
      <c r="K318" s="301"/>
      <c r="L318" s="301"/>
      <c r="M318" s="301"/>
      <c r="N318" s="301"/>
      <c r="O318" s="301"/>
      <c r="P318" s="301"/>
      <c r="Q318" s="301"/>
      <c r="R318" s="301"/>
      <c r="S318" s="301"/>
      <c r="T318" s="301"/>
      <c r="U318" s="301"/>
      <c r="V318" s="301"/>
      <c r="W318" s="301"/>
      <c r="X318" s="301"/>
      <c r="Y318" s="301"/>
      <c r="Z318" s="301"/>
    </row>
    <row r="319" spans="1:26" ht="11.25" customHeight="1">
      <c r="A319" s="301"/>
      <c r="B319" s="301"/>
      <c r="C319" s="301"/>
      <c r="D319" s="301"/>
      <c r="E319" s="301"/>
      <c r="F319" s="301"/>
      <c r="G319" s="301"/>
      <c r="H319" s="301"/>
      <c r="I319" s="301"/>
      <c r="J319" s="301"/>
      <c r="K319" s="301"/>
      <c r="L319" s="301"/>
      <c r="M319" s="301"/>
      <c r="N319" s="301"/>
      <c r="O319" s="301"/>
      <c r="P319" s="301"/>
      <c r="Q319" s="301"/>
      <c r="R319" s="301"/>
      <c r="S319" s="301"/>
      <c r="T319" s="301"/>
      <c r="U319" s="301"/>
      <c r="V319" s="301"/>
      <c r="W319" s="301"/>
      <c r="X319" s="301"/>
      <c r="Y319" s="301"/>
      <c r="Z319" s="301"/>
    </row>
    <row r="320" spans="1:26" ht="11.25" customHeight="1">
      <c r="A320" s="301"/>
      <c r="B320" s="301"/>
      <c r="C320" s="301"/>
      <c r="D320" s="301"/>
      <c r="E320" s="301"/>
      <c r="F320" s="301"/>
      <c r="G320" s="301"/>
      <c r="H320" s="301"/>
      <c r="I320" s="301"/>
      <c r="J320" s="301"/>
      <c r="K320" s="301"/>
      <c r="L320" s="301"/>
      <c r="M320" s="301"/>
      <c r="N320" s="301"/>
      <c r="O320" s="301"/>
      <c r="P320" s="301"/>
      <c r="Q320" s="301"/>
      <c r="R320" s="301"/>
      <c r="S320" s="301"/>
      <c r="T320" s="301"/>
      <c r="U320" s="301"/>
      <c r="V320" s="301"/>
      <c r="W320" s="301"/>
      <c r="X320" s="301"/>
      <c r="Y320" s="301"/>
      <c r="Z320" s="301"/>
    </row>
    <row r="321" spans="1:26" ht="11.25" customHeight="1">
      <c r="A321" s="301"/>
      <c r="B321" s="301"/>
      <c r="C321" s="301"/>
      <c r="D321" s="301"/>
      <c r="E321" s="301"/>
      <c r="F321" s="301"/>
      <c r="G321" s="301"/>
      <c r="H321" s="301"/>
      <c r="I321" s="301"/>
      <c r="J321" s="301"/>
      <c r="K321" s="301"/>
      <c r="L321" s="301"/>
      <c r="M321" s="301"/>
      <c r="N321" s="301"/>
      <c r="O321" s="301"/>
      <c r="P321" s="301"/>
      <c r="Q321" s="301"/>
      <c r="R321" s="301"/>
      <c r="S321" s="301"/>
      <c r="T321" s="301"/>
      <c r="U321" s="301"/>
      <c r="V321" s="301"/>
      <c r="W321" s="301"/>
      <c r="X321" s="301"/>
      <c r="Y321" s="301"/>
      <c r="Z321" s="301"/>
    </row>
    <row r="322" spans="1:26" ht="11.25" customHeight="1">
      <c r="A322" s="301"/>
      <c r="B322" s="301"/>
      <c r="C322" s="301"/>
      <c r="D322" s="301"/>
      <c r="E322" s="301"/>
      <c r="F322" s="301"/>
      <c r="G322" s="301"/>
      <c r="H322" s="301"/>
      <c r="I322" s="301"/>
      <c r="J322" s="301"/>
      <c r="K322" s="301"/>
      <c r="L322" s="301"/>
      <c r="M322" s="301"/>
      <c r="N322" s="301"/>
      <c r="O322" s="301"/>
      <c r="P322" s="301"/>
      <c r="Q322" s="301"/>
      <c r="R322" s="301"/>
      <c r="S322" s="301"/>
      <c r="T322" s="301"/>
      <c r="U322" s="301"/>
      <c r="V322" s="301"/>
      <c r="W322" s="301"/>
      <c r="X322" s="301"/>
      <c r="Y322" s="301"/>
      <c r="Z322" s="301"/>
    </row>
    <row r="323" spans="1:26" ht="11.25" customHeight="1">
      <c r="A323" s="301"/>
      <c r="B323" s="301"/>
      <c r="C323" s="301"/>
      <c r="D323" s="301"/>
      <c r="E323" s="301"/>
      <c r="F323" s="301"/>
      <c r="G323" s="301"/>
      <c r="H323" s="301"/>
      <c r="I323" s="301"/>
      <c r="J323" s="301"/>
      <c r="K323" s="301"/>
      <c r="L323" s="301"/>
      <c r="M323" s="301"/>
      <c r="N323" s="301"/>
      <c r="O323" s="301"/>
      <c r="P323" s="301"/>
      <c r="Q323" s="301"/>
      <c r="R323" s="301"/>
      <c r="S323" s="301"/>
      <c r="T323" s="301"/>
      <c r="U323" s="301"/>
      <c r="V323" s="301"/>
      <c r="W323" s="301"/>
      <c r="X323" s="301"/>
      <c r="Y323" s="301"/>
      <c r="Z323" s="301"/>
    </row>
    <row r="324" spans="1:26" ht="11.25" customHeight="1">
      <c r="A324" s="301"/>
      <c r="B324" s="301"/>
      <c r="C324" s="301"/>
      <c r="D324" s="301"/>
      <c r="E324" s="301"/>
      <c r="F324" s="301"/>
      <c r="G324" s="301"/>
      <c r="H324" s="301"/>
      <c r="I324" s="301"/>
      <c r="J324" s="301"/>
      <c r="K324" s="301"/>
      <c r="L324" s="301"/>
      <c r="M324" s="301"/>
      <c r="N324" s="301"/>
      <c r="O324" s="301"/>
      <c r="P324" s="301"/>
      <c r="Q324" s="301"/>
      <c r="R324" s="301"/>
      <c r="S324" s="301"/>
      <c r="T324" s="301"/>
      <c r="U324" s="301"/>
      <c r="V324" s="301"/>
      <c r="W324" s="301"/>
      <c r="X324" s="301"/>
      <c r="Y324" s="301"/>
      <c r="Z324" s="301"/>
    </row>
    <row r="325" spans="1:26" ht="11.25" customHeight="1">
      <c r="A325" s="301"/>
      <c r="B325" s="301"/>
      <c r="C325" s="301"/>
      <c r="D325" s="301"/>
      <c r="E325" s="301"/>
      <c r="F325" s="301"/>
      <c r="G325" s="301"/>
      <c r="H325" s="301"/>
      <c r="I325" s="301"/>
      <c r="J325" s="301"/>
      <c r="K325" s="301"/>
      <c r="L325" s="301"/>
      <c r="M325" s="301"/>
      <c r="N325" s="301"/>
      <c r="O325" s="301"/>
      <c r="P325" s="301"/>
      <c r="Q325" s="301"/>
      <c r="R325" s="301"/>
      <c r="S325" s="301"/>
      <c r="T325" s="301"/>
      <c r="U325" s="301"/>
      <c r="V325" s="301"/>
      <c r="W325" s="301"/>
      <c r="X325" s="301"/>
      <c r="Y325" s="301"/>
      <c r="Z325" s="301"/>
    </row>
    <row r="326" spans="1:26" ht="11.25" customHeight="1">
      <c r="A326" s="301"/>
      <c r="B326" s="301"/>
      <c r="C326" s="301"/>
      <c r="D326" s="301"/>
      <c r="E326" s="301"/>
      <c r="F326" s="301"/>
      <c r="G326" s="301"/>
      <c r="H326" s="301"/>
      <c r="I326" s="301"/>
      <c r="J326" s="301"/>
      <c r="K326" s="301"/>
      <c r="L326" s="301"/>
      <c r="M326" s="301"/>
      <c r="N326" s="301"/>
      <c r="O326" s="301"/>
      <c r="P326" s="301"/>
      <c r="Q326" s="301"/>
      <c r="R326" s="301"/>
      <c r="S326" s="301"/>
      <c r="T326" s="301"/>
      <c r="U326" s="301"/>
      <c r="V326" s="301"/>
      <c r="W326" s="301"/>
      <c r="X326" s="301"/>
      <c r="Y326" s="301"/>
      <c r="Z326" s="301"/>
    </row>
    <row r="327" spans="1:26" ht="11.25" customHeight="1">
      <c r="A327" s="301"/>
      <c r="B327" s="301"/>
      <c r="C327" s="301"/>
      <c r="D327" s="301"/>
      <c r="E327" s="301"/>
      <c r="F327" s="301"/>
      <c r="G327" s="301"/>
      <c r="H327" s="301"/>
      <c r="I327" s="301"/>
      <c r="J327" s="301"/>
      <c r="K327" s="301"/>
      <c r="L327" s="301"/>
      <c r="M327" s="301"/>
      <c r="N327" s="301"/>
      <c r="O327" s="301"/>
      <c r="P327" s="301"/>
      <c r="Q327" s="301"/>
      <c r="R327" s="301"/>
      <c r="S327" s="301"/>
      <c r="T327" s="301"/>
      <c r="U327" s="301"/>
      <c r="V327" s="301"/>
      <c r="W327" s="301"/>
      <c r="X327" s="301"/>
      <c r="Y327" s="301"/>
      <c r="Z327" s="301"/>
    </row>
    <row r="328" spans="1:26" ht="11.25" customHeight="1">
      <c r="A328" s="301"/>
      <c r="B328" s="301"/>
      <c r="C328" s="301"/>
      <c r="D328" s="301"/>
      <c r="E328" s="301"/>
      <c r="F328" s="301"/>
      <c r="G328" s="301"/>
      <c r="H328" s="301"/>
      <c r="I328" s="301"/>
      <c r="J328" s="301"/>
      <c r="K328" s="301"/>
      <c r="L328" s="301"/>
      <c r="M328" s="301"/>
      <c r="N328" s="301"/>
      <c r="O328" s="301"/>
      <c r="P328" s="301"/>
      <c r="Q328" s="301"/>
      <c r="R328" s="301"/>
      <c r="S328" s="301"/>
      <c r="T328" s="301"/>
      <c r="U328" s="301"/>
      <c r="V328" s="301"/>
      <c r="W328" s="301"/>
      <c r="X328" s="301"/>
      <c r="Y328" s="301"/>
      <c r="Z328" s="301"/>
    </row>
    <row r="329" spans="1:26" ht="11.25" customHeight="1">
      <c r="A329" s="301"/>
      <c r="B329" s="301"/>
      <c r="C329" s="301"/>
      <c r="D329" s="301"/>
      <c r="E329" s="301"/>
      <c r="F329" s="301"/>
      <c r="G329" s="301"/>
      <c r="H329" s="301"/>
      <c r="I329" s="301"/>
      <c r="J329" s="301"/>
      <c r="K329" s="301"/>
      <c r="L329" s="301"/>
      <c r="M329" s="301"/>
      <c r="N329" s="301"/>
      <c r="O329" s="301"/>
      <c r="P329" s="301"/>
      <c r="Q329" s="301"/>
      <c r="R329" s="301"/>
      <c r="S329" s="301"/>
      <c r="T329" s="301"/>
      <c r="U329" s="301"/>
      <c r="V329" s="301"/>
      <c r="W329" s="301"/>
      <c r="X329" s="301"/>
      <c r="Y329" s="301"/>
      <c r="Z329" s="301"/>
    </row>
    <row r="330" spans="1:26" ht="11.25" customHeight="1">
      <c r="A330" s="301"/>
      <c r="B330" s="301"/>
      <c r="C330" s="301"/>
      <c r="D330" s="301"/>
      <c r="E330" s="301"/>
      <c r="F330" s="301"/>
      <c r="G330" s="301"/>
      <c r="H330" s="301"/>
      <c r="I330" s="301"/>
      <c r="J330" s="301"/>
      <c r="K330" s="301"/>
      <c r="L330" s="301"/>
      <c r="M330" s="301"/>
      <c r="N330" s="301"/>
      <c r="O330" s="301"/>
      <c r="P330" s="301"/>
      <c r="Q330" s="301"/>
      <c r="R330" s="301"/>
      <c r="S330" s="301"/>
      <c r="T330" s="301"/>
      <c r="U330" s="301"/>
      <c r="V330" s="301"/>
      <c r="W330" s="301"/>
      <c r="X330" s="301"/>
      <c r="Y330" s="301"/>
      <c r="Z330" s="301"/>
    </row>
    <row r="331" spans="1:26" ht="11.25" customHeight="1">
      <c r="A331" s="301"/>
      <c r="B331" s="301"/>
      <c r="C331" s="301"/>
      <c r="D331" s="301"/>
      <c r="E331" s="301"/>
      <c r="F331" s="301"/>
      <c r="G331" s="301"/>
      <c r="H331" s="301"/>
      <c r="I331" s="301"/>
      <c r="J331" s="301"/>
      <c r="K331" s="301"/>
      <c r="L331" s="301"/>
      <c r="M331" s="301"/>
      <c r="N331" s="301"/>
      <c r="O331" s="301"/>
      <c r="P331" s="301"/>
      <c r="Q331" s="301"/>
      <c r="R331" s="301"/>
      <c r="S331" s="301"/>
      <c r="T331" s="301"/>
      <c r="U331" s="301"/>
      <c r="V331" s="301"/>
      <c r="W331" s="301"/>
      <c r="X331" s="301"/>
      <c r="Y331" s="301"/>
      <c r="Z331" s="301"/>
    </row>
    <row r="332" spans="1:26" ht="11.25" customHeight="1">
      <c r="A332" s="301"/>
      <c r="B332" s="301"/>
      <c r="C332" s="301"/>
      <c r="D332" s="301"/>
      <c r="E332" s="301"/>
      <c r="F332" s="301"/>
      <c r="G332" s="301"/>
      <c r="H332" s="301"/>
      <c r="I332" s="301"/>
      <c r="J332" s="301"/>
      <c r="K332" s="301"/>
      <c r="L332" s="301"/>
      <c r="M332" s="301"/>
      <c r="N332" s="301"/>
      <c r="O332" s="301"/>
      <c r="P332" s="301"/>
      <c r="Q332" s="301"/>
      <c r="R332" s="301"/>
      <c r="S332" s="301"/>
      <c r="T332" s="301"/>
      <c r="U332" s="301"/>
      <c r="V332" s="301"/>
      <c r="W332" s="301"/>
      <c r="X332" s="301"/>
      <c r="Y332" s="301"/>
      <c r="Z332" s="301"/>
    </row>
    <row r="333" spans="1:26" ht="11.25" customHeight="1">
      <c r="A333" s="301"/>
      <c r="B333" s="301"/>
      <c r="C333" s="301"/>
      <c r="D333" s="301"/>
      <c r="E333" s="301"/>
      <c r="F333" s="301"/>
      <c r="G333" s="301"/>
      <c r="H333" s="301"/>
      <c r="I333" s="301"/>
      <c r="J333" s="301"/>
      <c r="K333" s="301"/>
      <c r="L333" s="301"/>
      <c r="M333" s="301"/>
      <c r="N333" s="301"/>
      <c r="O333" s="301"/>
      <c r="P333" s="301"/>
      <c r="Q333" s="301"/>
      <c r="R333" s="301"/>
      <c r="S333" s="301"/>
      <c r="T333" s="301"/>
      <c r="U333" s="301"/>
      <c r="V333" s="301"/>
      <c r="W333" s="301"/>
      <c r="X333" s="301"/>
      <c r="Y333" s="301"/>
      <c r="Z333" s="301"/>
    </row>
    <row r="334" spans="1:26" ht="11.25" customHeight="1">
      <c r="A334" s="301"/>
      <c r="B334" s="301"/>
      <c r="C334" s="301"/>
      <c r="D334" s="301"/>
      <c r="E334" s="301"/>
      <c r="F334" s="301"/>
      <c r="G334" s="301"/>
      <c r="H334" s="301"/>
      <c r="I334" s="301"/>
      <c r="J334" s="301"/>
      <c r="K334" s="301"/>
      <c r="L334" s="301"/>
      <c r="M334" s="301"/>
      <c r="N334" s="301"/>
      <c r="O334" s="301"/>
      <c r="P334" s="301"/>
      <c r="Q334" s="301"/>
      <c r="R334" s="301"/>
      <c r="S334" s="301"/>
      <c r="T334" s="301"/>
      <c r="U334" s="301"/>
      <c r="V334" s="301"/>
      <c r="W334" s="301"/>
      <c r="X334" s="301"/>
      <c r="Y334" s="301"/>
      <c r="Z334" s="301"/>
    </row>
    <row r="335" spans="1:26" ht="11.25" customHeight="1">
      <c r="A335" s="301"/>
      <c r="B335" s="301"/>
      <c r="C335" s="301"/>
      <c r="D335" s="301"/>
      <c r="E335" s="301"/>
      <c r="F335" s="301"/>
      <c r="G335" s="301"/>
      <c r="H335" s="301"/>
      <c r="I335" s="301"/>
      <c r="J335" s="301"/>
      <c r="K335" s="301"/>
      <c r="L335" s="301"/>
      <c r="M335" s="301"/>
      <c r="N335" s="301"/>
      <c r="O335" s="301"/>
      <c r="P335" s="301"/>
      <c r="Q335" s="301"/>
      <c r="R335" s="301"/>
      <c r="S335" s="301"/>
      <c r="T335" s="301"/>
      <c r="U335" s="301"/>
      <c r="V335" s="301"/>
      <c r="W335" s="301"/>
      <c r="X335" s="301"/>
      <c r="Y335" s="301"/>
      <c r="Z335" s="301"/>
    </row>
    <row r="336" spans="1:26" ht="11.25" customHeight="1">
      <c r="A336" s="301"/>
      <c r="B336" s="301"/>
      <c r="C336" s="301"/>
      <c r="D336" s="301"/>
      <c r="E336" s="301"/>
      <c r="F336" s="301"/>
      <c r="G336" s="301"/>
      <c r="H336" s="301"/>
      <c r="I336" s="301"/>
      <c r="J336" s="301"/>
      <c r="K336" s="301"/>
      <c r="L336" s="301"/>
      <c r="M336" s="301"/>
      <c r="N336" s="301"/>
      <c r="O336" s="301"/>
      <c r="P336" s="301"/>
      <c r="Q336" s="301"/>
      <c r="R336" s="301"/>
      <c r="S336" s="301"/>
      <c r="T336" s="301"/>
      <c r="U336" s="301"/>
      <c r="V336" s="301"/>
      <c r="W336" s="301"/>
      <c r="X336" s="301"/>
      <c r="Y336" s="301"/>
      <c r="Z336" s="301"/>
    </row>
    <row r="337" spans="1:26" ht="11.25" customHeight="1">
      <c r="A337" s="301"/>
      <c r="B337" s="301"/>
      <c r="C337" s="301"/>
      <c r="D337" s="301"/>
      <c r="E337" s="301"/>
      <c r="F337" s="301"/>
      <c r="G337" s="301"/>
      <c r="H337" s="301"/>
      <c r="I337" s="301"/>
      <c r="J337" s="301"/>
      <c r="K337" s="301"/>
      <c r="L337" s="301"/>
      <c r="M337" s="301"/>
      <c r="N337" s="301"/>
      <c r="O337" s="301"/>
      <c r="P337" s="301"/>
      <c r="Q337" s="301"/>
      <c r="R337" s="301"/>
      <c r="S337" s="301"/>
      <c r="T337" s="301"/>
      <c r="U337" s="301"/>
      <c r="V337" s="301"/>
      <c r="W337" s="301"/>
      <c r="X337" s="301"/>
      <c r="Y337" s="301"/>
      <c r="Z337" s="301"/>
    </row>
    <row r="338" spans="1:26" ht="11.25" customHeight="1">
      <c r="A338" s="301"/>
      <c r="B338" s="301"/>
      <c r="C338" s="301"/>
      <c r="D338" s="301"/>
      <c r="E338" s="301"/>
      <c r="F338" s="301"/>
      <c r="G338" s="301"/>
      <c r="H338" s="301"/>
      <c r="I338" s="301"/>
      <c r="J338" s="301"/>
      <c r="K338" s="301"/>
      <c r="L338" s="301"/>
      <c r="M338" s="301"/>
      <c r="N338" s="301"/>
      <c r="O338" s="301"/>
      <c r="P338" s="301"/>
      <c r="Q338" s="301"/>
      <c r="R338" s="301"/>
      <c r="S338" s="301"/>
      <c r="T338" s="301"/>
      <c r="U338" s="301"/>
      <c r="V338" s="301"/>
      <c r="W338" s="301"/>
      <c r="X338" s="301"/>
      <c r="Y338" s="301"/>
      <c r="Z338" s="301"/>
    </row>
    <row r="339" spans="1:26" ht="11.25" customHeight="1">
      <c r="A339" s="301"/>
      <c r="B339" s="301"/>
      <c r="C339" s="301"/>
      <c r="D339" s="301"/>
      <c r="E339" s="301"/>
      <c r="F339" s="301"/>
      <c r="G339" s="301"/>
      <c r="H339" s="301"/>
      <c r="I339" s="301"/>
      <c r="J339" s="301"/>
      <c r="K339" s="301"/>
      <c r="L339" s="301"/>
      <c r="M339" s="301"/>
      <c r="N339" s="301"/>
      <c r="O339" s="301"/>
      <c r="P339" s="301"/>
      <c r="Q339" s="301"/>
      <c r="R339" s="301"/>
      <c r="S339" s="301"/>
      <c r="T339" s="301"/>
      <c r="U339" s="301"/>
      <c r="V339" s="301"/>
      <c r="W339" s="301"/>
      <c r="X339" s="301"/>
      <c r="Y339" s="301"/>
      <c r="Z339" s="301"/>
    </row>
    <row r="340" spans="1:26" ht="11.25" customHeight="1">
      <c r="A340" s="301"/>
      <c r="B340" s="301"/>
      <c r="C340" s="301"/>
      <c r="D340" s="301"/>
      <c r="E340" s="301"/>
      <c r="F340" s="301"/>
      <c r="G340" s="301"/>
      <c r="H340" s="301"/>
      <c r="I340" s="301"/>
      <c r="J340" s="301"/>
      <c r="K340" s="301"/>
      <c r="L340" s="301"/>
      <c r="M340" s="301"/>
      <c r="N340" s="301"/>
      <c r="O340" s="301"/>
      <c r="P340" s="301"/>
      <c r="Q340" s="301"/>
      <c r="R340" s="301"/>
      <c r="S340" s="301"/>
      <c r="T340" s="301"/>
      <c r="U340" s="301"/>
      <c r="V340" s="301"/>
      <c r="W340" s="301"/>
      <c r="X340" s="301"/>
      <c r="Y340" s="301"/>
      <c r="Z340" s="301"/>
    </row>
    <row r="341" spans="1:26" ht="11.25" customHeight="1">
      <c r="A341" s="301"/>
      <c r="B341" s="301"/>
      <c r="C341" s="301"/>
      <c r="D341" s="301"/>
      <c r="E341" s="301"/>
      <c r="F341" s="301"/>
      <c r="G341" s="301"/>
      <c r="H341" s="301"/>
      <c r="I341" s="301"/>
      <c r="J341" s="301"/>
      <c r="K341" s="301"/>
      <c r="L341" s="301"/>
      <c r="M341" s="301"/>
      <c r="N341" s="301"/>
      <c r="O341" s="301"/>
      <c r="P341" s="301"/>
      <c r="Q341" s="301"/>
      <c r="R341" s="301"/>
      <c r="S341" s="301"/>
      <c r="T341" s="301"/>
      <c r="U341" s="301"/>
      <c r="V341" s="301"/>
      <c r="W341" s="301"/>
      <c r="X341" s="301"/>
      <c r="Y341" s="301"/>
      <c r="Z341" s="301"/>
    </row>
    <row r="342" spans="1:26" ht="11.25" customHeight="1">
      <c r="A342" s="301"/>
      <c r="B342" s="301"/>
      <c r="C342" s="301"/>
      <c r="D342" s="301"/>
      <c r="E342" s="301"/>
      <c r="F342" s="301"/>
      <c r="G342" s="301"/>
      <c r="H342" s="301"/>
      <c r="I342" s="301"/>
      <c r="J342" s="301"/>
      <c r="K342" s="301"/>
      <c r="L342" s="301"/>
      <c r="M342" s="301"/>
      <c r="N342" s="301"/>
      <c r="O342" s="301"/>
      <c r="P342" s="301"/>
      <c r="Q342" s="301"/>
      <c r="R342" s="301"/>
      <c r="S342" s="301"/>
      <c r="T342" s="301"/>
      <c r="U342" s="301"/>
      <c r="V342" s="301"/>
      <c r="W342" s="301"/>
      <c r="X342" s="301"/>
      <c r="Y342" s="301"/>
      <c r="Z342" s="301"/>
    </row>
    <row r="343" spans="1:26" ht="11.25" customHeight="1">
      <c r="A343" s="301"/>
      <c r="B343" s="301"/>
      <c r="C343" s="301"/>
      <c r="D343" s="301"/>
      <c r="E343" s="301"/>
      <c r="F343" s="301"/>
      <c r="G343" s="301"/>
      <c r="H343" s="301"/>
      <c r="I343" s="301"/>
      <c r="J343" s="301"/>
      <c r="K343" s="301"/>
      <c r="L343" s="301"/>
      <c r="M343" s="301"/>
      <c r="N343" s="301"/>
      <c r="O343" s="301"/>
      <c r="P343" s="301"/>
      <c r="Q343" s="301"/>
      <c r="R343" s="301"/>
      <c r="S343" s="301"/>
      <c r="T343" s="301"/>
      <c r="U343" s="301"/>
      <c r="V343" s="301"/>
      <c r="W343" s="301"/>
      <c r="X343" s="301"/>
      <c r="Y343" s="301"/>
      <c r="Z343" s="301"/>
    </row>
    <row r="344" spans="1:26" ht="11.25" customHeight="1">
      <c r="A344" s="301"/>
      <c r="B344" s="301"/>
      <c r="C344" s="301"/>
      <c r="D344" s="301"/>
      <c r="E344" s="301"/>
      <c r="F344" s="301"/>
      <c r="G344" s="301"/>
      <c r="H344" s="301"/>
      <c r="I344" s="301"/>
      <c r="J344" s="301"/>
      <c r="K344" s="301"/>
      <c r="L344" s="301"/>
      <c r="M344" s="301"/>
      <c r="N344" s="301"/>
      <c r="O344" s="301"/>
      <c r="P344" s="301"/>
      <c r="Q344" s="301"/>
      <c r="R344" s="301"/>
      <c r="S344" s="301"/>
      <c r="T344" s="301"/>
      <c r="U344" s="301"/>
      <c r="V344" s="301"/>
      <c r="W344" s="301"/>
      <c r="X344" s="301"/>
      <c r="Y344" s="301"/>
      <c r="Z344" s="301"/>
    </row>
    <row r="345" spans="1:26" ht="11.25" customHeight="1">
      <c r="A345" s="301"/>
      <c r="B345" s="301"/>
      <c r="C345" s="301"/>
      <c r="D345" s="301"/>
      <c r="E345" s="301"/>
      <c r="F345" s="301"/>
      <c r="G345" s="301"/>
      <c r="H345" s="301"/>
      <c r="I345" s="301"/>
      <c r="J345" s="301"/>
      <c r="K345" s="301"/>
      <c r="L345" s="301"/>
      <c r="M345" s="301"/>
      <c r="N345" s="301"/>
      <c r="O345" s="301"/>
      <c r="P345" s="301"/>
      <c r="Q345" s="301"/>
      <c r="R345" s="301"/>
      <c r="S345" s="301"/>
      <c r="T345" s="301"/>
      <c r="U345" s="301"/>
      <c r="V345" s="301"/>
      <c r="W345" s="301"/>
      <c r="X345" s="301"/>
      <c r="Y345" s="301"/>
      <c r="Z345" s="301"/>
    </row>
    <row r="346" spans="1:26" ht="11.25" customHeight="1">
      <c r="A346" s="301"/>
      <c r="B346" s="301"/>
      <c r="C346" s="301"/>
      <c r="D346" s="301"/>
      <c r="E346" s="301"/>
      <c r="F346" s="301"/>
      <c r="G346" s="301"/>
      <c r="H346" s="301"/>
      <c r="I346" s="301"/>
      <c r="J346" s="301"/>
      <c r="K346" s="301"/>
      <c r="L346" s="301"/>
      <c r="M346" s="301"/>
      <c r="N346" s="301"/>
      <c r="O346" s="301"/>
      <c r="P346" s="301"/>
      <c r="Q346" s="301"/>
      <c r="R346" s="301"/>
      <c r="S346" s="301"/>
      <c r="T346" s="301"/>
      <c r="U346" s="301"/>
      <c r="V346" s="301"/>
      <c r="W346" s="301"/>
      <c r="X346" s="301"/>
      <c r="Y346" s="301"/>
      <c r="Z346" s="301"/>
    </row>
    <row r="347" spans="1:26" ht="11.25" customHeight="1">
      <c r="A347" s="301"/>
      <c r="B347" s="301"/>
      <c r="C347" s="301"/>
      <c r="D347" s="301"/>
      <c r="E347" s="301"/>
      <c r="F347" s="301"/>
      <c r="G347" s="301"/>
      <c r="H347" s="301"/>
      <c r="I347" s="301"/>
      <c r="J347" s="301"/>
      <c r="K347" s="301"/>
      <c r="L347" s="301"/>
      <c r="M347" s="301"/>
      <c r="N347" s="301"/>
      <c r="O347" s="301"/>
      <c r="P347" s="301"/>
      <c r="Q347" s="301"/>
      <c r="R347" s="301"/>
      <c r="S347" s="301"/>
      <c r="T347" s="301"/>
      <c r="U347" s="301"/>
      <c r="V347" s="301"/>
      <c r="W347" s="301"/>
      <c r="X347" s="301"/>
      <c r="Y347" s="301"/>
      <c r="Z347" s="301"/>
    </row>
    <row r="348" spans="1:26" ht="11.25" customHeight="1">
      <c r="A348" s="301"/>
      <c r="B348" s="301"/>
      <c r="C348" s="301"/>
      <c r="D348" s="301"/>
      <c r="E348" s="301"/>
      <c r="F348" s="301"/>
      <c r="G348" s="301"/>
      <c r="H348" s="301"/>
      <c r="I348" s="301"/>
      <c r="J348" s="301"/>
      <c r="K348" s="301"/>
      <c r="L348" s="301"/>
      <c r="M348" s="301"/>
      <c r="N348" s="301"/>
      <c r="O348" s="301"/>
      <c r="P348" s="301"/>
      <c r="Q348" s="301"/>
      <c r="R348" s="301"/>
      <c r="S348" s="301"/>
      <c r="T348" s="301"/>
      <c r="U348" s="301"/>
      <c r="V348" s="301"/>
      <c r="W348" s="301"/>
      <c r="X348" s="301"/>
      <c r="Y348" s="301"/>
      <c r="Z348" s="301"/>
    </row>
    <row r="349" spans="1:26" ht="11.25" customHeight="1">
      <c r="A349" s="301"/>
      <c r="B349" s="301"/>
      <c r="C349" s="301"/>
      <c r="D349" s="301"/>
      <c r="E349" s="301"/>
      <c r="F349" s="301"/>
      <c r="G349" s="301"/>
      <c r="H349" s="301"/>
      <c r="I349" s="301"/>
      <c r="J349" s="301"/>
      <c r="K349" s="301"/>
      <c r="L349" s="301"/>
      <c r="M349" s="301"/>
      <c r="N349" s="301"/>
      <c r="O349" s="301"/>
      <c r="P349" s="301"/>
      <c r="Q349" s="301"/>
      <c r="R349" s="301"/>
      <c r="S349" s="301"/>
      <c r="T349" s="301"/>
      <c r="U349" s="301"/>
      <c r="V349" s="301"/>
      <c r="W349" s="301"/>
      <c r="X349" s="301"/>
      <c r="Y349" s="301"/>
      <c r="Z349" s="301"/>
    </row>
    <row r="350" spans="1:26" ht="11.25" customHeight="1">
      <c r="A350" s="301"/>
      <c r="B350" s="301"/>
      <c r="C350" s="301"/>
      <c r="D350" s="301"/>
      <c r="E350" s="301"/>
      <c r="F350" s="301"/>
      <c r="G350" s="301"/>
      <c r="H350" s="301"/>
      <c r="I350" s="301"/>
      <c r="J350" s="301"/>
      <c r="K350" s="301"/>
      <c r="L350" s="301"/>
      <c r="M350" s="301"/>
      <c r="N350" s="301"/>
      <c r="O350" s="301"/>
      <c r="P350" s="301"/>
      <c r="Q350" s="301"/>
      <c r="R350" s="301"/>
      <c r="S350" s="301"/>
      <c r="T350" s="301"/>
      <c r="U350" s="301"/>
      <c r="V350" s="301"/>
      <c r="W350" s="301"/>
      <c r="X350" s="301"/>
      <c r="Y350" s="301"/>
      <c r="Z350" s="301"/>
    </row>
    <row r="351" spans="1:26" ht="11.25" customHeight="1">
      <c r="A351" s="301"/>
      <c r="B351" s="301"/>
      <c r="C351" s="301"/>
      <c r="D351" s="301"/>
      <c r="E351" s="301"/>
      <c r="F351" s="301"/>
      <c r="G351" s="301"/>
      <c r="H351" s="301"/>
      <c r="I351" s="301"/>
      <c r="J351" s="301"/>
      <c r="K351" s="301"/>
      <c r="L351" s="301"/>
      <c r="M351" s="301"/>
      <c r="N351" s="301"/>
      <c r="O351" s="301"/>
      <c r="P351" s="301"/>
      <c r="Q351" s="301"/>
      <c r="R351" s="301"/>
      <c r="S351" s="301"/>
      <c r="T351" s="301"/>
      <c r="U351" s="301"/>
      <c r="V351" s="301"/>
      <c r="W351" s="301"/>
      <c r="X351" s="301"/>
      <c r="Y351" s="301"/>
      <c r="Z351" s="301"/>
    </row>
    <row r="352" spans="1:26" ht="11.25" customHeight="1">
      <c r="A352" s="301"/>
      <c r="B352" s="301"/>
      <c r="C352" s="301"/>
      <c r="D352" s="301"/>
      <c r="E352" s="301"/>
      <c r="F352" s="301"/>
      <c r="G352" s="301"/>
      <c r="H352" s="301"/>
      <c r="I352" s="301"/>
      <c r="J352" s="301"/>
      <c r="K352" s="301"/>
      <c r="L352" s="301"/>
      <c r="M352" s="301"/>
      <c r="N352" s="301"/>
      <c r="O352" s="301"/>
      <c r="P352" s="301"/>
      <c r="Q352" s="301"/>
      <c r="R352" s="301"/>
      <c r="S352" s="301"/>
      <c r="T352" s="301"/>
      <c r="U352" s="301"/>
      <c r="V352" s="301"/>
      <c r="W352" s="301"/>
      <c r="X352" s="301"/>
      <c r="Y352" s="301"/>
      <c r="Z352" s="301"/>
    </row>
    <row r="353" spans="1:26" ht="11.25" customHeight="1">
      <c r="A353" s="301"/>
      <c r="B353" s="301"/>
      <c r="C353" s="301"/>
      <c r="D353" s="301"/>
      <c r="E353" s="301"/>
      <c r="F353" s="301"/>
      <c r="G353" s="301"/>
      <c r="H353" s="301"/>
      <c r="I353" s="301"/>
      <c r="J353" s="301"/>
      <c r="K353" s="301"/>
      <c r="L353" s="301"/>
      <c r="M353" s="301"/>
      <c r="N353" s="301"/>
      <c r="O353" s="301"/>
      <c r="P353" s="301"/>
      <c r="Q353" s="301"/>
      <c r="R353" s="301"/>
      <c r="S353" s="301"/>
      <c r="T353" s="301"/>
      <c r="U353" s="301"/>
      <c r="V353" s="301"/>
      <c r="W353" s="301"/>
      <c r="X353" s="301"/>
      <c r="Y353" s="301"/>
      <c r="Z353" s="301"/>
    </row>
    <row r="354" spans="1:26" ht="11.25" customHeight="1">
      <c r="A354" s="301"/>
      <c r="B354" s="301"/>
      <c r="C354" s="301"/>
      <c r="D354" s="301"/>
      <c r="E354" s="301"/>
      <c r="F354" s="301"/>
      <c r="G354" s="301"/>
      <c r="H354" s="301"/>
      <c r="I354" s="301"/>
      <c r="J354" s="301"/>
      <c r="K354" s="301"/>
      <c r="L354" s="301"/>
      <c r="M354" s="301"/>
      <c r="N354" s="301"/>
      <c r="O354" s="301"/>
      <c r="P354" s="301"/>
      <c r="Q354" s="301"/>
      <c r="R354" s="301"/>
      <c r="S354" s="301"/>
      <c r="T354" s="301"/>
      <c r="U354" s="301"/>
      <c r="V354" s="301"/>
      <c r="W354" s="301"/>
      <c r="X354" s="301"/>
      <c r="Y354" s="301"/>
      <c r="Z354" s="301"/>
    </row>
    <row r="355" spans="1:26" ht="11.25" customHeight="1">
      <c r="A355" s="301"/>
      <c r="B355" s="301"/>
      <c r="C355" s="301"/>
      <c r="D355" s="301"/>
      <c r="E355" s="301"/>
      <c r="F355" s="301"/>
      <c r="G355" s="301"/>
      <c r="H355" s="301"/>
      <c r="I355" s="301"/>
      <c r="J355" s="301"/>
      <c r="K355" s="301"/>
      <c r="L355" s="301"/>
      <c r="M355" s="301"/>
      <c r="N355" s="301"/>
      <c r="O355" s="301"/>
      <c r="P355" s="301"/>
      <c r="Q355" s="301"/>
      <c r="R355" s="301"/>
      <c r="S355" s="301"/>
      <c r="T355" s="301"/>
      <c r="U355" s="301"/>
      <c r="V355" s="301"/>
      <c r="W355" s="301"/>
      <c r="X355" s="301"/>
      <c r="Y355" s="301"/>
      <c r="Z355" s="301"/>
    </row>
    <row r="356" spans="1:26" ht="11.25" customHeight="1">
      <c r="A356" s="301"/>
      <c r="B356" s="301"/>
      <c r="C356" s="301"/>
      <c r="D356" s="301"/>
      <c r="E356" s="301"/>
      <c r="F356" s="301"/>
      <c r="G356" s="301"/>
      <c r="H356" s="301"/>
      <c r="I356" s="301"/>
      <c r="J356" s="301"/>
      <c r="K356" s="301"/>
      <c r="L356" s="301"/>
      <c r="M356" s="301"/>
      <c r="N356" s="301"/>
      <c r="O356" s="301"/>
      <c r="P356" s="301"/>
      <c r="Q356" s="301"/>
      <c r="R356" s="301"/>
      <c r="S356" s="301"/>
      <c r="T356" s="301"/>
      <c r="U356" s="301"/>
      <c r="V356" s="301"/>
      <c r="W356" s="301"/>
      <c r="X356" s="301"/>
      <c r="Y356" s="301"/>
      <c r="Z356" s="301"/>
    </row>
    <row r="357" spans="1:26" ht="11.25" customHeight="1">
      <c r="A357" s="301"/>
      <c r="B357" s="301"/>
      <c r="C357" s="301"/>
      <c r="D357" s="301"/>
      <c r="E357" s="301"/>
      <c r="F357" s="301"/>
      <c r="G357" s="301"/>
      <c r="H357" s="301"/>
      <c r="I357" s="301"/>
      <c r="J357" s="301"/>
      <c r="K357" s="301"/>
      <c r="L357" s="301"/>
      <c r="M357" s="301"/>
      <c r="N357" s="301"/>
      <c r="O357" s="301"/>
      <c r="P357" s="301"/>
      <c r="Q357" s="301"/>
      <c r="R357" s="301"/>
      <c r="S357" s="301"/>
      <c r="T357" s="301"/>
      <c r="U357" s="301"/>
      <c r="V357" s="301"/>
      <c r="W357" s="301"/>
      <c r="X357" s="301"/>
      <c r="Y357" s="301"/>
      <c r="Z357" s="301"/>
    </row>
    <row r="358" spans="1:26" ht="11.25" customHeight="1">
      <c r="A358" s="301"/>
      <c r="B358" s="301"/>
      <c r="C358" s="301"/>
      <c r="D358" s="301"/>
      <c r="E358" s="301"/>
      <c r="F358" s="301"/>
      <c r="G358" s="301"/>
      <c r="H358" s="301"/>
      <c r="I358" s="301"/>
      <c r="J358" s="301"/>
      <c r="K358" s="301"/>
      <c r="L358" s="301"/>
      <c r="M358" s="301"/>
      <c r="N358" s="301"/>
      <c r="O358" s="301"/>
      <c r="P358" s="301"/>
      <c r="Q358" s="301"/>
      <c r="R358" s="301"/>
      <c r="S358" s="301"/>
      <c r="T358" s="301"/>
      <c r="U358" s="301"/>
      <c r="V358" s="301"/>
      <c r="W358" s="301"/>
      <c r="X358" s="301"/>
      <c r="Y358" s="301"/>
      <c r="Z358" s="301"/>
    </row>
    <row r="359" spans="1:26" ht="11.25" customHeight="1">
      <c r="A359" s="301"/>
      <c r="B359" s="301"/>
      <c r="C359" s="301"/>
      <c r="D359" s="301"/>
      <c r="E359" s="301"/>
      <c r="F359" s="301"/>
      <c r="G359" s="301"/>
      <c r="H359" s="301"/>
      <c r="I359" s="301"/>
      <c r="J359" s="301"/>
      <c r="K359" s="301"/>
      <c r="L359" s="301"/>
      <c r="M359" s="301"/>
      <c r="N359" s="301"/>
      <c r="O359" s="301"/>
      <c r="P359" s="301"/>
      <c r="Q359" s="301"/>
      <c r="R359" s="301"/>
      <c r="S359" s="301"/>
      <c r="T359" s="301"/>
      <c r="U359" s="301"/>
      <c r="V359" s="301"/>
      <c r="W359" s="301"/>
      <c r="X359" s="301"/>
      <c r="Y359" s="301"/>
      <c r="Z359" s="301"/>
    </row>
    <row r="360" spans="1:26" ht="11.25" customHeight="1">
      <c r="A360" s="301"/>
      <c r="B360" s="301"/>
      <c r="C360" s="301"/>
      <c r="D360" s="301"/>
      <c r="E360" s="301"/>
      <c r="F360" s="301"/>
      <c r="G360" s="301"/>
      <c r="H360" s="301"/>
      <c r="I360" s="301"/>
      <c r="J360" s="301"/>
      <c r="K360" s="301"/>
      <c r="L360" s="301"/>
      <c r="M360" s="301"/>
      <c r="N360" s="301"/>
      <c r="O360" s="301"/>
      <c r="P360" s="301"/>
      <c r="Q360" s="301"/>
      <c r="R360" s="301"/>
      <c r="S360" s="301"/>
      <c r="T360" s="301"/>
      <c r="U360" s="301"/>
      <c r="V360" s="301"/>
      <c r="W360" s="301"/>
      <c r="X360" s="301"/>
      <c r="Y360" s="301"/>
      <c r="Z360" s="301"/>
    </row>
    <row r="361" spans="1:26" ht="11.25" customHeight="1">
      <c r="A361" s="301"/>
      <c r="B361" s="301"/>
      <c r="C361" s="301"/>
      <c r="D361" s="301"/>
      <c r="E361" s="301"/>
      <c r="F361" s="301"/>
      <c r="G361" s="301"/>
      <c r="H361" s="301"/>
      <c r="I361" s="301"/>
      <c r="J361" s="301"/>
      <c r="K361" s="301"/>
      <c r="L361" s="301"/>
      <c r="M361" s="301"/>
      <c r="N361" s="301"/>
      <c r="O361" s="301"/>
      <c r="P361" s="301"/>
      <c r="Q361" s="301"/>
      <c r="R361" s="301"/>
      <c r="S361" s="301"/>
      <c r="T361" s="301"/>
      <c r="U361" s="301"/>
      <c r="V361" s="301"/>
      <c r="W361" s="301"/>
      <c r="X361" s="301"/>
      <c r="Y361" s="301"/>
      <c r="Z361" s="301"/>
    </row>
    <row r="362" spans="1:26" ht="11.25" customHeight="1">
      <c r="A362" s="301"/>
      <c r="B362" s="301"/>
      <c r="C362" s="301"/>
      <c r="D362" s="301"/>
      <c r="E362" s="301"/>
      <c r="F362" s="301"/>
      <c r="G362" s="301"/>
      <c r="H362" s="301"/>
      <c r="I362" s="301"/>
      <c r="J362" s="301"/>
      <c r="K362" s="301"/>
      <c r="L362" s="301"/>
      <c r="M362" s="301"/>
      <c r="N362" s="301"/>
      <c r="O362" s="301"/>
      <c r="P362" s="301"/>
      <c r="Q362" s="301"/>
      <c r="R362" s="301"/>
      <c r="S362" s="301"/>
      <c r="T362" s="301"/>
      <c r="U362" s="301"/>
      <c r="V362" s="301"/>
      <c r="W362" s="301"/>
      <c r="X362" s="301"/>
      <c r="Y362" s="301"/>
      <c r="Z362" s="301"/>
    </row>
    <row r="363" spans="1:26" ht="11.25" customHeight="1">
      <c r="A363" s="301"/>
      <c r="B363" s="301"/>
      <c r="C363" s="301"/>
      <c r="D363" s="301"/>
      <c r="E363" s="301"/>
      <c r="F363" s="301"/>
      <c r="G363" s="301"/>
      <c r="H363" s="301"/>
      <c r="I363" s="301"/>
      <c r="J363" s="301"/>
      <c r="K363" s="301"/>
      <c r="L363" s="301"/>
      <c r="M363" s="301"/>
      <c r="N363" s="301"/>
      <c r="O363" s="301"/>
      <c r="P363" s="301"/>
      <c r="Q363" s="301"/>
      <c r="R363" s="301"/>
      <c r="S363" s="301"/>
      <c r="T363" s="301"/>
      <c r="U363" s="301"/>
      <c r="V363" s="301"/>
      <c r="W363" s="301"/>
      <c r="X363" s="301"/>
      <c r="Y363" s="301"/>
      <c r="Z363" s="301"/>
    </row>
    <row r="364" spans="1:26" ht="11.25" customHeight="1">
      <c r="A364" s="301"/>
      <c r="B364" s="301"/>
      <c r="C364" s="301"/>
      <c r="D364" s="301"/>
      <c r="E364" s="301"/>
      <c r="F364" s="301"/>
      <c r="G364" s="301"/>
      <c r="H364" s="301"/>
      <c r="I364" s="301"/>
      <c r="J364" s="301"/>
      <c r="K364" s="301"/>
      <c r="L364" s="301"/>
      <c r="M364" s="301"/>
      <c r="N364" s="301"/>
      <c r="O364" s="301"/>
      <c r="P364" s="301"/>
      <c r="Q364" s="301"/>
      <c r="R364" s="301"/>
      <c r="S364" s="301"/>
      <c r="T364" s="301"/>
      <c r="U364" s="301"/>
      <c r="V364" s="301"/>
      <c r="W364" s="301"/>
      <c r="X364" s="301"/>
      <c r="Y364" s="301"/>
      <c r="Z364" s="301"/>
    </row>
    <row r="365" spans="1:26" ht="11.25" customHeight="1">
      <c r="A365" s="301"/>
      <c r="B365" s="301"/>
      <c r="C365" s="301"/>
      <c r="D365" s="301"/>
      <c r="E365" s="301"/>
      <c r="F365" s="301"/>
      <c r="G365" s="301"/>
      <c r="H365" s="301"/>
      <c r="I365" s="301"/>
      <c r="J365" s="301"/>
      <c r="K365" s="301"/>
      <c r="L365" s="301"/>
      <c r="M365" s="301"/>
      <c r="N365" s="301"/>
      <c r="O365" s="301"/>
      <c r="P365" s="301"/>
      <c r="Q365" s="301"/>
      <c r="R365" s="301"/>
      <c r="S365" s="301"/>
      <c r="T365" s="301"/>
      <c r="U365" s="301"/>
      <c r="V365" s="301"/>
      <c r="W365" s="301"/>
      <c r="X365" s="301"/>
      <c r="Y365" s="301"/>
      <c r="Z365" s="301"/>
    </row>
    <row r="366" spans="1:26" ht="11.25" customHeight="1">
      <c r="A366" s="301"/>
      <c r="B366" s="301"/>
      <c r="C366" s="301"/>
      <c r="D366" s="301"/>
      <c r="E366" s="301"/>
      <c r="F366" s="301"/>
      <c r="G366" s="301"/>
      <c r="H366" s="301"/>
      <c r="I366" s="301"/>
      <c r="J366" s="301"/>
      <c r="K366" s="301"/>
      <c r="L366" s="301"/>
      <c r="M366" s="301"/>
      <c r="N366" s="301"/>
      <c r="O366" s="301"/>
      <c r="P366" s="301"/>
      <c r="Q366" s="301"/>
      <c r="R366" s="301"/>
      <c r="S366" s="301"/>
      <c r="T366" s="301"/>
      <c r="U366" s="301"/>
      <c r="V366" s="301"/>
      <c r="W366" s="301"/>
      <c r="X366" s="301"/>
      <c r="Y366" s="301"/>
      <c r="Z366" s="301"/>
    </row>
    <row r="367" spans="1:26" ht="11.25" customHeight="1">
      <c r="A367" s="301"/>
      <c r="B367" s="301"/>
      <c r="C367" s="301"/>
      <c r="D367" s="301"/>
      <c r="E367" s="301"/>
      <c r="F367" s="301"/>
      <c r="G367" s="301"/>
      <c r="H367" s="301"/>
      <c r="I367" s="301"/>
      <c r="J367" s="301"/>
      <c r="K367" s="301"/>
      <c r="L367" s="301"/>
      <c r="M367" s="301"/>
      <c r="N367" s="301"/>
      <c r="O367" s="301"/>
      <c r="P367" s="301"/>
      <c r="Q367" s="301"/>
      <c r="R367" s="301"/>
      <c r="S367" s="301"/>
      <c r="T367" s="301"/>
      <c r="U367" s="301"/>
      <c r="V367" s="301"/>
      <c r="W367" s="301"/>
      <c r="X367" s="301"/>
      <c r="Y367" s="301"/>
      <c r="Z367" s="301"/>
    </row>
    <row r="368" spans="1:26" ht="11.25" customHeight="1">
      <c r="A368" s="301"/>
      <c r="B368" s="301"/>
      <c r="C368" s="301"/>
      <c r="D368" s="301"/>
      <c r="E368" s="301"/>
      <c r="F368" s="301"/>
      <c r="G368" s="301"/>
      <c r="H368" s="301"/>
      <c r="I368" s="301"/>
      <c r="J368" s="301"/>
      <c r="K368" s="301"/>
      <c r="L368" s="301"/>
      <c r="M368" s="301"/>
      <c r="N368" s="301"/>
      <c r="O368" s="301"/>
      <c r="P368" s="301"/>
      <c r="Q368" s="301"/>
      <c r="R368" s="301"/>
      <c r="S368" s="301"/>
      <c r="T368" s="301"/>
      <c r="U368" s="301"/>
      <c r="V368" s="301"/>
      <c r="W368" s="301"/>
      <c r="X368" s="301"/>
      <c r="Y368" s="301"/>
      <c r="Z368" s="301"/>
    </row>
    <row r="369" spans="1:26" ht="11.25" customHeight="1">
      <c r="A369" s="301"/>
      <c r="B369" s="301"/>
      <c r="C369" s="301"/>
      <c r="D369" s="301"/>
      <c r="E369" s="301"/>
      <c r="F369" s="301"/>
      <c r="G369" s="301"/>
      <c r="H369" s="301"/>
      <c r="I369" s="301"/>
      <c r="J369" s="301"/>
      <c r="K369" s="301"/>
      <c r="L369" s="301"/>
      <c r="M369" s="301"/>
      <c r="N369" s="301"/>
      <c r="O369" s="301"/>
      <c r="P369" s="301"/>
      <c r="Q369" s="301"/>
      <c r="R369" s="301"/>
      <c r="S369" s="301"/>
      <c r="T369" s="301"/>
      <c r="U369" s="301"/>
      <c r="V369" s="301"/>
      <c r="W369" s="301"/>
      <c r="X369" s="301"/>
      <c r="Y369" s="301"/>
      <c r="Z369" s="301"/>
    </row>
    <row r="370" spans="1:26" ht="11.25" customHeight="1">
      <c r="A370" s="301"/>
      <c r="B370" s="301"/>
      <c r="C370" s="301"/>
      <c r="D370" s="301"/>
      <c r="E370" s="301"/>
      <c r="F370" s="301"/>
      <c r="G370" s="301"/>
      <c r="H370" s="301"/>
      <c r="I370" s="301"/>
      <c r="J370" s="301"/>
      <c r="K370" s="301"/>
      <c r="L370" s="301"/>
      <c r="M370" s="301"/>
      <c r="N370" s="301"/>
      <c r="O370" s="301"/>
      <c r="P370" s="301"/>
      <c r="Q370" s="301"/>
      <c r="R370" s="301"/>
      <c r="S370" s="301"/>
      <c r="T370" s="301"/>
      <c r="U370" s="301"/>
      <c r="V370" s="301"/>
      <c r="W370" s="301"/>
      <c r="X370" s="301"/>
      <c r="Y370" s="301"/>
      <c r="Z370" s="301"/>
    </row>
    <row r="371" spans="1:26" ht="11.25" customHeight="1">
      <c r="A371" s="301"/>
      <c r="B371" s="301"/>
      <c r="C371" s="301"/>
      <c r="D371" s="301"/>
      <c r="E371" s="301"/>
      <c r="F371" s="301"/>
      <c r="G371" s="301"/>
      <c r="H371" s="301"/>
      <c r="I371" s="301"/>
      <c r="J371" s="301"/>
      <c r="K371" s="301"/>
      <c r="L371" s="301"/>
      <c r="M371" s="301"/>
      <c r="N371" s="301"/>
      <c r="O371" s="301"/>
      <c r="P371" s="301"/>
      <c r="Q371" s="301"/>
      <c r="R371" s="301"/>
      <c r="S371" s="301"/>
      <c r="T371" s="301"/>
      <c r="U371" s="301"/>
      <c r="V371" s="301"/>
      <c r="W371" s="301"/>
      <c r="X371" s="301"/>
      <c r="Y371" s="301"/>
      <c r="Z371" s="301"/>
    </row>
    <row r="372" spans="1:26" ht="11.25" customHeight="1">
      <c r="A372" s="301"/>
      <c r="B372" s="301"/>
      <c r="C372" s="301"/>
      <c r="D372" s="301"/>
      <c r="E372" s="301"/>
      <c r="F372" s="301"/>
      <c r="G372" s="301"/>
      <c r="H372" s="301"/>
      <c r="I372" s="301"/>
      <c r="J372" s="301"/>
      <c r="K372" s="301"/>
      <c r="L372" s="301"/>
      <c r="M372" s="301"/>
      <c r="N372" s="301"/>
      <c r="O372" s="301"/>
      <c r="P372" s="301"/>
      <c r="Q372" s="301"/>
      <c r="R372" s="301"/>
      <c r="S372" s="301"/>
      <c r="T372" s="301"/>
      <c r="U372" s="301"/>
      <c r="V372" s="301"/>
      <c r="W372" s="301"/>
      <c r="X372" s="301"/>
      <c r="Y372" s="301"/>
      <c r="Z372" s="301"/>
    </row>
    <row r="373" spans="1:26" ht="11.25" customHeight="1">
      <c r="A373" s="301"/>
      <c r="B373" s="301"/>
      <c r="C373" s="301"/>
      <c r="D373" s="301"/>
      <c r="E373" s="301"/>
      <c r="F373" s="301"/>
      <c r="G373" s="301"/>
      <c r="H373" s="301"/>
      <c r="I373" s="301"/>
      <c r="J373" s="301"/>
      <c r="K373" s="301"/>
      <c r="L373" s="301"/>
      <c r="M373" s="301"/>
      <c r="N373" s="301"/>
      <c r="O373" s="301"/>
      <c r="P373" s="301"/>
      <c r="Q373" s="301"/>
      <c r="R373" s="301"/>
      <c r="S373" s="301"/>
      <c r="T373" s="301"/>
      <c r="U373" s="301"/>
      <c r="V373" s="301"/>
      <c r="W373" s="301"/>
      <c r="X373" s="301"/>
      <c r="Y373" s="301"/>
      <c r="Z373" s="301"/>
    </row>
    <row r="374" spans="1:26" ht="11.25" customHeight="1">
      <c r="A374" s="301"/>
      <c r="B374" s="301"/>
      <c r="C374" s="301"/>
      <c r="D374" s="301"/>
      <c r="E374" s="301"/>
      <c r="F374" s="301"/>
      <c r="G374" s="301"/>
      <c r="H374" s="301"/>
      <c r="I374" s="301"/>
      <c r="J374" s="301"/>
      <c r="K374" s="301"/>
      <c r="L374" s="301"/>
      <c r="M374" s="301"/>
      <c r="N374" s="301"/>
      <c r="O374" s="301"/>
      <c r="P374" s="301"/>
      <c r="Q374" s="301"/>
      <c r="R374" s="301"/>
      <c r="S374" s="301"/>
      <c r="T374" s="301"/>
      <c r="U374" s="301"/>
      <c r="V374" s="301"/>
      <c r="W374" s="301"/>
      <c r="X374" s="301"/>
      <c r="Y374" s="301"/>
      <c r="Z374" s="301"/>
    </row>
    <row r="375" spans="1:26" ht="11.25" customHeight="1">
      <c r="A375" s="301"/>
      <c r="B375" s="301"/>
      <c r="C375" s="301"/>
      <c r="D375" s="301"/>
      <c r="E375" s="301"/>
      <c r="F375" s="301"/>
      <c r="G375" s="301"/>
      <c r="H375" s="301"/>
      <c r="I375" s="301"/>
      <c r="J375" s="301"/>
      <c r="K375" s="301"/>
      <c r="L375" s="301"/>
      <c r="M375" s="301"/>
      <c r="N375" s="301"/>
      <c r="O375" s="301"/>
      <c r="P375" s="301"/>
      <c r="Q375" s="301"/>
      <c r="R375" s="301"/>
      <c r="S375" s="301"/>
      <c r="T375" s="301"/>
      <c r="U375" s="301"/>
      <c r="V375" s="301"/>
      <c r="W375" s="301"/>
      <c r="X375" s="301"/>
      <c r="Y375" s="301"/>
      <c r="Z375" s="301"/>
    </row>
    <row r="376" spans="1:26" ht="11.25" customHeight="1">
      <c r="A376" s="301"/>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row>
    <row r="377" spans="1:26" ht="11.25" customHeight="1">
      <c r="A377" s="301"/>
      <c r="B377" s="301"/>
      <c r="C377" s="301"/>
      <c r="D377" s="301"/>
      <c r="E377" s="301"/>
      <c r="F377" s="301"/>
      <c r="G377" s="301"/>
      <c r="H377" s="301"/>
      <c r="I377" s="301"/>
      <c r="J377" s="301"/>
      <c r="K377" s="301"/>
      <c r="L377" s="301"/>
      <c r="M377" s="301"/>
      <c r="N377" s="301"/>
      <c r="O377" s="301"/>
      <c r="P377" s="301"/>
      <c r="Q377" s="301"/>
      <c r="R377" s="301"/>
      <c r="S377" s="301"/>
      <c r="T377" s="301"/>
      <c r="U377" s="301"/>
      <c r="V377" s="301"/>
      <c r="W377" s="301"/>
      <c r="X377" s="301"/>
      <c r="Y377" s="301"/>
      <c r="Z377" s="301"/>
    </row>
    <row r="378" spans="1:26" ht="11.25" customHeight="1">
      <c r="A378" s="301"/>
      <c r="B378" s="301"/>
      <c r="C378" s="301"/>
      <c r="D378" s="301"/>
      <c r="E378" s="301"/>
      <c r="F378" s="301"/>
      <c r="G378" s="301"/>
      <c r="H378" s="301"/>
      <c r="I378" s="301"/>
      <c r="J378" s="301"/>
      <c r="K378" s="301"/>
      <c r="L378" s="301"/>
      <c r="M378" s="301"/>
      <c r="N378" s="301"/>
      <c r="O378" s="301"/>
      <c r="P378" s="301"/>
      <c r="Q378" s="301"/>
      <c r="R378" s="301"/>
      <c r="S378" s="301"/>
      <c r="T378" s="301"/>
      <c r="U378" s="301"/>
      <c r="V378" s="301"/>
      <c r="W378" s="301"/>
      <c r="X378" s="301"/>
      <c r="Y378" s="301"/>
      <c r="Z378" s="301"/>
    </row>
    <row r="379" spans="1:26" ht="11.25" customHeight="1">
      <c r="A379" s="301"/>
      <c r="B379" s="301"/>
      <c r="C379" s="301"/>
      <c r="D379" s="301"/>
      <c r="E379" s="301"/>
      <c r="F379" s="301"/>
      <c r="G379" s="301"/>
      <c r="H379" s="301"/>
      <c r="I379" s="301"/>
      <c r="J379" s="301"/>
      <c r="K379" s="301"/>
      <c r="L379" s="301"/>
      <c r="M379" s="301"/>
      <c r="N379" s="301"/>
      <c r="O379" s="301"/>
      <c r="P379" s="301"/>
      <c r="Q379" s="301"/>
      <c r="R379" s="301"/>
      <c r="S379" s="301"/>
      <c r="T379" s="301"/>
      <c r="U379" s="301"/>
      <c r="V379" s="301"/>
      <c r="W379" s="301"/>
      <c r="X379" s="301"/>
      <c r="Y379" s="301"/>
      <c r="Z379" s="301"/>
    </row>
    <row r="380" spans="1:26" ht="11.25" customHeight="1">
      <c r="A380" s="301"/>
      <c r="B380" s="301"/>
      <c r="C380" s="301"/>
      <c r="D380" s="301"/>
      <c r="E380" s="301"/>
      <c r="F380" s="301"/>
      <c r="G380" s="301"/>
      <c r="H380" s="301"/>
      <c r="I380" s="301"/>
      <c r="J380" s="301"/>
      <c r="K380" s="301"/>
      <c r="L380" s="301"/>
      <c r="M380" s="301"/>
      <c r="N380" s="301"/>
      <c r="O380" s="301"/>
      <c r="P380" s="301"/>
      <c r="Q380" s="301"/>
      <c r="R380" s="301"/>
      <c r="S380" s="301"/>
      <c r="T380" s="301"/>
      <c r="U380" s="301"/>
      <c r="V380" s="301"/>
      <c r="W380" s="301"/>
      <c r="X380" s="301"/>
      <c r="Y380" s="301"/>
      <c r="Z380" s="301"/>
    </row>
    <row r="381" spans="1:26" ht="11.25" customHeight="1">
      <c r="A381" s="301"/>
      <c r="B381" s="301"/>
      <c r="C381" s="301"/>
      <c r="D381" s="301"/>
      <c r="E381" s="301"/>
      <c r="F381" s="301"/>
      <c r="G381" s="301"/>
      <c r="H381" s="301"/>
      <c r="I381" s="301"/>
      <c r="J381" s="301"/>
      <c r="K381" s="301"/>
      <c r="L381" s="301"/>
      <c r="M381" s="301"/>
      <c r="N381" s="301"/>
      <c r="O381" s="301"/>
      <c r="P381" s="301"/>
      <c r="Q381" s="301"/>
      <c r="R381" s="301"/>
      <c r="S381" s="301"/>
      <c r="T381" s="301"/>
      <c r="U381" s="301"/>
      <c r="V381" s="301"/>
      <c r="W381" s="301"/>
      <c r="X381" s="301"/>
      <c r="Y381" s="301"/>
      <c r="Z381" s="301"/>
    </row>
    <row r="382" spans="1:26" ht="11.25" customHeight="1">
      <c r="A382" s="301"/>
      <c r="B382" s="301"/>
      <c r="C382" s="301"/>
      <c r="D382" s="301"/>
      <c r="E382" s="301"/>
      <c r="F382" s="301"/>
      <c r="G382" s="301"/>
      <c r="H382" s="301"/>
      <c r="I382" s="301"/>
      <c r="J382" s="301"/>
      <c r="K382" s="301"/>
      <c r="L382" s="301"/>
      <c r="M382" s="301"/>
      <c r="N382" s="301"/>
      <c r="O382" s="301"/>
      <c r="P382" s="301"/>
      <c r="Q382" s="301"/>
      <c r="R382" s="301"/>
      <c r="S382" s="301"/>
      <c r="T382" s="301"/>
      <c r="U382" s="301"/>
      <c r="V382" s="301"/>
      <c r="W382" s="301"/>
      <c r="X382" s="301"/>
      <c r="Y382" s="301"/>
      <c r="Z382" s="301"/>
    </row>
    <row r="383" spans="1:26" ht="11.25" customHeight="1">
      <c r="A383" s="301"/>
      <c r="B383" s="301"/>
      <c r="C383" s="301"/>
      <c r="D383" s="301"/>
      <c r="E383" s="301"/>
      <c r="F383" s="301"/>
      <c r="G383" s="301"/>
      <c r="H383" s="301"/>
      <c r="I383" s="301"/>
      <c r="J383" s="301"/>
      <c r="K383" s="301"/>
      <c r="L383" s="301"/>
      <c r="M383" s="301"/>
      <c r="N383" s="301"/>
      <c r="O383" s="301"/>
      <c r="P383" s="301"/>
      <c r="Q383" s="301"/>
      <c r="R383" s="301"/>
      <c r="S383" s="301"/>
      <c r="T383" s="301"/>
      <c r="U383" s="301"/>
      <c r="V383" s="301"/>
      <c r="W383" s="301"/>
      <c r="X383" s="301"/>
      <c r="Y383" s="301"/>
      <c r="Z383" s="301"/>
    </row>
    <row r="384" spans="1:26" ht="11.25" customHeight="1">
      <c r="A384" s="301"/>
      <c r="B384" s="301"/>
      <c r="C384" s="301"/>
      <c r="D384" s="301"/>
      <c r="E384" s="301"/>
      <c r="F384" s="301"/>
      <c r="G384" s="301"/>
      <c r="H384" s="301"/>
      <c r="I384" s="301"/>
      <c r="J384" s="301"/>
      <c r="K384" s="301"/>
      <c r="L384" s="301"/>
      <c r="M384" s="301"/>
      <c r="N384" s="301"/>
      <c r="O384" s="301"/>
      <c r="P384" s="301"/>
      <c r="Q384" s="301"/>
      <c r="R384" s="301"/>
      <c r="S384" s="301"/>
      <c r="T384" s="301"/>
      <c r="U384" s="301"/>
      <c r="V384" s="301"/>
      <c r="W384" s="301"/>
      <c r="X384" s="301"/>
      <c r="Y384" s="301"/>
      <c r="Z384" s="301"/>
    </row>
    <row r="385" spans="1:26" ht="11.25" customHeight="1">
      <c r="A385" s="301"/>
      <c r="B385" s="301"/>
      <c r="C385" s="301"/>
      <c r="D385" s="301"/>
      <c r="E385" s="301"/>
      <c r="F385" s="301"/>
      <c r="G385" s="301"/>
      <c r="H385" s="301"/>
      <c r="I385" s="301"/>
      <c r="J385" s="301"/>
      <c r="K385" s="301"/>
      <c r="L385" s="301"/>
      <c r="M385" s="301"/>
      <c r="N385" s="301"/>
      <c r="O385" s="301"/>
      <c r="P385" s="301"/>
      <c r="Q385" s="301"/>
      <c r="R385" s="301"/>
      <c r="S385" s="301"/>
      <c r="T385" s="301"/>
      <c r="U385" s="301"/>
      <c r="V385" s="301"/>
      <c r="W385" s="301"/>
      <c r="X385" s="301"/>
      <c r="Y385" s="301"/>
      <c r="Z385" s="301"/>
    </row>
    <row r="386" spans="1:26" ht="11.25" customHeight="1">
      <c r="A386" s="301"/>
      <c r="B386" s="301"/>
      <c r="C386" s="301"/>
      <c r="D386" s="301"/>
      <c r="E386" s="301"/>
      <c r="F386" s="301"/>
      <c r="G386" s="301"/>
      <c r="H386" s="301"/>
      <c r="I386" s="301"/>
      <c r="J386" s="301"/>
      <c r="K386" s="301"/>
      <c r="L386" s="301"/>
      <c r="M386" s="301"/>
      <c r="N386" s="301"/>
      <c r="O386" s="301"/>
      <c r="P386" s="301"/>
      <c r="Q386" s="301"/>
      <c r="R386" s="301"/>
      <c r="S386" s="301"/>
      <c r="T386" s="301"/>
      <c r="U386" s="301"/>
      <c r="V386" s="301"/>
      <c r="W386" s="301"/>
      <c r="X386" s="301"/>
      <c r="Y386" s="301"/>
      <c r="Z386" s="301"/>
    </row>
    <row r="387" spans="1:26" ht="11.25" customHeight="1">
      <c r="A387" s="301"/>
      <c r="B387" s="301"/>
      <c r="C387" s="301"/>
      <c r="D387" s="301"/>
      <c r="E387" s="301"/>
      <c r="F387" s="301"/>
      <c r="G387" s="301"/>
      <c r="H387" s="301"/>
      <c r="I387" s="301"/>
      <c r="J387" s="301"/>
      <c r="K387" s="301"/>
      <c r="L387" s="301"/>
      <c r="M387" s="301"/>
      <c r="N387" s="301"/>
      <c r="O387" s="301"/>
      <c r="P387" s="301"/>
      <c r="Q387" s="301"/>
      <c r="R387" s="301"/>
      <c r="S387" s="301"/>
      <c r="T387" s="301"/>
      <c r="U387" s="301"/>
      <c r="V387" s="301"/>
      <c r="W387" s="301"/>
      <c r="X387" s="301"/>
      <c r="Y387" s="301"/>
      <c r="Z387" s="301"/>
    </row>
    <row r="388" spans="1:26" ht="11.25" customHeight="1">
      <c r="A388" s="301"/>
      <c r="B388" s="301"/>
      <c r="C388" s="301"/>
      <c r="D388" s="301"/>
      <c r="E388" s="301"/>
      <c r="F388" s="301"/>
      <c r="G388" s="301"/>
      <c r="H388" s="301"/>
      <c r="I388" s="301"/>
      <c r="J388" s="301"/>
      <c r="K388" s="301"/>
      <c r="L388" s="301"/>
      <c r="M388" s="301"/>
      <c r="N388" s="301"/>
      <c r="O388" s="301"/>
      <c r="P388" s="301"/>
      <c r="Q388" s="301"/>
      <c r="R388" s="301"/>
      <c r="S388" s="301"/>
      <c r="T388" s="301"/>
      <c r="U388" s="301"/>
      <c r="V388" s="301"/>
      <c r="W388" s="301"/>
      <c r="X388" s="301"/>
      <c r="Y388" s="301"/>
      <c r="Z388" s="301"/>
    </row>
    <row r="389" spans="1:26" ht="11.25" customHeight="1">
      <c r="A389" s="301"/>
      <c r="B389" s="301"/>
      <c r="C389" s="301"/>
      <c r="D389" s="301"/>
      <c r="E389" s="301"/>
      <c r="F389" s="301"/>
      <c r="G389" s="301"/>
      <c r="H389" s="301"/>
      <c r="I389" s="301"/>
      <c r="J389" s="301"/>
      <c r="K389" s="301"/>
      <c r="L389" s="301"/>
      <c r="M389" s="301"/>
      <c r="N389" s="301"/>
      <c r="O389" s="301"/>
      <c r="P389" s="301"/>
      <c r="Q389" s="301"/>
      <c r="R389" s="301"/>
      <c r="S389" s="301"/>
      <c r="T389" s="301"/>
      <c r="U389" s="301"/>
      <c r="V389" s="301"/>
      <c r="W389" s="301"/>
      <c r="X389" s="301"/>
      <c r="Y389" s="301"/>
      <c r="Z389" s="301"/>
    </row>
    <row r="390" spans="1:26" ht="11.25" customHeight="1">
      <c r="A390" s="301"/>
      <c r="B390" s="301"/>
      <c r="C390" s="301"/>
      <c r="D390" s="301"/>
      <c r="E390" s="301"/>
      <c r="F390" s="301"/>
      <c r="G390" s="301"/>
      <c r="H390" s="301"/>
      <c r="I390" s="301"/>
      <c r="J390" s="301"/>
      <c r="K390" s="301"/>
      <c r="L390" s="301"/>
      <c r="M390" s="301"/>
      <c r="N390" s="301"/>
      <c r="O390" s="301"/>
      <c r="P390" s="301"/>
      <c r="Q390" s="301"/>
      <c r="R390" s="301"/>
      <c r="S390" s="301"/>
      <c r="T390" s="301"/>
      <c r="U390" s="301"/>
      <c r="V390" s="301"/>
      <c r="W390" s="301"/>
      <c r="X390" s="301"/>
      <c r="Y390" s="301"/>
      <c r="Z390" s="301"/>
    </row>
    <row r="391" spans="1:26" ht="11.25" customHeight="1">
      <c r="A391" s="301"/>
      <c r="B391" s="301"/>
      <c r="C391" s="301"/>
      <c r="D391" s="301"/>
      <c r="E391" s="301"/>
      <c r="F391" s="301"/>
      <c r="G391" s="301"/>
      <c r="H391" s="301"/>
      <c r="I391" s="301"/>
      <c r="J391" s="301"/>
      <c r="K391" s="301"/>
      <c r="L391" s="301"/>
      <c r="M391" s="301"/>
      <c r="N391" s="301"/>
      <c r="O391" s="301"/>
      <c r="P391" s="301"/>
      <c r="Q391" s="301"/>
      <c r="R391" s="301"/>
      <c r="S391" s="301"/>
      <c r="T391" s="301"/>
      <c r="U391" s="301"/>
      <c r="V391" s="301"/>
      <c r="W391" s="301"/>
      <c r="X391" s="301"/>
      <c r="Y391" s="301"/>
      <c r="Z391" s="301"/>
    </row>
    <row r="392" spans="1:26" ht="11.25" customHeight="1">
      <c r="A392" s="301"/>
      <c r="B392" s="301"/>
      <c r="C392" s="301"/>
      <c r="D392" s="301"/>
      <c r="E392" s="301"/>
      <c r="F392" s="301"/>
      <c r="G392" s="301"/>
      <c r="H392" s="301"/>
      <c r="I392" s="301"/>
      <c r="J392" s="301"/>
      <c r="K392" s="301"/>
      <c r="L392" s="301"/>
      <c r="M392" s="301"/>
      <c r="N392" s="301"/>
      <c r="O392" s="301"/>
      <c r="P392" s="301"/>
      <c r="Q392" s="301"/>
      <c r="R392" s="301"/>
      <c r="S392" s="301"/>
      <c r="T392" s="301"/>
      <c r="U392" s="301"/>
      <c r="V392" s="301"/>
      <c r="W392" s="301"/>
      <c r="X392" s="301"/>
      <c r="Y392" s="301"/>
      <c r="Z392" s="301"/>
    </row>
    <row r="393" spans="1:26" ht="11.25" customHeight="1">
      <c r="A393" s="301"/>
      <c r="B393" s="301"/>
      <c r="C393" s="301"/>
      <c r="D393" s="301"/>
      <c r="E393" s="301"/>
      <c r="F393" s="301"/>
      <c r="G393" s="301"/>
      <c r="H393" s="301"/>
      <c r="I393" s="301"/>
      <c r="J393" s="301"/>
      <c r="K393" s="301"/>
      <c r="L393" s="301"/>
      <c r="M393" s="301"/>
      <c r="N393" s="301"/>
      <c r="O393" s="301"/>
      <c r="P393" s="301"/>
      <c r="Q393" s="301"/>
      <c r="R393" s="301"/>
      <c r="S393" s="301"/>
      <c r="T393" s="301"/>
      <c r="U393" s="301"/>
      <c r="V393" s="301"/>
      <c r="W393" s="301"/>
      <c r="X393" s="301"/>
      <c r="Y393" s="301"/>
      <c r="Z393" s="301"/>
    </row>
    <row r="394" spans="1:26" ht="11.25" customHeight="1">
      <c r="A394" s="301"/>
      <c r="B394" s="301"/>
      <c r="C394" s="301"/>
      <c r="D394" s="301"/>
      <c r="E394" s="301"/>
      <c r="F394" s="301"/>
      <c r="G394" s="301"/>
      <c r="H394" s="301"/>
      <c r="I394" s="301"/>
      <c r="J394" s="301"/>
      <c r="K394" s="301"/>
      <c r="L394" s="301"/>
      <c r="M394" s="301"/>
      <c r="N394" s="301"/>
      <c r="O394" s="301"/>
      <c r="P394" s="301"/>
      <c r="Q394" s="301"/>
      <c r="R394" s="301"/>
      <c r="S394" s="301"/>
      <c r="T394" s="301"/>
      <c r="U394" s="301"/>
      <c r="V394" s="301"/>
      <c r="W394" s="301"/>
      <c r="X394" s="301"/>
      <c r="Y394" s="301"/>
      <c r="Z394" s="301"/>
    </row>
    <row r="395" spans="1:26" ht="11.25" customHeight="1">
      <c r="A395" s="301"/>
      <c r="B395" s="301"/>
      <c r="C395" s="301"/>
      <c r="D395" s="301"/>
      <c r="E395" s="301"/>
      <c r="F395" s="301"/>
      <c r="G395" s="301"/>
      <c r="H395" s="301"/>
      <c r="I395" s="301"/>
      <c r="J395" s="301"/>
      <c r="K395" s="301"/>
      <c r="L395" s="301"/>
      <c r="M395" s="301"/>
      <c r="N395" s="301"/>
      <c r="O395" s="301"/>
      <c r="P395" s="301"/>
      <c r="Q395" s="301"/>
      <c r="R395" s="301"/>
      <c r="S395" s="301"/>
      <c r="T395" s="301"/>
      <c r="U395" s="301"/>
      <c r="V395" s="301"/>
      <c r="W395" s="301"/>
      <c r="X395" s="301"/>
      <c r="Y395" s="301"/>
      <c r="Z395" s="301"/>
    </row>
    <row r="396" spans="1:26" ht="11.25" customHeight="1">
      <c r="A396" s="301"/>
      <c r="B396" s="301"/>
      <c r="C396" s="301"/>
      <c r="D396" s="301"/>
      <c r="E396" s="301"/>
      <c r="F396" s="301"/>
      <c r="G396" s="301"/>
      <c r="H396" s="301"/>
      <c r="I396" s="301"/>
      <c r="J396" s="301"/>
      <c r="K396" s="301"/>
      <c r="L396" s="301"/>
      <c r="M396" s="301"/>
      <c r="N396" s="301"/>
      <c r="O396" s="301"/>
      <c r="P396" s="301"/>
      <c r="Q396" s="301"/>
      <c r="R396" s="301"/>
      <c r="S396" s="301"/>
      <c r="T396" s="301"/>
      <c r="U396" s="301"/>
      <c r="V396" s="301"/>
      <c r="W396" s="301"/>
      <c r="X396" s="301"/>
      <c r="Y396" s="301"/>
      <c r="Z396" s="301"/>
    </row>
    <row r="397" spans="1:26" ht="11.25" customHeight="1">
      <c r="A397" s="301"/>
      <c r="B397" s="301"/>
      <c r="C397" s="301"/>
      <c r="D397" s="301"/>
      <c r="E397" s="301"/>
      <c r="F397" s="301"/>
      <c r="G397" s="301"/>
      <c r="H397" s="301"/>
      <c r="I397" s="301"/>
      <c r="J397" s="301"/>
      <c r="K397" s="301"/>
      <c r="L397" s="301"/>
      <c r="M397" s="301"/>
      <c r="N397" s="301"/>
      <c r="O397" s="301"/>
      <c r="P397" s="301"/>
      <c r="Q397" s="301"/>
      <c r="R397" s="301"/>
      <c r="S397" s="301"/>
      <c r="T397" s="301"/>
      <c r="U397" s="301"/>
      <c r="V397" s="301"/>
      <c r="W397" s="301"/>
      <c r="X397" s="301"/>
      <c r="Y397" s="301"/>
      <c r="Z397" s="301"/>
    </row>
    <row r="398" spans="1:26" ht="11.25" customHeight="1">
      <c r="A398" s="301"/>
      <c r="B398" s="301"/>
      <c r="C398" s="301"/>
      <c r="D398" s="301"/>
      <c r="E398" s="301"/>
      <c r="F398" s="301"/>
      <c r="G398" s="301"/>
      <c r="H398" s="301"/>
      <c r="I398" s="301"/>
      <c r="J398" s="301"/>
      <c r="K398" s="301"/>
      <c r="L398" s="301"/>
      <c r="M398" s="301"/>
      <c r="N398" s="301"/>
      <c r="O398" s="301"/>
      <c r="P398" s="301"/>
      <c r="Q398" s="301"/>
      <c r="R398" s="301"/>
      <c r="S398" s="301"/>
      <c r="T398" s="301"/>
      <c r="U398" s="301"/>
      <c r="V398" s="301"/>
      <c r="W398" s="301"/>
      <c r="X398" s="301"/>
      <c r="Y398" s="301"/>
      <c r="Z398" s="301"/>
    </row>
    <row r="399" spans="1:26" ht="11.25" customHeight="1">
      <c r="A399" s="301"/>
      <c r="B399" s="301"/>
      <c r="C399" s="301"/>
      <c r="D399" s="301"/>
      <c r="E399" s="301"/>
      <c r="F399" s="301"/>
      <c r="G399" s="301"/>
      <c r="H399" s="301"/>
      <c r="I399" s="301"/>
      <c r="J399" s="301"/>
      <c r="K399" s="301"/>
      <c r="L399" s="301"/>
      <c r="M399" s="301"/>
      <c r="N399" s="301"/>
      <c r="O399" s="301"/>
      <c r="P399" s="301"/>
      <c r="Q399" s="301"/>
      <c r="R399" s="301"/>
      <c r="S399" s="301"/>
      <c r="T399" s="301"/>
      <c r="U399" s="301"/>
      <c r="V399" s="301"/>
      <c r="W399" s="301"/>
      <c r="X399" s="301"/>
      <c r="Y399" s="301"/>
      <c r="Z399" s="301"/>
    </row>
    <row r="400" spans="1:26" ht="11.25" customHeight="1">
      <c r="A400" s="301"/>
      <c r="B400" s="301"/>
      <c r="C400" s="301"/>
      <c r="D400" s="301"/>
      <c r="E400" s="301"/>
      <c r="F400" s="301"/>
      <c r="G400" s="301"/>
      <c r="H400" s="301"/>
      <c r="I400" s="301"/>
      <c r="J400" s="301"/>
      <c r="K400" s="301"/>
      <c r="L400" s="301"/>
      <c r="M400" s="301"/>
      <c r="N400" s="301"/>
      <c r="O400" s="301"/>
      <c r="P400" s="301"/>
      <c r="Q400" s="301"/>
      <c r="R400" s="301"/>
      <c r="S400" s="301"/>
      <c r="T400" s="301"/>
      <c r="U400" s="301"/>
      <c r="V400" s="301"/>
      <c r="W400" s="301"/>
      <c r="X400" s="301"/>
      <c r="Y400" s="301"/>
      <c r="Z400" s="301"/>
    </row>
    <row r="401" spans="1:26" ht="11.25" customHeight="1">
      <c r="A401" s="301"/>
      <c r="B401" s="301"/>
      <c r="C401" s="301"/>
      <c r="D401" s="301"/>
      <c r="E401" s="301"/>
      <c r="F401" s="301"/>
      <c r="G401" s="301"/>
      <c r="H401" s="301"/>
      <c r="I401" s="301"/>
      <c r="J401" s="301"/>
      <c r="K401" s="301"/>
      <c r="L401" s="301"/>
      <c r="M401" s="301"/>
      <c r="N401" s="301"/>
      <c r="O401" s="301"/>
      <c r="P401" s="301"/>
      <c r="Q401" s="301"/>
      <c r="R401" s="301"/>
      <c r="S401" s="301"/>
      <c r="T401" s="301"/>
      <c r="U401" s="301"/>
      <c r="V401" s="301"/>
      <c r="W401" s="301"/>
      <c r="X401" s="301"/>
      <c r="Y401" s="301"/>
      <c r="Z401" s="301"/>
    </row>
    <row r="402" spans="1:26" ht="11.25" customHeight="1">
      <c r="A402" s="301"/>
      <c r="B402" s="301"/>
      <c r="C402" s="301"/>
      <c r="D402" s="301"/>
      <c r="E402" s="301"/>
      <c r="F402" s="301"/>
      <c r="G402" s="301"/>
      <c r="H402" s="301"/>
      <c r="I402" s="301"/>
      <c r="J402" s="301"/>
      <c r="K402" s="301"/>
      <c r="L402" s="301"/>
      <c r="M402" s="301"/>
      <c r="N402" s="301"/>
      <c r="O402" s="301"/>
      <c r="P402" s="301"/>
      <c r="Q402" s="301"/>
      <c r="R402" s="301"/>
      <c r="S402" s="301"/>
      <c r="T402" s="301"/>
      <c r="U402" s="301"/>
      <c r="V402" s="301"/>
      <c r="W402" s="301"/>
      <c r="X402" s="301"/>
      <c r="Y402" s="301"/>
      <c r="Z402" s="301"/>
    </row>
    <row r="403" spans="1:26" ht="11.25" customHeight="1">
      <c r="A403" s="301"/>
      <c r="B403" s="301"/>
      <c r="C403" s="301"/>
      <c r="D403" s="301"/>
      <c r="E403" s="301"/>
      <c r="F403" s="301"/>
      <c r="G403" s="301"/>
      <c r="H403" s="301"/>
      <c r="I403" s="301"/>
      <c r="J403" s="301"/>
      <c r="K403" s="301"/>
      <c r="L403" s="301"/>
      <c r="M403" s="301"/>
      <c r="N403" s="301"/>
      <c r="O403" s="301"/>
      <c r="P403" s="301"/>
      <c r="Q403" s="301"/>
      <c r="R403" s="301"/>
      <c r="S403" s="301"/>
      <c r="T403" s="301"/>
      <c r="U403" s="301"/>
      <c r="V403" s="301"/>
      <c r="W403" s="301"/>
      <c r="X403" s="301"/>
      <c r="Y403" s="301"/>
      <c r="Z403" s="301"/>
    </row>
    <row r="404" spans="1:26" ht="11.25" customHeight="1">
      <c r="A404" s="301"/>
      <c r="B404" s="301"/>
      <c r="C404" s="301"/>
      <c r="D404" s="301"/>
      <c r="E404" s="301"/>
      <c r="F404" s="301"/>
      <c r="G404" s="301"/>
      <c r="H404" s="301"/>
      <c r="I404" s="301"/>
      <c r="J404" s="301"/>
      <c r="K404" s="301"/>
      <c r="L404" s="301"/>
      <c r="M404" s="301"/>
      <c r="N404" s="301"/>
      <c r="O404" s="301"/>
      <c r="P404" s="301"/>
      <c r="Q404" s="301"/>
      <c r="R404" s="301"/>
      <c r="S404" s="301"/>
      <c r="T404" s="301"/>
      <c r="U404" s="301"/>
      <c r="V404" s="301"/>
      <c r="W404" s="301"/>
      <c r="X404" s="301"/>
      <c r="Y404" s="301"/>
      <c r="Z404" s="301"/>
    </row>
    <row r="405" spans="1:26" ht="11.25" customHeight="1">
      <c r="A405" s="301"/>
      <c r="B405" s="301"/>
      <c r="C405" s="301"/>
      <c r="D405" s="301"/>
      <c r="E405" s="301"/>
      <c r="F405" s="301"/>
      <c r="G405" s="301"/>
      <c r="H405" s="301"/>
      <c r="I405" s="301"/>
      <c r="J405" s="301"/>
      <c r="K405" s="301"/>
      <c r="L405" s="301"/>
      <c r="M405" s="301"/>
      <c r="N405" s="301"/>
      <c r="O405" s="301"/>
      <c r="P405" s="301"/>
      <c r="Q405" s="301"/>
      <c r="R405" s="301"/>
      <c r="S405" s="301"/>
      <c r="T405" s="301"/>
      <c r="U405" s="301"/>
      <c r="V405" s="301"/>
      <c r="W405" s="301"/>
      <c r="X405" s="301"/>
      <c r="Y405" s="301"/>
      <c r="Z405" s="301"/>
    </row>
    <row r="406" spans="1:26" ht="11.25" customHeight="1">
      <c r="A406" s="301"/>
      <c r="B406" s="301"/>
      <c r="C406" s="301"/>
      <c r="D406" s="301"/>
      <c r="E406" s="301"/>
      <c r="F406" s="301"/>
      <c r="G406" s="301"/>
      <c r="H406" s="301"/>
      <c r="I406" s="301"/>
      <c r="J406" s="301"/>
      <c r="K406" s="301"/>
      <c r="L406" s="301"/>
      <c r="M406" s="301"/>
      <c r="N406" s="301"/>
      <c r="O406" s="301"/>
      <c r="P406" s="301"/>
      <c r="Q406" s="301"/>
      <c r="R406" s="301"/>
      <c r="S406" s="301"/>
      <c r="T406" s="301"/>
      <c r="U406" s="301"/>
      <c r="V406" s="301"/>
      <c r="W406" s="301"/>
      <c r="X406" s="301"/>
      <c r="Y406" s="301"/>
      <c r="Z406" s="301"/>
    </row>
    <row r="407" spans="1:26" ht="11.25" customHeight="1">
      <c r="A407" s="301"/>
      <c r="B407" s="301"/>
      <c r="C407" s="301"/>
      <c r="D407" s="301"/>
      <c r="E407" s="301"/>
      <c r="F407" s="301"/>
      <c r="G407" s="301"/>
      <c r="H407" s="301"/>
      <c r="I407" s="301"/>
      <c r="J407" s="301"/>
      <c r="K407" s="301"/>
      <c r="L407" s="301"/>
      <c r="M407" s="301"/>
      <c r="N407" s="301"/>
      <c r="O407" s="301"/>
      <c r="P407" s="301"/>
      <c r="Q407" s="301"/>
      <c r="R407" s="301"/>
      <c r="S407" s="301"/>
      <c r="T407" s="301"/>
      <c r="U407" s="301"/>
      <c r="V407" s="301"/>
      <c r="W407" s="301"/>
      <c r="X407" s="301"/>
      <c r="Y407" s="301"/>
      <c r="Z407" s="301"/>
    </row>
    <row r="408" spans="1:26" ht="11.25" customHeight="1">
      <c r="A408" s="301"/>
      <c r="B408" s="301"/>
      <c r="C408" s="301"/>
      <c r="D408" s="301"/>
      <c r="E408" s="301"/>
      <c r="F408" s="301"/>
      <c r="G408" s="301"/>
      <c r="H408" s="301"/>
      <c r="I408" s="301"/>
      <c r="J408" s="301"/>
      <c r="K408" s="301"/>
      <c r="L408" s="301"/>
      <c r="M408" s="301"/>
      <c r="N408" s="301"/>
      <c r="O408" s="301"/>
      <c r="P408" s="301"/>
      <c r="Q408" s="301"/>
      <c r="R408" s="301"/>
      <c r="S408" s="301"/>
      <c r="T408" s="301"/>
      <c r="U408" s="301"/>
      <c r="V408" s="301"/>
      <c r="W408" s="301"/>
      <c r="X408" s="301"/>
      <c r="Y408" s="301"/>
      <c r="Z408" s="301"/>
    </row>
    <row r="409" spans="1:26" ht="11.25" customHeight="1">
      <c r="A409" s="301"/>
      <c r="B409" s="301"/>
      <c r="C409" s="301"/>
      <c r="D409" s="301"/>
      <c r="E409" s="301"/>
      <c r="F409" s="301"/>
      <c r="G409" s="301"/>
      <c r="H409" s="301"/>
      <c r="I409" s="301"/>
      <c r="J409" s="301"/>
      <c r="K409" s="301"/>
      <c r="L409" s="301"/>
      <c r="M409" s="301"/>
      <c r="N409" s="301"/>
      <c r="O409" s="301"/>
      <c r="P409" s="301"/>
      <c r="Q409" s="301"/>
      <c r="R409" s="301"/>
      <c r="S409" s="301"/>
      <c r="T409" s="301"/>
      <c r="U409" s="301"/>
      <c r="V409" s="301"/>
      <c r="W409" s="301"/>
      <c r="X409" s="301"/>
      <c r="Y409" s="301"/>
      <c r="Z409" s="301"/>
    </row>
    <row r="410" spans="1:26" ht="11.25" customHeight="1">
      <c r="A410" s="301"/>
      <c r="B410" s="301"/>
      <c r="C410" s="301"/>
      <c r="D410" s="301"/>
      <c r="E410" s="301"/>
      <c r="F410" s="301"/>
      <c r="G410" s="301"/>
      <c r="H410" s="301"/>
      <c r="I410" s="301"/>
      <c r="J410" s="301"/>
      <c r="K410" s="301"/>
      <c r="L410" s="301"/>
      <c r="M410" s="301"/>
      <c r="N410" s="301"/>
      <c r="O410" s="301"/>
      <c r="P410" s="301"/>
      <c r="Q410" s="301"/>
      <c r="R410" s="301"/>
      <c r="S410" s="301"/>
      <c r="T410" s="301"/>
      <c r="U410" s="301"/>
      <c r="V410" s="301"/>
      <c r="W410" s="301"/>
      <c r="X410" s="301"/>
      <c r="Y410" s="301"/>
      <c r="Z410" s="301"/>
    </row>
    <row r="411" spans="1:26" ht="11.25" customHeight="1">
      <c r="A411" s="301"/>
      <c r="B411" s="301"/>
      <c r="C411" s="301"/>
      <c r="D411" s="301"/>
      <c r="E411" s="301"/>
      <c r="F411" s="301"/>
      <c r="G411" s="301"/>
      <c r="H411" s="301"/>
      <c r="I411" s="301"/>
      <c r="J411" s="301"/>
      <c r="K411" s="301"/>
      <c r="L411" s="301"/>
      <c r="M411" s="301"/>
      <c r="N411" s="301"/>
      <c r="O411" s="301"/>
      <c r="P411" s="301"/>
      <c r="Q411" s="301"/>
      <c r="R411" s="301"/>
      <c r="S411" s="301"/>
      <c r="T411" s="301"/>
      <c r="U411" s="301"/>
      <c r="V411" s="301"/>
      <c r="W411" s="301"/>
      <c r="X411" s="301"/>
      <c r="Y411" s="301"/>
      <c r="Z411" s="301"/>
    </row>
    <row r="412" spans="1:26" ht="11.25" customHeight="1">
      <c r="A412" s="301"/>
      <c r="B412" s="301"/>
      <c r="C412" s="301"/>
      <c r="D412" s="301"/>
      <c r="E412" s="301"/>
      <c r="F412" s="301"/>
      <c r="G412" s="301"/>
      <c r="H412" s="301"/>
      <c r="I412" s="301"/>
      <c r="J412" s="301"/>
      <c r="K412" s="301"/>
      <c r="L412" s="301"/>
      <c r="M412" s="301"/>
      <c r="N412" s="301"/>
      <c r="O412" s="301"/>
      <c r="P412" s="301"/>
      <c r="Q412" s="301"/>
      <c r="R412" s="301"/>
      <c r="S412" s="301"/>
      <c r="T412" s="301"/>
      <c r="U412" s="301"/>
      <c r="V412" s="301"/>
      <c r="W412" s="301"/>
      <c r="X412" s="301"/>
      <c r="Y412" s="301"/>
      <c r="Z412" s="301"/>
    </row>
    <row r="413" spans="1:26" ht="11.25" customHeight="1">
      <c r="A413" s="301"/>
      <c r="B413" s="301"/>
      <c r="C413" s="301"/>
      <c r="D413" s="301"/>
      <c r="E413" s="301"/>
      <c r="F413" s="301"/>
      <c r="G413" s="301"/>
      <c r="H413" s="301"/>
      <c r="I413" s="301"/>
      <c r="J413" s="301"/>
      <c r="K413" s="301"/>
      <c r="L413" s="301"/>
      <c r="M413" s="301"/>
      <c r="N413" s="301"/>
      <c r="O413" s="301"/>
      <c r="P413" s="301"/>
      <c r="Q413" s="301"/>
      <c r="R413" s="301"/>
      <c r="S413" s="301"/>
      <c r="T413" s="301"/>
      <c r="U413" s="301"/>
      <c r="V413" s="301"/>
      <c r="W413" s="301"/>
      <c r="X413" s="301"/>
      <c r="Y413" s="301"/>
      <c r="Z413" s="301"/>
    </row>
    <row r="414" spans="1:26" ht="11.25" customHeight="1">
      <c r="A414" s="301"/>
      <c r="B414" s="301"/>
      <c r="C414" s="301"/>
      <c r="D414" s="301"/>
      <c r="E414" s="301"/>
      <c r="F414" s="301"/>
      <c r="G414" s="301"/>
      <c r="H414" s="301"/>
      <c r="I414" s="301"/>
      <c r="J414" s="301"/>
      <c r="K414" s="301"/>
      <c r="L414" s="301"/>
      <c r="M414" s="301"/>
      <c r="N414" s="301"/>
      <c r="O414" s="301"/>
      <c r="P414" s="301"/>
      <c r="Q414" s="301"/>
      <c r="R414" s="301"/>
      <c r="S414" s="301"/>
      <c r="T414" s="301"/>
      <c r="U414" s="301"/>
      <c r="V414" s="301"/>
      <c r="W414" s="301"/>
      <c r="X414" s="301"/>
      <c r="Y414" s="301"/>
      <c r="Z414" s="301"/>
    </row>
    <row r="415" spans="1:26" ht="11.25" customHeight="1">
      <c r="A415" s="301"/>
      <c r="B415" s="301"/>
      <c r="C415" s="301"/>
      <c r="D415" s="301"/>
      <c r="E415" s="301"/>
      <c r="F415" s="301"/>
      <c r="G415" s="301"/>
      <c r="H415" s="301"/>
      <c r="I415" s="301"/>
      <c r="J415" s="301"/>
      <c r="K415" s="301"/>
      <c r="L415" s="301"/>
      <c r="M415" s="301"/>
      <c r="N415" s="301"/>
      <c r="O415" s="301"/>
      <c r="P415" s="301"/>
      <c r="Q415" s="301"/>
      <c r="R415" s="301"/>
      <c r="S415" s="301"/>
      <c r="T415" s="301"/>
      <c r="U415" s="301"/>
      <c r="V415" s="301"/>
      <c r="W415" s="301"/>
      <c r="X415" s="301"/>
      <c r="Y415" s="301"/>
      <c r="Z415" s="301"/>
    </row>
    <row r="416" spans="1:26" ht="11.25" customHeight="1">
      <c r="A416" s="301"/>
      <c r="B416" s="301"/>
      <c r="C416" s="301"/>
      <c r="D416" s="301"/>
      <c r="E416" s="301"/>
      <c r="F416" s="301"/>
      <c r="G416" s="301"/>
      <c r="H416" s="301"/>
      <c r="I416" s="301"/>
      <c r="J416" s="301"/>
      <c r="K416" s="301"/>
      <c r="L416" s="301"/>
      <c r="M416" s="301"/>
      <c r="N416" s="301"/>
      <c r="O416" s="301"/>
      <c r="P416" s="301"/>
      <c r="Q416" s="301"/>
      <c r="R416" s="301"/>
      <c r="S416" s="301"/>
      <c r="T416" s="301"/>
      <c r="U416" s="301"/>
      <c r="V416" s="301"/>
      <c r="W416" s="301"/>
      <c r="X416" s="301"/>
      <c r="Y416" s="301"/>
      <c r="Z416" s="301"/>
    </row>
    <row r="417" spans="1:26" ht="11.25" customHeight="1">
      <c r="A417" s="301"/>
      <c r="B417" s="301"/>
      <c r="C417" s="301"/>
      <c r="D417" s="301"/>
      <c r="E417" s="301"/>
      <c r="F417" s="301"/>
      <c r="G417" s="301"/>
      <c r="H417" s="301"/>
      <c r="I417" s="301"/>
      <c r="J417" s="301"/>
      <c r="K417" s="301"/>
      <c r="L417" s="301"/>
      <c r="M417" s="301"/>
      <c r="N417" s="301"/>
      <c r="O417" s="301"/>
      <c r="P417" s="301"/>
      <c r="Q417" s="301"/>
      <c r="R417" s="301"/>
      <c r="S417" s="301"/>
      <c r="T417" s="301"/>
      <c r="U417" s="301"/>
      <c r="V417" s="301"/>
      <c r="W417" s="301"/>
      <c r="X417" s="301"/>
      <c r="Y417" s="301"/>
      <c r="Z417" s="301"/>
    </row>
    <row r="418" spans="1:26" ht="11.25" customHeight="1">
      <c r="A418" s="301"/>
      <c r="B418" s="301"/>
      <c r="C418" s="301"/>
      <c r="D418" s="301"/>
      <c r="E418" s="301"/>
      <c r="F418" s="301"/>
      <c r="G418" s="301"/>
      <c r="H418" s="301"/>
      <c r="I418" s="301"/>
      <c r="J418" s="301"/>
      <c r="K418" s="301"/>
      <c r="L418" s="301"/>
      <c r="M418" s="301"/>
      <c r="N418" s="301"/>
      <c r="O418" s="301"/>
      <c r="P418" s="301"/>
      <c r="Q418" s="301"/>
      <c r="R418" s="301"/>
      <c r="S418" s="301"/>
      <c r="T418" s="301"/>
      <c r="U418" s="301"/>
      <c r="V418" s="301"/>
      <c r="W418" s="301"/>
      <c r="X418" s="301"/>
      <c r="Y418" s="301"/>
      <c r="Z418" s="301"/>
    </row>
    <row r="419" spans="1:26" ht="11.25" customHeight="1">
      <c r="A419" s="301"/>
      <c r="B419" s="301"/>
      <c r="C419" s="301"/>
      <c r="D419" s="301"/>
      <c r="E419" s="301"/>
      <c r="F419" s="301"/>
      <c r="G419" s="301"/>
      <c r="H419" s="301"/>
      <c r="I419" s="301"/>
      <c r="J419" s="301"/>
      <c r="K419" s="301"/>
      <c r="L419" s="301"/>
      <c r="M419" s="301"/>
      <c r="N419" s="301"/>
      <c r="O419" s="301"/>
      <c r="P419" s="301"/>
      <c r="Q419" s="301"/>
      <c r="R419" s="301"/>
      <c r="S419" s="301"/>
      <c r="T419" s="301"/>
      <c r="U419" s="301"/>
      <c r="V419" s="301"/>
      <c r="W419" s="301"/>
      <c r="X419" s="301"/>
      <c r="Y419" s="301"/>
      <c r="Z419" s="301"/>
    </row>
    <row r="420" spans="1:26" ht="11.25" customHeight="1">
      <c r="A420" s="301"/>
      <c r="B420" s="301"/>
      <c r="C420" s="301"/>
      <c r="D420" s="301"/>
      <c r="E420" s="301"/>
      <c r="F420" s="301"/>
      <c r="G420" s="301"/>
      <c r="H420" s="301"/>
      <c r="I420" s="301"/>
      <c r="J420" s="301"/>
      <c r="K420" s="301"/>
      <c r="L420" s="301"/>
      <c r="M420" s="301"/>
      <c r="N420" s="301"/>
      <c r="O420" s="301"/>
      <c r="P420" s="301"/>
      <c r="Q420" s="301"/>
      <c r="R420" s="301"/>
      <c r="S420" s="301"/>
      <c r="T420" s="301"/>
      <c r="U420" s="301"/>
      <c r="V420" s="301"/>
      <c r="W420" s="301"/>
      <c r="X420" s="301"/>
      <c r="Y420" s="301"/>
      <c r="Z420" s="301"/>
    </row>
    <row r="421" spans="1:26" ht="11.25" customHeight="1">
      <c r="A421" s="301"/>
      <c r="B421" s="301"/>
      <c r="C421" s="301"/>
      <c r="D421" s="301"/>
      <c r="E421" s="301"/>
      <c r="F421" s="301"/>
      <c r="G421" s="301"/>
      <c r="H421" s="301"/>
      <c r="I421" s="301"/>
      <c r="J421" s="301"/>
      <c r="K421" s="301"/>
      <c r="L421" s="301"/>
      <c r="M421" s="301"/>
      <c r="N421" s="301"/>
      <c r="O421" s="301"/>
      <c r="P421" s="301"/>
      <c r="Q421" s="301"/>
      <c r="R421" s="301"/>
      <c r="S421" s="301"/>
      <c r="T421" s="301"/>
      <c r="U421" s="301"/>
      <c r="V421" s="301"/>
      <c r="W421" s="301"/>
      <c r="X421" s="301"/>
      <c r="Y421" s="301"/>
      <c r="Z421" s="301"/>
    </row>
    <row r="422" spans="1:26" ht="11.25" customHeight="1">
      <c r="A422" s="301"/>
      <c r="B422" s="301"/>
      <c r="C422" s="301"/>
      <c r="D422" s="301"/>
      <c r="E422" s="301"/>
      <c r="F422" s="301"/>
      <c r="G422" s="301"/>
      <c r="H422" s="301"/>
      <c r="I422" s="301"/>
      <c r="J422" s="301"/>
      <c r="K422" s="301"/>
      <c r="L422" s="301"/>
      <c r="M422" s="301"/>
      <c r="N422" s="301"/>
      <c r="O422" s="301"/>
      <c r="P422" s="301"/>
      <c r="Q422" s="301"/>
      <c r="R422" s="301"/>
      <c r="S422" s="301"/>
      <c r="T422" s="301"/>
      <c r="U422" s="301"/>
      <c r="V422" s="301"/>
      <c r="W422" s="301"/>
      <c r="X422" s="301"/>
      <c r="Y422" s="301"/>
      <c r="Z422" s="301"/>
    </row>
    <row r="423" spans="1:26" ht="11.25" customHeight="1">
      <c r="A423" s="301"/>
      <c r="B423" s="301"/>
      <c r="C423" s="301"/>
      <c r="D423" s="301"/>
      <c r="E423" s="301"/>
      <c r="F423" s="301"/>
      <c r="G423" s="301"/>
      <c r="H423" s="301"/>
      <c r="I423" s="301"/>
      <c r="J423" s="301"/>
      <c r="K423" s="301"/>
      <c r="L423" s="301"/>
      <c r="M423" s="301"/>
      <c r="N423" s="301"/>
      <c r="O423" s="301"/>
      <c r="P423" s="301"/>
      <c r="Q423" s="301"/>
      <c r="R423" s="301"/>
      <c r="S423" s="301"/>
      <c r="T423" s="301"/>
      <c r="U423" s="301"/>
      <c r="V423" s="301"/>
      <c r="W423" s="301"/>
      <c r="X423" s="301"/>
      <c r="Y423" s="301"/>
      <c r="Z423" s="301"/>
    </row>
    <row r="424" spans="1:26" ht="11.25" customHeight="1">
      <c r="A424" s="301"/>
      <c r="B424" s="301"/>
      <c r="C424" s="301"/>
      <c r="D424" s="301"/>
      <c r="E424" s="301"/>
      <c r="F424" s="301"/>
      <c r="G424" s="301"/>
      <c r="H424" s="301"/>
      <c r="I424" s="301"/>
      <c r="J424" s="301"/>
      <c r="K424" s="301"/>
      <c r="L424" s="301"/>
      <c r="M424" s="301"/>
      <c r="N424" s="301"/>
      <c r="O424" s="301"/>
      <c r="P424" s="301"/>
      <c r="Q424" s="301"/>
      <c r="R424" s="301"/>
      <c r="S424" s="301"/>
      <c r="T424" s="301"/>
      <c r="U424" s="301"/>
      <c r="V424" s="301"/>
      <c r="W424" s="301"/>
      <c r="X424" s="301"/>
      <c r="Y424" s="301"/>
      <c r="Z424" s="301"/>
    </row>
    <row r="425" spans="1:26" ht="11.25" customHeight="1">
      <c r="A425" s="301"/>
      <c r="B425" s="301"/>
      <c r="C425" s="301"/>
      <c r="D425" s="301"/>
      <c r="E425" s="301"/>
      <c r="F425" s="301"/>
      <c r="G425" s="301"/>
      <c r="H425" s="301"/>
      <c r="I425" s="301"/>
      <c r="J425" s="301"/>
      <c r="K425" s="301"/>
      <c r="L425" s="301"/>
      <c r="M425" s="301"/>
      <c r="N425" s="301"/>
      <c r="O425" s="301"/>
      <c r="P425" s="301"/>
      <c r="Q425" s="301"/>
      <c r="R425" s="301"/>
      <c r="S425" s="301"/>
      <c r="T425" s="301"/>
      <c r="U425" s="301"/>
      <c r="V425" s="301"/>
      <c r="W425" s="301"/>
      <c r="X425" s="301"/>
      <c r="Y425" s="301"/>
      <c r="Z425" s="301"/>
    </row>
    <row r="426" spans="1:26" ht="11.25" customHeight="1">
      <c r="A426" s="301"/>
      <c r="B426" s="301"/>
      <c r="C426" s="301"/>
      <c r="D426" s="301"/>
      <c r="E426" s="301"/>
      <c r="F426" s="301"/>
      <c r="G426" s="301"/>
      <c r="H426" s="301"/>
      <c r="I426" s="301"/>
      <c r="J426" s="301"/>
      <c r="K426" s="301"/>
      <c r="L426" s="301"/>
      <c r="M426" s="301"/>
      <c r="N426" s="301"/>
      <c r="O426" s="301"/>
      <c r="P426" s="301"/>
      <c r="Q426" s="301"/>
      <c r="R426" s="301"/>
      <c r="S426" s="301"/>
      <c r="T426" s="301"/>
      <c r="U426" s="301"/>
      <c r="V426" s="301"/>
      <c r="W426" s="301"/>
      <c r="X426" s="301"/>
      <c r="Y426" s="301"/>
      <c r="Z426" s="301"/>
    </row>
    <row r="427" spans="1:26" ht="11.25" customHeight="1">
      <c r="A427" s="301"/>
      <c r="B427" s="301"/>
      <c r="C427" s="301"/>
      <c r="D427" s="301"/>
      <c r="E427" s="301"/>
      <c r="F427" s="301"/>
      <c r="G427" s="301"/>
      <c r="H427" s="301"/>
      <c r="I427" s="301"/>
      <c r="J427" s="301"/>
      <c r="K427" s="301"/>
      <c r="L427" s="301"/>
      <c r="M427" s="301"/>
      <c r="N427" s="301"/>
      <c r="O427" s="301"/>
      <c r="P427" s="301"/>
      <c r="Q427" s="301"/>
      <c r="R427" s="301"/>
      <c r="S427" s="301"/>
      <c r="T427" s="301"/>
      <c r="U427" s="301"/>
      <c r="V427" s="301"/>
      <c r="W427" s="301"/>
      <c r="X427" s="301"/>
      <c r="Y427" s="301"/>
      <c r="Z427" s="301"/>
    </row>
    <row r="428" spans="1:26" ht="11.25" customHeight="1">
      <c r="A428" s="301"/>
      <c r="B428" s="301"/>
      <c r="C428" s="301"/>
      <c r="D428" s="301"/>
      <c r="E428" s="301"/>
      <c r="F428" s="301"/>
      <c r="G428" s="301"/>
      <c r="H428" s="301"/>
      <c r="I428" s="301"/>
      <c r="J428" s="301"/>
      <c r="K428" s="301"/>
      <c r="L428" s="301"/>
      <c r="M428" s="301"/>
      <c r="N428" s="301"/>
      <c r="O428" s="301"/>
      <c r="P428" s="301"/>
      <c r="Q428" s="301"/>
      <c r="R428" s="301"/>
      <c r="S428" s="301"/>
      <c r="T428" s="301"/>
      <c r="U428" s="301"/>
      <c r="V428" s="301"/>
      <c r="W428" s="301"/>
      <c r="X428" s="301"/>
      <c r="Y428" s="301"/>
      <c r="Z428" s="301"/>
    </row>
    <row r="429" spans="1:26" ht="11.25" customHeight="1">
      <c r="A429" s="301"/>
      <c r="B429" s="301"/>
      <c r="C429" s="301"/>
      <c r="D429" s="301"/>
      <c r="E429" s="301"/>
      <c r="F429" s="301"/>
      <c r="G429" s="301"/>
      <c r="H429" s="301"/>
      <c r="I429" s="301"/>
      <c r="J429" s="301"/>
      <c r="K429" s="301"/>
      <c r="L429" s="301"/>
      <c r="M429" s="301"/>
      <c r="N429" s="301"/>
      <c r="O429" s="301"/>
      <c r="P429" s="301"/>
      <c r="Q429" s="301"/>
      <c r="R429" s="301"/>
      <c r="S429" s="301"/>
      <c r="T429" s="301"/>
      <c r="U429" s="301"/>
      <c r="V429" s="301"/>
      <c r="W429" s="301"/>
      <c r="X429" s="301"/>
      <c r="Y429" s="301"/>
      <c r="Z429" s="301"/>
    </row>
    <row r="430" spans="1:26" ht="11.25" customHeight="1">
      <c r="A430" s="301"/>
      <c r="B430" s="301"/>
      <c r="C430" s="301"/>
      <c r="D430" s="301"/>
      <c r="E430" s="301"/>
      <c r="F430" s="301"/>
      <c r="G430" s="301"/>
      <c r="H430" s="301"/>
      <c r="I430" s="301"/>
      <c r="J430" s="301"/>
      <c r="K430" s="301"/>
      <c r="L430" s="301"/>
      <c r="M430" s="301"/>
      <c r="N430" s="301"/>
      <c r="O430" s="301"/>
      <c r="P430" s="301"/>
      <c r="Q430" s="301"/>
      <c r="R430" s="301"/>
      <c r="S430" s="301"/>
      <c r="T430" s="301"/>
      <c r="U430" s="301"/>
      <c r="V430" s="301"/>
      <c r="W430" s="301"/>
      <c r="X430" s="301"/>
      <c r="Y430" s="301"/>
      <c r="Z430" s="301"/>
    </row>
    <row r="431" spans="1:26" ht="11.25" customHeight="1">
      <c r="A431" s="301"/>
      <c r="B431" s="301"/>
      <c r="C431" s="301"/>
      <c r="D431" s="301"/>
      <c r="E431" s="301"/>
      <c r="F431" s="301"/>
      <c r="G431" s="301"/>
      <c r="H431" s="301"/>
      <c r="I431" s="301"/>
      <c r="J431" s="301"/>
      <c r="K431" s="301"/>
      <c r="L431" s="301"/>
      <c r="M431" s="301"/>
      <c r="N431" s="301"/>
      <c r="O431" s="301"/>
      <c r="P431" s="301"/>
      <c r="Q431" s="301"/>
      <c r="R431" s="301"/>
      <c r="S431" s="301"/>
      <c r="T431" s="301"/>
      <c r="U431" s="301"/>
      <c r="V431" s="301"/>
      <c r="W431" s="301"/>
      <c r="X431" s="301"/>
      <c r="Y431" s="301"/>
      <c r="Z431" s="301"/>
    </row>
    <row r="432" spans="1:26" ht="11.25" customHeight="1">
      <c r="A432" s="301"/>
      <c r="B432" s="301"/>
      <c r="C432" s="301"/>
      <c r="D432" s="301"/>
      <c r="E432" s="301"/>
      <c r="F432" s="301"/>
      <c r="G432" s="301"/>
      <c r="H432" s="301"/>
      <c r="I432" s="301"/>
      <c r="J432" s="301"/>
      <c r="K432" s="301"/>
      <c r="L432" s="301"/>
      <c r="M432" s="301"/>
      <c r="N432" s="301"/>
      <c r="O432" s="301"/>
      <c r="P432" s="301"/>
      <c r="Q432" s="301"/>
      <c r="R432" s="301"/>
      <c r="S432" s="301"/>
      <c r="T432" s="301"/>
      <c r="U432" s="301"/>
      <c r="V432" s="301"/>
      <c r="W432" s="301"/>
      <c r="X432" s="301"/>
      <c r="Y432" s="301"/>
      <c r="Z432" s="301"/>
    </row>
    <row r="433" spans="1:26" ht="11.25" customHeight="1">
      <c r="A433" s="301"/>
      <c r="B433" s="301"/>
      <c r="C433" s="301"/>
      <c r="D433" s="301"/>
      <c r="E433" s="301"/>
      <c r="F433" s="301"/>
      <c r="G433" s="301"/>
      <c r="H433" s="301"/>
      <c r="I433" s="301"/>
      <c r="J433" s="301"/>
      <c r="K433" s="301"/>
      <c r="L433" s="301"/>
      <c r="M433" s="301"/>
      <c r="N433" s="301"/>
      <c r="O433" s="301"/>
      <c r="P433" s="301"/>
      <c r="Q433" s="301"/>
      <c r="R433" s="301"/>
      <c r="S433" s="301"/>
      <c r="T433" s="301"/>
      <c r="U433" s="301"/>
      <c r="V433" s="301"/>
      <c r="W433" s="301"/>
      <c r="X433" s="301"/>
      <c r="Y433" s="301"/>
      <c r="Z433" s="301"/>
    </row>
    <row r="434" spans="1:26" ht="11.25" customHeight="1">
      <c r="A434" s="301"/>
      <c r="B434" s="301"/>
      <c r="C434" s="301"/>
      <c r="D434" s="301"/>
      <c r="E434" s="301"/>
      <c r="F434" s="301"/>
      <c r="G434" s="301"/>
      <c r="H434" s="301"/>
      <c r="I434" s="301"/>
      <c r="J434" s="301"/>
      <c r="K434" s="301"/>
      <c r="L434" s="301"/>
      <c r="M434" s="301"/>
      <c r="N434" s="301"/>
      <c r="O434" s="301"/>
      <c r="P434" s="301"/>
      <c r="Q434" s="301"/>
      <c r="R434" s="301"/>
      <c r="S434" s="301"/>
      <c r="T434" s="301"/>
      <c r="U434" s="301"/>
      <c r="V434" s="301"/>
      <c r="W434" s="301"/>
      <c r="X434" s="301"/>
      <c r="Y434" s="301"/>
      <c r="Z434" s="301"/>
    </row>
    <row r="435" spans="1:26" ht="11.25" customHeight="1">
      <c r="A435" s="301"/>
      <c r="B435" s="301"/>
      <c r="C435" s="301"/>
      <c r="D435" s="301"/>
      <c r="E435" s="301"/>
      <c r="F435" s="301"/>
      <c r="G435" s="301"/>
      <c r="H435" s="301"/>
      <c r="I435" s="301"/>
      <c r="J435" s="301"/>
      <c r="K435" s="301"/>
      <c r="L435" s="301"/>
      <c r="M435" s="301"/>
      <c r="N435" s="301"/>
      <c r="O435" s="301"/>
      <c r="P435" s="301"/>
      <c r="Q435" s="301"/>
      <c r="R435" s="301"/>
      <c r="S435" s="301"/>
      <c r="T435" s="301"/>
      <c r="U435" s="301"/>
      <c r="V435" s="301"/>
      <c r="W435" s="301"/>
      <c r="X435" s="301"/>
      <c r="Y435" s="301"/>
      <c r="Z435" s="301"/>
    </row>
    <row r="436" spans="1:26" ht="11.25" customHeight="1">
      <c r="A436" s="301"/>
      <c r="B436" s="301"/>
      <c r="C436" s="301"/>
      <c r="D436" s="301"/>
      <c r="E436" s="301"/>
      <c r="F436" s="301"/>
      <c r="G436" s="301"/>
      <c r="H436" s="301"/>
      <c r="I436" s="301"/>
      <c r="J436" s="301"/>
      <c r="K436" s="301"/>
      <c r="L436" s="301"/>
      <c r="M436" s="301"/>
      <c r="N436" s="301"/>
      <c r="O436" s="301"/>
      <c r="P436" s="301"/>
      <c r="Q436" s="301"/>
      <c r="R436" s="301"/>
      <c r="S436" s="301"/>
      <c r="T436" s="301"/>
      <c r="U436" s="301"/>
      <c r="V436" s="301"/>
      <c r="W436" s="301"/>
      <c r="X436" s="301"/>
      <c r="Y436" s="301"/>
      <c r="Z436" s="301"/>
    </row>
    <row r="437" spans="1:26" ht="11.25" customHeight="1">
      <c r="A437" s="301"/>
      <c r="B437" s="301"/>
      <c r="C437" s="301"/>
      <c r="D437" s="301"/>
      <c r="E437" s="301"/>
      <c r="F437" s="301"/>
      <c r="G437" s="301"/>
      <c r="H437" s="301"/>
      <c r="I437" s="301"/>
      <c r="J437" s="301"/>
      <c r="K437" s="301"/>
      <c r="L437" s="301"/>
      <c r="M437" s="301"/>
      <c r="N437" s="301"/>
      <c r="O437" s="301"/>
      <c r="P437" s="301"/>
      <c r="Q437" s="301"/>
      <c r="R437" s="301"/>
      <c r="S437" s="301"/>
      <c r="T437" s="301"/>
      <c r="U437" s="301"/>
      <c r="V437" s="301"/>
      <c r="W437" s="301"/>
      <c r="X437" s="301"/>
      <c r="Y437" s="301"/>
      <c r="Z437" s="301"/>
    </row>
    <row r="438" spans="1:26" ht="11.25" customHeight="1">
      <c r="A438" s="301"/>
      <c r="B438" s="301"/>
      <c r="C438" s="301"/>
      <c r="D438" s="301"/>
      <c r="E438" s="301"/>
      <c r="F438" s="301"/>
      <c r="G438" s="301"/>
      <c r="H438" s="301"/>
      <c r="I438" s="301"/>
      <c r="J438" s="301"/>
      <c r="K438" s="301"/>
      <c r="L438" s="301"/>
      <c r="M438" s="301"/>
      <c r="N438" s="301"/>
      <c r="O438" s="301"/>
      <c r="P438" s="301"/>
      <c r="Q438" s="301"/>
      <c r="R438" s="301"/>
      <c r="S438" s="301"/>
      <c r="T438" s="301"/>
      <c r="U438" s="301"/>
      <c r="V438" s="301"/>
      <c r="W438" s="301"/>
      <c r="X438" s="301"/>
      <c r="Y438" s="301"/>
      <c r="Z438" s="301"/>
    </row>
    <row r="439" spans="1:26" ht="11.25" customHeight="1">
      <c r="A439" s="301"/>
      <c r="B439" s="301"/>
      <c r="C439" s="301"/>
      <c r="D439" s="301"/>
      <c r="E439" s="301"/>
      <c r="F439" s="301"/>
      <c r="G439" s="301"/>
      <c r="H439" s="301"/>
      <c r="I439" s="301"/>
      <c r="J439" s="301"/>
      <c r="K439" s="301"/>
      <c r="L439" s="301"/>
      <c r="M439" s="301"/>
      <c r="N439" s="301"/>
      <c r="O439" s="301"/>
      <c r="P439" s="301"/>
      <c r="Q439" s="301"/>
      <c r="R439" s="301"/>
      <c r="S439" s="301"/>
      <c r="T439" s="301"/>
      <c r="U439" s="301"/>
      <c r="V439" s="301"/>
      <c r="W439" s="301"/>
      <c r="X439" s="301"/>
      <c r="Y439" s="301"/>
      <c r="Z439" s="301"/>
    </row>
    <row r="440" spans="1:26" ht="11.25" customHeight="1">
      <c r="A440" s="301"/>
      <c r="B440" s="301"/>
      <c r="C440" s="301"/>
      <c r="D440" s="301"/>
      <c r="E440" s="301"/>
      <c r="F440" s="301"/>
      <c r="G440" s="301"/>
      <c r="H440" s="301"/>
      <c r="I440" s="301"/>
      <c r="J440" s="301"/>
      <c r="K440" s="301"/>
      <c r="L440" s="301"/>
      <c r="M440" s="301"/>
      <c r="N440" s="301"/>
      <c r="O440" s="301"/>
      <c r="P440" s="301"/>
      <c r="Q440" s="301"/>
      <c r="R440" s="301"/>
      <c r="S440" s="301"/>
      <c r="T440" s="301"/>
      <c r="U440" s="301"/>
      <c r="V440" s="301"/>
      <c r="W440" s="301"/>
      <c r="X440" s="301"/>
      <c r="Y440" s="301"/>
      <c r="Z440" s="301"/>
    </row>
    <row r="441" spans="1:26" ht="11.25" customHeight="1">
      <c r="A441" s="301"/>
      <c r="B441" s="301"/>
      <c r="C441" s="301"/>
      <c r="D441" s="301"/>
      <c r="E441" s="301"/>
      <c r="F441" s="301"/>
      <c r="G441" s="301"/>
      <c r="H441" s="301"/>
      <c r="I441" s="301"/>
      <c r="J441" s="301"/>
      <c r="K441" s="301"/>
      <c r="L441" s="301"/>
      <c r="M441" s="301"/>
      <c r="N441" s="301"/>
      <c r="O441" s="301"/>
      <c r="P441" s="301"/>
      <c r="Q441" s="301"/>
      <c r="R441" s="301"/>
      <c r="S441" s="301"/>
      <c r="T441" s="301"/>
      <c r="U441" s="301"/>
      <c r="V441" s="301"/>
      <c r="W441" s="301"/>
      <c r="X441" s="301"/>
      <c r="Y441" s="301"/>
      <c r="Z441" s="301"/>
    </row>
    <row r="442" spans="1:26" ht="11.25" customHeight="1">
      <c r="A442" s="301"/>
      <c r="B442" s="301"/>
      <c r="C442" s="301"/>
      <c r="D442" s="301"/>
      <c r="E442" s="301"/>
      <c r="F442" s="301"/>
      <c r="G442" s="301"/>
      <c r="H442" s="301"/>
      <c r="I442" s="301"/>
      <c r="J442" s="301"/>
      <c r="K442" s="301"/>
      <c r="L442" s="301"/>
      <c r="M442" s="301"/>
      <c r="N442" s="301"/>
      <c r="O442" s="301"/>
      <c r="P442" s="301"/>
      <c r="Q442" s="301"/>
      <c r="R442" s="301"/>
      <c r="S442" s="301"/>
      <c r="T442" s="301"/>
      <c r="U442" s="301"/>
      <c r="V442" s="301"/>
      <c r="W442" s="301"/>
      <c r="X442" s="301"/>
      <c r="Y442" s="301"/>
      <c r="Z442" s="301"/>
    </row>
    <row r="443" spans="1:26" ht="11.25" customHeight="1">
      <c r="A443" s="301"/>
      <c r="B443" s="301"/>
      <c r="C443" s="301"/>
      <c r="D443" s="301"/>
      <c r="E443" s="301"/>
      <c r="F443" s="301"/>
      <c r="G443" s="301"/>
      <c r="H443" s="301"/>
      <c r="I443" s="301"/>
      <c r="J443" s="301"/>
      <c r="K443" s="301"/>
      <c r="L443" s="301"/>
      <c r="M443" s="301"/>
      <c r="N443" s="301"/>
      <c r="O443" s="301"/>
      <c r="P443" s="301"/>
      <c r="Q443" s="301"/>
      <c r="R443" s="301"/>
      <c r="S443" s="301"/>
      <c r="T443" s="301"/>
      <c r="U443" s="301"/>
      <c r="V443" s="301"/>
      <c r="W443" s="301"/>
      <c r="X443" s="301"/>
      <c r="Y443" s="301"/>
      <c r="Z443" s="301"/>
    </row>
    <row r="444" spans="1:26" ht="11.25" customHeight="1">
      <c r="A444" s="301"/>
      <c r="B444" s="301"/>
      <c r="C444" s="301"/>
      <c r="D444" s="301"/>
      <c r="E444" s="301"/>
      <c r="F444" s="301"/>
      <c r="G444" s="301"/>
      <c r="H444" s="301"/>
      <c r="I444" s="301"/>
      <c r="J444" s="301"/>
      <c r="K444" s="301"/>
      <c r="L444" s="301"/>
      <c r="M444" s="301"/>
      <c r="N444" s="301"/>
      <c r="O444" s="301"/>
      <c r="P444" s="301"/>
      <c r="Q444" s="301"/>
      <c r="R444" s="301"/>
      <c r="S444" s="301"/>
      <c r="T444" s="301"/>
      <c r="U444" s="301"/>
      <c r="V444" s="301"/>
      <c r="W444" s="301"/>
      <c r="X444" s="301"/>
      <c r="Y444" s="301"/>
      <c r="Z444" s="301"/>
    </row>
    <row r="445" spans="1:26" ht="11.25" customHeight="1">
      <c r="A445" s="301"/>
      <c r="B445" s="301"/>
      <c r="C445" s="301"/>
      <c r="D445" s="301"/>
      <c r="E445" s="301"/>
      <c r="F445" s="301"/>
      <c r="G445" s="301"/>
      <c r="H445" s="301"/>
      <c r="I445" s="301"/>
      <c r="J445" s="301"/>
      <c r="K445" s="301"/>
      <c r="L445" s="301"/>
      <c r="M445" s="301"/>
      <c r="N445" s="301"/>
      <c r="O445" s="301"/>
      <c r="P445" s="301"/>
      <c r="Q445" s="301"/>
      <c r="R445" s="301"/>
      <c r="S445" s="301"/>
      <c r="T445" s="301"/>
      <c r="U445" s="301"/>
      <c r="V445" s="301"/>
      <c r="W445" s="301"/>
      <c r="X445" s="301"/>
      <c r="Y445" s="301"/>
      <c r="Z445" s="301"/>
    </row>
    <row r="446" spans="1:26" ht="11.25" customHeight="1">
      <c r="A446" s="301"/>
      <c r="B446" s="301"/>
      <c r="C446" s="301"/>
      <c r="D446" s="301"/>
      <c r="E446" s="301"/>
      <c r="F446" s="301"/>
      <c r="G446" s="301"/>
      <c r="H446" s="301"/>
      <c r="I446" s="301"/>
      <c r="J446" s="301"/>
      <c r="K446" s="301"/>
      <c r="L446" s="301"/>
      <c r="M446" s="301"/>
      <c r="N446" s="301"/>
      <c r="O446" s="301"/>
      <c r="P446" s="301"/>
      <c r="Q446" s="301"/>
      <c r="R446" s="301"/>
      <c r="S446" s="301"/>
      <c r="T446" s="301"/>
      <c r="U446" s="301"/>
      <c r="V446" s="301"/>
      <c r="W446" s="301"/>
      <c r="X446" s="301"/>
      <c r="Y446" s="301"/>
      <c r="Z446" s="301"/>
    </row>
    <row r="447" spans="1:26" ht="11.25" customHeight="1">
      <c r="A447" s="301"/>
      <c r="B447" s="301"/>
      <c r="C447" s="301"/>
      <c r="D447" s="301"/>
      <c r="E447" s="301"/>
      <c r="F447" s="301"/>
      <c r="G447" s="301"/>
      <c r="H447" s="301"/>
      <c r="I447" s="301"/>
      <c r="J447" s="301"/>
      <c r="K447" s="301"/>
      <c r="L447" s="301"/>
      <c r="M447" s="301"/>
      <c r="N447" s="301"/>
      <c r="O447" s="301"/>
      <c r="P447" s="301"/>
      <c r="Q447" s="301"/>
      <c r="R447" s="301"/>
      <c r="S447" s="301"/>
      <c r="T447" s="301"/>
      <c r="U447" s="301"/>
      <c r="V447" s="301"/>
      <c r="W447" s="301"/>
      <c r="X447" s="301"/>
      <c r="Y447" s="301"/>
      <c r="Z447" s="301"/>
    </row>
    <row r="448" spans="1:26" ht="11.25" customHeight="1">
      <c r="A448" s="301"/>
      <c r="B448" s="301"/>
      <c r="C448" s="301"/>
      <c r="D448" s="301"/>
      <c r="E448" s="301"/>
      <c r="F448" s="301"/>
      <c r="G448" s="301"/>
      <c r="H448" s="301"/>
      <c r="I448" s="301"/>
      <c r="J448" s="301"/>
      <c r="K448" s="301"/>
      <c r="L448" s="301"/>
      <c r="M448" s="301"/>
      <c r="N448" s="301"/>
      <c r="O448" s="301"/>
      <c r="P448" s="301"/>
      <c r="Q448" s="301"/>
      <c r="R448" s="301"/>
      <c r="S448" s="301"/>
      <c r="T448" s="301"/>
      <c r="U448" s="301"/>
      <c r="V448" s="301"/>
      <c r="W448" s="301"/>
      <c r="X448" s="301"/>
      <c r="Y448" s="301"/>
      <c r="Z448" s="301"/>
    </row>
    <row r="449" spans="1:26" ht="11.25" customHeight="1">
      <c r="A449" s="301"/>
      <c r="B449" s="301"/>
      <c r="C449" s="301"/>
      <c r="D449" s="301"/>
      <c r="E449" s="301"/>
      <c r="F449" s="301"/>
      <c r="G449" s="301"/>
      <c r="H449" s="301"/>
      <c r="I449" s="301"/>
      <c r="J449" s="301"/>
      <c r="K449" s="301"/>
      <c r="L449" s="301"/>
      <c r="M449" s="301"/>
      <c r="N449" s="301"/>
      <c r="O449" s="301"/>
      <c r="P449" s="301"/>
      <c r="Q449" s="301"/>
      <c r="R449" s="301"/>
      <c r="S449" s="301"/>
      <c r="T449" s="301"/>
      <c r="U449" s="301"/>
      <c r="V449" s="301"/>
      <c r="W449" s="301"/>
      <c r="X449" s="301"/>
      <c r="Y449" s="301"/>
      <c r="Z449" s="301"/>
    </row>
    <row r="450" spans="1:26" ht="11.25" customHeight="1">
      <c r="A450" s="301"/>
      <c r="B450" s="301"/>
      <c r="C450" s="301"/>
      <c r="D450" s="301"/>
      <c r="E450" s="301"/>
      <c r="F450" s="301"/>
      <c r="G450" s="301"/>
      <c r="H450" s="301"/>
      <c r="I450" s="301"/>
      <c r="J450" s="301"/>
      <c r="K450" s="301"/>
      <c r="L450" s="301"/>
      <c r="M450" s="301"/>
      <c r="N450" s="301"/>
      <c r="O450" s="301"/>
      <c r="P450" s="301"/>
      <c r="Q450" s="301"/>
      <c r="R450" s="301"/>
      <c r="S450" s="301"/>
      <c r="T450" s="301"/>
      <c r="U450" s="301"/>
      <c r="V450" s="301"/>
      <c r="W450" s="301"/>
      <c r="X450" s="301"/>
      <c r="Y450" s="301"/>
      <c r="Z450" s="301"/>
    </row>
    <row r="451" spans="1:26" ht="11.25" customHeight="1">
      <c r="A451" s="301"/>
      <c r="B451" s="301"/>
      <c r="C451" s="301"/>
      <c r="D451" s="301"/>
      <c r="E451" s="301"/>
      <c r="F451" s="301"/>
      <c r="G451" s="301"/>
      <c r="H451" s="301"/>
      <c r="I451" s="301"/>
      <c r="J451" s="301"/>
      <c r="K451" s="301"/>
      <c r="L451" s="301"/>
      <c r="M451" s="301"/>
      <c r="N451" s="301"/>
      <c r="O451" s="301"/>
      <c r="P451" s="301"/>
      <c r="Q451" s="301"/>
      <c r="R451" s="301"/>
      <c r="S451" s="301"/>
      <c r="T451" s="301"/>
      <c r="U451" s="301"/>
      <c r="V451" s="301"/>
      <c r="W451" s="301"/>
      <c r="X451" s="301"/>
      <c r="Y451" s="301"/>
      <c r="Z451" s="301"/>
    </row>
    <row r="452" spans="1:26" ht="11.25" customHeight="1">
      <c r="A452" s="301"/>
      <c r="B452" s="301"/>
      <c r="C452" s="301"/>
      <c r="D452" s="301"/>
      <c r="E452" s="301"/>
      <c r="F452" s="301"/>
      <c r="G452" s="301"/>
      <c r="H452" s="301"/>
      <c r="I452" s="301"/>
      <c r="J452" s="301"/>
      <c r="K452" s="301"/>
      <c r="L452" s="301"/>
      <c r="M452" s="301"/>
      <c r="N452" s="301"/>
      <c r="O452" s="301"/>
      <c r="P452" s="301"/>
      <c r="Q452" s="301"/>
      <c r="R452" s="301"/>
      <c r="S452" s="301"/>
      <c r="T452" s="301"/>
      <c r="U452" s="301"/>
      <c r="V452" s="301"/>
      <c r="W452" s="301"/>
      <c r="X452" s="301"/>
      <c r="Y452" s="301"/>
      <c r="Z452" s="301"/>
    </row>
    <row r="453" spans="1:26" ht="11.25" customHeight="1">
      <c r="A453" s="301"/>
      <c r="B453" s="301"/>
      <c r="C453" s="301"/>
      <c r="D453" s="301"/>
      <c r="E453" s="301"/>
      <c r="F453" s="301"/>
      <c r="G453" s="301"/>
      <c r="H453" s="301"/>
      <c r="I453" s="301"/>
      <c r="J453" s="301"/>
      <c r="K453" s="301"/>
      <c r="L453" s="301"/>
      <c r="M453" s="301"/>
      <c r="N453" s="301"/>
      <c r="O453" s="301"/>
      <c r="P453" s="301"/>
      <c r="Q453" s="301"/>
      <c r="R453" s="301"/>
      <c r="S453" s="301"/>
      <c r="T453" s="301"/>
      <c r="U453" s="301"/>
      <c r="V453" s="301"/>
      <c r="W453" s="301"/>
      <c r="X453" s="301"/>
      <c r="Y453" s="301"/>
      <c r="Z453" s="301"/>
    </row>
    <row r="454" spans="1:26" ht="11.25" customHeight="1">
      <c r="A454" s="301"/>
      <c r="B454" s="301"/>
      <c r="C454" s="301"/>
      <c r="D454" s="301"/>
      <c r="E454" s="301"/>
      <c r="F454" s="301"/>
      <c r="G454" s="301"/>
      <c r="H454" s="301"/>
      <c r="I454" s="301"/>
      <c r="J454" s="301"/>
      <c r="K454" s="301"/>
      <c r="L454" s="301"/>
      <c r="M454" s="301"/>
      <c r="N454" s="301"/>
      <c r="O454" s="301"/>
      <c r="P454" s="301"/>
      <c r="Q454" s="301"/>
      <c r="R454" s="301"/>
      <c r="S454" s="301"/>
      <c r="T454" s="301"/>
      <c r="U454" s="301"/>
      <c r="V454" s="301"/>
      <c r="W454" s="301"/>
      <c r="X454" s="301"/>
      <c r="Y454" s="301"/>
      <c r="Z454" s="301"/>
    </row>
    <row r="455" spans="1:26" ht="11.25" customHeight="1">
      <c r="A455" s="301"/>
      <c r="B455" s="301"/>
      <c r="C455" s="301"/>
      <c r="D455" s="301"/>
      <c r="E455" s="301"/>
      <c r="F455" s="301"/>
      <c r="G455" s="301"/>
      <c r="H455" s="301"/>
      <c r="I455" s="301"/>
      <c r="J455" s="301"/>
      <c r="K455" s="301"/>
      <c r="L455" s="301"/>
      <c r="M455" s="301"/>
      <c r="N455" s="301"/>
      <c r="O455" s="301"/>
      <c r="P455" s="301"/>
      <c r="Q455" s="301"/>
      <c r="R455" s="301"/>
      <c r="S455" s="301"/>
      <c r="T455" s="301"/>
      <c r="U455" s="301"/>
      <c r="V455" s="301"/>
      <c r="W455" s="301"/>
      <c r="X455" s="301"/>
      <c r="Y455" s="301"/>
      <c r="Z455" s="301"/>
    </row>
    <row r="456" spans="1:26" ht="11.25" customHeight="1">
      <c r="A456" s="301"/>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row>
    <row r="457" spans="1:26" ht="11.25" customHeight="1">
      <c r="A457" s="301"/>
      <c r="B457" s="301"/>
      <c r="C457" s="301"/>
      <c r="D457" s="301"/>
      <c r="E457" s="301"/>
      <c r="F457" s="301"/>
      <c r="G457" s="301"/>
      <c r="H457" s="301"/>
      <c r="I457" s="301"/>
      <c r="J457" s="301"/>
      <c r="K457" s="301"/>
      <c r="L457" s="301"/>
      <c r="M457" s="301"/>
      <c r="N457" s="301"/>
      <c r="O457" s="301"/>
      <c r="P457" s="301"/>
      <c r="Q457" s="301"/>
      <c r="R457" s="301"/>
      <c r="S457" s="301"/>
      <c r="T457" s="301"/>
      <c r="U457" s="301"/>
      <c r="V457" s="301"/>
      <c r="W457" s="301"/>
      <c r="X457" s="301"/>
      <c r="Y457" s="301"/>
      <c r="Z457" s="301"/>
    </row>
    <row r="458" spans="1:26" ht="11.25" customHeight="1">
      <c r="A458" s="301"/>
      <c r="B458" s="301"/>
      <c r="C458" s="301"/>
      <c r="D458" s="301"/>
      <c r="E458" s="301"/>
      <c r="F458" s="301"/>
      <c r="G458" s="301"/>
      <c r="H458" s="301"/>
      <c r="I458" s="301"/>
      <c r="J458" s="301"/>
      <c r="K458" s="301"/>
      <c r="L458" s="301"/>
      <c r="M458" s="301"/>
      <c r="N458" s="301"/>
      <c r="O458" s="301"/>
      <c r="P458" s="301"/>
      <c r="Q458" s="301"/>
      <c r="R458" s="301"/>
      <c r="S458" s="301"/>
      <c r="T458" s="301"/>
      <c r="U458" s="301"/>
      <c r="V458" s="301"/>
      <c r="W458" s="301"/>
      <c r="X458" s="301"/>
      <c r="Y458" s="301"/>
      <c r="Z458" s="301"/>
    </row>
    <row r="459" spans="1:26" ht="11.25" customHeight="1">
      <c r="A459" s="301"/>
      <c r="B459" s="301"/>
      <c r="C459" s="301"/>
      <c r="D459" s="301"/>
      <c r="E459" s="301"/>
      <c r="F459" s="301"/>
      <c r="G459" s="301"/>
      <c r="H459" s="301"/>
      <c r="I459" s="301"/>
      <c r="J459" s="301"/>
      <c r="K459" s="301"/>
      <c r="L459" s="301"/>
      <c r="M459" s="301"/>
      <c r="N459" s="301"/>
      <c r="O459" s="301"/>
      <c r="P459" s="301"/>
      <c r="Q459" s="301"/>
      <c r="R459" s="301"/>
      <c r="S459" s="301"/>
      <c r="T459" s="301"/>
      <c r="U459" s="301"/>
      <c r="V459" s="301"/>
      <c r="W459" s="301"/>
      <c r="X459" s="301"/>
      <c r="Y459" s="301"/>
      <c r="Z459" s="301"/>
    </row>
    <row r="460" spans="1:26" ht="11.25" customHeight="1">
      <c r="A460" s="301"/>
      <c r="B460" s="301"/>
      <c r="C460" s="301"/>
      <c r="D460" s="301"/>
      <c r="E460" s="301"/>
      <c r="F460" s="301"/>
      <c r="G460" s="301"/>
      <c r="H460" s="301"/>
      <c r="I460" s="301"/>
      <c r="J460" s="301"/>
      <c r="K460" s="301"/>
      <c r="L460" s="301"/>
      <c r="M460" s="301"/>
      <c r="N460" s="301"/>
      <c r="O460" s="301"/>
      <c r="P460" s="301"/>
      <c r="Q460" s="301"/>
      <c r="R460" s="301"/>
      <c r="S460" s="301"/>
      <c r="T460" s="301"/>
      <c r="U460" s="301"/>
      <c r="V460" s="301"/>
      <c r="W460" s="301"/>
      <c r="X460" s="301"/>
      <c r="Y460" s="301"/>
      <c r="Z460" s="301"/>
    </row>
    <row r="461" spans="1:26" ht="11.25" customHeight="1">
      <c r="A461" s="301"/>
      <c r="B461" s="301"/>
      <c r="C461" s="301"/>
      <c r="D461" s="301"/>
      <c r="E461" s="301"/>
      <c r="F461" s="301"/>
      <c r="G461" s="301"/>
      <c r="H461" s="301"/>
      <c r="I461" s="301"/>
      <c r="J461" s="301"/>
      <c r="K461" s="301"/>
      <c r="L461" s="301"/>
      <c r="M461" s="301"/>
      <c r="N461" s="301"/>
      <c r="O461" s="301"/>
      <c r="P461" s="301"/>
      <c r="Q461" s="301"/>
      <c r="R461" s="301"/>
      <c r="S461" s="301"/>
      <c r="T461" s="301"/>
      <c r="U461" s="301"/>
      <c r="V461" s="301"/>
      <c r="W461" s="301"/>
      <c r="X461" s="301"/>
      <c r="Y461" s="301"/>
      <c r="Z461" s="301"/>
    </row>
    <row r="462" spans="1:26" ht="11.25" customHeight="1">
      <c r="A462" s="301"/>
      <c r="B462" s="301"/>
      <c r="C462" s="301"/>
      <c r="D462" s="301"/>
      <c r="E462" s="301"/>
      <c r="F462" s="301"/>
      <c r="G462" s="301"/>
      <c r="H462" s="301"/>
      <c r="I462" s="301"/>
      <c r="J462" s="301"/>
      <c r="K462" s="301"/>
      <c r="L462" s="301"/>
      <c r="M462" s="301"/>
      <c r="N462" s="301"/>
      <c r="O462" s="301"/>
      <c r="P462" s="301"/>
      <c r="Q462" s="301"/>
      <c r="R462" s="301"/>
      <c r="S462" s="301"/>
      <c r="T462" s="301"/>
      <c r="U462" s="301"/>
      <c r="V462" s="301"/>
      <c r="W462" s="301"/>
      <c r="X462" s="301"/>
      <c r="Y462" s="301"/>
      <c r="Z462" s="301"/>
    </row>
    <row r="463" spans="1:26" ht="11.25" customHeight="1">
      <c r="A463" s="301"/>
      <c r="B463" s="301"/>
      <c r="C463" s="301"/>
      <c r="D463" s="301"/>
      <c r="E463" s="301"/>
      <c r="F463" s="301"/>
      <c r="G463" s="301"/>
      <c r="H463" s="301"/>
      <c r="I463" s="301"/>
      <c r="J463" s="301"/>
      <c r="K463" s="301"/>
      <c r="L463" s="301"/>
      <c r="M463" s="301"/>
      <c r="N463" s="301"/>
      <c r="O463" s="301"/>
      <c r="P463" s="301"/>
      <c r="Q463" s="301"/>
      <c r="R463" s="301"/>
      <c r="S463" s="301"/>
      <c r="T463" s="301"/>
      <c r="U463" s="301"/>
      <c r="V463" s="301"/>
      <c r="W463" s="301"/>
      <c r="X463" s="301"/>
      <c r="Y463" s="301"/>
      <c r="Z463" s="301"/>
    </row>
    <row r="464" spans="1:26" ht="11.25" customHeight="1">
      <c r="A464" s="301"/>
      <c r="B464" s="301"/>
      <c r="C464" s="301"/>
      <c r="D464" s="301"/>
      <c r="E464" s="301"/>
      <c r="F464" s="301"/>
      <c r="G464" s="301"/>
      <c r="H464" s="301"/>
      <c r="I464" s="301"/>
      <c r="J464" s="301"/>
      <c r="K464" s="301"/>
      <c r="L464" s="301"/>
      <c r="M464" s="301"/>
      <c r="N464" s="301"/>
      <c r="O464" s="301"/>
      <c r="P464" s="301"/>
      <c r="Q464" s="301"/>
      <c r="R464" s="301"/>
      <c r="S464" s="301"/>
      <c r="T464" s="301"/>
      <c r="U464" s="301"/>
      <c r="V464" s="301"/>
      <c r="W464" s="301"/>
      <c r="X464" s="301"/>
      <c r="Y464" s="301"/>
      <c r="Z464" s="301"/>
    </row>
    <row r="465" spans="1:26" ht="11.25" customHeight="1">
      <c r="A465" s="301"/>
      <c r="B465" s="301"/>
      <c r="C465" s="301"/>
      <c r="D465" s="301"/>
      <c r="E465" s="301"/>
      <c r="F465" s="301"/>
      <c r="G465" s="301"/>
      <c r="H465" s="301"/>
      <c r="I465" s="301"/>
      <c r="J465" s="301"/>
      <c r="K465" s="301"/>
      <c r="L465" s="301"/>
      <c r="M465" s="301"/>
      <c r="N465" s="301"/>
      <c r="O465" s="301"/>
      <c r="P465" s="301"/>
      <c r="Q465" s="301"/>
      <c r="R465" s="301"/>
      <c r="S465" s="301"/>
      <c r="T465" s="301"/>
      <c r="U465" s="301"/>
      <c r="V465" s="301"/>
      <c r="W465" s="301"/>
      <c r="X465" s="301"/>
      <c r="Y465" s="301"/>
      <c r="Z465" s="301"/>
    </row>
    <row r="466" spans="1:26" ht="11.25" customHeight="1">
      <c r="A466" s="301"/>
      <c r="B466" s="301"/>
      <c r="C466" s="301"/>
      <c r="D466" s="301"/>
      <c r="E466" s="301"/>
      <c r="F466" s="301"/>
      <c r="G466" s="301"/>
      <c r="H466" s="301"/>
      <c r="I466" s="301"/>
      <c r="J466" s="301"/>
      <c r="K466" s="301"/>
      <c r="L466" s="301"/>
      <c r="M466" s="301"/>
      <c r="N466" s="301"/>
      <c r="O466" s="301"/>
      <c r="P466" s="301"/>
      <c r="Q466" s="301"/>
      <c r="R466" s="301"/>
      <c r="S466" s="301"/>
      <c r="T466" s="301"/>
      <c r="U466" s="301"/>
      <c r="V466" s="301"/>
      <c r="W466" s="301"/>
      <c r="X466" s="301"/>
      <c r="Y466" s="301"/>
      <c r="Z466" s="301"/>
    </row>
    <row r="467" spans="1:26" ht="11.25" customHeight="1">
      <c r="A467" s="301"/>
      <c r="B467" s="301"/>
      <c r="C467" s="301"/>
      <c r="D467" s="301"/>
      <c r="E467" s="301"/>
      <c r="F467" s="301"/>
      <c r="G467" s="301"/>
      <c r="H467" s="301"/>
      <c r="I467" s="301"/>
      <c r="J467" s="301"/>
      <c r="K467" s="301"/>
      <c r="L467" s="301"/>
      <c r="M467" s="301"/>
      <c r="N467" s="301"/>
      <c r="O467" s="301"/>
      <c r="P467" s="301"/>
      <c r="Q467" s="301"/>
      <c r="R467" s="301"/>
      <c r="S467" s="301"/>
      <c r="T467" s="301"/>
      <c r="U467" s="301"/>
      <c r="V467" s="301"/>
      <c r="W467" s="301"/>
      <c r="X467" s="301"/>
      <c r="Y467" s="301"/>
      <c r="Z467" s="301"/>
    </row>
    <row r="468" spans="1:26" ht="11.25" customHeight="1">
      <c r="A468" s="301"/>
      <c r="B468" s="301"/>
      <c r="C468" s="301"/>
      <c r="D468" s="301"/>
      <c r="E468" s="301"/>
      <c r="F468" s="301"/>
      <c r="G468" s="301"/>
      <c r="H468" s="301"/>
      <c r="I468" s="301"/>
      <c r="J468" s="301"/>
      <c r="K468" s="301"/>
      <c r="L468" s="301"/>
      <c r="M468" s="301"/>
      <c r="N468" s="301"/>
      <c r="O468" s="301"/>
      <c r="P468" s="301"/>
      <c r="Q468" s="301"/>
      <c r="R468" s="301"/>
      <c r="S468" s="301"/>
      <c r="T468" s="301"/>
      <c r="U468" s="301"/>
      <c r="V468" s="301"/>
      <c r="W468" s="301"/>
      <c r="X468" s="301"/>
      <c r="Y468" s="301"/>
      <c r="Z468" s="301"/>
    </row>
    <row r="469" spans="1:26" ht="11.25" customHeight="1">
      <c r="A469" s="301"/>
      <c r="B469" s="301"/>
      <c r="C469" s="301"/>
      <c r="D469" s="301"/>
      <c r="E469" s="301"/>
      <c r="F469" s="301"/>
      <c r="G469" s="301"/>
      <c r="H469" s="301"/>
      <c r="I469" s="301"/>
      <c r="J469" s="301"/>
      <c r="K469" s="301"/>
      <c r="L469" s="301"/>
      <c r="M469" s="301"/>
      <c r="N469" s="301"/>
      <c r="O469" s="301"/>
      <c r="P469" s="301"/>
      <c r="Q469" s="301"/>
      <c r="R469" s="301"/>
      <c r="S469" s="301"/>
      <c r="T469" s="301"/>
      <c r="U469" s="301"/>
      <c r="V469" s="301"/>
      <c r="W469" s="301"/>
      <c r="X469" s="301"/>
      <c r="Y469" s="301"/>
      <c r="Z469" s="301"/>
    </row>
    <row r="470" spans="1:26" ht="11.25" customHeight="1">
      <c r="A470" s="301"/>
      <c r="B470" s="301"/>
      <c r="C470" s="301"/>
      <c r="D470" s="301"/>
      <c r="E470" s="301"/>
      <c r="F470" s="301"/>
      <c r="G470" s="301"/>
      <c r="H470" s="301"/>
      <c r="I470" s="301"/>
      <c r="J470" s="301"/>
      <c r="K470" s="301"/>
      <c r="L470" s="301"/>
      <c r="M470" s="301"/>
      <c r="N470" s="301"/>
      <c r="O470" s="301"/>
      <c r="P470" s="301"/>
      <c r="Q470" s="301"/>
      <c r="R470" s="301"/>
      <c r="S470" s="301"/>
      <c r="T470" s="301"/>
      <c r="U470" s="301"/>
      <c r="V470" s="301"/>
      <c r="W470" s="301"/>
      <c r="X470" s="301"/>
      <c r="Y470" s="301"/>
      <c r="Z470" s="301"/>
    </row>
    <row r="471" spans="1:26" ht="11.25" customHeight="1">
      <c r="A471" s="301"/>
      <c r="B471" s="301"/>
      <c r="C471" s="301"/>
      <c r="D471" s="301"/>
      <c r="E471" s="301"/>
      <c r="F471" s="301"/>
      <c r="G471" s="301"/>
      <c r="H471" s="301"/>
      <c r="I471" s="301"/>
      <c r="J471" s="301"/>
      <c r="K471" s="301"/>
      <c r="L471" s="301"/>
      <c r="M471" s="301"/>
      <c r="N471" s="301"/>
      <c r="O471" s="301"/>
      <c r="P471" s="301"/>
      <c r="Q471" s="301"/>
      <c r="R471" s="301"/>
      <c r="S471" s="301"/>
      <c r="T471" s="301"/>
      <c r="U471" s="301"/>
      <c r="V471" s="301"/>
      <c r="W471" s="301"/>
      <c r="X471" s="301"/>
      <c r="Y471" s="301"/>
      <c r="Z471" s="301"/>
    </row>
    <row r="472" spans="1:26" ht="11.25" customHeight="1">
      <c r="A472" s="301"/>
      <c r="B472" s="301"/>
      <c r="C472" s="301"/>
      <c r="D472" s="301"/>
      <c r="E472" s="301"/>
      <c r="F472" s="301"/>
      <c r="G472" s="301"/>
      <c r="H472" s="301"/>
      <c r="I472" s="301"/>
      <c r="J472" s="301"/>
      <c r="K472" s="301"/>
      <c r="L472" s="301"/>
      <c r="M472" s="301"/>
      <c r="N472" s="301"/>
      <c r="O472" s="301"/>
      <c r="P472" s="301"/>
      <c r="Q472" s="301"/>
      <c r="R472" s="301"/>
      <c r="S472" s="301"/>
      <c r="T472" s="301"/>
      <c r="U472" s="301"/>
      <c r="V472" s="301"/>
      <c r="W472" s="301"/>
      <c r="X472" s="301"/>
      <c r="Y472" s="301"/>
      <c r="Z472" s="301"/>
    </row>
    <row r="473" spans="1:26" ht="11.25" customHeight="1">
      <c r="A473" s="301"/>
      <c r="B473" s="301"/>
      <c r="C473" s="301"/>
      <c r="D473" s="301"/>
      <c r="E473" s="301"/>
      <c r="F473" s="301"/>
      <c r="G473" s="301"/>
      <c r="H473" s="301"/>
      <c r="I473" s="301"/>
      <c r="J473" s="301"/>
      <c r="K473" s="301"/>
      <c r="L473" s="301"/>
      <c r="M473" s="301"/>
      <c r="N473" s="301"/>
      <c r="O473" s="301"/>
      <c r="P473" s="301"/>
      <c r="Q473" s="301"/>
      <c r="R473" s="301"/>
      <c r="S473" s="301"/>
      <c r="T473" s="301"/>
      <c r="U473" s="301"/>
      <c r="V473" s="301"/>
      <c r="W473" s="301"/>
      <c r="X473" s="301"/>
      <c r="Y473" s="301"/>
      <c r="Z473" s="301"/>
    </row>
    <row r="474" spans="1:26" ht="11.25" customHeight="1">
      <c r="A474" s="301"/>
      <c r="B474" s="301"/>
      <c r="C474" s="301"/>
      <c r="D474" s="301"/>
      <c r="E474" s="301"/>
      <c r="F474" s="301"/>
      <c r="G474" s="301"/>
      <c r="H474" s="301"/>
      <c r="I474" s="301"/>
      <c r="J474" s="301"/>
      <c r="K474" s="301"/>
      <c r="L474" s="301"/>
      <c r="M474" s="301"/>
      <c r="N474" s="301"/>
      <c r="O474" s="301"/>
      <c r="P474" s="301"/>
      <c r="Q474" s="301"/>
      <c r="R474" s="301"/>
      <c r="S474" s="301"/>
      <c r="T474" s="301"/>
      <c r="U474" s="301"/>
      <c r="V474" s="301"/>
      <c r="W474" s="301"/>
      <c r="X474" s="301"/>
      <c r="Y474" s="301"/>
      <c r="Z474" s="301"/>
    </row>
    <row r="475" spans="1:26" ht="11.25" customHeight="1">
      <c r="A475" s="301"/>
      <c r="B475" s="301"/>
      <c r="C475" s="301"/>
      <c r="D475" s="301"/>
      <c r="E475" s="301"/>
      <c r="F475" s="301"/>
      <c r="G475" s="301"/>
      <c r="H475" s="301"/>
      <c r="I475" s="301"/>
      <c r="J475" s="301"/>
      <c r="K475" s="301"/>
      <c r="L475" s="301"/>
      <c r="M475" s="301"/>
      <c r="N475" s="301"/>
      <c r="O475" s="301"/>
      <c r="P475" s="301"/>
      <c r="Q475" s="301"/>
      <c r="R475" s="301"/>
      <c r="S475" s="301"/>
      <c r="T475" s="301"/>
      <c r="U475" s="301"/>
      <c r="V475" s="301"/>
      <c r="W475" s="301"/>
      <c r="X475" s="301"/>
      <c r="Y475" s="301"/>
      <c r="Z475" s="301"/>
    </row>
    <row r="476" spans="1:26" ht="11.25" customHeight="1">
      <c r="A476" s="301"/>
      <c r="B476" s="301"/>
      <c r="C476" s="301"/>
      <c r="D476" s="301"/>
      <c r="E476" s="301"/>
      <c r="F476" s="301"/>
      <c r="G476" s="301"/>
      <c r="H476" s="301"/>
      <c r="I476" s="301"/>
      <c r="J476" s="301"/>
      <c r="K476" s="301"/>
      <c r="L476" s="301"/>
      <c r="M476" s="301"/>
      <c r="N476" s="301"/>
      <c r="O476" s="301"/>
      <c r="P476" s="301"/>
      <c r="Q476" s="301"/>
      <c r="R476" s="301"/>
      <c r="S476" s="301"/>
      <c r="T476" s="301"/>
      <c r="U476" s="301"/>
      <c r="V476" s="301"/>
      <c r="W476" s="301"/>
      <c r="X476" s="301"/>
      <c r="Y476" s="301"/>
      <c r="Z476" s="301"/>
    </row>
    <row r="477" spans="1:26" ht="11.25" customHeight="1">
      <c r="A477" s="301"/>
      <c r="B477" s="301"/>
      <c r="C477" s="301"/>
      <c r="D477" s="301"/>
      <c r="E477" s="301"/>
      <c r="F477" s="301"/>
      <c r="G477" s="301"/>
      <c r="H477" s="301"/>
      <c r="I477" s="301"/>
      <c r="J477" s="301"/>
      <c r="K477" s="301"/>
      <c r="L477" s="301"/>
      <c r="M477" s="301"/>
      <c r="N477" s="301"/>
      <c r="O477" s="301"/>
      <c r="P477" s="301"/>
      <c r="Q477" s="301"/>
      <c r="R477" s="301"/>
      <c r="S477" s="301"/>
      <c r="T477" s="301"/>
      <c r="U477" s="301"/>
      <c r="V477" s="301"/>
      <c r="W477" s="301"/>
      <c r="X477" s="301"/>
      <c r="Y477" s="301"/>
      <c r="Z477" s="301"/>
    </row>
    <row r="478" spans="1:26" ht="11.25" customHeight="1">
      <c r="A478" s="301"/>
      <c r="B478" s="301"/>
      <c r="C478" s="301"/>
      <c r="D478" s="301"/>
      <c r="E478" s="301"/>
      <c r="F478" s="301"/>
      <c r="G478" s="301"/>
      <c r="H478" s="301"/>
      <c r="I478" s="301"/>
      <c r="J478" s="301"/>
      <c r="K478" s="301"/>
      <c r="L478" s="301"/>
      <c r="M478" s="301"/>
      <c r="N478" s="301"/>
      <c r="O478" s="301"/>
      <c r="P478" s="301"/>
      <c r="Q478" s="301"/>
      <c r="R478" s="301"/>
      <c r="S478" s="301"/>
      <c r="T478" s="301"/>
      <c r="U478" s="301"/>
      <c r="V478" s="301"/>
      <c r="W478" s="301"/>
      <c r="X478" s="301"/>
      <c r="Y478" s="301"/>
      <c r="Z478" s="301"/>
    </row>
    <row r="479" spans="1:26" ht="11.25" customHeight="1">
      <c r="A479" s="301"/>
      <c r="B479" s="301"/>
      <c r="C479" s="301"/>
      <c r="D479" s="301"/>
      <c r="E479" s="301"/>
      <c r="F479" s="301"/>
      <c r="G479" s="301"/>
      <c r="H479" s="301"/>
      <c r="I479" s="301"/>
      <c r="J479" s="301"/>
      <c r="K479" s="301"/>
      <c r="L479" s="301"/>
      <c r="M479" s="301"/>
      <c r="N479" s="301"/>
      <c r="O479" s="301"/>
      <c r="P479" s="301"/>
      <c r="Q479" s="301"/>
      <c r="R479" s="301"/>
      <c r="S479" s="301"/>
      <c r="T479" s="301"/>
      <c r="U479" s="301"/>
      <c r="V479" s="301"/>
      <c r="W479" s="301"/>
      <c r="X479" s="301"/>
      <c r="Y479" s="301"/>
      <c r="Z479" s="301"/>
    </row>
    <row r="480" spans="1:26" ht="11.25" customHeight="1">
      <c r="A480" s="301"/>
      <c r="B480" s="301"/>
      <c r="C480" s="301"/>
      <c r="D480" s="301"/>
      <c r="E480" s="301"/>
      <c r="F480" s="301"/>
      <c r="G480" s="301"/>
      <c r="H480" s="301"/>
      <c r="I480" s="301"/>
      <c r="J480" s="301"/>
      <c r="K480" s="301"/>
      <c r="L480" s="301"/>
      <c r="M480" s="301"/>
      <c r="N480" s="301"/>
      <c r="O480" s="301"/>
      <c r="P480" s="301"/>
      <c r="Q480" s="301"/>
      <c r="R480" s="301"/>
      <c r="S480" s="301"/>
      <c r="T480" s="301"/>
      <c r="U480" s="301"/>
      <c r="V480" s="301"/>
      <c r="W480" s="301"/>
      <c r="X480" s="301"/>
      <c r="Y480" s="301"/>
      <c r="Z480" s="301"/>
    </row>
    <row r="481" spans="1:26" ht="11.25" customHeight="1">
      <c r="A481" s="301"/>
      <c r="B481" s="301"/>
      <c r="C481" s="301"/>
      <c r="D481" s="301"/>
      <c r="E481" s="301"/>
      <c r="F481" s="301"/>
      <c r="G481" s="301"/>
      <c r="H481" s="301"/>
      <c r="I481" s="301"/>
      <c r="J481" s="301"/>
      <c r="K481" s="301"/>
      <c r="L481" s="301"/>
      <c r="M481" s="301"/>
      <c r="N481" s="301"/>
      <c r="O481" s="301"/>
      <c r="P481" s="301"/>
      <c r="Q481" s="301"/>
      <c r="R481" s="301"/>
      <c r="S481" s="301"/>
      <c r="T481" s="301"/>
      <c r="U481" s="301"/>
      <c r="V481" s="301"/>
      <c r="W481" s="301"/>
      <c r="X481" s="301"/>
      <c r="Y481" s="301"/>
      <c r="Z481" s="301"/>
    </row>
    <row r="482" spans="1:26" ht="11.25" customHeight="1">
      <c r="A482" s="301"/>
      <c r="B482" s="301"/>
      <c r="C482" s="301"/>
      <c r="D482" s="301"/>
      <c r="E482" s="301"/>
      <c r="F482" s="301"/>
      <c r="G482" s="301"/>
      <c r="H482" s="301"/>
      <c r="I482" s="301"/>
      <c r="J482" s="301"/>
      <c r="K482" s="301"/>
      <c r="L482" s="301"/>
      <c r="M482" s="301"/>
      <c r="N482" s="301"/>
      <c r="O482" s="301"/>
      <c r="P482" s="301"/>
      <c r="Q482" s="301"/>
      <c r="R482" s="301"/>
      <c r="S482" s="301"/>
      <c r="T482" s="301"/>
      <c r="U482" s="301"/>
      <c r="V482" s="301"/>
      <c r="W482" s="301"/>
      <c r="X482" s="301"/>
      <c r="Y482" s="301"/>
      <c r="Z482" s="301"/>
    </row>
    <row r="483" spans="1:26" ht="11.25" customHeight="1">
      <c r="A483" s="301"/>
      <c r="B483" s="301"/>
      <c r="C483" s="301"/>
      <c r="D483" s="301"/>
      <c r="E483" s="301"/>
      <c r="F483" s="301"/>
      <c r="G483" s="301"/>
      <c r="H483" s="301"/>
      <c r="I483" s="301"/>
      <c r="J483" s="301"/>
      <c r="K483" s="301"/>
      <c r="L483" s="301"/>
      <c r="M483" s="301"/>
      <c r="N483" s="301"/>
      <c r="O483" s="301"/>
      <c r="P483" s="301"/>
      <c r="Q483" s="301"/>
      <c r="R483" s="301"/>
      <c r="S483" s="301"/>
      <c r="T483" s="301"/>
      <c r="U483" s="301"/>
      <c r="V483" s="301"/>
      <c r="W483" s="301"/>
      <c r="X483" s="301"/>
      <c r="Y483" s="301"/>
      <c r="Z483" s="301"/>
    </row>
    <row r="484" spans="1:26" ht="11.25" customHeight="1">
      <c r="A484" s="301"/>
      <c r="B484" s="301"/>
      <c r="C484" s="301"/>
      <c r="D484" s="301"/>
      <c r="E484" s="301"/>
      <c r="F484" s="301"/>
      <c r="G484" s="301"/>
      <c r="H484" s="301"/>
      <c r="I484" s="301"/>
      <c r="J484" s="301"/>
      <c r="K484" s="301"/>
      <c r="L484" s="301"/>
      <c r="M484" s="301"/>
      <c r="N484" s="301"/>
      <c r="O484" s="301"/>
      <c r="P484" s="301"/>
      <c r="Q484" s="301"/>
      <c r="R484" s="301"/>
      <c r="S484" s="301"/>
      <c r="T484" s="301"/>
      <c r="U484" s="301"/>
      <c r="V484" s="301"/>
      <c r="W484" s="301"/>
      <c r="X484" s="301"/>
      <c r="Y484" s="301"/>
      <c r="Z484" s="301"/>
    </row>
    <row r="485" spans="1:26" ht="11.25" customHeight="1">
      <c r="A485" s="301"/>
      <c r="B485" s="301"/>
      <c r="C485" s="301"/>
      <c r="D485" s="301"/>
      <c r="E485" s="301"/>
      <c r="F485" s="301"/>
      <c r="G485" s="301"/>
      <c r="H485" s="301"/>
      <c r="I485" s="301"/>
      <c r="J485" s="301"/>
      <c r="K485" s="301"/>
      <c r="L485" s="301"/>
      <c r="M485" s="301"/>
      <c r="N485" s="301"/>
      <c r="O485" s="301"/>
      <c r="P485" s="301"/>
      <c r="Q485" s="301"/>
      <c r="R485" s="301"/>
      <c r="S485" s="301"/>
      <c r="T485" s="301"/>
      <c r="U485" s="301"/>
      <c r="V485" s="301"/>
      <c r="W485" s="301"/>
      <c r="X485" s="301"/>
      <c r="Y485" s="301"/>
      <c r="Z485" s="301"/>
    </row>
    <row r="486" spans="1:26" ht="11.25" customHeight="1">
      <c r="A486" s="301"/>
      <c r="B486" s="301"/>
      <c r="C486" s="301"/>
      <c r="D486" s="301"/>
      <c r="E486" s="301"/>
      <c r="F486" s="301"/>
      <c r="G486" s="301"/>
      <c r="H486" s="301"/>
      <c r="I486" s="301"/>
      <c r="J486" s="301"/>
      <c r="K486" s="301"/>
      <c r="L486" s="301"/>
      <c r="M486" s="301"/>
      <c r="N486" s="301"/>
      <c r="O486" s="301"/>
      <c r="P486" s="301"/>
      <c r="Q486" s="301"/>
      <c r="R486" s="301"/>
      <c r="S486" s="301"/>
      <c r="T486" s="301"/>
      <c r="U486" s="301"/>
      <c r="V486" s="301"/>
      <c r="W486" s="301"/>
      <c r="X486" s="301"/>
      <c r="Y486" s="301"/>
      <c r="Z486" s="301"/>
    </row>
    <row r="487" spans="1:26" ht="11.25" customHeight="1">
      <c r="A487" s="301"/>
      <c r="B487" s="301"/>
      <c r="C487" s="301"/>
      <c r="D487" s="301"/>
      <c r="E487" s="301"/>
      <c r="F487" s="301"/>
      <c r="G487" s="301"/>
      <c r="H487" s="301"/>
      <c r="I487" s="301"/>
      <c r="J487" s="301"/>
      <c r="K487" s="301"/>
      <c r="L487" s="301"/>
      <c r="M487" s="301"/>
      <c r="N487" s="301"/>
      <c r="O487" s="301"/>
      <c r="P487" s="301"/>
      <c r="Q487" s="301"/>
      <c r="R487" s="301"/>
      <c r="S487" s="301"/>
      <c r="T487" s="301"/>
      <c r="U487" s="301"/>
      <c r="V487" s="301"/>
      <c r="W487" s="301"/>
      <c r="X487" s="301"/>
      <c r="Y487" s="301"/>
      <c r="Z487" s="301"/>
    </row>
    <row r="488" spans="1:26" ht="11.25" customHeight="1">
      <c r="A488" s="301"/>
      <c r="B488" s="301"/>
      <c r="C488" s="301"/>
      <c r="D488" s="301"/>
      <c r="E488" s="301"/>
      <c r="F488" s="301"/>
      <c r="G488" s="301"/>
      <c r="H488" s="301"/>
      <c r="I488" s="301"/>
      <c r="J488" s="301"/>
      <c r="K488" s="301"/>
      <c r="L488" s="301"/>
      <c r="M488" s="301"/>
      <c r="N488" s="301"/>
      <c r="O488" s="301"/>
      <c r="P488" s="301"/>
      <c r="Q488" s="301"/>
      <c r="R488" s="301"/>
      <c r="S488" s="301"/>
      <c r="T488" s="301"/>
      <c r="U488" s="301"/>
      <c r="V488" s="301"/>
      <c r="W488" s="301"/>
      <c r="X488" s="301"/>
      <c r="Y488" s="301"/>
      <c r="Z488" s="301"/>
    </row>
    <row r="489" spans="1:26" ht="11.25" customHeight="1">
      <c r="A489" s="301"/>
      <c r="B489" s="301"/>
      <c r="C489" s="301"/>
      <c r="D489" s="301"/>
      <c r="E489" s="301"/>
      <c r="F489" s="301"/>
      <c r="G489" s="301"/>
      <c r="H489" s="301"/>
      <c r="I489" s="301"/>
      <c r="J489" s="301"/>
      <c r="K489" s="301"/>
      <c r="L489" s="301"/>
      <c r="M489" s="301"/>
      <c r="N489" s="301"/>
      <c r="O489" s="301"/>
      <c r="P489" s="301"/>
      <c r="Q489" s="301"/>
      <c r="R489" s="301"/>
      <c r="S489" s="301"/>
      <c r="T489" s="301"/>
      <c r="U489" s="301"/>
      <c r="V489" s="301"/>
      <c r="W489" s="301"/>
      <c r="X489" s="301"/>
      <c r="Y489" s="301"/>
      <c r="Z489" s="301"/>
    </row>
    <row r="490" spans="1:26" ht="11.25" customHeight="1">
      <c r="A490" s="301"/>
      <c r="B490" s="301"/>
      <c r="C490" s="301"/>
      <c r="D490" s="301"/>
      <c r="E490" s="301"/>
      <c r="F490" s="301"/>
      <c r="G490" s="301"/>
      <c r="H490" s="301"/>
      <c r="I490" s="301"/>
      <c r="J490" s="301"/>
      <c r="K490" s="301"/>
      <c r="L490" s="301"/>
      <c r="M490" s="301"/>
      <c r="N490" s="301"/>
      <c r="O490" s="301"/>
      <c r="P490" s="301"/>
      <c r="Q490" s="301"/>
      <c r="R490" s="301"/>
      <c r="S490" s="301"/>
      <c r="T490" s="301"/>
      <c r="U490" s="301"/>
      <c r="V490" s="301"/>
      <c r="W490" s="301"/>
      <c r="X490" s="301"/>
      <c r="Y490" s="301"/>
      <c r="Z490" s="301"/>
    </row>
    <row r="491" spans="1:26" ht="11.25" customHeight="1">
      <c r="A491" s="301"/>
      <c r="B491" s="301"/>
      <c r="C491" s="301"/>
      <c r="D491" s="301"/>
      <c r="E491" s="301"/>
      <c r="F491" s="301"/>
      <c r="G491" s="301"/>
      <c r="H491" s="301"/>
      <c r="I491" s="301"/>
      <c r="J491" s="301"/>
      <c r="K491" s="301"/>
      <c r="L491" s="301"/>
      <c r="M491" s="301"/>
      <c r="N491" s="301"/>
      <c r="O491" s="301"/>
      <c r="P491" s="301"/>
      <c r="Q491" s="301"/>
      <c r="R491" s="301"/>
      <c r="S491" s="301"/>
      <c r="T491" s="301"/>
      <c r="U491" s="301"/>
      <c r="V491" s="301"/>
      <c r="W491" s="301"/>
      <c r="X491" s="301"/>
      <c r="Y491" s="301"/>
      <c r="Z491" s="301"/>
    </row>
    <row r="492" spans="1:26" ht="11.25" customHeight="1">
      <c r="A492" s="301"/>
      <c r="B492" s="301"/>
      <c r="C492" s="301"/>
      <c r="D492" s="301"/>
      <c r="E492" s="301"/>
      <c r="F492" s="301"/>
      <c r="G492" s="301"/>
      <c r="H492" s="301"/>
      <c r="I492" s="301"/>
      <c r="J492" s="301"/>
      <c r="K492" s="301"/>
      <c r="L492" s="301"/>
      <c r="M492" s="301"/>
      <c r="N492" s="301"/>
      <c r="O492" s="301"/>
      <c r="P492" s="301"/>
      <c r="Q492" s="301"/>
      <c r="R492" s="301"/>
      <c r="S492" s="301"/>
      <c r="T492" s="301"/>
      <c r="U492" s="301"/>
      <c r="V492" s="301"/>
      <c r="W492" s="301"/>
      <c r="X492" s="301"/>
      <c r="Y492" s="301"/>
      <c r="Z492" s="301"/>
    </row>
    <row r="493" spans="1:26" ht="11.25" customHeight="1">
      <c r="A493" s="301"/>
      <c r="B493" s="301"/>
      <c r="C493" s="301"/>
      <c r="D493" s="301"/>
      <c r="E493" s="301"/>
      <c r="F493" s="301"/>
      <c r="G493" s="301"/>
      <c r="H493" s="301"/>
      <c r="I493" s="301"/>
      <c r="J493" s="301"/>
      <c r="K493" s="301"/>
      <c r="L493" s="301"/>
      <c r="M493" s="301"/>
      <c r="N493" s="301"/>
      <c r="O493" s="301"/>
      <c r="P493" s="301"/>
      <c r="Q493" s="301"/>
      <c r="R493" s="301"/>
      <c r="S493" s="301"/>
      <c r="T493" s="301"/>
      <c r="U493" s="301"/>
      <c r="V493" s="301"/>
      <c r="W493" s="301"/>
      <c r="X493" s="301"/>
      <c r="Y493" s="301"/>
      <c r="Z493" s="301"/>
    </row>
    <row r="494" spans="1:26" ht="11.25" customHeight="1">
      <c r="A494" s="301"/>
      <c r="B494" s="301"/>
      <c r="C494" s="301"/>
      <c r="D494" s="301"/>
      <c r="E494" s="301"/>
      <c r="F494" s="301"/>
      <c r="G494" s="301"/>
      <c r="H494" s="301"/>
      <c r="I494" s="301"/>
      <c r="J494" s="301"/>
      <c r="K494" s="301"/>
      <c r="L494" s="301"/>
      <c r="M494" s="301"/>
      <c r="N494" s="301"/>
      <c r="O494" s="301"/>
      <c r="P494" s="301"/>
      <c r="Q494" s="301"/>
      <c r="R494" s="301"/>
      <c r="S494" s="301"/>
      <c r="T494" s="301"/>
      <c r="U494" s="301"/>
      <c r="V494" s="301"/>
      <c r="W494" s="301"/>
      <c r="X494" s="301"/>
      <c r="Y494" s="301"/>
      <c r="Z494" s="301"/>
    </row>
    <row r="495" spans="1:26" ht="11.25" customHeight="1">
      <c r="A495" s="301"/>
      <c r="B495" s="301"/>
      <c r="C495" s="301"/>
      <c r="D495" s="301"/>
      <c r="E495" s="301"/>
      <c r="F495" s="301"/>
      <c r="G495" s="301"/>
      <c r="H495" s="301"/>
      <c r="I495" s="301"/>
      <c r="J495" s="301"/>
      <c r="K495" s="301"/>
      <c r="L495" s="301"/>
      <c r="M495" s="301"/>
      <c r="N495" s="301"/>
      <c r="O495" s="301"/>
      <c r="P495" s="301"/>
      <c r="Q495" s="301"/>
      <c r="R495" s="301"/>
      <c r="S495" s="301"/>
      <c r="T495" s="301"/>
      <c r="U495" s="301"/>
      <c r="V495" s="301"/>
      <c r="W495" s="301"/>
      <c r="X495" s="301"/>
      <c r="Y495" s="301"/>
      <c r="Z495" s="301"/>
    </row>
    <row r="496" spans="1:26" ht="11.25" customHeight="1">
      <c r="A496" s="301"/>
      <c r="B496" s="301"/>
      <c r="C496" s="301"/>
      <c r="D496" s="301"/>
      <c r="E496" s="301"/>
      <c r="F496" s="301"/>
      <c r="G496" s="301"/>
      <c r="H496" s="301"/>
      <c r="I496" s="301"/>
      <c r="J496" s="301"/>
      <c r="K496" s="301"/>
      <c r="L496" s="301"/>
      <c r="M496" s="301"/>
      <c r="N496" s="301"/>
      <c r="O496" s="301"/>
      <c r="P496" s="301"/>
      <c r="Q496" s="301"/>
      <c r="R496" s="301"/>
      <c r="S496" s="301"/>
      <c r="T496" s="301"/>
      <c r="U496" s="301"/>
      <c r="V496" s="301"/>
      <c r="W496" s="301"/>
      <c r="X496" s="301"/>
      <c r="Y496" s="301"/>
      <c r="Z496" s="301"/>
    </row>
    <row r="497" spans="1:26" ht="11.25" customHeight="1">
      <c r="A497" s="301"/>
      <c r="B497" s="301"/>
      <c r="C497" s="301"/>
      <c r="D497" s="301"/>
      <c r="E497" s="301"/>
      <c r="F497" s="301"/>
      <c r="G497" s="301"/>
      <c r="H497" s="301"/>
      <c r="I497" s="301"/>
      <c r="J497" s="301"/>
      <c r="K497" s="301"/>
      <c r="L497" s="301"/>
      <c r="M497" s="301"/>
      <c r="N497" s="301"/>
      <c r="O497" s="301"/>
      <c r="P497" s="301"/>
      <c r="Q497" s="301"/>
      <c r="R497" s="301"/>
      <c r="S497" s="301"/>
      <c r="T497" s="301"/>
      <c r="U497" s="301"/>
      <c r="V497" s="301"/>
      <c r="W497" s="301"/>
      <c r="X497" s="301"/>
      <c r="Y497" s="301"/>
      <c r="Z497" s="301"/>
    </row>
    <row r="498" spans="1:26" ht="11.25" customHeight="1">
      <c r="A498" s="301"/>
      <c r="B498" s="301"/>
      <c r="C498" s="301"/>
      <c r="D498" s="301"/>
      <c r="E498" s="301"/>
      <c r="F498" s="301"/>
      <c r="G498" s="301"/>
      <c r="H498" s="301"/>
      <c r="I498" s="301"/>
      <c r="J498" s="301"/>
      <c r="K498" s="301"/>
      <c r="L498" s="301"/>
      <c r="M498" s="301"/>
      <c r="N498" s="301"/>
      <c r="O498" s="301"/>
      <c r="P498" s="301"/>
      <c r="Q498" s="301"/>
      <c r="R498" s="301"/>
      <c r="S498" s="301"/>
      <c r="T498" s="301"/>
      <c r="U498" s="301"/>
      <c r="V498" s="301"/>
      <c r="W498" s="301"/>
      <c r="X498" s="301"/>
      <c r="Y498" s="301"/>
      <c r="Z498" s="301"/>
    </row>
    <row r="499" spans="1:26" ht="11.25" customHeight="1">
      <c r="A499" s="301"/>
      <c r="B499" s="301"/>
      <c r="C499" s="301"/>
      <c r="D499" s="301"/>
      <c r="E499" s="301"/>
      <c r="F499" s="301"/>
      <c r="G499" s="301"/>
      <c r="H499" s="301"/>
      <c r="I499" s="301"/>
      <c r="J499" s="301"/>
      <c r="K499" s="301"/>
      <c r="L499" s="301"/>
      <c r="M499" s="301"/>
      <c r="N499" s="301"/>
      <c r="O499" s="301"/>
      <c r="P499" s="301"/>
      <c r="Q499" s="301"/>
      <c r="R499" s="301"/>
      <c r="S499" s="301"/>
      <c r="T499" s="301"/>
      <c r="U499" s="301"/>
      <c r="V499" s="301"/>
      <c r="W499" s="301"/>
      <c r="X499" s="301"/>
      <c r="Y499" s="301"/>
      <c r="Z499" s="301"/>
    </row>
    <row r="500" spans="1:26" ht="11.25" customHeight="1">
      <c r="A500" s="301"/>
      <c r="B500" s="301"/>
      <c r="C500" s="301"/>
      <c r="D500" s="301"/>
      <c r="E500" s="301"/>
      <c r="F500" s="301"/>
      <c r="G500" s="301"/>
      <c r="H500" s="301"/>
      <c r="I500" s="301"/>
      <c r="J500" s="301"/>
      <c r="K500" s="301"/>
      <c r="L500" s="301"/>
      <c r="M500" s="301"/>
      <c r="N500" s="301"/>
      <c r="O500" s="301"/>
      <c r="P500" s="301"/>
      <c r="Q500" s="301"/>
      <c r="R500" s="301"/>
      <c r="S500" s="301"/>
      <c r="T500" s="301"/>
      <c r="U500" s="301"/>
      <c r="V500" s="301"/>
      <c r="W500" s="301"/>
      <c r="X500" s="301"/>
      <c r="Y500" s="301"/>
      <c r="Z500" s="301"/>
    </row>
    <row r="501" spans="1:26" ht="11.25" customHeight="1">
      <c r="A501" s="301"/>
      <c r="B501" s="301"/>
      <c r="C501" s="301"/>
      <c r="D501" s="301"/>
      <c r="E501" s="301"/>
      <c r="F501" s="301"/>
      <c r="G501" s="301"/>
      <c r="H501" s="301"/>
      <c r="I501" s="301"/>
      <c r="J501" s="301"/>
      <c r="K501" s="301"/>
      <c r="L501" s="301"/>
      <c r="M501" s="301"/>
      <c r="N501" s="301"/>
      <c r="O501" s="301"/>
      <c r="P501" s="301"/>
      <c r="Q501" s="301"/>
      <c r="R501" s="301"/>
      <c r="S501" s="301"/>
      <c r="T501" s="301"/>
      <c r="U501" s="301"/>
      <c r="V501" s="301"/>
      <c r="W501" s="301"/>
      <c r="X501" s="301"/>
      <c r="Y501" s="301"/>
      <c r="Z501" s="301"/>
    </row>
    <row r="502" spans="1:26" ht="11.25" customHeight="1">
      <c r="A502" s="301"/>
      <c r="B502" s="301"/>
      <c r="C502" s="301"/>
      <c r="D502" s="301"/>
      <c r="E502" s="301"/>
      <c r="F502" s="301"/>
      <c r="G502" s="301"/>
      <c r="H502" s="301"/>
      <c r="I502" s="301"/>
      <c r="J502" s="301"/>
      <c r="K502" s="301"/>
      <c r="L502" s="301"/>
      <c r="M502" s="301"/>
      <c r="N502" s="301"/>
      <c r="O502" s="301"/>
      <c r="P502" s="301"/>
      <c r="Q502" s="301"/>
      <c r="R502" s="301"/>
      <c r="S502" s="301"/>
      <c r="T502" s="301"/>
      <c r="U502" s="301"/>
      <c r="V502" s="301"/>
      <c r="W502" s="301"/>
      <c r="X502" s="301"/>
      <c r="Y502" s="301"/>
      <c r="Z502" s="301"/>
    </row>
    <row r="503" spans="1:26" ht="11.25" customHeight="1">
      <c r="A503" s="301"/>
      <c r="B503" s="301"/>
      <c r="C503" s="301"/>
      <c r="D503" s="301"/>
      <c r="E503" s="301"/>
      <c r="F503" s="301"/>
      <c r="G503" s="301"/>
      <c r="H503" s="301"/>
      <c r="I503" s="301"/>
      <c r="J503" s="301"/>
      <c r="K503" s="301"/>
      <c r="L503" s="301"/>
      <c r="M503" s="301"/>
      <c r="N503" s="301"/>
      <c r="O503" s="301"/>
      <c r="P503" s="301"/>
      <c r="Q503" s="301"/>
      <c r="R503" s="301"/>
      <c r="S503" s="301"/>
      <c r="T503" s="301"/>
      <c r="U503" s="301"/>
      <c r="V503" s="301"/>
      <c r="W503" s="301"/>
      <c r="X503" s="301"/>
      <c r="Y503" s="301"/>
      <c r="Z503" s="301"/>
    </row>
    <row r="504" spans="1:26" ht="11.25" customHeight="1">
      <c r="A504" s="301"/>
      <c r="B504" s="301"/>
      <c r="C504" s="301"/>
      <c r="D504" s="301"/>
      <c r="E504" s="301"/>
      <c r="F504" s="301"/>
      <c r="G504" s="301"/>
      <c r="H504" s="301"/>
      <c r="I504" s="301"/>
      <c r="J504" s="301"/>
      <c r="K504" s="301"/>
      <c r="L504" s="301"/>
      <c r="M504" s="301"/>
      <c r="N504" s="301"/>
      <c r="O504" s="301"/>
      <c r="P504" s="301"/>
      <c r="Q504" s="301"/>
      <c r="R504" s="301"/>
      <c r="S504" s="301"/>
      <c r="T504" s="301"/>
      <c r="U504" s="301"/>
      <c r="V504" s="301"/>
      <c r="W504" s="301"/>
      <c r="X504" s="301"/>
      <c r="Y504" s="301"/>
      <c r="Z504" s="301"/>
    </row>
    <row r="505" spans="1:26" ht="11.25" customHeight="1">
      <c r="A505" s="301"/>
      <c r="B505" s="301"/>
      <c r="C505" s="301"/>
      <c r="D505" s="301"/>
      <c r="E505" s="301"/>
      <c r="F505" s="301"/>
      <c r="G505" s="301"/>
      <c r="H505" s="301"/>
      <c r="I505" s="301"/>
      <c r="J505" s="301"/>
      <c r="K505" s="301"/>
      <c r="L505" s="301"/>
      <c r="M505" s="301"/>
      <c r="N505" s="301"/>
      <c r="O505" s="301"/>
      <c r="P505" s="301"/>
      <c r="Q505" s="301"/>
      <c r="R505" s="301"/>
      <c r="S505" s="301"/>
      <c r="T505" s="301"/>
      <c r="U505" s="301"/>
      <c r="V505" s="301"/>
      <c r="W505" s="301"/>
      <c r="X505" s="301"/>
      <c r="Y505" s="301"/>
      <c r="Z505" s="301"/>
    </row>
    <row r="506" spans="1:26" ht="11.25" customHeight="1">
      <c r="A506" s="301"/>
      <c r="B506" s="301"/>
      <c r="C506" s="301"/>
      <c r="D506" s="301"/>
      <c r="E506" s="301"/>
      <c r="F506" s="301"/>
      <c r="G506" s="301"/>
      <c r="H506" s="301"/>
      <c r="I506" s="301"/>
      <c r="J506" s="301"/>
      <c r="K506" s="301"/>
      <c r="L506" s="301"/>
      <c r="M506" s="301"/>
      <c r="N506" s="301"/>
      <c r="O506" s="301"/>
      <c r="P506" s="301"/>
      <c r="Q506" s="301"/>
      <c r="R506" s="301"/>
      <c r="S506" s="301"/>
      <c r="T506" s="301"/>
      <c r="U506" s="301"/>
      <c r="V506" s="301"/>
      <c r="W506" s="301"/>
      <c r="X506" s="301"/>
      <c r="Y506" s="301"/>
      <c r="Z506" s="301"/>
    </row>
    <row r="507" spans="1:26" ht="11.25" customHeight="1">
      <c r="A507" s="301"/>
      <c r="B507" s="301"/>
      <c r="C507" s="301"/>
      <c r="D507" s="301"/>
      <c r="E507" s="301"/>
      <c r="F507" s="301"/>
      <c r="G507" s="301"/>
      <c r="H507" s="301"/>
      <c r="I507" s="301"/>
      <c r="J507" s="301"/>
      <c r="K507" s="301"/>
      <c r="L507" s="301"/>
      <c r="M507" s="301"/>
      <c r="N507" s="301"/>
      <c r="O507" s="301"/>
      <c r="P507" s="301"/>
      <c r="Q507" s="301"/>
      <c r="R507" s="301"/>
      <c r="S507" s="301"/>
      <c r="T507" s="301"/>
      <c r="U507" s="301"/>
      <c r="V507" s="301"/>
      <c r="W507" s="301"/>
      <c r="X507" s="301"/>
      <c r="Y507" s="301"/>
      <c r="Z507" s="301"/>
    </row>
    <row r="508" spans="1:26" ht="11.25" customHeight="1">
      <c r="A508" s="301"/>
      <c r="B508" s="301"/>
      <c r="C508" s="301"/>
      <c r="D508" s="301"/>
      <c r="E508" s="301"/>
      <c r="F508" s="301"/>
      <c r="G508" s="301"/>
      <c r="H508" s="301"/>
      <c r="I508" s="301"/>
      <c r="J508" s="301"/>
      <c r="K508" s="301"/>
      <c r="L508" s="301"/>
      <c r="M508" s="301"/>
      <c r="N508" s="301"/>
      <c r="O508" s="301"/>
      <c r="P508" s="301"/>
      <c r="Q508" s="301"/>
      <c r="R508" s="301"/>
      <c r="S508" s="301"/>
      <c r="T508" s="301"/>
      <c r="U508" s="301"/>
      <c r="V508" s="301"/>
      <c r="W508" s="301"/>
      <c r="X508" s="301"/>
      <c r="Y508" s="301"/>
      <c r="Z508" s="301"/>
    </row>
    <row r="509" spans="1:26" ht="11.25" customHeight="1">
      <c r="A509" s="301"/>
      <c r="B509" s="301"/>
      <c r="C509" s="301"/>
      <c r="D509" s="301"/>
      <c r="E509" s="301"/>
      <c r="F509" s="301"/>
      <c r="G509" s="301"/>
      <c r="H509" s="301"/>
      <c r="I509" s="301"/>
      <c r="J509" s="301"/>
      <c r="K509" s="301"/>
      <c r="L509" s="301"/>
      <c r="M509" s="301"/>
      <c r="N509" s="301"/>
      <c r="O509" s="301"/>
      <c r="P509" s="301"/>
      <c r="Q509" s="301"/>
      <c r="R509" s="301"/>
      <c r="S509" s="301"/>
      <c r="T509" s="301"/>
      <c r="U509" s="301"/>
      <c r="V509" s="301"/>
      <c r="W509" s="301"/>
      <c r="X509" s="301"/>
      <c r="Y509" s="301"/>
      <c r="Z509" s="301"/>
    </row>
    <row r="510" spans="1:26" ht="11.25" customHeight="1">
      <c r="A510" s="301"/>
      <c r="B510" s="301"/>
      <c r="C510" s="301"/>
      <c r="D510" s="301"/>
      <c r="E510" s="301"/>
      <c r="F510" s="301"/>
      <c r="G510" s="301"/>
      <c r="H510" s="301"/>
      <c r="I510" s="301"/>
      <c r="J510" s="301"/>
      <c r="K510" s="301"/>
      <c r="L510" s="301"/>
      <c r="M510" s="301"/>
      <c r="N510" s="301"/>
      <c r="O510" s="301"/>
      <c r="P510" s="301"/>
      <c r="Q510" s="301"/>
      <c r="R510" s="301"/>
      <c r="S510" s="301"/>
      <c r="T510" s="301"/>
      <c r="U510" s="301"/>
      <c r="V510" s="301"/>
      <c r="W510" s="301"/>
      <c r="X510" s="301"/>
      <c r="Y510" s="301"/>
      <c r="Z510" s="301"/>
    </row>
    <row r="511" spans="1:26" ht="11.25" customHeight="1">
      <c r="A511" s="301"/>
      <c r="B511" s="301"/>
      <c r="C511" s="301"/>
      <c r="D511" s="301"/>
      <c r="E511" s="301"/>
      <c r="F511" s="301"/>
      <c r="G511" s="301"/>
      <c r="H511" s="301"/>
      <c r="I511" s="301"/>
      <c r="J511" s="301"/>
      <c r="K511" s="301"/>
      <c r="L511" s="301"/>
      <c r="M511" s="301"/>
      <c r="N511" s="301"/>
      <c r="O511" s="301"/>
      <c r="P511" s="301"/>
      <c r="Q511" s="301"/>
      <c r="R511" s="301"/>
      <c r="S511" s="301"/>
      <c r="T511" s="301"/>
      <c r="U511" s="301"/>
      <c r="V511" s="301"/>
      <c r="W511" s="301"/>
      <c r="X511" s="301"/>
      <c r="Y511" s="301"/>
      <c r="Z511" s="301"/>
    </row>
    <row r="512" spans="1:26" ht="11.25" customHeight="1">
      <c r="A512" s="301"/>
      <c r="B512" s="301"/>
      <c r="C512" s="301"/>
      <c r="D512" s="301"/>
      <c r="E512" s="301"/>
      <c r="F512" s="301"/>
      <c r="G512" s="301"/>
      <c r="H512" s="301"/>
      <c r="I512" s="301"/>
      <c r="J512" s="301"/>
      <c r="K512" s="301"/>
      <c r="L512" s="301"/>
      <c r="M512" s="301"/>
      <c r="N512" s="301"/>
      <c r="O512" s="301"/>
      <c r="P512" s="301"/>
      <c r="Q512" s="301"/>
      <c r="R512" s="301"/>
      <c r="S512" s="301"/>
      <c r="T512" s="301"/>
      <c r="U512" s="301"/>
      <c r="V512" s="301"/>
      <c r="W512" s="301"/>
      <c r="X512" s="301"/>
      <c r="Y512" s="301"/>
      <c r="Z512" s="301"/>
    </row>
    <row r="513" spans="1:26" ht="11.25" customHeight="1">
      <c r="A513" s="301"/>
      <c r="B513" s="301"/>
      <c r="C513" s="301"/>
      <c r="D513" s="301"/>
      <c r="E513" s="301"/>
      <c r="F513" s="301"/>
      <c r="G513" s="301"/>
      <c r="H513" s="301"/>
      <c r="I513" s="301"/>
      <c r="J513" s="301"/>
      <c r="K513" s="301"/>
      <c r="L513" s="301"/>
      <c r="M513" s="301"/>
      <c r="N513" s="301"/>
      <c r="O513" s="301"/>
      <c r="P513" s="301"/>
      <c r="Q513" s="301"/>
      <c r="R513" s="301"/>
      <c r="S513" s="301"/>
      <c r="T513" s="301"/>
      <c r="U513" s="301"/>
      <c r="V513" s="301"/>
      <c r="W513" s="301"/>
      <c r="X513" s="301"/>
      <c r="Y513" s="301"/>
      <c r="Z513" s="301"/>
    </row>
    <row r="514" spans="1:26" ht="11.25" customHeight="1">
      <c r="A514" s="301"/>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c r="Z514" s="301"/>
    </row>
    <row r="515" spans="1:26" ht="11.25" customHeight="1">
      <c r="A515" s="301"/>
      <c r="B515" s="301"/>
      <c r="C515" s="301"/>
      <c r="D515" s="301"/>
      <c r="E515" s="301"/>
      <c r="F515" s="301"/>
      <c r="G515" s="301"/>
      <c r="H515" s="301"/>
      <c r="I515" s="301"/>
      <c r="J515" s="301"/>
      <c r="K515" s="301"/>
      <c r="L515" s="301"/>
      <c r="M515" s="301"/>
      <c r="N515" s="301"/>
      <c r="O515" s="301"/>
      <c r="P515" s="301"/>
      <c r="Q515" s="301"/>
      <c r="R515" s="301"/>
      <c r="S515" s="301"/>
      <c r="T515" s="301"/>
      <c r="U515" s="301"/>
      <c r="V515" s="301"/>
      <c r="W515" s="301"/>
      <c r="X515" s="301"/>
      <c r="Y515" s="301"/>
      <c r="Z515" s="301"/>
    </row>
    <row r="516" spans="1:26" ht="11.25" customHeight="1">
      <c r="A516" s="301"/>
      <c r="B516" s="301"/>
      <c r="C516" s="301"/>
      <c r="D516" s="301"/>
      <c r="E516" s="301"/>
      <c r="F516" s="301"/>
      <c r="G516" s="301"/>
      <c r="H516" s="301"/>
      <c r="I516" s="301"/>
      <c r="J516" s="301"/>
      <c r="K516" s="301"/>
      <c r="L516" s="301"/>
      <c r="M516" s="301"/>
      <c r="N516" s="301"/>
      <c r="O516" s="301"/>
      <c r="P516" s="301"/>
      <c r="Q516" s="301"/>
      <c r="R516" s="301"/>
      <c r="S516" s="301"/>
      <c r="T516" s="301"/>
      <c r="U516" s="301"/>
      <c r="V516" s="301"/>
      <c r="W516" s="301"/>
      <c r="X516" s="301"/>
      <c r="Y516" s="301"/>
      <c r="Z516" s="301"/>
    </row>
    <row r="517" spans="1:26" ht="11.25" customHeight="1">
      <c r="A517" s="301"/>
      <c r="B517" s="301"/>
      <c r="C517" s="301"/>
      <c r="D517" s="301"/>
      <c r="E517" s="301"/>
      <c r="F517" s="301"/>
      <c r="G517" s="301"/>
      <c r="H517" s="301"/>
      <c r="I517" s="301"/>
      <c r="J517" s="301"/>
      <c r="K517" s="301"/>
      <c r="L517" s="301"/>
      <c r="M517" s="301"/>
      <c r="N517" s="301"/>
      <c r="O517" s="301"/>
      <c r="P517" s="301"/>
      <c r="Q517" s="301"/>
      <c r="R517" s="301"/>
      <c r="S517" s="301"/>
      <c r="T517" s="301"/>
      <c r="U517" s="301"/>
      <c r="V517" s="301"/>
      <c r="W517" s="301"/>
      <c r="X517" s="301"/>
      <c r="Y517" s="301"/>
      <c r="Z517" s="301"/>
    </row>
    <row r="518" spans="1:26" ht="11.25" customHeight="1">
      <c r="A518" s="301"/>
      <c r="B518" s="301"/>
      <c r="C518" s="301"/>
      <c r="D518" s="301"/>
      <c r="E518" s="301"/>
      <c r="F518" s="301"/>
      <c r="G518" s="301"/>
      <c r="H518" s="301"/>
      <c r="I518" s="301"/>
      <c r="J518" s="301"/>
      <c r="K518" s="301"/>
      <c r="L518" s="301"/>
      <c r="M518" s="301"/>
      <c r="N518" s="301"/>
      <c r="O518" s="301"/>
      <c r="P518" s="301"/>
      <c r="Q518" s="301"/>
      <c r="R518" s="301"/>
      <c r="S518" s="301"/>
      <c r="T518" s="301"/>
      <c r="U518" s="301"/>
      <c r="V518" s="301"/>
      <c r="W518" s="301"/>
      <c r="X518" s="301"/>
      <c r="Y518" s="301"/>
      <c r="Z518" s="301"/>
    </row>
    <row r="519" spans="1:26" ht="11.25" customHeight="1">
      <c r="A519" s="301"/>
      <c r="B519" s="301"/>
      <c r="C519" s="301"/>
      <c r="D519" s="301"/>
      <c r="E519" s="301"/>
      <c r="F519" s="301"/>
      <c r="G519" s="301"/>
      <c r="H519" s="301"/>
      <c r="I519" s="301"/>
      <c r="J519" s="301"/>
      <c r="K519" s="301"/>
      <c r="L519" s="301"/>
      <c r="M519" s="301"/>
      <c r="N519" s="301"/>
      <c r="O519" s="301"/>
      <c r="P519" s="301"/>
      <c r="Q519" s="301"/>
      <c r="R519" s="301"/>
      <c r="S519" s="301"/>
      <c r="T519" s="301"/>
      <c r="U519" s="301"/>
      <c r="V519" s="301"/>
      <c r="W519" s="301"/>
      <c r="X519" s="301"/>
      <c r="Y519" s="301"/>
      <c r="Z519" s="301"/>
    </row>
    <row r="520" spans="1:26" ht="11.25" customHeight="1">
      <c r="A520" s="301"/>
      <c r="B520" s="301"/>
      <c r="C520" s="301"/>
      <c r="D520" s="301"/>
      <c r="E520" s="301"/>
      <c r="F520" s="301"/>
      <c r="G520" s="301"/>
      <c r="H520" s="301"/>
      <c r="I520" s="301"/>
      <c r="J520" s="301"/>
      <c r="K520" s="301"/>
      <c r="L520" s="301"/>
      <c r="M520" s="301"/>
      <c r="N520" s="301"/>
      <c r="O520" s="301"/>
      <c r="P520" s="301"/>
      <c r="Q520" s="301"/>
      <c r="R520" s="301"/>
      <c r="S520" s="301"/>
      <c r="T520" s="301"/>
      <c r="U520" s="301"/>
      <c r="V520" s="301"/>
      <c r="W520" s="301"/>
      <c r="X520" s="301"/>
      <c r="Y520" s="301"/>
      <c r="Z520" s="301"/>
    </row>
    <row r="521" spans="1:26" ht="11.25" customHeight="1">
      <c r="A521" s="301"/>
      <c r="B521" s="301"/>
      <c r="C521" s="301"/>
      <c r="D521" s="301"/>
      <c r="E521" s="301"/>
      <c r="F521" s="301"/>
      <c r="G521" s="301"/>
      <c r="H521" s="301"/>
      <c r="I521" s="301"/>
      <c r="J521" s="301"/>
      <c r="K521" s="301"/>
      <c r="L521" s="301"/>
      <c r="M521" s="301"/>
      <c r="N521" s="301"/>
      <c r="O521" s="301"/>
      <c r="P521" s="301"/>
      <c r="Q521" s="301"/>
      <c r="R521" s="301"/>
      <c r="S521" s="301"/>
      <c r="T521" s="301"/>
      <c r="U521" s="301"/>
      <c r="V521" s="301"/>
      <c r="W521" s="301"/>
      <c r="X521" s="301"/>
      <c r="Y521" s="301"/>
      <c r="Z521" s="301"/>
    </row>
    <row r="522" spans="1:26" ht="11.25" customHeight="1">
      <c r="A522" s="301"/>
      <c r="B522" s="301"/>
      <c r="C522" s="301"/>
      <c r="D522" s="301"/>
      <c r="E522" s="301"/>
      <c r="F522" s="301"/>
      <c r="G522" s="301"/>
      <c r="H522" s="301"/>
      <c r="I522" s="301"/>
      <c r="J522" s="301"/>
      <c r="K522" s="301"/>
      <c r="L522" s="301"/>
      <c r="M522" s="301"/>
      <c r="N522" s="301"/>
      <c r="O522" s="301"/>
      <c r="P522" s="301"/>
      <c r="Q522" s="301"/>
      <c r="R522" s="301"/>
      <c r="S522" s="301"/>
      <c r="T522" s="301"/>
      <c r="U522" s="301"/>
      <c r="V522" s="301"/>
      <c r="W522" s="301"/>
      <c r="X522" s="301"/>
      <c r="Y522" s="301"/>
      <c r="Z522" s="301"/>
    </row>
    <row r="523" spans="1:26" ht="11.25" customHeight="1">
      <c r="A523" s="301"/>
      <c r="B523" s="301"/>
      <c r="C523" s="301"/>
      <c r="D523" s="301"/>
      <c r="E523" s="301"/>
      <c r="F523" s="301"/>
      <c r="G523" s="301"/>
      <c r="H523" s="301"/>
      <c r="I523" s="301"/>
      <c r="J523" s="301"/>
      <c r="K523" s="301"/>
      <c r="L523" s="301"/>
      <c r="M523" s="301"/>
      <c r="N523" s="301"/>
      <c r="O523" s="301"/>
      <c r="P523" s="301"/>
      <c r="Q523" s="301"/>
      <c r="R523" s="301"/>
      <c r="S523" s="301"/>
      <c r="T523" s="301"/>
      <c r="U523" s="301"/>
      <c r="V523" s="301"/>
      <c r="W523" s="301"/>
      <c r="X523" s="301"/>
      <c r="Y523" s="301"/>
      <c r="Z523" s="301"/>
    </row>
    <row r="524" spans="1:26" ht="11.25" customHeight="1">
      <c r="A524" s="301"/>
      <c r="B524" s="301"/>
      <c r="C524" s="301"/>
      <c r="D524" s="301"/>
      <c r="E524" s="301"/>
      <c r="F524" s="301"/>
      <c r="G524" s="301"/>
      <c r="H524" s="301"/>
      <c r="I524" s="301"/>
      <c r="J524" s="301"/>
      <c r="K524" s="301"/>
      <c r="L524" s="301"/>
      <c r="M524" s="301"/>
      <c r="N524" s="301"/>
      <c r="O524" s="301"/>
      <c r="P524" s="301"/>
      <c r="Q524" s="301"/>
      <c r="R524" s="301"/>
      <c r="S524" s="301"/>
      <c r="T524" s="301"/>
      <c r="U524" s="301"/>
      <c r="V524" s="301"/>
      <c r="W524" s="301"/>
      <c r="X524" s="301"/>
      <c r="Y524" s="301"/>
      <c r="Z524" s="301"/>
    </row>
    <row r="525" spans="1:26" ht="11.25" customHeight="1">
      <c r="A525" s="301"/>
      <c r="B525" s="301"/>
      <c r="C525" s="301"/>
      <c r="D525" s="301"/>
      <c r="E525" s="301"/>
      <c r="F525" s="301"/>
      <c r="G525" s="301"/>
      <c r="H525" s="301"/>
      <c r="I525" s="301"/>
      <c r="J525" s="301"/>
      <c r="K525" s="301"/>
      <c r="L525" s="301"/>
      <c r="M525" s="301"/>
      <c r="N525" s="301"/>
      <c r="O525" s="301"/>
      <c r="P525" s="301"/>
      <c r="Q525" s="301"/>
      <c r="R525" s="301"/>
      <c r="S525" s="301"/>
      <c r="T525" s="301"/>
      <c r="U525" s="301"/>
      <c r="V525" s="301"/>
      <c r="W525" s="301"/>
      <c r="X525" s="301"/>
      <c r="Y525" s="301"/>
      <c r="Z525" s="301"/>
    </row>
    <row r="526" spans="1:26" ht="11.25" customHeight="1">
      <c r="A526" s="301"/>
      <c r="B526" s="301"/>
      <c r="C526" s="301"/>
      <c r="D526" s="301"/>
      <c r="E526" s="301"/>
      <c r="F526" s="301"/>
      <c r="G526" s="301"/>
      <c r="H526" s="301"/>
      <c r="I526" s="301"/>
      <c r="J526" s="301"/>
      <c r="K526" s="301"/>
      <c r="L526" s="301"/>
      <c r="M526" s="301"/>
      <c r="N526" s="301"/>
      <c r="O526" s="301"/>
      <c r="P526" s="301"/>
      <c r="Q526" s="301"/>
      <c r="R526" s="301"/>
      <c r="S526" s="301"/>
      <c r="T526" s="301"/>
      <c r="U526" s="301"/>
      <c r="V526" s="301"/>
      <c r="W526" s="301"/>
      <c r="X526" s="301"/>
      <c r="Y526" s="301"/>
      <c r="Z526" s="301"/>
    </row>
    <row r="527" spans="1:26" ht="11.25" customHeight="1">
      <c r="A527" s="301"/>
      <c r="B527" s="301"/>
      <c r="C527" s="301"/>
      <c r="D527" s="301"/>
      <c r="E527" s="301"/>
      <c r="F527" s="301"/>
      <c r="G527" s="301"/>
      <c r="H527" s="301"/>
      <c r="I527" s="301"/>
      <c r="J527" s="301"/>
      <c r="K527" s="301"/>
      <c r="L527" s="301"/>
      <c r="M527" s="301"/>
      <c r="N527" s="301"/>
      <c r="O527" s="301"/>
      <c r="P527" s="301"/>
      <c r="Q527" s="301"/>
      <c r="R527" s="301"/>
      <c r="S527" s="301"/>
      <c r="T527" s="301"/>
      <c r="U527" s="301"/>
      <c r="V527" s="301"/>
      <c r="W527" s="301"/>
      <c r="X527" s="301"/>
      <c r="Y527" s="301"/>
      <c r="Z527" s="301"/>
    </row>
    <row r="528" spans="1:26" ht="11.25" customHeight="1">
      <c r="A528" s="301"/>
      <c r="B528" s="301"/>
      <c r="C528" s="301"/>
      <c r="D528" s="301"/>
      <c r="E528" s="301"/>
      <c r="F528" s="301"/>
      <c r="G528" s="301"/>
      <c r="H528" s="301"/>
      <c r="I528" s="301"/>
      <c r="J528" s="301"/>
      <c r="K528" s="301"/>
      <c r="L528" s="301"/>
      <c r="M528" s="301"/>
      <c r="N528" s="301"/>
      <c r="O528" s="301"/>
      <c r="P528" s="301"/>
      <c r="Q528" s="301"/>
      <c r="R528" s="301"/>
      <c r="S528" s="301"/>
      <c r="T528" s="301"/>
      <c r="U528" s="301"/>
      <c r="V528" s="301"/>
      <c r="W528" s="301"/>
      <c r="X528" s="301"/>
      <c r="Y528" s="301"/>
      <c r="Z528" s="301"/>
    </row>
    <row r="529" spans="1:26" ht="11.25" customHeight="1">
      <c r="A529" s="301"/>
      <c r="B529" s="301"/>
      <c r="C529" s="301"/>
      <c r="D529" s="301"/>
      <c r="E529" s="301"/>
      <c r="F529" s="301"/>
      <c r="G529" s="301"/>
      <c r="H529" s="301"/>
      <c r="I529" s="301"/>
      <c r="J529" s="301"/>
      <c r="K529" s="301"/>
      <c r="L529" s="301"/>
      <c r="M529" s="301"/>
      <c r="N529" s="301"/>
      <c r="O529" s="301"/>
      <c r="P529" s="301"/>
      <c r="Q529" s="301"/>
      <c r="R529" s="301"/>
      <c r="S529" s="301"/>
      <c r="T529" s="301"/>
      <c r="U529" s="301"/>
      <c r="V529" s="301"/>
      <c r="W529" s="301"/>
      <c r="X529" s="301"/>
      <c r="Y529" s="301"/>
      <c r="Z529" s="301"/>
    </row>
    <row r="530" spans="1:26" ht="11.25" customHeight="1">
      <c r="A530" s="301"/>
      <c r="B530" s="301"/>
      <c r="C530" s="301"/>
      <c r="D530" s="301"/>
      <c r="E530" s="301"/>
      <c r="F530" s="301"/>
      <c r="G530" s="301"/>
      <c r="H530" s="301"/>
      <c r="I530" s="301"/>
      <c r="J530" s="301"/>
      <c r="K530" s="301"/>
      <c r="L530" s="301"/>
      <c r="M530" s="301"/>
      <c r="N530" s="301"/>
      <c r="O530" s="301"/>
      <c r="P530" s="301"/>
      <c r="Q530" s="301"/>
      <c r="R530" s="301"/>
      <c r="S530" s="301"/>
      <c r="T530" s="301"/>
      <c r="U530" s="301"/>
      <c r="V530" s="301"/>
      <c r="W530" s="301"/>
      <c r="X530" s="301"/>
      <c r="Y530" s="301"/>
      <c r="Z530" s="301"/>
    </row>
    <row r="531" spans="1:26" ht="11.25" customHeight="1">
      <c r="A531" s="301"/>
      <c r="B531" s="301"/>
      <c r="C531" s="301"/>
      <c r="D531" s="301"/>
      <c r="E531" s="301"/>
      <c r="F531" s="301"/>
      <c r="G531" s="301"/>
      <c r="H531" s="301"/>
      <c r="I531" s="301"/>
      <c r="J531" s="301"/>
      <c r="K531" s="301"/>
      <c r="L531" s="301"/>
      <c r="M531" s="301"/>
      <c r="N531" s="301"/>
      <c r="O531" s="301"/>
      <c r="P531" s="301"/>
      <c r="Q531" s="301"/>
      <c r="R531" s="301"/>
      <c r="S531" s="301"/>
      <c r="T531" s="301"/>
      <c r="U531" s="301"/>
      <c r="V531" s="301"/>
      <c r="W531" s="301"/>
      <c r="X531" s="301"/>
      <c r="Y531" s="301"/>
      <c r="Z531" s="301"/>
    </row>
    <row r="532" spans="1:26" ht="11.25" customHeight="1">
      <c r="A532" s="301"/>
      <c r="B532" s="301"/>
      <c r="C532" s="301"/>
      <c r="D532" s="301"/>
      <c r="E532" s="301"/>
      <c r="F532" s="301"/>
      <c r="G532" s="301"/>
      <c r="H532" s="301"/>
      <c r="I532" s="301"/>
      <c r="J532" s="301"/>
      <c r="K532" s="301"/>
      <c r="L532" s="301"/>
      <c r="M532" s="301"/>
      <c r="N532" s="301"/>
      <c r="O532" s="301"/>
      <c r="P532" s="301"/>
      <c r="Q532" s="301"/>
      <c r="R532" s="301"/>
      <c r="S532" s="301"/>
      <c r="T532" s="301"/>
      <c r="U532" s="301"/>
      <c r="V532" s="301"/>
      <c r="W532" s="301"/>
      <c r="X532" s="301"/>
      <c r="Y532" s="301"/>
      <c r="Z532" s="301"/>
    </row>
    <row r="533" spans="1:26" ht="11.25" customHeight="1">
      <c r="A533" s="301"/>
      <c r="B533" s="301"/>
      <c r="C533" s="301"/>
      <c r="D533" s="301"/>
      <c r="E533" s="301"/>
      <c r="F533" s="301"/>
      <c r="G533" s="301"/>
      <c r="H533" s="301"/>
      <c r="I533" s="301"/>
      <c r="J533" s="301"/>
      <c r="K533" s="301"/>
      <c r="L533" s="301"/>
      <c r="M533" s="301"/>
      <c r="N533" s="301"/>
      <c r="O533" s="301"/>
      <c r="P533" s="301"/>
      <c r="Q533" s="301"/>
      <c r="R533" s="301"/>
      <c r="S533" s="301"/>
      <c r="T533" s="301"/>
      <c r="U533" s="301"/>
      <c r="V533" s="301"/>
      <c r="W533" s="301"/>
      <c r="X533" s="301"/>
      <c r="Y533" s="301"/>
      <c r="Z533" s="301"/>
    </row>
    <row r="534" spans="1:26" ht="11.25" customHeight="1">
      <c r="A534" s="301"/>
      <c r="B534" s="301"/>
      <c r="C534" s="301"/>
      <c r="D534" s="301"/>
      <c r="E534" s="301"/>
      <c r="F534" s="301"/>
      <c r="G534" s="301"/>
      <c r="H534" s="301"/>
      <c r="I534" s="301"/>
      <c r="J534" s="301"/>
      <c r="K534" s="301"/>
      <c r="L534" s="301"/>
      <c r="M534" s="301"/>
      <c r="N534" s="301"/>
      <c r="O534" s="301"/>
      <c r="P534" s="301"/>
      <c r="Q534" s="301"/>
      <c r="R534" s="301"/>
      <c r="S534" s="301"/>
      <c r="T534" s="301"/>
      <c r="U534" s="301"/>
      <c r="V534" s="301"/>
      <c r="W534" s="301"/>
      <c r="X534" s="301"/>
      <c r="Y534" s="301"/>
      <c r="Z534" s="301"/>
    </row>
    <row r="535" spans="1:26" ht="11.25" customHeight="1">
      <c r="A535" s="301"/>
      <c r="B535" s="301"/>
      <c r="C535" s="301"/>
      <c r="D535" s="301"/>
      <c r="E535" s="301"/>
      <c r="F535" s="301"/>
      <c r="G535" s="301"/>
      <c r="H535" s="301"/>
      <c r="I535" s="301"/>
      <c r="J535" s="301"/>
      <c r="K535" s="301"/>
      <c r="L535" s="301"/>
      <c r="M535" s="301"/>
      <c r="N535" s="301"/>
      <c r="O535" s="301"/>
      <c r="P535" s="301"/>
      <c r="Q535" s="301"/>
      <c r="R535" s="301"/>
      <c r="S535" s="301"/>
      <c r="T535" s="301"/>
      <c r="U535" s="301"/>
      <c r="V535" s="301"/>
      <c r="W535" s="301"/>
      <c r="X535" s="301"/>
      <c r="Y535" s="301"/>
      <c r="Z535" s="301"/>
    </row>
    <row r="536" spans="1:26" ht="11.25" customHeight="1">
      <c r="A536" s="301"/>
      <c r="B536" s="301"/>
      <c r="C536" s="301"/>
      <c r="D536" s="301"/>
      <c r="E536" s="301"/>
      <c r="F536" s="301"/>
      <c r="G536" s="301"/>
      <c r="H536" s="301"/>
      <c r="I536" s="301"/>
      <c r="J536" s="301"/>
      <c r="K536" s="301"/>
      <c r="L536" s="301"/>
      <c r="M536" s="301"/>
      <c r="N536" s="301"/>
      <c r="O536" s="301"/>
      <c r="P536" s="301"/>
      <c r="Q536" s="301"/>
      <c r="R536" s="301"/>
      <c r="S536" s="301"/>
      <c r="T536" s="301"/>
      <c r="U536" s="301"/>
      <c r="V536" s="301"/>
      <c r="W536" s="301"/>
      <c r="X536" s="301"/>
      <c r="Y536" s="301"/>
      <c r="Z536" s="301"/>
    </row>
    <row r="537" spans="1:26" ht="11.25" customHeight="1">
      <c r="A537" s="301"/>
      <c r="B537" s="301"/>
      <c r="C537" s="301"/>
      <c r="D537" s="301"/>
      <c r="E537" s="301"/>
      <c r="F537" s="301"/>
      <c r="G537" s="301"/>
      <c r="H537" s="301"/>
      <c r="I537" s="301"/>
      <c r="J537" s="301"/>
      <c r="K537" s="301"/>
      <c r="L537" s="301"/>
      <c r="M537" s="301"/>
      <c r="N537" s="301"/>
      <c r="O537" s="301"/>
      <c r="P537" s="301"/>
      <c r="Q537" s="301"/>
      <c r="R537" s="301"/>
      <c r="S537" s="301"/>
      <c r="T537" s="301"/>
      <c r="U537" s="301"/>
      <c r="V537" s="301"/>
      <c r="W537" s="301"/>
      <c r="X537" s="301"/>
      <c r="Y537" s="301"/>
      <c r="Z537" s="301"/>
    </row>
    <row r="538" spans="1:26" ht="11.25" customHeight="1">
      <c r="A538" s="301"/>
      <c r="B538" s="301"/>
      <c r="C538" s="301"/>
      <c r="D538" s="301"/>
      <c r="E538" s="301"/>
      <c r="F538" s="301"/>
      <c r="G538" s="301"/>
      <c r="H538" s="301"/>
      <c r="I538" s="301"/>
      <c r="J538" s="301"/>
      <c r="K538" s="301"/>
      <c r="L538" s="301"/>
      <c r="M538" s="301"/>
      <c r="N538" s="301"/>
      <c r="O538" s="301"/>
      <c r="P538" s="301"/>
      <c r="Q538" s="301"/>
      <c r="R538" s="301"/>
      <c r="S538" s="301"/>
      <c r="T538" s="301"/>
      <c r="U538" s="301"/>
      <c r="V538" s="301"/>
      <c r="W538" s="301"/>
      <c r="X538" s="301"/>
      <c r="Y538" s="301"/>
      <c r="Z538" s="301"/>
    </row>
    <row r="539" spans="1:26" ht="11.25" customHeight="1">
      <c r="A539" s="301"/>
      <c r="B539" s="301"/>
      <c r="C539" s="301"/>
      <c r="D539" s="301"/>
      <c r="E539" s="301"/>
      <c r="F539" s="301"/>
      <c r="G539" s="301"/>
      <c r="H539" s="301"/>
      <c r="I539" s="301"/>
      <c r="J539" s="301"/>
      <c r="K539" s="301"/>
      <c r="L539" s="301"/>
      <c r="M539" s="301"/>
      <c r="N539" s="301"/>
      <c r="O539" s="301"/>
      <c r="P539" s="301"/>
      <c r="Q539" s="301"/>
      <c r="R539" s="301"/>
      <c r="S539" s="301"/>
      <c r="T539" s="301"/>
      <c r="U539" s="301"/>
      <c r="V539" s="301"/>
      <c r="W539" s="301"/>
      <c r="X539" s="301"/>
      <c r="Y539" s="301"/>
      <c r="Z539" s="301"/>
    </row>
    <row r="540" spans="1:26" ht="11.25" customHeight="1">
      <c r="A540" s="301"/>
      <c r="B540" s="301"/>
      <c r="C540" s="301"/>
      <c r="D540" s="301"/>
      <c r="E540" s="301"/>
      <c r="F540" s="301"/>
      <c r="G540" s="301"/>
      <c r="H540" s="301"/>
      <c r="I540" s="301"/>
      <c r="J540" s="301"/>
      <c r="K540" s="301"/>
      <c r="L540" s="301"/>
      <c r="M540" s="301"/>
      <c r="N540" s="301"/>
      <c r="O540" s="301"/>
      <c r="P540" s="301"/>
      <c r="Q540" s="301"/>
      <c r="R540" s="301"/>
      <c r="S540" s="301"/>
      <c r="T540" s="301"/>
      <c r="U540" s="301"/>
      <c r="V540" s="301"/>
      <c r="W540" s="301"/>
      <c r="X540" s="301"/>
      <c r="Y540" s="301"/>
      <c r="Z540" s="301"/>
    </row>
    <row r="541" spans="1:26" ht="11.25" customHeight="1">
      <c r="A541" s="301"/>
      <c r="B541" s="301"/>
      <c r="C541" s="301"/>
      <c r="D541" s="301"/>
      <c r="E541" s="301"/>
      <c r="F541" s="301"/>
      <c r="G541" s="301"/>
      <c r="H541" s="301"/>
      <c r="I541" s="301"/>
      <c r="J541" s="301"/>
      <c r="K541" s="301"/>
      <c r="L541" s="301"/>
      <c r="M541" s="301"/>
      <c r="N541" s="301"/>
      <c r="O541" s="301"/>
      <c r="P541" s="301"/>
      <c r="Q541" s="301"/>
      <c r="R541" s="301"/>
      <c r="S541" s="301"/>
      <c r="T541" s="301"/>
      <c r="U541" s="301"/>
      <c r="V541" s="301"/>
      <c r="W541" s="301"/>
      <c r="X541" s="301"/>
      <c r="Y541" s="301"/>
      <c r="Z541" s="301"/>
    </row>
    <row r="542" spans="1:26" ht="11.25" customHeight="1">
      <c r="A542" s="301"/>
      <c r="B542" s="301"/>
      <c r="C542" s="301"/>
      <c r="D542" s="301"/>
      <c r="E542" s="301"/>
      <c r="F542" s="301"/>
      <c r="G542" s="301"/>
      <c r="H542" s="301"/>
      <c r="I542" s="301"/>
      <c r="J542" s="301"/>
      <c r="K542" s="301"/>
      <c r="L542" s="301"/>
      <c r="M542" s="301"/>
      <c r="N542" s="301"/>
      <c r="O542" s="301"/>
      <c r="P542" s="301"/>
      <c r="Q542" s="301"/>
      <c r="R542" s="301"/>
      <c r="S542" s="301"/>
      <c r="T542" s="301"/>
      <c r="U542" s="301"/>
      <c r="V542" s="301"/>
      <c r="W542" s="301"/>
      <c r="X542" s="301"/>
      <c r="Y542" s="301"/>
      <c r="Z542" s="301"/>
    </row>
    <row r="543" spans="1:26" ht="11.25" customHeight="1">
      <c r="A543" s="301"/>
      <c r="B543" s="301"/>
      <c r="C543" s="301"/>
      <c r="D543" s="301"/>
      <c r="E543" s="301"/>
      <c r="F543" s="301"/>
      <c r="G543" s="301"/>
      <c r="H543" s="301"/>
      <c r="I543" s="301"/>
      <c r="J543" s="301"/>
      <c r="K543" s="301"/>
      <c r="L543" s="301"/>
      <c r="M543" s="301"/>
      <c r="N543" s="301"/>
      <c r="O543" s="301"/>
      <c r="P543" s="301"/>
      <c r="Q543" s="301"/>
      <c r="R543" s="301"/>
      <c r="S543" s="301"/>
      <c r="T543" s="301"/>
      <c r="U543" s="301"/>
      <c r="V543" s="301"/>
      <c r="W543" s="301"/>
      <c r="X543" s="301"/>
      <c r="Y543" s="301"/>
      <c r="Z543" s="301"/>
    </row>
    <row r="544" spans="1:26" ht="11.25" customHeight="1">
      <c r="A544" s="301"/>
      <c r="B544" s="301"/>
      <c r="C544" s="301"/>
      <c r="D544" s="301"/>
      <c r="E544" s="301"/>
      <c r="F544" s="301"/>
      <c r="G544" s="301"/>
      <c r="H544" s="301"/>
      <c r="I544" s="301"/>
      <c r="J544" s="301"/>
      <c r="K544" s="301"/>
      <c r="L544" s="301"/>
      <c r="M544" s="301"/>
      <c r="N544" s="301"/>
      <c r="O544" s="301"/>
      <c r="P544" s="301"/>
      <c r="Q544" s="301"/>
      <c r="R544" s="301"/>
      <c r="S544" s="301"/>
      <c r="T544" s="301"/>
      <c r="U544" s="301"/>
      <c r="V544" s="301"/>
      <c r="W544" s="301"/>
      <c r="X544" s="301"/>
      <c r="Y544" s="301"/>
      <c r="Z544" s="301"/>
    </row>
    <row r="545" spans="1:26" ht="11.25" customHeight="1">
      <c r="A545" s="301"/>
      <c r="B545" s="301"/>
      <c r="C545" s="301"/>
      <c r="D545" s="301"/>
      <c r="E545" s="301"/>
      <c r="F545" s="301"/>
      <c r="G545" s="301"/>
      <c r="H545" s="301"/>
      <c r="I545" s="301"/>
      <c r="J545" s="301"/>
      <c r="K545" s="301"/>
      <c r="L545" s="301"/>
      <c r="M545" s="301"/>
      <c r="N545" s="301"/>
      <c r="O545" s="301"/>
      <c r="P545" s="301"/>
      <c r="Q545" s="301"/>
      <c r="R545" s="301"/>
      <c r="S545" s="301"/>
      <c r="T545" s="301"/>
      <c r="U545" s="301"/>
      <c r="V545" s="301"/>
      <c r="W545" s="301"/>
      <c r="X545" s="301"/>
      <c r="Y545" s="301"/>
      <c r="Z545" s="301"/>
    </row>
    <row r="546" spans="1:26" ht="11.25" customHeight="1">
      <c r="A546" s="301"/>
      <c r="B546" s="301"/>
      <c r="C546" s="301"/>
      <c r="D546" s="301"/>
      <c r="E546" s="301"/>
      <c r="F546" s="301"/>
      <c r="G546" s="301"/>
      <c r="H546" s="301"/>
      <c r="I546" s="301"/>
      <c r="J546" s="301"/>
      <c r="K546" s="301"/>
      <c r="L546" s="301"/>
      <c r="M546" s="301"/>
      <c r="N546" s="301"/>
      <c r="O546" s="301"/>
      <c r="P546" s="301"/>
      <c r="Q546" s="301"/>
      <c r="R546" s="301"/>
      <c r="S546" s="301"/>
      <c r="T546" s="301"/>
      <c r="U546" s="301"/>
      <c r="V546" s="301"/>
      <c r="W546" s="301"/>
      <c r="X546" s="301"/>
      <c r="Y546" s="301"/>
      <c r="Z546" s="301"/>
    </row>
    <row r="547" spans="1:26" ht="11.25" customHeight="1">
      <c r="A547" s="301"/>
      <c r="B547" s="301"/>
      <c r="C547" s="301"/>
      <c r="D547" s="301"/>
      <c r="E547" s="301"/>
      <c r="F547" s="301"/>
      <c r="G547" s="301"/>
      <c r="H547" s="301"/>
      <c r="I547" s="301"/>
      <c r="J547" s="301"/>
      <c r="K547" s="301"/>
      <c r="L547" s="301"/>
      <c r="M547" s="301"/>
      <c r="N547" s="301"/>
      <c r="O547" s="301"/>
      <c r="P547" s="301"/>
      <c r="Q547" s="301"/>
      <c r="R547" s="301"/>
      <c r="S547" s="301"/>
      <c r="T547" s="301"/>
      <c r="U547" s="301"/>
      <c r="V547" s="301"/>
      <c r="W547" s="301"/>
      <c r="X547" s="301"/>
      <c r="Y547" s="301"/>
      <c r="Z547" s="301"/>
    </row>
    <row r="548" spans="1:26" ht="11.25" customHeight="1">
      <c r="A548" s="301"/>
      <c r="B548" s="301"/>
      <c r="C548" s="301"/>
      <c r="D548" s="301"/>
      <c r="E548" s="301"/>
      <c r="F548" s="301"/>
      <c r="G548" s="301"/>
      <c r="H548" s="301"/>
      <c r="I548" s="301"/>
      <c r="J548" s="301"/>
      <c r="K548" s="301"/>
      <c r="L548" s="301"/>
      <c r="M548" s="301"/>
      <c r="N548" s="301"/>
      <c r="O548" s="301"/>
      <c r="P548" s="301"/>
      <c r="Q548" s="301"/>
      <c r="R548" s="301"/>
      <c r="S548" s="301"/>
      <c r="T548" s="301"/>
      <c r="U548" s="301"/>
      <c r="V548" s="301"/>
      <c r="W548" s="301"/>
      <c r="X548" s="301"/>
      <c r="Y548" s="301"/>
      <c r="Z548" s="301"/>
    </row>
    <row r="549" spans="1:26" ht="11.25" customHeight="1">
      <c r="A549" s="301"/>
      <c r="B549" s="301"/>
      <c r="C549" s="301"/>
      <c r="D549" s="301"/>
      <c r="E549" s="301"/>
      <c r="F549" s="301"/>
      <c r="G549" s="301"/>
      <c r="H549" s="301"/>
      <c r="I549" s="301"/>
      <c r="J549" s="301"/>
      <c r="K549" s="301"/>
      <c r="L549" s="301"/>
      <c r="M549" s="301"/>
      <c r="N549" s="301"/>
      <c r="O549" s="301"/>
      <c r="P549" s="301"/>
      <c r="Q549" s="301"/>
      <c r="R549" s="301"/>
      <c r="S549" s="301"/>
      <c r="T549" s="301"/>
      <c r="U549" s="301"/>
      <c r="V549" s="301"/>
      <c r="W549" s="301"/>
      <c r="X549" s="301"/>
      <c r="Y549" s="301"/>
      <c r="Z549" s="301"/>
    </row>
    <row r="550" spans="1:26" ht="11.25" customHeight="1">
      <c r="A550" s="301"/>
      <c r="B550" s="301"/>
      <c r="C550" s="301"/>
      <c r="D550" s="301"/>
      <c r="E550" s="301"/>
      <c r="F550" s="301"/>
      <c r="G550" s="301"/>
      <c r="H550" s="301"/>
      <c r="I550" s="301"/>
      <c r="J550" s="301"/>
      <c r="K550" s="301"/>
      <c r="L550" s="301"/>
      <c r="M550" s="301"/>
      <c r="N550" s="301"/>
      <c r="O550" s="301"/>
      <c r="P550" s="301"/>
      <c r="Q550" s="301"/>
      <c r="R550" s="301"/>
      <c r="S550" s="301"/>
      <c r="T550" s="301"/>
      <c r="U550" s="301"/>
      <c r="V550" s="301"/>
      <c r="W550" s="301"/>
      <c r="X550" s="301"/>
      <c r="Y550" s="301"/>
      <c r="Z550" s="301"/>
    </row>
    <row r="551" spans="1:26" ht="11.25" customHeight="1">
      <c r="A551" s="301"/>
      <c r="B551" s="301"/>
      <c r="C551" s="301"/>
      <c r="D551" s="301"/>
      <c r="E551" s="301"/>
      <c r="F551" s="301"/>
      <c r="G551" s="301"/>
      <c r="H551" s="301"/>
      <c r="I551" s="301"/>
      <c r="J551" s="301"/>
      <c r="K551" s="301"/>
      <c r="L551" s="301"/>
      <c r="M551" s="301"/>
      <c r="N551" s="301"/>
      <c r="O551" s="301"/>
      <c r="P551" s="301"/>
      <c r="Q551" s="301"/>
      <c r="R551" s="301"/>
      <c r="S551" s="301"/>
      <c r="T551" s="301"/>
      <c r="U551" s="301"/>
      <c r="V551" s="301"/>
      <c r="W551" s="301"/>
      <c r="X551" s="301"/>
      <c r="Y551" s="301"/>
      <c r="Z551" s="301"/>
    </row>
    <row r="552" spans="1:26" ht="11.25" customHeight="1">
      <c r="A552" s="301"/>
      <c r="B552" s="301"/>
      <c r="C552" s="301"/>
      <c r="D552" s="301"/>
      <c r="E552" s="301"/>
      <c r="F552" s="301"/>
      <c r="G552" s="301"/>
      <c r="H552" s="301"/>
      <c r="I552" s="301"/>
      <c r="J552" s="301"/>
      <c r="K552" s="301"/>
      <c r="L552" s="301"/>
      <c r="M552" s="301"/>
      <c r="N552" s="301"/>
      <c r="O552" s="301"/>
      <c r="P552" s="301"/>
      <c r="Q552" s="301"/>
      <c r="R552" s="301"/>
      <c r="S552" s="301"/>
      <c r="T552" s="301"/>
      <c r="U552" s="301"/>
      <c r="V552" s="301"/>
      <c r="W552" s="301"/>
      <c r="X552" s="301"/>
      <c r="Y552" s="301"/>
      <c r="Z552" s="301"/>
    </row>
    <row r="553" spans="1:26" ht="11.25" customHeight="1">
      <c r="A553" s="301"/>
      <c r="B553" s="301"/>
      <c r="C553" s="301"/>
      <c r="D553" s="301"/>
      <c r="E553" s="301"/>
      <c r="F553" s="301"/>
      <c r="G553" s="301"/>
      <c r="H553" s="301"/>
      <c r="I553" s="301"/>
      <c r="J553" s="301"/>
      <c r="K553" s="301"/>
      <c r="L553" s="301"/>
      <c r="M553" s="301"/>
      <c r="N553" s="301"/>
      <c r="O553" s="301"/>
      <c r="P553" s="301"/>
      <c r="Q553" s="301"/>
      <c r="R553" s="301"/>
      <c r="S553" s="301"/>
      <c r="T553" s="301"/>
      <c r="U553" s="301"/>
      <c r="V553" s="301"/>
      <c r="W553" s="301"/>
      <c r="X553" s="301"/>
      <c r="Y553" s="301"/>
      <c r="Z553" s="301"/>
    </row>
    <row r="554" spans="1:26" ht="11.25" customHeight="1">
      <c r="A554" s="301"/>
      <c r="B554" s="301"/>
      <c r="C554" s="301"/>
      <c r="D554" s="301"/>
      <c r="E554" s="301"/>
      <c r="F554" s="301"/>
      <c r="G554" s="301"/>
      <c r="H554" s="301"/>
      <c r="I554" s="301"/>
      <c r="J554" s="301"/>
      <c r="K554" s="301"/>
      <c r="L554" s="301"/>
      <c r="M554" s="301"/>
      <c r="N554" s="301"/>
      <c r="O554" s="301"/>
      <c r="P554" s="301"/>
      <c r="Q554" s="301"/>
      <c r="R554" s="301"/>
      <c r="S554" s="301"/>
      <c r="T554" s="301"/>
      <c r="U554" s="301"/>
      <c r="V554" s="301"/>
      <c r="W554" s="301"/>
      <c r="X554" s="301"/>
      <c r="Y554" s="301"/>
      <c r="Z554" s="301"/>
    </row>
    <row r="555" spans="1:26" ht="11.25" customHeight="1">
      <c r="A555" s="301"/>
      <c r="B555" s="301"/>
      <c r="C555" s="301"/>
      <c r="D555" s="301"/>
      <c r="E555" s="301"/>
      <c r="F555" s="301"/>
      <c r="G555" s="301"/>
      <c r="H555" s="301"/>
      <c r="I555" s="301"/>
      <c r="J555" s="301"/>
      <c r="K555" s="301"/>
      <c r="L555" s="301"/>
      <c r="M555" s="301"/>
      <c r="N555" s="301"/>
      <c r="O555" s="301"/>
      <c r="P555" s="301"/>
      <c r="Q555" s="301"/>
      <c r="R555" s="301"/>
      <c r="S555" s="301"/>
      <c r="T555" s="301"/>
      <c r="U555" s="301"/>
      <c r="V555" s="301"/>
      <c r="W555" s="301"/>
      <c r="X555" s="301"/>
      <c r="Y555" s="301"/>
      <c r="Z555" s="301"/>
    </row>
    <row r="556" spans="1:26" ht="11.25" customHeight="1">
      <c r="A556" s="301"/>
      <c r="B556" s="301"/>
      <c r="C556" s="301"/>
      <c r="D556" s="301"/>
      <c r="E556" s="301"/>
      <c r="F556" s="301"/>
      <c r="G556" s="301"/>
      <c r="H556" s="301"/>
      <c r="I556" s="301"/>
      <c r="J556" s="301"/>
      <c r="K556" s="301"/>
      <c r="L556" s="301"/>
      <c r="M556" s="301"/>
      <c r="N556" s="301"/>
      <c r="O556" s="301"/>
      <c r="P556" s="301"/>
      <c r="Q556" s="301"/>
      <c r="R556" s="301"/>
      <c r="S556" s="301"/>
      <c r="T556" s="301"/>
      <c r="U556" s="301"/>
      <c r="V556" s="301"/>
      <c r="W556" s="301"/>
      <c r="X556" s="301"/>
      <c r="Y556" s="301"/>
      <c r="Z556" s="301"/>
    </row>
    <row r="557" spans="1:26" ht="11.25" customHeight="1">
      <c r="A557" s="301"/>
      <c r="B557" s="301"/>
      <c r="C557" s="301"/>
      <c r="D557" s="301"/>
      <c r="E557" s="301"/>
      <c r="F557" s="301"/>
      <c r="G557" s="301"/>
      <c r="H557" s="301"/>
      <c r="I557" s="301"/>
      <c r="J557" s="301"/>
      <c r="K557" s="301"/>
      <c r="L557" s="301"/>
      <c r="M557" s="301"/>
      <c r="N557" s="301"/>
      <c r="O557" s="301"/>
      <c r="P557" s="301"/>
      <c r="Q557" s="301"/>
      <c r="R557" s="301"/>
      <c r="S557" s="301"/>
      <c r="T557" s="301"/>
      <c r="U557" s="301"/>
      <c r="V557" s="301"/>
      <c r="W557" s="301"/>
      <c r="X557" s="301"/>
      <c r="Y557" s="301"/>
      <c r="Z557" s="301"/>
    </row>
    <row r="558" spans="1:26" ht="11.25" customHeight="1">
      <c r="A558" s="301"/>
      <c r="B558" s="301"/>
      <c r="C558" s="301"/>
      <c r="D558" s="301"/>
      <c r="E558" s="301"/>
      <c r="F558" s="301"/>
      <c r="G558" s="301"/>
      <c r="H558" s="301"/>
      <c r="I558" s="301"/>
      <c r="J558" s="301"/>
      <c r="K558" s="301"/>
      <c r="L558" s="301"/>
      <c r="M558" s="301"/>
      <c r="N558" s="301"/>
      <c r="O558" s="301"/>
      <c r="P558" s="301"/>
      <c r="Q558" s="301"/>
      <c r="R558" s="301"/>
      <c r="S558" s="301"/>
      <c r="T558" s="301"/>
      <c r="U558" s="301"/>
      <c r="V558" s="301"/>
      <c r="W558" s="301"/>
      <c r="X558" s="301"/>
      <c r="Y558" s="301"/>
      <c r="Z558" s="301"/>
    </row>
    <row r="559" spans="1:26" ht="11.25" customHeight="1">
      <c r="A559" s="301"/>
      <c r="B559" s="301"/>
      <c r="C559" s="301"/>
      <c r="D559" s="301"/>
      <c r="E559" s="301"/>
      <c r="F559" s="301"/>
      <c r="G559" s="301"/>
      <c r="H559" s="301"/>
      <c r="I559" s="301"/>
      <c r="J559" s="301"/>
      <c r="K559" s="301"/>
      <c r="L559" s="301"/>
      <c r="M559" s="301"/>
      <c r="N559" s="301"/>
      <c r="O559" s="301"/>
      <c r="P559" s="301"/>
      <c r="Q559" s="301"/>
      <c r="R559" s="301"/>
      <c r="S559" s="301"/>
      <c r="T559" s="301"/>
      <c r="U559" s="301"/>
      <c r="V559" s="301"/>
      <c r="W559" s="301"/>
      <c r="X559" s="301"/>
      <c r="Y559" s="301"/>
      <c r="Z559" s="301"/>
    </row>
    <row r="560" spans="1:26" ht="11.25" customHeight="1">
      <c r="A560" s="301"/>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c r="Z560" s="301"/>
    </row>
    <row r="561" spans="1:26" ht="11.25" customHeight="1">
      <c r="A561" s="301"/>
      <c r="B561" s="301"/>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c r="Z561" s="301"/>
    </row>
    <row r="562" spans="1:26" ht="11.25" customHeight="1">
      <c r="A562" s="301"/>
      <c r="B562" s="301"/>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c r="Z562" s="301"/>
    </row>
    <row r="563" spans="1:26" ht="11.25" customHeight="1">
      <c r="A563" s="301"/>
      <c r="B563" s="301"/>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c r="Z563" s="301"/>
    </row>
    <row r="564" spans="1:26" ht="11.25" customHeight="1">
      <c r="A564" s="301"/>
      <c r="B564" s="301"/>
      <c r="C564" s="301"/>
      <c r="D564" s="301"/>
      <c r="E564" s="301"/>
      <c r="F564" s="301"/>
      <c r="G564" s="301"/>
      <c r="H564" s="301"/>
      <c r="I564" s="301"/>
      <c r="J564" s="301"/>
      <c r="K564" s="301"/>
      <c r="L564" s="301"/>
      <c r="M564" s="301"/>
      <c r="N564" s="301"/>
      <c r="O564" s="301"/>
      <c r="P564" s="301"/>
      <c r="Q564" s="301"/>
      <c r="R564" s="301"/>
      <c r="S564" s="301"/>
      <c r="T564" s="301"/>
      <c r="U564" s="301"/>
      <c r="V564" s="301"/>
      <c r="W564" s="301"/>
      <c r="X564" s="301"/>
      <c r="Y564" s="301"/>
      <c r="Z564" s="301"/>
    </row>
    <row r="565" spans="1:26" ht="11.25" customHeight="1">
      <c r="A565" s="301"/>
      <c r="B565" s="301"/>
      <c r="C565" s="301"/>
      <c r="D565" s="301"/>
      <c r="E565" s="301"/>
      <c r="F565" s="301"/>
      <c r="G565" s="301"/>
      <c r="H565" s="301"/>
      <c r="I565" s="301"/>
      <c r="J565" s="301"/>
      <c r="K565" s="301"/>
      <c r="L565" s="301"/>
      <c r="M565" s="301"/>
      <c r="N565" s="301"/>
      <c r="O565" s="301"/>
      <c r="P565" s="301"/>
      <c r="Q565" s="301"/>
      <c r="R565" s="301"/>
      <c r="S565" s="301"/>
      <c r="T565" s="301"/>
      <c r="U565" s="301"/>
      <c r="V565" s="301"/>
      <c r="W565" s="301"/>
      <c r="X565" s="301"/>
      <c r="Y565" s="301"/>
      <c r="Z565" s="301"/>
    </row>
    <row r="566" spans="1:26" ht="11.25" customHeight="1">
      <c r="A566" s="301"/>
      <c r="B566" s="301"/>
      <c r="C566" s="301"/>
      <c r="D566" s="301"/>
      <c r="E566" s="301"/>
      <c r="F566" s="301"/>
      <c r="G566" s="301"/>
      <c r="H566" s="301"/>
      <c r="I566" s="301"/>
      <c r="J566" s="301"/>
      <c r="K566" s="301"/>
      <c r="L566" s="301"/>
      <c r="M566" s="301"/>
      <c r="N566" s="301"/>
      <c r="O566" s="301"/>
      <c r="P566" s="301"/>
      <c r="Q566" s="301"/>
      <c r="R566" s="301"/>
      <c r="S566" s="301"/>
      <c r="T566" s="301"/>
      <c r="U566" s="301"/>
      <c r="V566" s="301"/>
      <c r="W566" s="301"/>
      <c r="X566" s="301"/>
      <c r="Y566" s="301"/>
      <c r="Z566" s="301"/>
    </row>
    <row r="567" spans="1:26" ht="11.25" customHeight="1">
      <c r="A567" s="301"/>
      <c r="B567" s="301"/>
      <c r="C567" s="301"/>
      <c r="D567" s="301"/>
      <c r="E567" s="301"/>
      <c r="F567" s="301"/>
      <c r="G567" s="301"/>
      <c r="H567" s="301"/>
      <c r="I567" s="301"/>
      <c r="J567" s="301"/>
      <c r="K567" s="301"/>
      <c r="L567" s="301"/>
      <c r="M567" s="301"/>
      <c r="N567" s="301"/>
      <c r="O567" s="301"/>
      <c r="P567" s="301"/>
      <c r="Q567" s="301"/>
      <c r="R567" s="301"/>
      <c r="S567" s="301"/>
      <c r="T567" s="301"/>
      <c r="U567" s="301"/>
      <c r="V567" s="301"/>
      <c r="W567" s="301"/>
      <c r="X567" s="301"/>
      <c r="Y567" s="301"/>
      <c r="Z567" s="301"/>
    </row>
    <row r="568" spans="1:26" ht="11.25" customHeight="1">
      <c r="A568" s="301"/>
      <c r="B568" s="301"/>
      <c r="C568" s="301"/>
      <c r="D568" s="301"/>
      <c r="E568" s="301"/>
      <c r="F568" s="301"/>
      <c r="G568" s="301"/>
      <c r="H568" s="301"/>
      <c r="I568" s="301"/>
      <c r="J568" s="301"/>
      <c r="K568" s="301"/>
      <c r="L568" s="301"/>
      <c r="M568" s="301"/>
      <c r="N568" s="301"/>
      <c r="O568" s="301"/>
      <c r="P568" s="301"/>
      <c r="Q568" s="301"/>
      <c r="R568" s="301"/>
      <c r="S568" s="301"/>
      <c r="T568" s="301"/>
      <c r="U568" s="301"/>
      <c r="V568" s="301"/>
      <c r="W568" s="301"/>
      <c r="X568" s="301"/>
      <c r="Y568" s="301"/>
      <c r="Z568" s="301"/>
    </row>
    <row r="569" spans="1:26" ht="11.25" customHeight="1">
      <c r="A569" s="301"/>
      <c r="B569" s="301"/>
      <c r="C569" s="301"/>
      <c r="D569" s="301"/>
      <c r="E569" s="301"/>
      <c r="F569" s="301"/>
      <c r="G569" s="301"/>
      <c r="H569" s="301"/>
      <c r="I569" s="301"/>
      <c r="J569" s="301"/>
      <c r="K569" s="301"/>
      <c r="L569" s="301"/>
      <c r="M569" s="301"/>
      <c r="N569" s="301"/>
      <c r="O569" s="301"/>
      <c r="P569" s="301"/>
      <c r="Q569" s="301"/>
      <c r="R569" s="301"/>
      <c r="S569" s="301"/>
      <c r="T569" s="301"/>
      <c r="U569" s="301"/>
      <c r="V569" s="301"/>
      <c r="W569" s="301"/>
      <c r="X569" s="301"/>
      <c r="Y569" s="301"/>
      <c r="Z569" s="301"/>
    </row>
    <row r="570" spans="1:26" ht="11.25" customHeight="1">
      <c r="A570" s="301"/>
      <c r="B570" s="301"/>
      <c r="C570" s="301"/>
      <c r="D570" s="301"/>
      <c r="E570" s="301"/>
      <c r="F570" s="301"/>
      <c r="G570" s="301"/>
      <c r="H570" s="301"/>
      <c r="I570" s="301"/>
      <c r="J570" s="301"/>
      <c r="K570" s="301"/>
      <c r="L570" s="301"/>
      <c r="M570" s="301"/>
      <c r="N570" s="301"/>
      <c r="O570" s="301"/>
      <c r="P570" s="301"/>
      <c r="Q570" s="301"/>
      <c r="R570" s="301"/>
      <c r="S570" s="301"/>
      <c r="T570" s="301"/>
      <c r="U570" s="301"/>
      <c r="V570" s="301"/>
      <c r="W570" s="301"/>
      <c r="X570" s="301"/>
      <c r="Y570" s="301"/>
      <c r="Z570" s="301"/>
    </row>
    <row r="571" spans="1:26" ht="11.25" customHeight="1">
      <c r="A571" s="301"/>
      <c r="B571" s="301"/>
      <c r="C571" s="301"/>
      <c r="D571" s="301"/>
      <c r="E571" s="301"/>
      <c r="F571" s="301"/>
      <c r="G571" s="301"/>
      <c r="H571" s="301"/>
      <c r="I571" s="301"/>
      <c r="J571" s="301"/>
      <c r="K571" s="301"/>
      <c r="L571" s="301"/>
      <c r="M571" s="301"/>
      <c r="N571" s="301"/>
      <c r="O571" s="301"/>
      <c r="P571" s="301"/>
      <c r="Q571" s="301"/>
      <c r="R571" s="301"/>
      <c r="S571" s="301"/>
      <c r="T571" s="301"/>
      <c r="U571" s="301"/>
      <c r="V571" s="301"/>
      <c r="W571" s="301"/>
      <c r="X571" s="301"/>
      <c r="Y571" s="301"/>
      <c r="Z571" s="301"/>
    </row>
    <row r="572" spans="1:26" ht="11.25" customHeight="1">
      <c r="A572" s="301"/>
      <c r="B572" s="301"/>
      <c r="C572" s="301"/>
      <c r="D572" s="301"/>
      <c r="E572" s="301"/>
      <c r="F572" s="301"/>
      <c r="G572" s="301"/>
      <c r="H572" s="301"/>
      <c r="I572" s="301"/>
      <c r="J572" s="301"/>
      <c r="K572" s="301"/>
      <c r="L572" s="301"/>
      <c r="M572" s="301"/>
      <c r="N572" s="301"/>
      <c r="O572" s="301"/>
      <c r="P572" s="301"/>
      <c r="Q572" s="301"/>
      <c r="R572" s="301"/>
      <c r="S572" s="301"/>
      <c r="T572" s="301"/>
      <c r="U572" s="301"/>
      <c r="V572" s="301"/>
      <c r="W572" s="301"/>
      <c r="X572" s="301"/>
      <c r="Y572" s="301"/>
      <c r="Z572" s="301"/>
    </row>
    <row r="573" spans="1:26" ht="11.25" customHeight="1">
      <c r="A573" s="301"/>
      <c r="B573" s="301"/>
      <c r="C573" s="301"/>
      <c r="D573" s="301"/>
      <c r="E573" s="301"/>
      <c r="F573" s="301"/>
      <c r="G573" s="301"/>
      <c r="H573" s="301"/>
      <c r="I573" s="301"/>
      <c r="J573" s="301"/>
      <c r="K573" s="301"/>
      <c r="L573" s="301"/>
      <c r="M573" s="301"/>
      <c r="N573" s="301"/>
      <c r="O573" s="301"/>
      <c r="P573" s="301"/>
      <c r="Q573" s="301"/>
      <c r="R573" s="301"/>
      <c r="S573" s="301"/>
      <c r="T573" s="301"/>
      <c r="U573" s="301"/>
      <c r="V573" s="301"/>
      <c r="W573" s="301"/>
      <c r="X573" s="301"/>
      <c r="Y573" s="301"/>
      <c r="Z573" s="301"/>
    </row>
    <row r="574" spans="1:26" ht="11.25" customHeight="1">
      <c r="A574" s="301"/>
      <c r="B574" s="301"/>
      <c r="C574" s="301"/>
      <c r="D574" s="301"/>
      <c r="E574" s="301"/>
      <c r="F574" s="301"/>
      <c r="G574" s="301"/>
      <c r="H574" s="301"/>
      <c r="I574" s="301"/>
      <c r="J574" s="301"/>
      <c r="K574" s="301"/>
      <c r="L574" s="301"/>
      <c r="M574" s="301"/>
      <c r="N574" s="301"/>
      <c r="O574" s="301"/>
      <c r="P574" s="301"/>
      <c r="Q574" s="301"/>
      <c r="R574" s="301"/>
      <c r="S574" s="301"/>
      <c r="T574" s="301"/>
      <c r="U574" s="301"/>
      <c r="V574" s="301"/>
      <c r="W574" s="301"/>
      <c r="X574" s="301"/>
      <c r="Y574" s="301"/>
      <c r="Z574" s="301"/>
    </row>
    <row r="575" spans="1:26" ht="11.25" customHeight="1">
      <c r="A575" s="301"/>
      <c r="B575" s="301"/>
      <c r="C575" s="301"/>
      <c r="D575" s="301"/>
      <c r="E575" s="301"/>
      <c r="F575" s="301"/>
      <c r="G575" s="301"/>
      <c r="H575" s="301"/>
      <c r="I575" s="301"/>
      <c r="J575" s="301"/>
      <c r="K575" s="301"/>
      <c r="L575" s="301"/>
      <c r="M575" s="301"/>
      <c r="N575" s="301"/>
      <c r="O575" s="301"/>
      <c r="P575" s="301"/>
      <c r="Q575" s="301"/>
      <c r="R575" s="301"/>
      <c r="S575" s="301"/>
      <c r="T575" s="301"/>
      <c r="U575" s="301"/>
      <c r="V575" s="301"/>
      <c r="W575" s="301"/>
      <c r="X575" s="301"/>
      <c r="Y575" s="301"/>
      <c r="Z575" s="301"/>
    </row>
    <row r="576" spans="1:26" ht="11.25" customHeight="1">
      <c r="A576" s="301"/>
      <c r="B576" s="301"/>
      <c r="C576" s="301"/>
      <c r="D576" s="301"/>
      <c r="E576" s="301"/>
      <c r="F576" s="301"/>
      <c r="G576" s="301"/>
      <c r="H576" s="301"/>
      <c r="I576" s="301"/>
      <c r="J576" s="301"/>
      <c r="K576" s="301"/>
      <c r="L576" s="301"/>
      <c r="M576" s="301"/>
      <c r="N576" s="301"/>
      <c r="O576" s="301"/>
      <c r="P576" s="301"/>
      <c r="Q576" s="301"/>
      <c r="R576" s="301"/>
      <c r="S576" s="301"/>
      <c r="T576" s="301"/>
      <c r="U576" s="301"/>
      <c r="V576" s="301"/>
      <c r="W576" s="301"/>
      <c r="X576" s="301"/>
      <c r="Y576" s="301"/>
      <c r="Z576" s="301"/>
    </row>
    <row r="577" spans="1:26" ht="11.25" customHeight="1">
      <c r="A577" s="301"/>
      <c r="B577" s="301"/>
      <c r="C577" s="301"/>
      <c r="D577" s="301"/>
      <c r="E577" s="301"/>
      <c r="F577" s="301"/>
      <c r="G577" s="301"/>
      <c r="H577" s="301"/>
      <c r="I577" s="301"/>
      <c r="J577" s="301"/>
      <c r="K577" s="301"/>
      <c r="L577" s="301"/>
      <c r="M577" s="301"/>
      <c r="N577" s="301"/>
      <c r="O577" s="301"/>
      <c r="P577" s="301"/>
      <c r="Q577" s="301"/>
      <c r="R577" s="301"/>
      <c r="S577" s="301"/>
      <c r="T577" s="301"/>
      <c r="U577" s="301"/>
      <c r="V577" s="301"/>
      <c r="W577" s="301"/>
      <c r="X577" s="301"/>
      <c r="Y577" s="301"/>
      <c r="Z577" s="301"/>
    </row>
    <row r="578" spans="1:26" ht="11.25" customHeight="1">
      <c r="A578" s="301"/>
      <c r="B578" s="301"/>
      <c r="C578" s="301"/>
      <c r="D578" s="301"/>
      <c r="E578" s="301"/>
      <c r="F578" s="301"/>
      <c r="G578" s="301"/>
      <c r="H578" s="301"/>
      <c r="I578" s="301"/>
      <c r="J578" s="301"/>
      <c r="K578" s="301"/>
      <c r="L578" s="301"/>
      <c r="M578" s="301"/>
      <c r="N578" s="301"/>
      <c r="O578" s="301"/>
      <c r="P578" s="301"/>
      <c r="Q578" s="301"/>
      <c r="R578" s="301"/>
      <c r="S578" s="301"/>
      <c r="T578" s="301"/>
      <c r="U578" s="301"/>
      <c r="V578" s="301"/>
      <c r="W578" s="301"/>
      <c r="X578" s="301"/>
      <c r="Y578" s="301"/>
      <c r="Z578" s="301"/>
    </row>
    <row r="579" spans="1:26" ht="11.25" customHeight="1">
      <c r="A579" s="301"/>
      <c r="B579" s="301"/>
      <c r="C579" s="301"/>
      <c r="D579" s="301"/>
      <c r="E579" s="301"/>
      <c r="F579" s="301"/>
      <c r="G579" s="301"/>
      <c r="H579" s="301"/>
      <c r="I579" s="301"/>
      <c r="J579" s="301"/>
      <c r="K579" s="301"/>
      <c r="L579" s="301"/>
      <c r="M579" s="301"/>
      <c r="N579" s="301"/>
      <c r="O579" s="301"/>
      <c r="P579" s="301"/>
      <c r="Q579" s="301"/>
      <c r="R579" s="301"/>
      <c r="S579" s="301"/>
      <c r="T579" s="301"/>
      <c r="U579" s="301"/>
      <c r="V579" s="301"/>
      <c r="W579" s="301"/>
      <c r="X579" s="301"/>
      <c r="Y579" s="301"/>
      <c r="Z579" s="301"/>
    </row>
    <row r="580" spans="1:26" ht="11.25" customHeight="1">
      <c r="A580" s="301"/>
      <c r="B580" s="301"/>
      <c r="C580" s="301"/>
      <c r="D580" s="301"/>
      <c r="E580" s="301"/>
      <c r="F580" s="301"/>
      <c r="G580" s="301"/>
      <c r="H580" s="301"/>
      <c r="I580" s="301"/>
      <c r="J580" s="301"/>
      <c r="K580" s="301"/>
      <c r="L580" s="301"/>
      <c r="M580" s="301"/>
      <c r="N580" s="301"/>
      <c r="O580" s="301"/>
      <c r="P580" s="301"/>
      <c r="Q580" s="301"/>
      <c r="R580" s="301"/>
      <c r="S580" s="301"/>
      <c r="T580" s="301"/>
      <c r="U580" s="301"/>
      <c r="V580" s="301"/>
      <c r="W580" s="301"/>
      <c r="X580" s="301"/>
      <c r="Y580" s="301"/>
      <c r="Z580" s="301"/>
    </row>
    <row r="581" spans="1:26" ht="11.25" customHeight="1">
      <c r="A581" s="301"/>
      <c r="B581" s="301"/>
      <c r="C581" s="301"/>
      <c r="D581" s="301"/>
      <c r="E581" s="301"/>
      <c r="F581" s="301"/>
      <c r="G581" s="301"/>
      <c r="H581" s="301"/>
      <c r="I581" s="301"/>
      <c r="J581" s="301"/>
      <c r="K581" s="301"/>
      <c r="L581" s="301"/>
      <c r="M581" s="301"/>
      <c r="N581" s="301"/>
      <c r="O581" s="301"/>
      <c r="P581" s="301"/>
      <c r="Q581" s="301"/>
      <c r="R581" s="301"/>
      <c r="S581" s="301"/>
      <c r="T581" s="301"/>
      <c r="U581" s="301"/>
      <c r="V581" s="301"/>
      <c r="W581" s="301"/>
      <c r="X581" s="301"/>
      <c r="Y581" s="301"/>
      <c r="Z581" s="301"/>
    </row>
    <row r="582" spans="1:26" ht="11.25" customHeight="1">
      <c r="A582" s="301"/>
      <c r="B582" s="301"/>
      <c r="C582" s="301"/>
      <c r="D582" s="301"/>
      <c r="E582" s="301"/>
      <c r="F582" s="301"/>
      <c r="G582" s="301"/>
      <c r="H582" s="301"/>
      <c r="I582" s="301"/>
      <c r="J582" s="301"/>
      <c r="K582" s="301"/>
      <c r="L582" s="301"/>
      <c r="M582" s="301"/>
      <c r="N582" s="301"/>
      <c r="O582" s="301"/>
      <c r="P582" s="301"/>
      <c r="Q582" s="301"/>
      <c r="R582" s="301"/>
      <c r="S582" s="301"/>
      <c r="T582" s="301"/>
      <c r="U582" s="301"/>
      <c r="V582" s="301"/>
      <c r="W582" s="301"/>
      <c r="X582" s="301"/>
      <c r="Y582" s="301"/>
      <c r="Z582" s="301"/>
    </row>
    <row r="583" spans="1:26" ht="11.25" customHeight="1">
      <c r="A583" s="301"/>
      <c r="B583" s="301"/>
      <c r="C583" s="301"/>
      <c r="D583" s="301"/>
      <c r="E583" s="301"/>
      <c r="F583" s="301"/>
      <c r="G583" s="301"/>
      <c r="H583" s="301"/>
      <c r="I583" s="301"/>
      <c r="J583" s="301"/>
      <c r="K583" s="301"/>
      <c r="L583" s="301"/>
      <c r="M583" s="301"/>
      <c r="N583" s="301"/>
      <c r="O583" s="301"/>
      <c r="P583" s="301"/>
      <c r="Q583" s="301"/>
      <c r="R583" s="301"/>
      <c r="S583" s="301"/>
      <c r="T583" s="301"/>
      <c r="U583" s="301"/>
      <c r="V583" s="301"/>
      <c r="W583" s="301"/>
      <c r="X583" s="301"/>
      <c r="Y583" s="301"/>
      <c r="Z583" s="301"/>
    </row>
    <row r="584" spans="1:26" ht="11.25" customHeight="1">
      <c r="A584" s="301"/>
      <c r="B584" s="301"/>
      <c r="C584" s="301"/>
      <c r="D584" s="301"/>
      <c r="E584" s="301"/>
      <c r="F584" s="301"/>
      <c r="G584" s="301"/>
      <c r="H584" s="301"/>
      <c r="I584" s="301"/>
      <c r="J584" s="301"/>
      <c r="K584" s="301"/>
      <c r="L584" s="301"/>
      <c r="M584" s="301"/>
      <c r="N584" s="301"/>
      <c r="O584" s="301"/>
      <c r="P584" s="301"/>
      <c r="Q584" s="301"/>
      <c r="R584" s="301"/>
      <c r="S584" s="301"/>
      <c r="T584" s="301"/>
      <c r="U584" s="301"/>
      <c r="V584" s="301"/>
      <c r="W584" s="301"/>
      <c r="X584" s="301"/>
      <c r="Y584" s="301"/>
      <c r="Z584" s="301"/>
    </row>
    <row r="585" spans="1:26" ht="11.25" customHeight="1">
      <c r="A585" s="301"/>
      <c r="B585" s="301"/>
      <c r="C585" s="301"/>
      <c r="D585" s="301"/>
      <c r="E585" s="301"/>
      <c r="F585" s="301"/>
      <c r="G585" s="301"/>
      <c r="H585" s="301"/>
      <c r="I585" s="301"/>
      <c r="J585" s="301"/>
      <c r="K585" s="301"/>
      <c r="L585" s="301"/>
      <c r="M585" s="301"/>
      <c r="N585" s="301"/>
      <c r="O585" s="301"/>
      <c r="P585" s="301"/>
      <c r="Q585" s="301"/>
      <c r="R585" s="301"/>
      <c r="S585" s="301"/>
      <c r="T585" s="301"/>
      <c r="U585" s="301"/>
      <c r="V585" s="301"/>
      <c r="W585" s="301"/>
      <c r="X585" s="301"/>
      <c r="Y585" s="301"/>
      <c r="Z585" s="301"/>
    </row>
    <row r="586" spans="1:26" ht="11.25" customHeight="1">
      <c r="A586" s="301"/>
      <c r="B586" s="301"/>
      <c r="C586" s="301"/>
      <c r="D586" s="301"/>
      <c r="E586" s="301"/>
      <c r="F586" s="301"/>
      <c r="G586" s="301"/>
      <c r="H586" s="301"/>
      <c r="I586" s="301"/>
      <c r="J586" s="301"/>
      <c r="K586" s="301"/>
      <c r="L586" s="301"/>
      <c r="M586" s="301"/>
      <c r="N586" s="301"/>
      <c r="O586" s="301"/>
      <c r="P586" s="301"/>
      <c r="Q586" s="301"/>
      <c r="R586" s="301"/>
      <c r="S586" s="301"/>
      <c r="T586" s="301"/>
      <c r="U586" s="301"/>
      <c r="V586" s="301"/>
      <c r="W586" s="301"/>
      <c r="X586" s="301"/>
      <c r="Y586" s="301"/>
      <c r="Z586" s="301"/>
    </row>
    <row r="587" spans="1:26" ht="11.25" customHeight="1">
      <c r="A587" s="301"/>
      <c r="B587" s="301"/>
      <c r="C587" s="301"/>
      <c r="D587" s="301"/>
      <c r="E587" s="301"/>
      <c r="F587" s="301"/>
      <c r="G587" s="301"/>
      <c r="H587" s="301"/>
      <c r="I587" s="301"/>
      <c r="J587" s="301"/>
      <c r="K587" s="301"/>
      <c r="L587" s="301"/>
      <c r="M587" s="301"/>
      <c r="N587" s="301"/>
      <c r="O587" s="301"/>
      <c r="P587" s="301"/>
      <c r="Q587" s="301"/>
      <c r="R587" s="301"/>
      <c r="S587" s="301"/>
      <c r="T587" s="301"/>
      <c r="U587" s="301"/>
      <c r="V587" s="301"/>
      <c r="W587" s="301"/>
      <c r="X587" s="301"/>
      <c r="Y587" s="301"/>
      <c r="Z587" s="301"/>
    </row>
    <row r="588" spans="1:26" ht="11.25" customHeight="1">
      <c r="A588" s="301"/>
      <c r="B588" s="301"/>
      <c r="C588" s="301"/>
      <c r="D588" s="301"/>
      <c r="E588" s="301"/>
      <c r="F588" s="301"/>
      <c r="G588" s="301"/>
      <c r="H588" s="301"/>
      <c r="I588" s="301"/>
      <c r="J588" s="301"/>
      <c r="K588" s="301"/>
      <c r="L588" s="301"/>
      <c r="M588" s="301"/>
      <c r="N588" s="301"/>
      <c r="O588" s="301"/>
      <c r="P588" s="301"/>
      <c r="Q588" s="301"/>
      <c r="R588" s="301"/>
      <c r="S588" s="301"/>
      <c r="T588" s="301"/>
      <c r="U588" s="301"/>
      <c r="V588" s="301"/>
      <c r="W588" s="301"/>
      <c r="X588" s="301"/>
      <c r="Y588" s="301"/>
      <c r="Z588" s="301"/>
    </row>
    <row r="589" spans="1:26" ht="11.25" customHeight="1">
      <c r="A589" s="301"/>
      <c r="B589" s="301"/>
      <c r="C589" s="301"/>
      <c r="D589" s="301"/>
      <c r="E589" s="301"/>
      <c r="F589" s="301"/>
      <c r="G589" s="301"/>
      <c r="H589" s="301"/>
      <c r="I589" s="301"/>
      <c r="J589" s="301"/>
      <c r="K589" s="301"/>
      <c r="L589" s="301"/>
      <c r="M589" s="301"/>
      <c r="N589" s="301"/>
      <c r="O589" s="301"/>
      <c r="P589" s="301"/>
      <c r="Q589" s="301"/>
      <c r="R589" s="301"/>
      <c r="S589" s="301"/>
      <c r="T589" s="301"/>
      <c r="U589" s="301"/>
      <c r="V589" s="301"/>
      <c r="W589" s="301"/>
      <c r="X589" s="301"/>
      <c r="Y589" s="301"/>
      <c r="Z589" s="301"/>
    </row>
    <row r="590" spans="1:26" ht="11.25" customHeight="1">
      <c r="A590" s="301"/>
      <c r="B590" s="301"/>
      <c r="C590" s="301"/>
      <c r="D590" s="301"/>
      <c r="E590" s="301"/>
      <c r="F590" s="301"/>
      <c r="G590" s="301"/>
      <c r="H590" s="301"/>
      <c r="I590" s="301"/>
      <c r="J590" s="301"/>
      <c r="K590" s="301"/>
      <c r="L590" s="301"/>
      <c r="M590" s="301"/>
      <c r="N590" s="301"/>
      <c r="O590" s="301"/>
      <c r="P590" s="301"/>
      <c r="Q590" s="301"/>
      <c r="R590" s="301"/>
      <c r="S590" s="301"/>
      <c r="T590" s="301"/>
      <c r="U590" s="301"/>
      <c r="V590" s="301"/>
      <c r="W590" s="301"/>
      <c r="X590" s="301"/>
      <c r="Y590" s="301"/>
      <c r="Z590" s="301"/>
    </row>
    <row r="591" spans="1:26" ht="11.25" customHeight="1">
      <c r="A591" s="301"/>
      <c r="B591" s="301"/>
      <c r="C591" s="301"/>
      <c r="D591" s="301"/>
      <c r="E591" s="301"/>
      <c r="F591" s="301"/>
      <c r="G591" s="301"/>
      <c r="H591" s="301"/>
      <c r="I591" s="301"/>
      <c r="J591" s="301"/>
      <c r="K591" s="301"/>
      <c r="L591" s="301"/>
      <c r="M591" s="301"/>
      <c r="N591" s="301"/>
      <c r="O591" s="301"/>
      <c r="P591" s="301"/>
      <c r="Q591" s="301"/>
      <c r="R591" s="301"/>
      <c r="S591" s="301"/>
      <c r="T591" s="301"/>
      <c r="U591" s="301"/>
      <c r="V591" s="301"/>
      <c r="W591" s="301"/>
      <c r="X591" s="301"/>
      <c r="Y591" s="301"/>
      <c r="Z591" s="301"/>
    </row>
    <row r="592" spans="1:26" ht="11.25" customHeight="1">
      <c r="A592" s="301"/>
      <c r="B592" s="301"/>
      <c r="C592" s="301"/>
      <c r="D592" s="301"/>
      <c r="E592" s="301"/>
      <c r="F592" s="301"/>
      <c r="G592" s="301"/>
      <c r="H592" s="301"/>
      <c r="I592" s="301"/>
      <c r="J592" s="301"/>
      <c r="K592" s="301"/>
      <c r="L592" s="301"/>
      <c r="M592" s="301"/>
      <c r="N592" s="301"/>
      <c r="O592" s="301"/>
      <c r="P592" s="301"/>
      <c r="Q592" s="301"/>
      <c r="R592" s="301"/>
      <c r="S592" s="301"/>
      <c r="T592" s="301"/>
      <c r="U592" s="301"/>
      <c r="V592" s="301"/>
      <c r="W592" s="301"/>
      <c r="X592" s="301"/>
      <c r="Y592" s="301"/>
      <c r="Z592" s="301"/>
    </row>
    <row r="593" spans="1:26" ht="11.25" customHeight="1">
      <c r="A593" s="301"/>
      <c r="B593" s="301"/>
      <c r="C593" s="301"/>
      <c r="D593" s="301"/>
      <c r="E593" s="301"/>
      <c r="F593" s="301"/>
      <c r="G593" s="301"/>
      <c r="H593" s="301"/>
      <c r="I593" s="301"/>
      <c r="J593" s="301"/>
      <c r="K593" s="301"/>
      <c r="L593" s="301"/>
      <c r="M593" s="301"/>
      <c r="N593" s="301"/>
      <c r="O593" s="301"/>
      <c r="P593" s="301"/>
      <c r="Q593" s="301"/>
      <c r="R593" s="301"/>
      <c r="S593" s="301"/>
      <c r="T593" s="301"/>
      <c r="U593" s="301"/>
      <c r="V593" s="301"/>
      <c r="W593" s="301"/>
      <c r="X593" s="301"/>
      <c r="Y593" s="301"/>
      <c r="Z593" s="301"/>
    </row>
    <row r="594" spans="1:26" ht="11.25" customHeight="1">
      <c r="A594" s="301"/>
      <c r="B594" s="301"/>
      <c r="C594" s="301"/>
      <c r="D594" s="301"/>
      <c r="E594" s="301"/>
      <c r="F594" s="301"/>
      <c r="G594" s="301"/>
      <c r="H594" s="301"/>
      <c r="I594" s="301"/>
      <c r="J594" s="301"/>
      <c r="K594" s="301"/>
      <c r="L594" s="301"/>
      <c r="M594" s="301"/>
      <c r="N594" s="301"/>
      <c r="O594" s="301"/>
      <c r="P594" s="301"/>
      <c r="Q594" s="301"/>
      <c r="R594" s="301"/>
      <c r="S594" s="301"/>
      <c r="T594" s="301"/>
      <c r="U594" s="301"/>
      <c r="V594" s="301"/>
      <c r="W594" s="301"/>
      <c r="X594" s="301"/>
      <c r="Y594" s="301"/>
      <c r="Z594" s="301"/>
    </row>
    <row r="595" spans="1:26" ht="11.25" customHeight="1">
      <c r="A595" s="301"/>
      <c r="B595" s="301"/>
      <c r="C595" s="301"/>
      <c r="D595" s="301"/>
      <c r="E595" s="301"/>
      <c r="F595" s="301"/>
      <c r="G595" s="301"/>
      <c r="H595" s="301"/>
      <c r="I595" s="301"/>
      <c r="J595" s="301"/>
      <c r="K595" s="301"/>
      <c r="L595" s="301"/>
      <c r="M595" s="301"/>
      <c r="N595" s="301"/>
      <c r="O595" s="301"/>
      <c r="P595" s="301"/>
      <c r="Q595" s="301"/>
      <c r="R595" s="301"/>
      <c r="S595" s="301"/>
      <c r="T595" s="301"/>
      <c r="U595" s="301"/>
      <c r="V595" s="301"/>
      <c r="W595" s="301"/>
      <c r="X595" s="301"/>
      <c r="Y595" s="301"/>
      <c r="Z595" s="301"/>
    </row>
    <row r="596" spans="1:26" ht="11.25" customHeight="1">
      <c r="A596" s="301"/>
      <c r="B596" s="301"/>
      <c r="C596" s="301"/>
      <c r="D596" s="301"/>
      <c r="E596" s="301"/>
      <c r="F596" s="301"/>
      <c r="G596" s="301"/>
      <c r="H596" s="301"/>
      <c r="I596" s="301"/>
      <c r="J596" s="301"/>
      <c r="K596" s="301"/>
      <c r="L596" s="301"/>
      <c r="M596" s="301"/>
      <c r="N596" s="301"/>
      <c r="O596" s="301"/>
      <c r="P596" s="301"/>
      <c r="Q596" s="301"/>
      <c r="R596" s="301"/>
      <c r="S596" s="301"/>
      <c r="T596" s="301"/>
      <c r="U596" s="301"/>
      <c r="V596" s="301"/>
      <c r="W596" s="301"/>
      <c r="X596" s="301"/>
      <c r="Y596" s="301"/>
      <c r="Z596" s="301"/>
    </row>
    <row r="597" spans="1:26" ht="11.25" customHeight="1">
      <c r="A597" s="301"/>
      <c r="B597" s="301"/>
      <c r="C597" s="301"/>
      <c r="D597" s="301"/>
      <c r="E597" s="301"/>
      <c r="F597" s="301"/>
      <c r="G597" s="301"/>
      <c r="H597" s="301"/>
      <c r="I597" s="301"/>
      <c r="J597" s="301"/>
      <c r="K597" s="301"/>
      <c r="L597" s="301"/>
      <c r="M597" s="301"/>
      <c r="N597" s="301"/>
      <c r="O597" s="301"/>
      <c r="P597" s="301"/>
      <c r="Q597" s="301"/>
      <c r="R597" s="301"/>
      <c r="S597" s="301"/>
      <c r="T597" s="301"/>
      <c r="U597" s="301"/>
      <c r="V597" s="301"/>
      <c r="W597" s="301"/>
      <c r="X597" s="301"/>
      <c r="Y597" s="301"/>
      <c r="Z597" s="301"/>
    </row>
    <row r="598" spans="1:26" ht="11.25" customHeight="1">
      <c r="A598" s="301"/>
      <c r="B598" s="301"/>
      <c r="C598" s="301"/>
      <c r="D598" s="301"/>
      <c r="E598" s="301"/>
      <c r="F598" s="301"/>
      <c r="G598" s="301"/>
      <c r="H598" s="301"/>
      <c r="I598" s="301"/>
      <c r="J598" s="301"/>
      <c r="K598" s="301"/>
      <c r="L598" s="301"/>
      <c r="M598" s="301"/>
      <c r="N598" s="301"/>
      <c r="O598" s="301"/>
      <c r="P598" s="301"/>
      <c r="Q598" s="301"/>
      <c r="R598" s="301"/>
      <c r="S598" s="301"/>
      <c r="T598" s="301"/>
      <c r="U598" s="301"/>
      <c r="V598" s="301"/>
      <c r="W598" s="301"/>
      <c r="X598" s="301"/>
      <c r="Y598" s="301"/>
      <c r="Z598" s="301"/>
    </row>
    <row r="599" spans="1:26" ht="11.25" customHeight="1">
      <c r="A599" s="301"/>
      <c r="B599" s="301"/>
      <c r="C599" s="301"/>
      <c r="D599" s="301"/>
      <c r="E599" s="301"/>
      <c r="F599" s="301"/>
      <c r="G599" s="301"/>
      <c r="H599" s="301"/>
      <c r="I599" s="301"/>
      <c r="J599" s="301"/>
      <c r="K599" s="301"/>
      <c r="L599" s="301"/>
      <c r="M599" s="301"/>
      <c r="N599" s="301"/>
      <c r="O599" s="301"/>
      <c r="P599" s="301"/>
      <c r="Q599" s="301"/>
      <c r="R599" s="301"/>
      <c r="S599" s="301"/>
      <c r="T599" s="301"/>
      <c r="U599" s="301"/>
      <c r="V599" s="301"/>
      <c r="W599" s="301"/>
      <c r="X599" s="301"/>
      <c r="Y599" s="301"/>
      <c r="Z599" s="301"/>
    </row>
    <row r="600" spans="1:26" ht="11.25" customHeight="1">
      <c r="A600" s="301"/>
      <c r="B600" s="301"/>
      <c r="C600" s="301"/>
      <c r="D600" s="301"/>
      <c r="E600" s="301"/>
      <c r="F600" s="301"/>
      <c r="G600" s="301"/>
      <c r="H600" s="301"/>
      <c r="I600" s="301"/>
      <c r="J600" s="301"/>
      <c r="K600" s="301"/>
      <c r="L600" s="301"/>
      <c r="M600" s="301"/>
      <c r="N600" s="301"/>
      <c r="O600" s="301"/>
      <c r="P600" s="301"/>
      <c r="Q600" s="301"/>
      <c r="R600" s="301"/>
      <c r="S600" s="301"/>
      <c r="T600" s="301"/>
      <c r="U600" s="301"/>
      <c r="V600" s="301"/>
      <c r="W600" s="301"/>
      <c r="X600" s="301"/>
      <c r="Y600" s="301"/>
      <c r="Z600" s="301"/>
    </row>
    <row r="601" spans="1:26" ht="11.25" customHeight="1">
      <c r="A601" s="301"/>
      <c r="B601" s="301"/>
      <c r="C601" s="301"/>
      <c r="D601" s="301"/>
      <c r="E601" s="301"/>
      <c r="F601" s="301"/>
      <c r="G601" s="301"/>
      <c r="H601" s="301"/>
      <c r="I601" s="301"/>
      <c r="J601" s="301"/>
      <c r="K601" s="301"/>
      <c r="L601" s="301"/>
      <c r="M601" s="301"/>
      <c r="N601" s="301"/>
      <c r="O601" s="301"/>
      <c r="P601" s="301"/>
      <c r="Q601" s="301"/>
      <c r="R601" s="301"/>
      <c r="S601" s="301"/>
      <c r="T601" s="301"/>
      <c r="U601" s="301"/>
      <c r="V601" s="301"/>
      <c r="W601" s="301"/>
      <c r="X601" s="301"/>
      <c r="Y601" s="301"/>
      <c r="Z601" s="301"/>
    </row>
    <row r="602" spans="1:26" ht="11.25" customHeight="1">
      <c r="A602" s="301"/>
      <c r="B602" s="301"/>
      <c r="C602" s="301"/>
      <c r="D602" s="301"/>
      <c r="E602" s="301"/>
      <c r="F602" s="301"/>
      <c r="G602" s="301"/>
      <c r="H602" s="301"/>
      <c r="I602" s="301"/>
      <c r="J602" s="301"/>
      <c r="K602" s="301"/>
      <c r="L602" s="301"/>
      <c r="M602" s="301"/>
      <c r="N602" s="301"/>
      <c r="O602" s="301"/>
      <c r="P602" s="301"/>
      <c r="Q602" s="301"/>
      <c r="R602" s="301"/>
      <c r="S602" s="301"/>
      <c r="T602" s="301"/>
      <c r="U602" s="301"/>
      <c r="V602" s="301"/>
      <c r="W602" s="301"/>
      <c r="X602" s="301"/>
      <c r="Y602" s="301"/>
      <c r="Z602" s="301"/>
    </row>
    <row r="603" spans="1:26" ht="11.25" customHeight="1">
      <c r="A603" s="301"/>
      <c r="B603" s="301"/>
      <c r="C603" s="301"/>
      <c r="D603" s="301"/>
      <c r="E603" s="301"/>
      <c r="F603" s="301"/>
      <c r="G603" s="301"/>
      <c r="H603" s="301"/>
      <c r="I603" s="301"/>
      <c r="J603" s="301"/>
      <c r="K603" s="301"/>
      <c r="L603" s="301"/>
      <c r="M603" s="301"/>
      <c r="N603" s="301"/>
      <c r="O603" s="301"/>
      <c r="P603" s="301"/>
      <c r="Q603" s="301"/>
      <c r="R603" s="301"/>
      <c r="S603" s="301"/>
      <c r="T603" s="301"/>
      <c r="U603" s="301"/>
      <c r="V603" s="301"/>
      <c r="W603" s="301"/>
      <c r="X603" s="301"/>
      <c r="Y603" s="301"/>
      <c r="Z603" s="301"/>
    </row>
    <row r="604" spans="1:26" ht="11.25" customHeight="1">
      <c r="A604" s="301"/>
      <c r="B604" s="301"/>
      <c r="C604" s="301"/>
      <c r="D604" s="301"/>
      <c r="E604" s="301"/>
      <c r="F604" s="301"/>
      <c r="G604" s="301"/>
      <c r="H604" s="301"/>
      <c r="I604" s="301"/>
      <c r="J604" s="301"/>
      <c r="K604" s="301"/>
      <c r="L604" s="301"/>
      <c r="M604" s="301"/>
      <c r="N604" s="301"/>
      <c r="O604" s="301"/>
      <c r="P604" s="301"/>
      <c r="Q604" s="301"/>
      <c r="R604" s="301"/>
      <c r="S604" s="301"/>
      <c r="T604" s="301"/>
      <c r="U604" s="301"/>
      <c r="V604" s="301"/>
      <c r="W604" s="301"/>
      <c r="X604" s="301"/>
      <c r="Y604" s="301"/>
      <c r="Z604" s="301"/>
    </row>
    <row r="605" spans="1:26" ht="11.25" customHeight="1">
      <c r="A605" s="301"/>
      <c r="B605" s="301"/>
      <c r="C605" s="301"/>
      <c r="D605" s="301"/>
      <c r="E605" s="301"/>
      <c r="F605" s="301"/>
      <c r="G605" s="301"/>
      <c r="H605" s="301"/>
      <c r="I605" s="301"/>
      <c r="J605" s="301"/>
      <c r="K605" s="301"/>
      <c r="L605" s="301"/>
      <c r="M605" s="301"/>
      <c r="N605" s="301"/>
      <c r="O605" s="301"/>
      <c r="P605" s="301"/>
      <c r="Q605" s="301"/>
      <c r="R605" s="301"/>
      <c r="S605" s="301"/>
      <c r="T605" s="301"/>
      <c r="U605" s="301"/>
      <c r="V605" s="301"/>
      <c r="W605" s="301"/>
      <c r="X605" s="301"/>
      <c r="Y605" s="301"/>
      <c r="Z605" s="301"/>
    </row>
    <row r="606" spans="1:26" ht="11.25" customHeight="1">
      <c r="A606" s="301"/>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c r="Z606" s="301"/>
    </row>
    <row r="607" spans="1:26" ht="11.25" customHeight="1">
      <c r="A607" s="301"/>
      <c r="B607" s="301"/>
      <c r="C607" s="301"/>
      <c r="D607" s="301"/>
      <c r="E607" s="301"/>
      <c r="F607" s="301"/>
      <c r="G607" s="301"/>
      <c r="H607" s="301"/>
      <c r="I607" s="301"/>
      <c r="J607" s="301"/>
      <c r="K607" s="301"/>
      <c r="L607" s="301"/>
      <c r="M607" s="301"/>
      <c r="N607" s="301"/>
      <c r="O607" s="301"/>
      <c r="P607" s="301"/>
      <c r="Q607" s="301"/>
      <c r="R607" s="301"/>
      <c r="S607" s="301"/>
      <c r="T607" s="301"/>
      <c r="U607" s="301"/>
      <c r="V607" s="301"/>
      <c r="W607" s="301"/>
      <c r="X607" s="301"/>
      <c r="Y607" s="301"/>
      <c r="Z607" s="301"/>
    </row>
    <row r="608" spans="1:26" ht="11.25" customHeight="1">
      <c r="A608" s="301"/>
      <c r="B608" s="301"/>
      <c r="C608" s="301"/>
      <c r="D608" s="301"/>
      <c r="E608" s="301"/>
      <c r="F608" s="301"/>
      <c r="G608" s="301"/>
      <c r="H608" s="301"/>
      <c r="I608" s="301"/>
      <c r="J608" s="301"/>
      <c r="K608" s="301"/>
      <c r="L608" s="301"/>
      <c r="M608" s="301"/>
      <c r="N608" s="301"/>
      <c r="O608" s="301"/>
      <c r="P608" s="301"/>
      <c r="Q608" s="301"/>
      <c r="R608" s="301"/>
      <c r="S608" s="301"/>
      <c r="T608" s="301"/>
      <c r="U608" s="301"/>
      <c r="V608" s="301"/>
      <c r="W608" s="301"/>
      <c r="X608" s="301"/>
      <c r="Y608" s="301"/>
      <c r="Z608" s="301"/>
    </row>
    <row r="609" spans="1:26" ht="11.25" customHeight="1">
      <c r="A609" s="301"/>
      <c r="B609" s="301"/>
      <c r="C609" s="301"/>
      <c r="D609" s="301"/>
      <c r="E609" s="301"/>
      <c r="F609" s="301"/>
      <c r="G609" s="301"/>
      <c r="H609" s="301"/>
      <c r="I609" s="301"/>
      <c r="J609" s="301"/>
      <c r="K609" s="301"/>
      <c r="L609" s="301"/>
      <c r="M609" s="301"/>
      <c r="N609" s="301"/>
      <c r="O609" s="301"/>
      <c r="P609" s="301"/>
      <c r="Q609" s="301"/>
      <c r="R609" s="301"/>
      <c r="S609" s="301"/>
      <c r="T609" s="301"/>
      <c r="U609" s="301"/>
      <c r="V609" s="301"/>
      <c r="W609" s="301"/>
      <c r="X609" s="301"/>
      <c r="Y609" s="301"/>
      <c r="Z609" s="301"/>
    </row>
    <row r="610" spans="1:26" ht="11.25" customHeight="1">
      <c r="A610" s="301"/>
      <c r="B610" s="301"/>
      <c r="C610" s="301"/>
      <c r="D610" s="301"/>
      <c r="E610" s="301"/>
      <c r="F610" s="301"/>
      <c r="G610" s="301"/>
      <c r="H610" s="301"/>
      <c r="I610" s="301"/>
      <c r="J610" s="301"/>
      <c r="K610" s="301"/>
      <c r="L610" s="301"/>
      <c r="M610" s="301"/>
      <c r="N610" s="301"/>
      <c r="O610" s="301"/>
      <c r="P610" s="301"/>
      <c r="Q610" s="301"/>
      <c r="R610" s="301"/>
      <c r="S610" s="301"/>
      <c r="T610" s="301"/>
      <c r="U610" s="301"/>
      <c r="V610" s="301"/>
      <c r="W610" s="301"/>
      <c r="X610" s="301"/>
      <c r="Y610" s="301"/>
      <c r="Z610" s="301"/>
    </row>
    <row r="611" spans="1:26" ht="11.25" customHeight="1">
      <c r="A611" s="301"/>
      <c r="B611" s="301"/>
      <c r="C611" s="301"/>
      <c r="D611" s="301"/>
      <c r="E611" s="301"/>
      <c r="F611" s="301"/>
      <c r="G611" s="301"/>
      <c r="H611" s="301"/>
      <c r="I611" s="301"/>
      <c r="J611" s="301"/>
      <c r="K611" s="301"/>
      <c r="L611" s="301"/>
      <c r="M611" s="301"/>
      <c r="N611" s="301"/>
      <c r="O611" s="301"/>
      <c r="P611" s="301"/>
      <c r="Q611" s="301"/>
      <c r="R611" s="301"/>
      <c r="S611" s="301"/>
      <c r="T611" s="301"/>
      <c r="U611" s="301"/>
      <c r="V611" s="301"/>
      <c r="W611" s="301"/>
      <c r="X611" s="301"/>
      <c r="Y611" s="301"/>
      <c r="Z611" s="301"/>
    </row>
    <row r="612" spans="1:26" ht="11.25" customHeight="1">
      <c r="A612" s="301"/>
      <c r="B612" s="301"/>
      <c r="C612" s="301"/>
      <c r="D612" s="301"/>
      <c r="E612" s="301"/>
      <c r="F612" s="301"/>
      <c r="G612" s="301"/>
      <c r="H612" s="301"/>
      <c r="I612" s="301"/>
      <c r="J612" s="301"/>
      <c r="K612" s="301"/>
      <c r="L612" s="301"/>
      <c r="M612" s="301"/>
      <c r="N612" s="301"/>
      <c r="O612" s="301"/>
      <c r="P612" s="301"/>
      <c r="Q612" s="301"/>
      <c r="R612" s="301"/>
      <c r="S612" s="301"/>
      <c r="T612" s="301"/>
      <c r="U612" s="301"/>
      <c r="V612" s="301"/>
      <c r="W612" s="301"/>
      <c r="X612" s="301"/>
      <c r="Y612" s="301"/>
      <c r="Z612" s="301"/>
    </row>
    <row r="613" spans="1:26" ht="11.25" customHeight="1">
      <c r="A613" s="301"/>
      <c r="B613" s="301"/>
      <c r="C613" s="301"/>
      <c r="D613" s="301"/>
      <c r="E613" s="301"/>
      <c r="F613" s="301"/>
      <c r="G613" s="301"/>
      <c r="H613" s="301"/>
      <c r="I613" s="301"/>
      <c r="J613" s="301"/>
      <c r="K613" s="301"/>
      <c r="L613" s="301"/>
      <c r="M613" s="301"/>
      <c r="N613" s="301"/>
      <c r="O613" s="301"/>
      <c r="P613" s="301"/>
      <c r="Q613" s="301"/>
      <c r="R613" s="301"/>
      <c r="S613" s="301"/>
      <c r="T613" s="301"/>
      <c r="U613" s="301"/>
      <c r="V613" s="301"/>
      <c r="W613" s="301"/>
      <c r="X613" s="301"/>
      <c r="Y613" s="301"/>
      <c r="Z613" s="301"/>
    </row>
    <row r="614" spans="1:26" ht="11.25" customHeight="1">
      <c r="A614" s="301"/>
      <c r="B614" s="301"/>
      <c r="C614" s="301"/>
      <c r="D614" s="301"/>
      <c r="E614" s="301"/>
      <c r="F614" s="301"/>
      <c r="G614" s="301"/>
      <c r="H614" s="301"/>
      <c r="I614" s="301"/>
      <c r="J614" s="301"/>
      <c r="K614" s="301"/>
      <c r="L614" s="301"/>
      <c r="M614" s="301"/>
      <c r="N614" s="301"/>
      <c r="O614" s="301"/>
      <c r="P614" s="301"/>
      <c r="Q614" s="301"/>
      <c r="R614" s="301"/>
      <c r="S614" s="301"/>
      <c r="T614" s="301"/>
      <c r="U614" s="301"/>
      <c r="V614" s="301"/>
      <c r="W614" s="301"/>
      <c r="X614" s="301"/>
      <c r="Y614" s="301"/>
      <c r="Z614" s="301"/>
    </row>
    <row r="615" spans="1:26" ht="11.25" customHeight="1">
      <c r="A615" s="301"/>
      <c r="B615" s="301"/>
      <c r="C615" s="301"/>
      <c r="D615" s="301"/>
      <c r="E615" s="301"/>
      <c r="F615" s="301"/>
      <c r="G615" s="301"/>
      <c r="H615" s="301"/>
      <c r="I615" s="301"/>
      <c r="J615" s="301"/>
      <c r="K615" s="301"/>
      <c r="L615" s="301"/>
      <c r="M615" s="301"/>
      <c r="N615" s="301"/>
      <c r="O615" s="301"/>
      <c r="P615" s="301"/>
      <c r="Q615" s="301"/>
      <c r="R615" s="301"/>
      <c r="S615" s="301"/>
      <c r="T615" s="301"/>
      <c r="U615" s="301"/>
      <c r="V615" s="301"/>
      <c r="W615" s="301"/>
      <c r="X615" s="301"/>
      <c r="Y615" s="301"/>
      <c r="Z615" s="301"/>
    </row>
    <row r="616" spans="1:26" ht="11.25" customHeight="1">
      <c r="A616" s="301"/>
      <c r="B616" s="301"/>
      <c r="C616" s="301"/>
      <c r="D616" s="301"/>
      <c r="E616" s="301"/>
      <c r="F616" s="301"/>
      <c r="G616" s="301"/>
      <c r="H616" s="301"/>
      <c r="I616" s="301"/>
      <c r="J616" s="301"/>
      <c r="K616" s="301"/>
      <c r="L616" s="301"/>
      <c r="M616" s="301"/>
      <c r="N616" s="301"/>
      <c r="O616" s="301"/>
      <c r="P616" s="301"/>
      <c r="Q616" s="301"/>
      <c r="R616" s="301"/>
      <c r="S616" s="301"/>
      <c r="T616" s="301"/>
      <c r="U616" s="301"/>
      <c r="V616" s="301"/>
      <c r="W616" s="301"/>
      <c r="X616" s="301"/>
      <c r="Y616" s="301"/>
      <c r="Z616" s="301"/>
    </row>
    <row r="617" spans="1:26" ht="11.25" customHeight="1">
      <c r="A617" s="301"/>
      <c r="B617" s="301"/>
      <c r="C617" s="301"/>
      <c r="D617" s="301"/>
      <c r="E617" s="301"/>
      <c r="F617" s="301"/>
      <c r="G617" s="301"/>
      <c r="H617" s="301"/>
      <c r="I617" s="301"/>
      <c r="J617" s="301"/>
      <c r="K617" s="301"/>
      <c r="L617" s="301"/>
      <c r="M617" s="301"/>
      <c r="N617" s="301"/>
      <c r="O617" s="301"/>
      <c r="P617" s="301"/>
      <c r="Q617" s="301"/>
      <c r="R617" s="301"/>
      <c r="S617" s="301"/>
      <c r="T617" s="301"/>
      <c r="U617" s="301"/>
      <c r="V617" s="301"/>
      <c r="W617" s="301"/>
      <c r="X617" s="301"/>
      <c r="Y617" s="301"/>
      <c r="Z617" s="301"/>
    </row>
    <row r="618" spans="1:26" ht="11.25" customHeight="1">
      <c r="A618" s="301"/>
      <c r="B618" s="301"/>
      <c r="C618" s="301"/>
      <c r="D618" s="301"/>
      <c r="E618" s="301"/>
      <c r="F618" s="301"/>
      <c r="G618" s="301"/>
      <c r="H618" s="301"/>
      <c r="I618" s="301"/>
      <c r="J618" s="301"/>
      <c r="K618" s="301"/>
      <c r="L618" s="301"/>
      <c r="M618" s="301"/>
      <c r="N618" s="301"/>
      <c r="O618" s="301"/>
      <c r="P618" s="301"/>
      <c r="Q618" s="301"/>
      <c r="R618" s="301"/>
      <c r="S618" s="301"/>
      <c r="T618" s="301"/>
      <c r="U618" s="301"/>
      <c r="V618" s="301"/>
      <c r="W618" s="301"/>
      <c r="X618" s="301"/>
      <c r="Y618" s="301"/>
      <c r="Z618" s="301"/>
    </row>
    <row r="619" spans="1:26" ht="11.25" customHeight="1">
      <c r="A619" s="301"/>
      <c r="B619" s="301"/>
      <c r="C619" s="301"/>
      <c r="D619" s="301"/>
      <c r="E619" s="301"/>
      <c r="F619" s="301"/>
      <c r="G619" s="301"/>
      <c r="H619" s="301"/>
      <c r="I619" s="301"/>
      <c r="J619" s="301"/>
      <c r="K619" s="301"/>
      <c r="L619" s="301"/>
      <c r="M619" s="301"/>
      <c r="N619" s="301"/>
      <c r="O619" s="301"/>
      <c r="P619" s="301"/>
      <c r="Q619" s="301"/>
      <c r="R619" s="301"/>
      <c r="S619" s="301"/>
      <c r="T619" s="301"/>
      <c r="U619" s="301"/>
      <c r="V619" s="301"/>
      <c r="W619" s="301"/>
      <c r="X619" s="301"/>
      <c r="Y619" s="301"/>
      <c r="Z619" s="301"/>
    </row>
    <row r="620" spans="1:26" ht="11.25" customHeight="1">
      <c r="A620" s="301"/>
      <c r="B620" s="301"/>
      <c r="C620" s="301"/>
      <c r="D620" s="301"/>
      <c r="E620" s="301"/>
      <c r="F620" s="301"/>
      <c r="G620" s="301"/>
      <c r="H620" s="301"/>
      <c r="I620" s="301"/>
      <c r="J620" s="301"/>
      <c r="K620" s="301"/>
      <c r="L620" s="301"/>
      <c r="M620" s="301"/>
      <c r="N620" s="301"/>
      <c r="O620" s="301"/>
      <c r="P620" s="301"/>
      <c r="Q620" s="301"/>
      <c r="R620" s="301"/>
      <c r="S620" s="301"/>
      <c r="T620" s="301"/>
      <c r="U620" s="301"/>
      <c r="V620" s="301"/>
      <c r="W620" s="301"/>
      <c r="X620" s="301"/>
      <c r="Y620" s="301"/>
      <c r="Z620" s="301"/>
    </row>
    <row r="621" spans="1:26" ht="11.25" customHeight="1">
      <c r="A621" s="301"/>
      <c r="B621" s="301"/>
      <c r="C621" s="301"/>
      <c r="D621" s="301"/>
      <c r="E621" s="301"/>
      <c r="F621" s="301"/>
      <c r="G621" s="301"/>
      <c r="H621" s="301"/>
      <c r="I621" s="301"/>
      <c r="J621" s="301"/>
      <c r="K621" s="301"/>
      <c r="L621" s="301"/>
      <c r="M621" s="301"/>
      <c r="N621" s="301"/>
      <c r="O621" s="301"/>
      <c r="P621" s="301"/>
      <c r="Q621" s="301"/>
      <c r="R621" s="301"/>
      <c r="S621" s="301"/>
      <c r="T621" s="301"/>
      <c r="U621" s="301"/>
      <c r="V621" s="301"/>
      <c r="W621" s="301"/>
      <c r="X621" s="301"/>
      <c r="Y621" s="301"/>
      <c r="Z621" s="301"/>
    </row>
    <row r="622" spans="1:26" ht="11.25" customHeight="1">
      <c r="A622" s="301"/>
      <c r="B622" s="301"/>
      <c r="C622" s="301"/>
      <c r="D622" s="301"/>
      <c r="E622" s="301"/>
      <c r="F622" s="301"/>
      <c r="G622" s="301"/>
      <c r="H622" s="301"/>
      <c r="I622" s="301"/>
      <c r="J622" s="301"/>
      <c r="K622" s="301"/>
      <c r="L622" s="301"/>
      <c r="M622" s="301"/>
      <c r="N622" s="301"/>
      <c r="O622" s="301"/>
      <c r="P622" s="301"/>
      <c r="Q622" s="301"/>
      <c r="R622" s="301"/>
      <c r="S622" s="301"/>
      <c r="T622" s="301"/>
      <c r="U622" s="301"/>
      <c r="V622" s="301"/>
      <c r="W622" s="301"/>
      <c r="X622" s="301"/>
      <c r="Y622" s="301"/>
      <c r="Z622" s="301"/>
    </row>
    <row r="623" spans="1:26" ht="11.25" customHeight="1">
      <c r="A623" s="301"/>
      <c r="B623" s="301"/>
      <c r="C623" s="301"/>
      <c r="D623" s="301"/>
      <c r="E623" s="301"/>
      <c r="F623" s="301"/>
      <c r="G623" s="301"/>
      <c r="H623" s="301"/>
      <c r="I623" s="301"/>
      <c r="J623" s="301"/>
      <c r="K623" s="301"/>
      <c r="L623" s="301"/>
      <c r="M623" s="301"/>
      <c r="N623" s="301"/>
      <c r="O623" s="301"/>
      <c r="P623" s="301"/>
      <c r="Q623" s="301"/>
      <c r="R623" s="301"/>
      <c r="S623" s="301"/>
      <c r="T623" s="301"/>
      <c r="U623" s="301"/>
      <c r="V623" s="301"/>
      <c r="W623" s="301"/>
      <c r="X623" s="301"/>
      <c r="Y623" s="301"/>
      <c r="Z623" s="301"/>
    </row>
    <row r="624" spans="1:26" ht="11.25" customHeight="1">
      <c r="A624" s="301"/>
      <c r="B624" s="301"/>
      <c r="C624" s="301"/>
      <c r="D624" s="301"/>
      <c r="E624" s="301"/>
      <c r="F624" s="301"/>
      <c r="G624" s="301"/>
      <c r="H624" s="301"/>
      <c r="I624" s="301"/>
      <c r="J624" s="301"/>
      <c r="K624" s="301"/>
      <c r="L624" s="301"/>
      <c r="M624" s="301"/>
      <c r="N624" s="301"/>
      <c r="O624" s="301"/>
      <c r="P624" s="301"/>
      <c r="Q624" s="301"/>
      <c r="R624" s="301"/>
      <c r="S624" s="301"/>
      <c r="T624" s="301"/>
      <c r="U624" s="301"/>
      <c r="V624" s="301"/>
      <c r="W624" s="301"/>
      <c r="X624" s="301"/>
      <c r="Y624" s="301"/>
      <c r="Z624" s="301"/>
    </row>
    <row r="625" spans="1:26" ht="11.25" customHeight="1">
      <c r="A625" s="301"/>
      <c r="B625" s="301"/>
      <c r="C625" s="301"/>
      <c r="D625" s="301"/>
      <c r="E625" s="301"/>
      <c r="F625" s="301"/>
      <c r="G625" s="301"/>
      <c r="H625" s="301"/>
      <c r="I625" s="301"/>
      <c r="J625" s="301"/>
      <c r="K625" s="301"/>
      <c r="L625" s="301"/>
      <c r="M625" s="301"/>
      <c r="N625" s="301"/>
      <c r="O625" s="301"/>
      <c r="P625" s="301"/>
      <c r="Q625" s="301"/>
      <c r="R625" s="301"/>
      <c r="S625" s="301"/>
      <c r="T625" s="301"/>
      <c r="U625" s="301"/>
      <c r="V625" s="301"/>
      <c r="W625" s="301"/>
      <c r="X625" s="301"/>
      <c r="Y625" s="301"/>
      <c r="Z625" s="301"/>
    </row>
    <row r="626" spans="1:26" ht="11.25" customHeight="1">
      <c r="A626" s="301"/>
      <c r="B626" s="301"/>
      <c r="C626" s="301"/>
      <c r="D626" s="301"/>
      <c r="E626" s="301"/>
      <c r="F626" s="301"/>
      <c r="G626" s="301"/>
      <c r="H626" s="301"/>
      <c r="I626" s="301"/>
      <c r="J626" s="301"/>
      <c r="K626" s="301"/>
      <c r="L626" s="301"/>
      <c r="M626" s="301"/>
      <c r="N626" s="301"/>
      <c r="O626" s="301"/>
      <c r="P626" s="301"/>
      <c r="Q626" s="301"/>
      <c r="R626" s="301"/>
      <c r="S626" s="301"/>
      <c r="T626" s="301"/>
      <c r="U626" s="301"/>
      <c r="V626" s="301"/>
      <c r="W626" s="301"/>
      <c r="X626" s="301"/>
      <c r="Y626" s="301"/>
      <c r="Z626" s="301"/>
    </row>
    <row r="627" spans="1:26" ht="11.25" customHeight="1">
      <c r="A627" s="301"/>
      <c r="B627" s="301"/>
      <c r="C627" s="301"/>
      <c r="D627" s="301"/>
      <c r="E627" s="301"/>
      <c r="F627" s="301"/>
      <c r="G627" s="301"/>
      <c r="H627" s="301"/>
      <c r="I627" s="301"/>
      <c r="J627" s="301"/>
      <c r="K627" s="301"/>
      <c r="L627" s="301"/>
      <c r="M627" s="301"/>
      <c r="N627" s="301"/>
      <c r="O627" s="301"/>
      <c r="P627" s="301"/>
      <c r="Q627" s="301"/>
      <c r="R627" s="301"/>
      <c r="S627" s="301"/>
      <c r="T627" s="301"/>
      <c r="U627" s="301"/>
      <c r="V627" s="301"/>
      <c r="W627" s="301"/>
      <c r="X627" s="301"/>
      <c r="Y627" s="301"/>
      <c r="Z627" s="301"/>
    </row>
    <row r="628" spans="1:26" ht="11.25" customHeight="1">
      <c r="A628" s="301"/>
      <c r="B628" s="301"/>
      <c r="C628" s="301"/>
      <c r="D628" s="301"/>
      <c r="E628" s="301"/>
      <c r="F628" s="301"/>
      <c r="G628" s="301"/>
      <c r="H628" s="301"/>
      <c r="I628" s="301"/>
      <c r="J628" s="301"/>
      <c r="K628" s="301"/>
      <c r="L628" s="301"/>
      <c r="M628" s="301"/>
      <c r="N628" s="301"/>
      <c r="O628" s="301"/>
      <c r="P628" s="301"/>
      <c r="Q628" s="301"/>
      <c r="R628" s="301"/>
      <c r="S628" s="301"/>
      <c r="T628" s="301"/>
      <c r="U628" s="301"/>
      <c r="V628" s="301"/>
      <c r="W628" s="301"/>
      <c r="X628" s="301"/>
      <c r="Y628" s="301"/>
      <c r="Z628" s="301"/>
    </row>
    <row r="629" spans="1:26" ht="11.25" customHeight="1">
      <c r="A629" s="301"/>
      <c r="B629" s="301"/>
      <c r="C629" s="301"/>
      <c r="D629" s="301"/>
      <c r="E629" s="301"/>
      <c r="F629" s="301"/>
      <c r="G629" s="301"/>
      <c r="H629" s="301"/>
      <c r="I629" s="301"/>
      <c r="J629" s="301"/>
      <c r="K629" s="301"/>
      <c r="L629" s="301"/>
      <c r="M629" s="301"/>
      <c r="N629" s="301"/>
      <c r="O629" s="301"/>
      <c r="P629" s="301"/>
      <c r="Q629" s="301"/>
      <c r="R629" s="301"/>
      <c r="S629" s="301"/>
      <c r="T629" s="301"/>
      <c r="U629" s="301"/>
      <c r="V629" s="301"/>
      <c r="W629" s="301"/>
      <c r="X629" s="301"/>
      <c r="Y629" s="301"/>
      <c r="Z629" s="301"/>
    </row>
    <row r="630" spans="1:26" ht="11.25" customHeight="1">
      <c r="A630" s="301"/>
      <c r="B630" s="301"/>
      <c r="C630" s="301"/>
      <c r="D630" s="301"/>
      <c r="E630" s="301"/>
      <c r="F630" s="301"/>
      <c r="G630" s="301"/>
      <c r="H630" s="301"/>
      <c r="I630" s="301"/>
      <c r="J630" s="301"/>
      <c r="K630" s="301"/>
      <c r="L630" s="301"/>
      <c r="M630" s="301"/>
      <c r="N630" s="301"/>
      <c r="O630" s="301"/>
      <c r="P630" s="301"/>
      <c r="Q630" s="301"/>
      <c r="R630" s="301"/>
      <c r="S630" s="301"/>
      <c r="T630" s="301"/>
      <c r="U630" s="301"/>
      <c r="V630" s="301"/>
      <c r="W630" s="301"/>
      <c r="X630" s="301"/>
      <c r="Y630" s="301"/>
      <c r="Z630" s="301"/>
    </row>
    <row r="631" spans="1:26" ht="11.25" customHeight="1">
      <c r="A631" s="301"/>
      <c r="B631" s="301"/>
      <c r="C631" s="301"/>
      <c r="D631" s="301"/>
      <c r="E631" s="301"/>
      <c r="F631" s="301"/>
      <c r="G631" s="301"/>
      <c r="H631" s="301"/>
      <c r="I631" s="301"/>
      <c r="J631" s="301"/>
      <c r="K631" s="301"/>
      <c r="L631" s="301"/>
      <c r="M631" s="301"/>
      <c r="N631" s="301"/>
      <c r="O631" s="301"/>
      <c r="P631" s="301"/>
      <c r="Q631" s="301"/>
      <c r="R631" s="301"/>
      <c r="S631" s="301"/>
      <c r="T631" s="301"/>
      <c r="U631" s="301"/>
      <c r="V631" s="301"/>
      <c r="W631" s="301"/>
      <c r="X631" s="301"/>
      <c r="Y631" s="301"/>
      <c r="Z631" s="301"/>
    </row>
    <row r="632" spans="1:26" ht="11.25" customHeight="1">
      <c r="A632" s="301"/>
      <c r="B632" s="301"/>
      <c r="C632" s="301"/>
      <c r="D632" s="301"/>
      <c r="E632" s="301"/>
      <c r="F632" s="301"/>
      <c r="G632" s="301"/>
      <c r="H632" s="301"/>
      <c r="I632" s="301"/>
      <c r="J632" s="301"/>
      <c r="K632" s="301"/>
      <c r="L632" s="301"/>
      <c r="M632" s="301"/>
      <c r="N632" s="301"/>
      <c r="O632" s="301"/>
      <c r="P632" s="301"/>
      <c r="Q632" s="301"/>
      <c r="R632" s="301"/>
      <c r="S632" s="301"/>
      <c r="T632" s="301"/>
      <c r="U632" s="301"/>
      <c r="V632" s="301"/>
      <c r="W632" s="301"/>
      <c r="X632" s="301"/>
      <c r="Y632" s="301"/>
      <c r="Z632" s="301"/>
    </row>
    <row r="633" spans="1:26" ht="11.25" customHeight="1">
      <c r="A633" s="301"/>
      <c r="B633" s="301"/>
      <c r="C633" s="301"/>
      <c r="D633" s="301"/>
      <c r="E633" s="301"/>
      <c r="F633" s="301"/>
      <c r="G633" s="301"/>
      <c r="H633" s="301"/>
      <c r="I633" s="301"/>
      <c r="J633" s="301"/>
      <c r="K633" s="301"/>
      <c r="L633" s="301"/>
      <c r="M633" s="301"/>
      <c r="N633" s="301"/>
      <c r="O633" s="301"/>
      <c r="P633" s="301"/>
      <c r="Q633" s="301"/>
      <c r="R633" s="301"/>
      <c r="S633" s="301"/>
      <c r="T633" s="301"/>
      <c r="U633" s="301"/>
      <c r="V633" s="301"/>
      <c r="W633" s="301"/>
      <c r="X633" s="301"/>
      <c r="Y633" s="301"/>
      <c r="Z633" s="301"/>
    </row>
    <row r="634" spans="1:26" ht="11.25" customHeight="1">
      <c r="A634" s="301"/>
      <c r="B634" s="301"/>
      <c r="C634" s="301"/>
      <c r="D634" s="301"/>
      <c r="E634" s="301"/>
      <c r="F634" s="301"/>
      <c r="G634" s="301"/>
      <c r="H634" s="301"/>
      <c r="I634" s="301"/>
      <c r="J634" s="301"/>
      <c r="K634" s="301"/>
      <c r="L634" s="301"/>
      <c r="M634" s="301"/>
      <c r="N634" s="301"/>
      <c r="O634" s="301"/>
      <c r="P634" s="301"/>
      <c r="Q634" s="301"/>
      <c r="R634" s="301"/>
      <c r="S634" s="301"/>
      <c r="T634" s="301"/>
      <c r="U634" s="301"/>
      <c r="V634" s="301"/>
      <c r="W634" s="301"/>
      <c r="X634" s="301"/>
      <c r="Y634" s="301"/>
      <c r="Z634" s="301"/>
    </row>
    <row r="635" spans="1:26" ht="11.25" customHeight="1">
      <c r="A635" s="301"/>
      <c r="B635" s="301"/>
      <c r="C635" s="301"/>
      <c r="D635" s="301"/>
      <c r="E635" s="301"/>
      <c r="F635" s="301"/>
      <c r="G635" s="301"/>
      <c r="H635" s="301"/>
      <c r="I635" s="301"/>
      <c r="J635" s="301"/>
      <c r="K635" s="301"/>
      <c r="L635" s="301"/>
      <c r="M635" s="301"/>
      <c r="N635" s="301"/>
      <c r="O635" s="301"/>
      <c r="P635" s="301"/>
      <c r="Q635" s="301"/>
      <c r="R635" s="301"/>
      <c r="S635" s="301"/>
      <c r="T635" s="301"/>
      <c r="U635" s="301"/>
      <c r="V635" s="301"/>
      <c r="W635" s="301"/>
      <c r="X635" s="301"/>
      <c r="Y635" s="301"/>
      <c r="Z635" s="301"/>
    </row>
    <row r="636" spans="1:26" ht="11.25" customHeight="1">
      <c r="A636" s="301"/>
      <c r="B636" s="301"/>
      <c r="C636" s="301"/>
      <c r="D636" s="301"/>
      <c r="E636" s="301"/>
      <c r="F636" s="301"/>
      <c r="G636" s="301"/>
      <c r="H636" s="301"/>
      <c r="I636" s="301"/>
      <c r="J636" s="301"/>
      <c r="K636" s="301"/>
      <c r="L636" s="301"/>
      <c r="M636" s="301"/>
      <c r="N636" s="301"/>
      <c r="O636" s="301"/>
      <c r="P636" s="301"/>
      <c r="Q636" s="301"/>
      <c r="R636" s="301"/>
      <c r="S636" s="301"/>
      <c r="T636" s="301"/>
      <c r="U636" s="301"/>
      <c r="V636" s="301"/>
      <c r="W636" s="301"/>
      <c r="X636" s="301"/>
      <c r="Y636" s="301"/>
      <c r="Z636" s="301"/>
    </row>
    <row r="637" spans="1:26" ht="11.25" customHeight="1">
      <c r="A637" s="301"/>
      <c r="B637" s="301"/>
      <c r="C637" s="301"/>
      <c r="D637" s="301"/>
      <c r="E637" s="301"/>
      <c r="F637" s="301"/>
      <c r="G637" s="301"/>
      <c r="H637" s="301"/>
      <c r="I637" s="301"/>
      <c r="J637" s="301"/>
      <c r="K637" s="301"/>
      <c r="L637" s="301"/>
      <c r="M637" s="301"/>
      <c r="N637" s="301"/>
      <c r="O637" s="301"/>
      <c r="P637" s="301"/>
      <c r="Q637" s="301"/>
      <c r="R637" s="301"/>
      <c r="S637" s="301"/>
      <c r="T637" s="301"/>
      <c r="U637" s="301"/>
      <c r="V637" s="301"/>
      <c r="W637" s="301"/>
      <c r="X637" s="301"/>
      <c r="Y637" s="301"/>
      <c r="Z637" s="301"/>
    </row>
    <row r="638" spans="1:26" ht="11.25" customHeight="1">
      <c r="A638" s="301"/>
      <c r="B638" s="301"/>
      <c r="C638" s="301"/>
      <c r="D638" s="301"/>
      <c r="E638" s="301"/>
      <c r="F638" s="301"/>
      <c r="G638" s="301"/>
      <c r="H638" s="301"/>
      <c r="I638" s="301"/>
      <c r="J638" s="301"/>
      <c r="K638" s="301"/>
      <c r="L638" s="301"/>
      <c r="M638" s="301"/>
      <c r="N638" s="301"/>
      <c r="O638" s="301"/>
      <c r="P638" s="301"/>
      <c r="Q638" s="301"/>
      <c r="R638" s="301"/>
      <c r="S638" s="301"/>
      <c r="T638" s="301"/>
      <c r="U638" s="301"/>
      <c r="V638" s="301"/>
      <c r="W638" s="301"/>
      <c r="X638" s="301"/>
      <c r="Y638" s="301"/>
      <c r="Z638" s="301"/>
    </row>
    <row r="639" spans="1:26" ht="11.25" customHeight="1">
      <c r="A639" s="301"/>
      <c r="B639" s="301"/>
      <c r="C639" s="301"/>
      <c r="D639" s="301"/>
      <c r="E639" s="301"/>
      <c r="F639" s="301"/>
      <c r="G639" s="301"/>
      <c r="H639" s="301"/>
      <c r="I639" s="301"/>
      <c r="J639" s="301"/>
      <c r="K639" s="301"/>
      <c r="L639" s="301"/>
      <c r="M639" s="301"/>
      <c r="N639" s="301"/>
      <c r="O639" s="301"/>
      <c r="P639" s="301"/>
      <c r="Q639" s="301"/>
      <c r="R639" s="301"/>
      <c r="S639" s="301"/>
      <c r="T639" s="301"/>
      <c r="U639" s="301"/>
      <c r="V639" s="301"/>
      <c r="W639" s="301"/>
      <c r="X639" s="301"/>
      <c r="Y639" s="301"/>
      <c r="Z639" s="301"/>
    </row>
    <row r="640" spans="1:26" ht="11.25" customHeight="1">
      <c r="A640" s="301"/>
      <c r="B640" s="301"/>
      <c r="C640" s="301"/>
      <c r="D640" s="301"/>
      <c r="E640" s="301"/>
      <c r="F640" s="301"/>
      <c r="G640" s="301"/>
      <c r="H640" s="301"/>
      <c r="I640" s="301"/>
      <c r="J640" s="301"/>
      <c r="K640" s="301"/>
      <c r="L640" s="301"/>
      <c r="M640" s="301"/>
      <c r="N640" s="301"/>
      <c r="O640" s="301"/>
      <c r="P640" s="301"/>
      <c r="Q640" s="301"/>
      <c r="R640" s="301"/>
      <c r="S640" s="301"/>
      <c r="T640" s="301"/>
      <c r="U640" s="301"/>
      <c r="V640" s="301"/>
      <c r="W640" s="301"/>
      <c r="X640" s="301"/>
      <c r="Y640" s="301"/>
      <c r="Z640" s="301"/>
    </row>
    <row r="641" spans="1:26" ht="11.25" customHeight="1">
      <c r="A641" s="301"/>
      <c r="B641" s="301"/>
      <c r="C641" s="301"/>
      <c r="D641" s="301"/>
      <c r="E641" s="301"/>
      <c r="F641" s="301"/>
      <c r="G641" s="301"/>
      <c r="H641" s="301"/>
      <c r="I641" s="301"/>
      <c r="J641" s="301"/>
      <c r="K641" s="301"/>
      <c r="L641" s="301"/>
      <c r="M641" s="301"/>
      <c r="N641" s="301"/>
      <c r="O641" s="301"/>
      <c r="P641" s="301"/>
      <c r="Q641" s="301"/>
      <c r="R641" s="301"/>
      <c r="S641" s="301"/>
      <c r="T641" s="301"/>
      <c r="U641" s="301"/>
      <c r="V641" s="301"/>
      <c r="W641" s="301"/>
      <c r="X641" s="301"/>
      <c r="Y641" s="301"/>
      <c r="Z641" s="301"/>
    </row>
    <row r="642" spans="1:26" ht="11.25" customHeight="1">
      <c r="A642" s="301"/>
      <c r="B642" s="301"/>
      <c r="C642" s="301"/>
      <c r="D642" s="301"/>
      <c r="E642" s="301"/>
      <c r="F642" s="301"/>
      <c r="G642" s="301"/>
      <c r="H642" s="301"/>
      <c r="I642" s="301"/>
      <c r="J642" s="301"/>
      <c r="K642" s="301"/>
      <c r="L642" s="301"/>
      <c r="M642" s="301"/>
      <c r="N642" s="301"/>
      <c r="O642" s="301"/>
      <c r="P642" s="301"/>
      <c r="Q642" s="301"/>
      <c r="R642" s="301"/>
      <c r="S642" s="301"/>
      <c r="T642" s="301"/>
      <c r="U642" s="301"/>
      <c r="V642" s="301"/>
      <c r="W642" s="301"/>
      <c r="X642" s="301"/>
      <c r="Y642" s="301"/>
      <c r="Z642" s="301"/>
    </row>
    <row r="643" spans="1:26" ht="11.25" customHeight="1">
      <c r="A643" s="301"/>
      <c r="B643" s="301"/>
      <c r="C643" s="301"/>
      <c r="D643" s="301"/>
      <c r="E643" s="301"/>
      <c r="F643" s="301"/>
      <c r="G643" s="301"/>
      <c r="H643" s="301"/>
      <c r="I643" s="301"/>
      <c r="J643" s="301"/>
      <c r="K643" s="301"/>
      <c r="L643" s="301"/>
      <c r="M643" s="301"/>
      <c r="N643" s="301"/>
      <c r="O643" s="301"/>
      <c r="P643" s="301"/>
      <c r="Q643" s="301"/>
      <c r="R643" s="301"/>
      <c r="S643" s="301"/>
      <c r="T643" s="301"/>
      <c r="U643" s="301"/>
      <c r="V643" s="301"/>
      <c r="W643" s="301"/>
      <c r="X643" s="301"/>
      <c r="Y643" s="301"/>
      <c r="Z643" s="301"/>
    </row>
    <row r="644" spans="1:26" ht="11.25" customHeight="1">
      <c r="A644" s="301"/>
      <c r="B644" s="301"/>
      <c r="C644" s="301"/>
      <c r="D644" s="301"/>
      <c r="E644" s="301"/>
      <c r="F644" s="301"/>
      <c r="G644" s="301"/>
      <c r="H644" s="301"/>
      <c r="I644" s="301"/>
      <c r="J644" s="301"/>
      <c r="K644" s="301"/>
      <c r="L644" s="301"/>
      <c r="M644" s="301"/>
      <c r="N644" s="301"/>
      <c r="O644" s="301"/>
      <c r="P644" s="301"/>
      <c r="Q644" s="301"/>
      <c r="R644" s="301"/>
      <c r="S644" s="301"/>
      <c r="T644" s="301"/>
      <c r="U644" s="301"/>
      <c r="V644" s="301"/>
      <c r="W644" s="301"/>
      <c r="X644" s="301"/>
      <c r="Y644" s="301"/>
      <c r="Z644" s="301"/>
    </row>
    <row r="645" spans="1:26" ht="11.25" customHeight="1">
      <c r="A645" s="301"/>
      <c r="B645" s="301"/>
      <c r="C645" s="301"/>
      <c r="D645" s="301"/>
      <c r="E645" s="301"/>
      <c r="F645" s="301"/>
      <c r="G645" s="301"/>
      <c r="H645" s="301"/>
      <c r="I645" s="301"/>
      <c r="J645" s="301"/>
      <c r="K645" s="301"/>
      <c r="L645" s="301"/>
      <c r="M645" s="301"/>
      <c r="N645" s="301"/>
      <c r="O645" s="301"/>
      <c r="P645" s="301"/>
      <c r="Q645" s="301"/>
      <c r="R645" s="301"/>
      <c r="S645" s="301"/>
      <c r="T645" s="301"/>
      <c r="U645" s="301"/>
      <c r="V645" s="301"/>
      <c r="W645" s="301"/>
      <c r="X645" s="301"/>
      <c r="Y645" s="301"/>
      <c r="Z645" s="301"/>
    </row>
    <row r="646" spans="1:26" ht="11.25" customHeight="1">
      <c r="A646" s="301"/>
      <c r="B646" s="301"/>
      <c r="C646" s="301"/>
      <c r="D646" s="301"/>
      <c r="E646" s="301"/>
      <c r="F646" s="301"/>
      <c r="G646" s="301"/>
      <c r="H646" s="301"/>
      <c r="I646" s="301"/>
      <c r="J646" s="301"/>
      <c r="K646" s="301"/>
      <c r="L646" s="301"/>
      <c r="M646" s="301"/>
      <c r="N646" s="301"/>
      <c r="O646" s="301"/>
      <c r="P646" s="301"/>
      <c r="Q646" s="301"/>
      <c r="R646" s="301"/>
      <c r="S646" s="301"/>
      <c r="T646" s="301"/>
      <c r="U646" s="301"/>
      <c r="V646" s="301"/>
      <c r="W646" s="301"/>
      <c r="X646" s="301"/>
      <c r="Y646" s="301"/>
      <c r="Z646" s="301"/>
    </row>
    <row r="647" spans="1:26" ht="11.25" customHeight="1">
      <c r="A647" s="301"/>
      <c r="B647" s="301"/>
      <c r="C647" s="301"/>
      <c r="D647" s="301"/>
      <c r="E647" s="301"/>
      <c r="F647" s="301"/>
      <c r="G647" s="301"/>
      <c r="H647" s="301"/>
      <c r="I647" s="301"/>
      <c r="J647" s="301"/>
      <c r="K647" s="301"/>
      <c r="L647" s="301"/>
      <c r="M647" s="301"/>
      <c r="N647" s="301"/>
      <c r="O647" s="301"/>
      <c r="P647" s="301"/>
      <c r="Q647" s="301"/>
      <c r="R647" s="301"/>
      <c r="S647" s="301"/>
      <c r="T647" s="301"/>
      <c r="U647" s="301"/>
      <c r="V647" s="301"/>
      <c r="W647" s="301"/>
      <c r="X647" s="301"/>
      <c r="Y647" s="301"/>
      <c r="Z647" s="301"/>
    </row>
    <row r="648" spans="1:26" ht="11.25" customHeight="1">
      <c r="A648" s="301"/>
      <c r="B648" s="301"/>
      <c r="C648" s="301"/>
      <c r="D648" s="301"/>
      <c r="E648" s="301"/>
      <c r="F648" s="301"/>
      <c r="G648" s="301"/>
      <c r="H648" s="301"/>
      <c r="I648" s="301"/>
      <c r="J648" s="301"/>
      <c r="K648" s="301"/>
      <c r="L648" s="301"/>
      <c r="M648" s="301"/>
      <c r="N648" s="301"/>
      <c r="O648" s="301"/>
      <c r="P648" s="301"/>
      <c r="Q648" s="301"/>
      <c r="R648" s="301"/>
      <c r="S648" s="301"/>
      <c r="T648" s="301"/>
      <c r="U648" s="301"/>
      <c r="V648" s="301"/>
      <c r="W648" s="301"/>
      <c r="X648" s="301"/>
      <c r="Y648" s="301"/>
      <c r="Z648" s="301"/>
    </row>
    <row r="649" spans="1:26" ht="11.25" customHeight="1">
      <c r="A649" s="301"/>
      <c r="B649" s="301"/>
      <c r="C649" s="301"/>
      <c r="D649" s="301"/>
      <c r="E649" s="301"/>
      <c r="F649" s="301"/>
      <c r="G649" s="301"/>
      <c r="H649" s="301"/>
      <c r="I649" s="301"/>
      <c r="J649" s="301"/>
      <c r="K649" s="301"/>
      <c r="L649" s="301"/>
      <c r="M649" s="301"/>
      <c r="N649" s="301"/>
      <c r="O649" s="301"/>
      <c r="P649" s="301"/>
      <c r="Q649" s="301"/>
      <c r="R649" s="301"/>
      <c r="S649" s="301"/>
      <c r="T649" s="301"/>
      <c r="U649" s="301"/>
      <c r="V649" s="301"/>
      <c r="W649" s="301"/>
      <c r="X649" s="301"/>
      <c r="Y649" s="301"/>
      <c r="Z649" s="301"/>
    </row>
    <row r="650" spans="1:26" ht="11.25" customHeight="1">
      <c r="A650" s="301"/>
      <c r="B650" s="301"/>
      <c r="C650" s="301"/>
      <c r="D650" s="301"/>
      <c r="E650" s="301"/>
      <c r="F650" s="301"/>
      <c r="G650" s="301"/>
      <c r="H650" s="301"/>
      <c r="I650" s="301"/>
      <c r="J650" s="301"/>
      <c r="K650" s="301"/>
      <c r="L650" s="301"/>
      <c r="M650" s="301"/>
      <c r="N650" s="301"/>
      <c r="O650" s="301"/>
      <c r="P650" s="301"/>
      <c r="Q650" s="301"/>
      <c r="R650" s="301"/>
      <c r="S650" s="301"/>
      <c r="T650" s="301"/>
      <c r="U650" s="301"/>
      <c r="V650" s="301"/>
      <c r="W650" s="301"/>
      <c r="X650" s="301"/>
      <c r="Y650" s="301"/>
      <c r="Z650" s="301"/>
    </row>
    <row r="651" spans="1:26" ht="11.25" customHeight="1">
      <c r="A651" s="301"/>
      <c r="B651" s="301"/>
      <c r="C651" s="301"/>
      <c r="D651" s="301"/>
      <c r="E651" s="301"/>
      <c r="F651" s="301"/>
      <c r="G651" s="301"/>
      <c r="H651" s="301"/>
      <c r="I651" s="301"/>
      <c r="J651" s="301"/>
      <c r="K651" s="301"/>
      <c r="L651" s="301"/>
      <c r="M651" s="301"/>
      <c r="N651" s="301"/>
      <c r="O651" s="301"/>
      <c r="P651" s="301"/>
      <c r="Q651" s="301"/>
      <c r="R651" s="301"/>
      <c r="S651" s="301"/>
      <c r="T651" s="301"/>
      <c r="U651" s="301"/>
      <c r="V651" s="301"/>
      <c r="W651" s="301"/>
      <c r="X651" s="301"/>
      <c r="Y651" s="301"/>
      <c r="Z651" s="301"/>
    </row>
    <row r="652" spans="1:26" ht="11.25" customHeight="1">
      <c r="A652" s="301"/>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c r="Z652" s="301"/>
    </row>
    <row r="653" spans="1:26" ht="11.25" customHeight="1">
      <c r="A653" s="301"/>
      <c r="B653" s="301"/>
      <c r="C653" s="301"/>
      <c r="D653" s="301"/>
      <c r="E653" s="301"/>
      <c r="F653" s="301"/>
      <c r="G653" s="301"/>
      <c r="H653" s="301"/>
      <c r="I653" s="301"/>
      <c r="J653" s="301"/>
      <c r="K653" s="301"/>
      <c r="L653" s="301"/>
      <c r="M653" s="301"/>
      <c r="N653" s="301"/>
      <c r="O653" s="301"/>
      <c r="P653" s="301"/>
      <c r="Q653" s="301"/>
      <c r="R653" s="301"/>
      <c r="S653" s="301"/>
      <c r="T653" s="301"/>
      <c r="U653" s="301"/>
      <c r="V653" s="301"/>
      <c r="W653" s="301"/>
      <c r="X653" s="301"/>
      <c r="Y653" s="301"/>
      <c r="Z653" s="301"/>
    </row>
    <row r="654" spans="1:26" ht="11.25" customHeight="1">
      <c r="A654" s="301"/>
      <c r="B654" s="301"/>
      <c r="C654" s="301"/>
      <c r="D654" s="301"/>
      <c r="E654" s="301"/>
      <c r="F654" s="301"/>
      <c r="G654" s="301"/>
      <c r="H654" s="301"/>
      <c r="I654" s="301"/>
      <c r="J654" s="301"/>
      <c r="K654" s="301"/>
      <c r="L654" s="301"/>
      <c r="M654" s="301"/>
      <c r="N654" s="301"/>
      <c r="O654" s="301"/>
      <c r="P654" s="301"/>
      <c r="Q654" s="301"/>
      <c r="R654" s="301"/>
      <c r="S654" s="301"/>
      <c r="T654" s="301"/>
      <c r="U654" s="301"/>
      <c r="V654" s="301"/>
      <c r="W654" s="301"/>
      <c r="X654" s="301"/>
      <c r="Y654" s="301"/>
      <c r="Z654" s="301"/>
    </row>
    <row r="655" spans="1:26" ht="11.25" customHeight="1">
      <c r="A655" s="301"/>
      <c r="B655" s="301"/>
      <c r="C655" s="301"/>
      <c r="D655" s="301"/>
      <c r="E655" s="301"/>
      <c r="F655" s="301"/>
      <c r="G655" s="301"/>
      <c r="H655" s="301"/>
      <c r="I655" s="301"/>
      <c r="J655" s="301"/>
      <c r="K655" s="301"/>
      <c r="L655" s="301"/>
      <c r="M655" s="301"/>
      <c r="N655" s="301"/>
      <c r="O655" s="301"/>
      <c r="P655" s="301"/>
      <c r="Q655" s="301"/>
      <c r="R655" s="301"/>
      <c r="S655" s="301"/>
      <c r="T655" s="301"/>
      <c r="U655" s="301"/>
      <c r="V655" s="301"/>
      <c r="W655" s="301"/>
      <c r="X655" s="301"/>
      <c r="Y655" s="301"/>
      <c r="Z655" s="301"/>
    </row>
    <row r="656" spans="1:26" ht="11.25" customHeight="1">
      <c r="A656" s="301"/>
      <c r="B656" s="301"/>
      <c r="C656" s="301"/>
      <c r="D656" s="301"/>
      <c r="E656" s="301"/>
      <c r="F656" s="301"/>
      <c r="G656" s="301"/>
      <c r="H656" s="301"/>
      <c r="I656" s="301"/>
      <c r="J656" s="301"/>
      <c r="K656" s="301"/>
      <c r="L656" s="301"/>
      <c r="M656" s="301"/>
      <c r="N656" s="301"/>
      <c r="O656" s="301"/>
      <c r="P656" s="301"/>
      <c r="Q656" s="301"/>
      <c r="R656" s="301"/>
      <c r="S656" s="301"/>
      <c r="T656" s="301"/>
      <c r="U656" s="301"/>
      <c r="V656" s="301"/>
      <c r="W656" s="301"/>
      <c r="X656" s="301"/>
      <c r="Y656" s="301"/>
      <c r="Z656" s="301"/>
    </row>
    <row r="657" spans="1:26" ht="11.25" customHeight="1">
      <c r="A657" s="301"/>
      <c r="B657" s="301"/>
      <c r="C657" s="301"/>
      <c r="D657" s="301"/>
      <c r="E657" s="301"/>
      <c r="F657" s="301"/>
      <c r="G657" s="301"/>
      <c r="H657" s="301"/>
      <c r="I657" s="301"/>
      <c r="J657" s="301"/>
      <c r="K657" s="301"/>
      <c r="L657" s="301"/>
      <c r="M657" s="301"/>
      <c r="N657" s="301"/>
      <c r="O657" s="301"/>
      <c r="P657" s="301"/>
      <c r="Q657" s="301"/>
      <c r="R657" s="301"/>
      <c r="S657" s="301"/>
      <c r="T657" s="301"/>
      <c r="U657" s="301"/>
      <c r="V657" s="301"/>
      <c r="W657" s="301"/>
      <c r="X657" s="301"/>
      <c r="Y657" s="301"/>
      <c r="Z657" s="301"/>
    </row>
    <row r="658" spans="1:26" ht="11.25" customHeight="1">
      <c r="A658" s="301"/>
      <c r="B658" s="301"/>
      <c r="C658" s="301"/>
      <c r="D658" s="301"/>
      <c r="E658" s="301"/>
      <c r="F658" s="301"/>
      <c r="G658" s="301"/>
      <c r="H658" s="301"/>
      <c r="I658" s="301"/>
      <c r="J658" s="301"/>
      <c r="K658" s="301"/>
      <c r="L658" s="301"/>
      <c r="M658" s="301"/>
      <c r="N658" s="301"/>
      <c r="O658" s="301"/>
      <c r="P658" s="301"/>
      <c r="Q658" s="301"/>
      <c r="R658" s="301"/>
      <c r="S658" s="301"/>
      <c r="T658" s="301"/>
      <c r="U658" s="301"/>
      <c r="V658" s="301"/>
      <c r="W658" s="301"/>
      <c r="X658" s="301"/>
      <c r="Y658" s="301"/>
      <c r="Z658" s="301"/>
    </row>
    <row r="659" spans="1:26" ht="11.25" customHeight="1">
      <c r="A659" s="301"/>
      <c r="B659" s="301"/>
      <c r="C659" s="301"/>
      <c r="D659" s="301"/>
      <c r="E659" s="301"/>
      <c r="F659" s="301"/>
      <c r="G659" s="301"/>
      <c r="H659" s="301"/>
      <c r="I659" s="301"/>
      <c r="J659" s="301"/>
      <c r="K659" s="301"/>
      <c r="L659" s="301"/>
      <c r="M659" s="301"/>
      <c r="N659" s="301"/>
      <c r="O659" s="301"/>
      <c r="P659" s="301"/>
      <c r="Q659" s="301"/>
      <c r="R659" s="301"/>
      <c r="S659" s="301"/>
      <c r="T659" s="301"/>
      <c r="U659" s="301"/>
      <c r="V659" s="301"/>
      <c r="W659" s="301"/>
      <c r="X659" s="301"/>
      <c r="Y659" s="301"/>
      <c r="Z659" s="301"/>
    </row>
    <row r="660" spans="1:26" ht="11.25" customHeight="1">
      <c r="A660" s="301"/>
      <c r="B660" s="301"/>
      <c r="C660" s="301"/>
      <c r="D660" s="301"/>
      <c r="E660" s="301"/>
      <c r="F660" s="301"/>
      <c r="G660" s="301"/>
      <c r="H660" s="301"/>
      <c r="I660" s="301"/>
      <c r="J660" s="301"/>
      <c r="K660" s="301"/>
      <c r="L660" s="301"/>
      <c r="M660" s="301"/>
      <c r="N660" s="301"/>
      <c r="O660" s="301"/>
      <c r="P660" s="301"/>
      <c r="Q660" s="301"/>
      <c r="R660" s="301"/>
      <c r="S660" s="301"/>
      <c r="T660" s="301"/>
      <c r="U660" s="301"/>
      <c r="V660" s="301"/>
      <c r="W660" s="301"/>
      <c r="X660" s="301"/>
      <c r="Y660" s="301"/>
      <c r="Z660" s="301"/>
    </row>
    <row r="661" spans="1:26" ht="11.25" customHeight="1">
      <c r="A661" s="301"/>
      <c r="B661" s="301"/>
      <c r="C661" s="301"/>
      <c r="D661" s="301"/>
      <c r="E661" s="301"/>
      <c r="F661" s="301"/>
      <c r="G661" s="301"/>
      <c r="H661" s="301"/>
      <c r="I661" s="301"/>
      <c r="J661" s="301"/>
      <c r="K661" s="301"/>
      <c r="L661" s="301"/>
      <c r="M661" s="301"/>
      <c r="N661" s="301"/>
      <c r="O661" s="301"/>
      <c r="P661" s="301"/>
      <c r="Q661" s="301"/>
      <c r="R661" s="301"/>
      <c r="S661" s="301"/>
      <c r="T661" s="301"/>
      <c r="U661" s="301"/>
      <c r="V661" s="301"/>
      <c r="W661" s="301"/>
      <c r="X661" s="301"/>
      <c r="Y661" s="301"/>
      <c r="Z661" s="301"/>
    </row>
    <row r="662" spans="1:26" ht="11.25" customHeight="1">
      <c r="A662" s="301"/>
      <c r="B662" s="301"/>
      <c r="C662" s="301"/>
      <c r="D662" s="301"/>
      <c r="E662" s="301"/>
      <c r="F662" s="301"/>
      <c r="G662" s="301"/>
      <c r="H662" s="301"/>
      <c r="I662" s="301"/>
      <c r="J662" s="301"/>
      <c r="K662" s="301"/>
      <c r="L662" s="301"/>
      <c r="M662" s="301"/>
      <c r="N662" s="301"/>
      <c r="O662" s="301"/>
      <c r="P662" s="301"/>
      <c r="Q662" s="301"/>
      <c r="R662" s="301"/>
      <c r="S662" s="301"/>
      <c r="T662" s="301"/>
      <c r="U662" s="301"/>
      <c r="V662" s="301"/>
      <c r="W662" s="301"/>
      <c r="X662" s="301"/>
      <c r="Y662" s="301"/>
      <c r="Z662" s="301"/>
    </row>
    <row r="663" spans="1:26" ht="11.25" customHeight="1">
      <c r="A663" s="301"/>
      <c r="B663" s="301"/>
      <c r="C663" s="301"/>
      <c r="D663" s="301"/>
      <c r="E663" s="301"/>
      <c r="F663" s="301"/>
      <c r="G663" s="301"/>
      <c r="H663" s="301"/>
      <c r="I663" s="301"/>
      <c r="J663" s="301"/>
      <c r="K663" s="301"/>
      <c r="L663" s="301"/>
      <c r="M663" s="301"/>
      <c r="N663" s="301"/>
      <c r="O663" s="301"/>
      <c r="P663" s="301"/>
      <c r="Q663" s="301"/>
      <c r="R663" s="301"/>
      <c r="S663" s="301"/>
      <c r="T663" s="301"/>
      <c r="U663" s="301"/>
      <c r="V663" s="301"/>
      <c r="W663" s="301"/>
      <c r="X663" s="301"/>
      <c r="Y663" s="301"/>
      <c r="Z663" s="301"/>
    </row>
    <row r="664" spans="1:26" ht="11.25" customHeight="1">
      <c r="A664" s="301"/>
      <c r="B664" s="301"/>
      <c r="C664" s="301"/>
      <c r="D664" s="301"/>
      <c r="E664" s="301"/>
      <c r="F664" s="301"/>
      <c r="G664" s="301"/>
      <c r="H664" s="301"/>
      <c r="I664" s="301"/>
      <c r="J664" s="301"/>
      <c r="K664" s="301"/>
      <c r="L664" s="301"/>
      <c r="M664" s="301"/>
      <c r="N664" s="301"/>
      <c r="O664" s="301"/>
      <c r="P664" s="301"/>
      <c r="Q664" s="301"/>
      <c r="R664" s="301"/>
      <c r="S664" s="301"/>
      <c r="T664" s="301"/>
      <c r="U664" s="301"/>
      <c r="V664" s="301"/>
      <c r="W664" s="301"/>
      <c r="X664" s="301"/>
      <c r="Y664" s="301"/>
      <c r="Z664" s="301"/>
    </row>
    <row r="665" spans="1:26" ht="11.25" customHeight="1">
      <c r="A665" s="301"/>
      <c r="B665" s="301"/>
      <c r="C665" s="301"/>
      <c r="D665" s="301"/>
      <c r="E665" s="301"/>
      <c r="F665" s="301"/>
      <c r="G665" s="301"/>
      <c r="H665" s="301"/>
      <c r="I665" s="301"/>
      <c r="J665" s="301"/>
      <c r="K665" s="301"/>
      <c r="L665" s="301"/>
      <c r="M665" s="301"/>
      <c r="N665" s="301"/>
      <c r="O665" s="301"/>
      <c r="P665" s="301"/>
      <c r="Q665" s="301"/>
      <c r="R665" s="301"/>
      <c r="S665" s="301"/>
      <c r="T665" s="301"/>
      <c r="U665" s="301"/>
      <c r="V665" s="301"/>
      <c r="W665" s="301"/>
      <c r="X665" s="301"/>
      <c r="Y665" s="301"/>
      <c r="Z665" s="301"/>
    </row>
    <row r="666" spans="1:26" ht="11.25" customHeight="1">
      <c r="A666" s="301"/>
      <c r="B666" s="301"/>
      <c r="C666" s="301"/>
      <c r="D666" s="301"/>
      <c r="E666" s="301"/>
      <c r="F666" s="301"/>
      <c r="G666" s="301"/>
      <c r="H666" s="301"/>
      <c r="I666" s="301"/>
      <c r="J666" s="301"/>
      <c r="K666" s="301"/>
      <c r="L666" s="301"/>
      <c r="M666" s="301"/>
      <c r="N666" s="301"/>
      <c r="O666" s="301"/>
      <c r="P666" s="301"/>
      <c r="Q666" s="301"/>
      <c r="R666" s="301"/>
      <c r="S666" s="301"/>
      <c r="T666" s="301"/>
      <c r="U666" s="301"/>
      <c r="V666" s="301"/>
      <c r="W666" s="301"/>
      <c r="X666" s="301"/>
      <c r="Y666" s="301"/>
      <c r="Z666" s="301"/>
    </row>
    <row r="667" spans="1:26" ht="11.25" customHeight="1">
      <c r="A667" s="301"/>
      <c r="B667" s="301"/>
      <c r="C667" s="301"/>
      <c r="D667" s="301"/>
      <c r="E667" s="301"/>
      <c r="F667" s="301"/>
      <c r="G667" s="301"/>
      <c r="H667" s="301"/>
      <c r="I667" s="301"/>
      <c r="J667" s="301"/>
      <c r="K667" s="301"/>
      <c r="L667" s="301"/>
      <c r="M667" s="301"/>
      <c r="N667" s="301"/>
      <c r="O667" s="301"/>
      <c r="P667" s="301"/>
      <c r="Q667" s="301"/>
      <c r="R667" s="301"/>
      <c r="S667" s="301"/>
      <c r="T667" s="301"/>
      <c r="U667" s="301"/>
      <c r="V667" s="301"/>
      <c r="W667" s="301"/>
      <c r="X667" s="301"/>
      <c r="Y667" s="301"/>
      <c r="Z667" s="301"/>
    </row>
    <row r="668" spans="1:26" ht="11.25" customHeight="1">
      <c r="A668" s="301"/>
      <c r="B668" s="301"/>
      <c r="C668" s="301"/>
      <c r="D668" s="301"/>
      <c r="E668" s="301"/>
      <c r="F668" s="301"/>
      <c r="G668" s="301"/>
      <c r="H668" s="301"/>
      <c r="I668" s="301"/>
      <c r="J668" s="301"/>
      <c r="K668" s="301"/>
      <c r="L668" s="301"/>
      <c r="M668" s="301"/>
      <c r="N668" s="301"/>
      <c r="O668" s="301"/>
      <c r="P668" s="301"/>
      <c r="Q668" s="301"/>
      <c r="R668" s="301"/>
      <c r="S668" s="301"/>
      <c r="T668" s="301"/>
      <c r="U668" s="301"/>
      <c r="V668" s="301"/>
      <c r="W668" s="301"/>
      <c r="X668" s="301"/>
      <c r="Y668" s="301"/>
      <c r="Z668" s="301"/>
    </row>
    <row r="669" spans="1:26" ht="11.25" customHeight="1">
      <c r="A669" s="301"/>
      <c r="B669" s="301"/>
      <c r="C669" s="301"/>
      <c r="D669" s="301"/>
      <c r="E669" s="301"/>
      <c r="F669" s="301"/>
      <c r="G669" s="301"/>
      <c r="H669" s="301"/>
      <c r="I669" s="301"/>
      <c r="J669" s="301"/>
      <c r="K669" s="301"/>
      <c r="L669" s="301"/>
      <c r="M669" s="301"/>
      <c r="N669" s="301"/>
      <c r="O669" s="301"/>
      <c r="P669" s="301"/>
      <c r="Q669" s="301"/>
      <c r="R669" s="301"/>
      <c r="S669" s="301"/>
      <c r="T669" s="301"/>
      <c r="U669" s="301"/>
      <c r="V669" s="301"/>
      <c r="W669" s="301"/>
      <c r="X669" s="301"/>
      <c r="Y669" s="301"/>
      <c r="Z669" s="301"/>
    </row>
    <row r="670" spans="1:26" ht="11.25" customHeight="1">
      <c r="A670" s="301"/>
      <c r="B670" s="301"/>
      <c r="C670" s="301"/>
      <c r="D670" s="301"/>
      <c r="E670" s="301"/>
      <c r="F670" s="301"/>
      <c r="G670" s="301"/>
      <c r="H670" s="301"/>
      <c r="I670" s="301"/>
      <c r="J670" s="301"/>
      <c r="K670" s="301"/>
      <c r="L670" s="301"/>
      <c r="M670" s="301"/>
      <c r="N670" s="301"/>
      <c r="O670" s="301"/>
      <c r="P670" s="301"/>
      <c r="Q670" s="301"/>
      <c r="R670" s="301"/>
      <c r="S670" s="301"/>
      <c r="T670" s="301"/>
      <c r="U670" s="301"/>
      <c r="V670" s="301"/>
      <c r="W670" s="301"/>
      <c r="X670" s="301"/>
      <c r="Y670" s="301"/>
      <c r="Z670" s="301"/>
    </row>
    <row r="671" spans="1:26" ht="11.25" customHeight="1">
      <c r="A671" s="301"/>
      <c r="B671" s="301"/>
      <c r="C671" s="301"/>
      <c r="D671" s="301"/>
      <c r="E671" s="301"/>
      <c r="F671" s="301"/>
      <c r="G671" s="301"/>
      <c r="H671" s="301"/>
      <c r="I671" s="301"/>
      <c r="J671" s="301"/>
      <c r="K671" s="301"/>
      <c r="L671" s="301"/>
      <c r="M671" s="301"/>
      <c r="N671" s="301"/>
      <c r="O671" s="301"/>
      <c r="P671" s="301"/>
      <c r="Q671" s="301"/>
      <c r="R671" s="301"/>
      <c r="S671" s="301"/>
      <c r="T671" s="301"/>
      <c r="U671" s="301"/>
      <c r="V671" s="301"/>
      <c r="W671" s="301"/>
      <c r="X671" s="301"/>
      <c r="Y671" s="301"/>
      <c r="Z671" s="301"/>
    </row>
    <row r="672" spans="1:26" ht="11.25" customHeight="1">
      <c r="A672" s="301"/>
      <c r="B672" s="301"/>
      <c r="C672" s="301"/>
      <c r="D672" s="301"/>
      <c r="E672" s="301"/>
      <c r="F672" s="301"/>
      <c r="G672" s="301"/>
      <c r="H672" s="301"/>
      <c r="I672" s="301"/>
      <c r="J672" s="301"/>
      <c r="K672" s="301"/>
      <c r="L672" s="301"/>
      <c r="M672" s="301"/>
      <c r="N672" s="301"/>
      <c r="O672" s="301"/>
      <c r="P672" s="301"/>
      <c r="Q672" s="301"/>
      <c r="R672" s="301"/>
      <c r="S672" s="301"/>
      <c r="T672" s="301"/>
      <c r="U672" s="301"/>
      <c r="V672" s="301"/>
      <c r="W672" s="301"/>
      <c r="X672" s="301"/>
      <c r="Y672" s="301"/>
      <c r="Z672" s="301"/>
    </row>
    <row r="673" spans="1:26" ht="11.25" customHeight="1">
      <c r="A673" s="301"/>
      <c r="B673" s="301"/>
      <c r="C673" s="301"/>
      <c r="D673" s="301"/>
      <c r="E673" s="301"/>
      <c r="F673" s="301"/>
      <c r="G673" s="301"/>
      <c r="H673" s="301"/>
      <c r="I673" s="301"/>
      <c r="J673" s="301"/>
      <c r="K673" s="301"/>
      <c r="L673" s="301"/>
      <c r="M673" s="301"/>
      <c r="N673" s="301"/>
      <c r="O673" s="301"/>
      <c r="P673" s="301"/>
      <c r="Q673" s="301"/>
      <c r="R673" s="301"/>
      <c r="S673" s="301"/>
      <c r="T673" s="301"/>
      <c r="U673" s="301"/>
      <c r="V673" s="301"/>
      <c r="W673" s="301"/>
      <c r="X673" s="301"/>
      <c r="Y673" s="301"/>
      <c r="Z673" s="301"/>
    </row>
    <row r="674" spans="1:26" ht="11.25" customHeight="1">
      <c r="A674" s="301"/>
      <c r="B674" s="301"/>
      <c r="C674" s="301"/>
      <c r="D674" s="301"/>
      <c r="E674" s="301"/>
      <c r="F674" s="301"/>
      <c r="G674" s="301"/>
      <c r="H674" s="301"/>
      <c r="I674" s="301"/>
      <c r="J674" s="301"/>
      <c r="K674" s="301"/>
      <c r="L674" s="301"/>
      <c r="M674" s="301"/>
      <c r="N674" s="301"/>
      <c r="O674" s="301"/>
      <c r="P674" s="301"/>
      <c r="Q674" s="301"/>
      <c r="R674" s="301"/>
      <c r="S674" s="301"/>
      <c r="T674" s="301"/>
      <c r="U674" s="301"/>
      <c r="V674" s="301"/>
      <c r="W674" s="301"/>
      <c r="X674" s="301"/>
      <c r="Y674" s="301"/>
      <c r="Z674" s="301"/>
    </row>
    <row r="675" spans="1:26" ht="11.25" customHeight="1">
      <c r="A675" s="301"/>
      <c r="B675" s="301"/>
      <c r="C675" s="301"/>
      <c r="D675" s="301"/>
      <c r="E675" s="301"/>
      <c r="F675" s="301"/>
      <c r="G675" s="301"/>
      <c r="H675" s="301"/>
      <c r="I675" s="301"/>
      <c r="J675" s="301"/>
      <c r="K675" s="301"/>
      <c r="L675" s="301"/>
      <c r="M675" s="301"/>
      <c r="N675" s="301"/>
      <c r="O675" s="301"/>
      <c r="P675" s="301"/>
      <c r="Q675" s="301"/>
      <c r="R675" s="301"/>
      <c r="S675" s="301"/>
      <c r="T675" s="301"/>
      <c r="U675" s="301"/>
      <c r="V675" s="301"/>
      <c r="W675" s="301"/>
      <c r="X675" s="301"/>
      <c r="Y675" s="301"/>
      <c r="Z675" s="301"/>
    </row>
    <row r="676" spans="1:26" ht="11.25" customHeight="1">
      <c r="A676" s="301"/>
      <c r="B676" s="301"/>
      <c r="C676" s="301"/>
      <c r="D676" s="301"/>
      <c r="E676" s="301"/>
      <c r="F676" s="301"/>
      <c r="G676" s="301"/>
      <c r="H676" s="301"/>
      <c r="I676" s="301"/>
      <c r="J676" s="301"/>
      <c r="K676" s="301"/>
      <c r="L676" s="301"/>
      <c r="M676" s="301"/>
      <c r="N676" s="301"/>
      <c r="O676" s="301"/>
      <c r="P676" s="301"/>
      <c r="Q676" s="301"/>
      <c r="R676" s="301"/>
      <c r="S676" s="301"/>
      <c r="T676" s="301"/>
      <c r="U676" s="301"/>
      <c r="V676" s="301"/>
      <c r="W676" s="301"/>
      <c r="X676" s="301"/>
      <c r="Y676" s="301"/>
      <c r="Z676" s="301"/>
    </row>
    <row r="677" spans="1:26" ht="11.25" customHeight="1">
      <c r="A677" s="301"/>
      <c r="B677" s="301"/>
      <c r="C677" s="301"/>
      <c r="D677" s="301"/>
      <c r="E677" s="301"/>
      <c r="F677" s="301"/>
      <c r="G677" s="301"/>
      <c r="H677" s="301"/>
      <c r="I677" s="301"/>
      <c r="J677" s="301"/>
      <c r="K677" s="301"/>
      <c r="L677" s="301"/>
      <c r="M677" s="301"/>
      <c r="N677" s="301"/>
      <c r="O677" s="301"/>
      <c r="P677" s="301"/>
      <c r="Q677" s="301"/>
      <c r="R677" s="301"/>
      <c r="S677" s="301"/>
      <c r="T677" s="301"/>
      <c r="U677" s="301"/>
      <c r="V677" s="301"/>
      <c r="W677" s="301"/>
      <c r="X677" s="301"/>
      <c r="Y677" s="301"/>
      <c r="Z677" s="301"/>
    </row>
    <row r="678" spans="1:26" ht="11.25" customHeight="1">
      <c r="A678" s="301"/>
      <c r="B678" s="301"/>
      <c r="C678" s="301"/>
      <c r="D678" s="301"/>
      <c r="E678" s="301"/>
      <c r="F678" s="301"/>
      <c r="G678" s="301"/>
      <c r="H678" s="301"/>
      <c r="I678" s="301"/>
      <c r="J678" s="301"/>
      <c r="K678" s="301"/>
      <c r="L678" s="301"/>
      <c r="M678" s="301"/>
      <c r="N678" s="301"/>
      <c r="O678" s="301"/>
      <c r="P678" s="301"/>
      <c r="Q678" s="301"/>
      <c r="R678" s="301"/>
      <c r="S678" s="301"/>
      <c r="T678" s="301"/>
      <c r="U678" s="301"/>
      <c r="V678" s="301"/>
      <c r="W678" s="301"/>
      <c r="X678" s="301"/>
      <c r="Y678" s="301"/>
      <c r="Z678" s="301"/>
    </row>
    <row r="679" spans="1:26" ht="11.25" customHeight="1">
      <c r="A679" s="301"/>
      <c r="B679" s="301"/>
      <c r="C679" s="301"/>
      <c r="D679" s="301"/>
      <c r="E679" s="301"/>
      <c r="F679" s="301"/>
      <c r="G679" s="301"/>
      <c r="H679" s="301"/>
      <c r="I679" s="301"/>
      <c r="J679" s="301"/>
      <c r="K679" s="301"/>
      <c r="L679" s="301"/>
      <c r="M679" s="301"/>
      <c r="N679" s="301"/>
      <c r="O679" s="301"/>
      <c r="P679" s="301"/>
      <c r="Q679" s="301"/>
      <c r="R679" s="301"/>
      <c r="S679" s="301"/>
      <c r="T679" s="301"/>
      <c r="U679" s="301"/>
      <c r="V679" s="301"/>
      <c r="W679" s="301"/>
      <c r="X679" s="301"/>
      <c r="Y679" s="301"/>
      <c r="Z679" s="301"/>
    </row>
    <row r="680" spans="1:26" ht="11.25" customHeight="1">
      <c r="A680" s="301"/>
      <c r="B680" s="301"/>
      <c r="C680" s="301"/>
      <c r="D680" s="301"/>
      <c r="E680" s="301"/>
      <c r="F680" s="301"/>
      <c r="G680" s="301"/>
      <c r="H680" s="301"/>
      <c r="I680" s="301"/>
      <c r="J680" s="301"/>
      <c r="K680" s="301"/>
      <c r="L680" s="301"/>
      <c r="M680" s="301"/>
      <c r="N680" s="301"/>
      <c r="O680" s="301"/>
      <c r="P680" s="301"/>
      <c r="Q680" s="301"/>
      <c r="R680" s="301"/>
      <c r="S680" s="301"/>
      <c r="T680" s="301"/>
      <c r="U680" s="301"/>
      <c r="V680" s="301"/>
      <c r="W680" s="301"/>
      <c r="X680" s="301"/>
      <c r="Y680" s="301"/>
      <c r="Z680" s="301"/>
    </row>
    <row r="681" spans="1:26" ht="11.25" customHeight="1">
      <c r="A681" s="301"/>
      <c r="B681" s="301"/>
      <c r="C681" s="301"/>
      <c r="D681" s="301"/>
      <c r="E681" s="301"/>
      <c r="F681" s="301"/>
      <c r="G681" s="301"/>
      <c r="H681" s="301"/>
      <c r="I681" s="301"/>
      <c r="J681" s="301"/>
      <c r="K681" s="301"/>
      <c r="L681" s="301"/>
      <c r="M681" s="301"/>
      <c r="N681" s="301"/>
      <c r="O681" s="301"/>
      <c r="P681" s="301"/>
      <c r="Q681" s="301"/>
      <c r="R681" s="301"/>
      <c r="S681" s="301"/>
      <c r="T681" s="301"/>
      <c r="U681" s="301"/>
      <c r="V681" s="301"/>
      <c r="W681" s="301"/>
      <c r="X681" s="301"/>
      <c r="Y681" s="301"/>
      <c r="Z681" s="301"/>
    </row>
    <row r="682" spans="1:26" ht="11.25" customHeight="1">
      <c r="A682" s="301"/>
      <c r="B682" s="301"/>
      <c r="C682" s="301"/>
      <c r="D682" s="301"/>
      <c r="E682" s="301"/>
      <c r="F682" s="301"/>
      <c r="G682" s="301"/>
      <c r="H682" s="301"/>
      <c r="I682" s="301"/>
      <c r="J682" s="301"/>
      <c r="K682" s="301"/>
      <c r="L682" s="301"/>
      <c r="M682" s="301"/>
      <c r="N682" s="301"/>
      <c r="O682" s="301"/>
      <c r="P682" s="301"/>
      <c r="Q682" s="301"/>
      <c r="R682" s="301"/>
      <c r="S682" s="301"/>
      <c r="T682" s="301"/>
      <c r="U682" s="301"/>
      <c r="V682" s="301"/>
      <c r="W682" s="301"/>
      <c r="X682" s="301"/>
      <c r="Y682" s="301"/>
      <c r="Z682" s="301"/>
    </row>
    <row r="683" spans="1:26" ht="11.25" customHeight="1">
      <c r="A683" s="301"/>
      <c r="B683" s="301"/>
      <c r="C683" s="301"/>
      <c r="D683" s="301"/>
      <c r="E683" s="301"/>
      <c r="F683" s="301"/>
      <c r="G683" s="301"/>
      <c r="H683" s="301"/>
      <c r="I683" s="301"/>
      <c r="J683" s="301"/>
      <c r="K683" s="301"/>
      <c r="L683" s="301"/>
      <c r="M683" s="301"/>
      <c r="N683" s="301"/>
      <c r="O683" s="301"/>
      <c r="P683" s="301"/>
      <c r="Q683" s="301"/>
      <c r="R683" s="301"/>
      <c r="S683" s="301"/>
      <c r="T683" s="301"/>
      <c r="U683" s="301"/>
      <c r="V683" s="301"/>
      <c r="W683" s="301"/>
      <c r="X683" s="301"/>
      <c r="Y683" s="301"/>
      <c r="Z683" s="301"/>
    </row>
    <row r="684" spans="1:26" ht="11.25" customHeight="1">
      <c r="A684" s="301"/>
      <c r="B684" s="301"/>
      <c r="C684" s="301"/>
      <c r="D684" s="301"/>
      <c r="E684" s="301"/>
      <c r="F684" s="301"/>
      <c r="G684" s="301"/>
      <c r="H684" s="301"/>
      <c r="I684" s="301"/>
      <c r="J684" s="301"/>
      <c r="K684" s="301"/>
      <c r="L684" s="301"/>
      <c r="M684" s="301"/>
      <c r="N684" s="301"/>
      <c r="O684" s="301"/>
      <c r="P684" s="301"/>
      <c r="Q684" s="301"/>
      <c r="R684" s="301"/>
      <c r="S684" s="301"/>
      <c r="T684" s="301"/>
      <c r="U684" s="301"/>
      <c r="V684" s="301"/>
      <c r="W684" s="301"/>
      <c r="X684" s="301"/>
      <c r="Y684" s="301"/>
      <c r="Z684" s="301"/>
    </row>
    <row r="685" spans="1:26" ht="11.25" customHeight="1">
      <c r="A685" s="301"/>
      <c r="B685" s="301"/>
      <c r="C685" s="301"/>
      <c r="D685" s="301"/>
      <c r="E685" s="301"/>
      <c r="F685" s="301"/>
      <c r="G685" s="301"/>
      <c r="H685" s="301"/>
      <c r="I685" s="301"/>
      <c r="J685" s="301"/>
      <c r="K685" s="301"/>
      <c r="L685" s="301"/>
      <c r="M685" s="301"/>
      <c r="N685" s="301"/>
      <c r="O685" s="301"/>
      <c r="P685" s="301"/>
      <c r="Q685" s="301"/>
      <c r="R685" s="301"/>
      <c r="S685" s="301"/>
      <c r="T685" s="301"/>
      <c r="U685" s="301"/>
      <c r="V685" s="301"/>
      <c r="W685" s="301"/>
      <c r="X685" s="301"/>
      <c r="Y685" s="301"/>
      <c r="Z685" s="301"/>
    </row>
    <row r="686" spans="1:26" ht="11.25" customHeight="1">
      <c r="A686" s="301"/>
      <c r="B686" s="301"/>
      <c r="C686" s="301"/>
      <c r="D686" s="301"/>
      <c r="E686" s="301"/>
      <c r="F686" s="301"/>
      <c r="G686" s="301"/>
      <c r="H686" s="301"/>
      <c r="I686" s="301"/>
      <c r="J686" s="301"/>
      <c r="K686" s="301"/>
      <c r="L686" s="301"/>
      <c r="M686" s="301"/>
      <c r="N686" s="301"/>
      <c r="O686" s="301"/>
      <c r="P686" s="301"/>
      <c r="Q686" s="301"/>
      <c r="R686" s="301"/>
      <c r="S686" s="301"/>
      <c r="T686" s="301"/>
      <c r="U686" s="301"/>
      <c r="V686" s="301"/>
      <c r="W686" s="301"/>
      <c r="X686" s="301"/>
      <c r="Y686" s="301"/>
      <c r="Z686" s="301"/>
    </row>
    <row r="687" spans="1:26" ht="11.25" customHeight="1">
      <c r="A687" s="301"/>
      <c r="B687" s="301"/>
      <c r="C687" s="301"/>
      <c r="D687" s="301"/>
      <c r="E687" s="301"/>
      <c r="F687" s="301"/>
      <c r="G687" s="301"/>
      <c r="H687" s="301"/>
      <c r="I687" s="301"/>
      <c r="J687" s="301"/>
      <c r="K687" s="301"/>
      <c r="L687" s="301"/>
      <c r="M687" s="301"/>
      <c r="N687" s="301"/>
      <c r="O687" s="301"/>
      <c r="P687" s="301"/>
      <c r="Q687" s="301"/>
      <c r="R687" s="301"/>
      <c r="S687" s="301"/>
      <c r="T687" s="301"/>
      <c r="U687" s="301"/>
      <c r="V687" s="301"/>
      <c r="W687" s="301"/>
      <c r="X687" s="301"/>
      <c r="Y687" s="301"/>
      <c r="Z687" s="301"/>
    </row>
    <row r="688" spans="1:26" ht="11.25" customHeight="1">
      <c r="A688" s="301"/>
      <c r="B688" s="301"/>
      <c r="C688" s="301"/>
      <c r="D688" s="301"/>
      <c r="E688" s="301"/>
      <c r="F688" s="301"/>
      <c r="G688" s="301"/>
      <c r="H688" s="301"/>
      <c r="I688" s="301"/>
      <c r="J688" s="301"/>
      <c r="K688" s="301"/>
      <c r="L688" s="301"/>
      <c r="M688" s="301"/>
      <c r="N688" s="301"/>
      <c r="O688" s="301"/>
      <c r="P688" s="301"/>
      <c r="Q688" s="301"/>
      <c r="R688" s="301"/>
      <c r="S688" s="301"/>
      <c r="T688" s="301"/>
      <c r="U688" s="301"/>
      <c r="V688" s="301"/>
      <c r="W688" s="301"/>
      <c r="X688" s="301"/>
      <c r="Y688" s="301"/>
      <c r="Z688" s="301"/>
    </row>
    <row r="689" spans="1:26" ht="11.25" customHeight="1">
      <c r="A689" s="301"/>
      <c r="B689" s="301"/>
      <c r="C689" s="301"/>
      <c r="D689" s="301"/>
      <c r="E689" s="301"/>
      <c r="F689" s="301"/>
      <c r="G689" s="301"/>
      <c r="H689" s="301"/>
      <c r="I689" s="301"/>
      <c r="J689" s="301"/>
      <c r="K689" s="301"/>
      <c r="L689" s="301"/>
      <c r="M689" s="301"/>
      <c r="N689" s="301"/>
      <c r="O689" s="301"/>
      <c r="P689" s="301"/>
      <c r="Q689" s="301"/>
      <c r="R689" s="301"/>
      <c r="S689" s="301"/>
      <c r="T689" s="301"/>
      <c r="U689" s="301"/>
      <c r="V689" s="301"/>
      <c r="W689" s="301"/>
      <c r="X689" s="301"/>
      <c r="Y689" s="301"/>
      <c r="Z689" s="301"/>
    </row>
    <row r="690" spans="1:26" ht="11.25" customHeight="1">
      <c r="A690" s="301"/>
      <c r="B690" s="301"/>
      <c r="C690" s="301"/>
      <c r="D690" s="301"/>
      <c r="E690" s="301"/>
      <c r="F690" s="301"/>
      <c r="G690" s="301"/>
      <c r="H690" s="301"/>
      <c r="I690" s="301"/>
      <c r="J690" s="301"/>
      <c r="K690" s="301"/>
      <c r="L690" s="301"/>
      <c r="M690" s="301"/>
      <c r="N690" s="301"/>
      <c r="O690" s="301"/>
      <c r="P690" s="301"/>
      <c r="Q690" s="301"/>
      <c r="R690" s="301"/>
      <c r="S690" s="301"/>
      <c r="T690" s="301"/>
      <c r="U690" s="301"/>
      <c r="V690" s="301"/>
      <c r="W690" s="301"/>
      <c r="X690" s="301"/>
      <c r="Y690" s="301"/>
      <c r="Z690" s="301"/>
    </row>
    <row r="691" spans="1:26" ht="11.25" customHeight="1">
      <c r="A691" s="301"/>
      <c r="B691" s="301"/>
      <c r="C691" s="301"/>
      <c r="D691" s="301"/>
      <c r="E691" s="301"/>
      <c r="F691" s="301"/>
      <c r="G691" s="301"/>
      <c r="H691" s="301"/>
      <c r="I691" s="301"/>
      <c r="J691" s="301"/>
      <c r="K691" s="301"/>
      <c r="L691" s="301"/>
      <c r="M691" s="301"/>
      <c r="N691" s="301"/>
      <c r="O691" s="301"/>
      <c r="P691" s="301"/>
      <c r="Q691" s="301"/>
      <c r="R691" s="301"/>
      <c r="S691" s="301"/>
      <c r="T691" s="301"/>
      <c r="U691" s="301"/>
      <c r="V691" s="301"/>
      <c r="W691" s="301"/>
      <c r="X691" s="301"/>
      <c r="Y691" s="301"/>
      <c r="Z691" s="301"/>
    </row>
    <row r="692" spans="1:26" ht="11.25" customHeight="1">
      <c r="A692" s="301"/>
      <c r="B692" s="301"/>
      <c r="C692" s="301"/>
      <c r="D692" s="301"/>
      <c r="E692" s="301"/>
      <c r="F692" s="301"/>
      <c r="G692" s="301"/>
      <c r="H692" s="301"/>
      <c r="I692" s="301"/>
      <c r="J692" s="301"/>
      <c r="K692" s="301"/>
      <c r="L692" s="301"/>
      <c r="M692" s="301"/>
      <c r="N692" s="301"/>
      <c r="O692" s="301"/>
      <c r="P692" s="301"/>
      <c r="Q692" s="301"/>
      <c r="R692" s="301"/>
      <c r="S692" s="301"/>
      <c r="T692" s="301"/>
      <c r="U692" s="301"/>
      <c r="V692" s="301"/>
      <c r="W692" s="301"/>
      <c r="X692" s="301"/>
      <c r="Y692" s="301"/>
      <c r="Z692" s="301"/>
    </row>
    <row r="693" spans="1:26" ht="11.25" customHeight="1">
      <c r="A693" s="301"/>
      <c r="B693" s="301"/>
      <c r="C693" s="301"/>
      <c r="D693" s="301"/>
      <c r="E693" s="301"/>
      <c r="F693" s="301"/>
      <c r="G693" s="301"/>
      <c r="H693" s="301"/>
      <c r="I693" s="301"/>
      <c r="J693" s="301"/>
      <c r="K693" s="301"/>
      <c r="L693" s="301"/>
      <c r="M693" s="301"/>
      <c r="N693" s="301"/>
      <c r="O693" s="301"/>
      <c r="P693" s="301"/>
      <c r="Q693" s="301"/>
      <c r="R693" s="301"/>
      <c r="S693" s="301"/>
      <c r="T693" s="301"/>
      <c r="U693" s="301"/>
      <c r="V693" s="301"/>
      <c r="W693" s="301"/>
      <c r="X693" s="301"/>
      <c r="Y693" s="301"/>
      <c r="Z693" s="301"/>
    </row>
    <row r="694" spans="1:26" ht="11.25" customHeight="1">
      <c r="A694" s="301"/>
      <c r="B694" s="301"/>
      <c r="C694" s="301"/>
      <c r="D694" s="301"/>
      <c r="E694" s="301"/>
      <c r="F694" s="301"/>
      <c r="G694" s="301"/>
      <c r="H694" s="301"/>
      <c r="I694" s="301"/>
      <c r="J694" s="301"/>
      <c r="K694" s="301"/>
      <c r="L694" s="301"/>
      <c r="M694" s="301"/>
      <c r="N694" s="301"/>
      <c r="O694" s="301"/>
      <c r="P694" s="301"/>
      <c r="Q694" s="301"/>
      <c r="R694" s="301"/>
      <c r="S694" s="301"/>
      <c r="T694" s="301"/>
      <c r="U694" s="301"/>
      <c r="V694" s="301"/>
      <c r="W694" s="301"/>
      <c r="X694" s="301"/>
      <c r="Y694" s="301"/>
      <c r="Z694" s="301"/>
    </row>
    <row r="695" spans="1:26" ht="11.25" customHeight="1">
      <c r="A695" s="301"/>
      <c r="B695" s="301"/>
      <c r="C695" s="301"/>
      <c r="D695" s="301"/>
      <c r="E695" s="301"/>
      <c r="F695" s="301"/>
      <c r="G695" s="301"/>
      <c r="H695" s="301"/>
      <c r="I695" s="301"/>
      <c r="J695" s="301"/>
      <c r="K695" s="301"/>
      <c r="L695" s="301"/>
      <c r="M695" s="301"/>
      <c r="N695" s="301"/>
      <c r="O695" s="301"/>
      <c r="P695" s="301"/>
      <c r="Q695" s="301"/>
      <c r="R695" s="301"/>
      <c r="S695" s="301"/>
      <c r="T695" s="301"/>
      <c r="U695" s="301"/>
      <c r="V695" s="301"/>
      <c r="W695" s="301"/>
      <c r="X695" s="301"/>
      <c r="Y695" s="301"/>
      <c r="Z695" s="301"/>
    </row>
    <row r="696" spans="1:26" ht="11.25" customHeight="1">
      <c r="A696" s="301"/>
      <c r="B696" s="301"/>
      <c r="C696" s="301"/>
      <c r="D696" s="301"/>
      <c r="E696" s="301"/>
      <c r="F696" s="301"/>
      <c r="G696" s="301"/>
      <c r="H696" s="301"/>
      <c r="I696" s="301"/>
      <c r="J696" s="301"/>
      <c r="K696" s="301"/>
      <c r="L696" s="301"/>
      <c r="M696" s="301"/>
      <c r="N696" s="301"/>
      <c r="O696" s="301"/>
      <c r="P696" s="301"/>
      <c r="Q696" s="301"/>
      <c r="R696" s="301"/>
      <c r="S696" s="301"/>
      <c r="T696" s="301"/>
      <c r="U696" s="301"/>
      <c r="V696" s="301"/>
      <c r="W696" s="301"/>
      <c r="X696" s="301"/>
      <c r="Y696" s="301"/>
      <c r="Z696" s="301"/>
    </row>
    <row r="697" spans="1:26" ht="11.25" customHeight="1">
      <c r="A697" s="301"/>
      <c r="B697" s="301"/>
      <c r="C697" s="301"/>
      <c r="D697" s="301"/>
      <c r="E697" s="301"/>
      <c r="F697" s="301"/>
      <c r="G697" s="301"/>
      <c r="H697" s="301"/>
      <c r="I697" s="301"/>
      <c r="J697" s="301"/>
      <c r="K697" s="301"/>
      <c r="L697" s="301"/>
      <c r="M697" s="301"/>
      <c r="N697" s="301"/>
      <c r="O697" s="301"/>
      <c r="P697" s="301"/>
      <c r="Q697" s="301"/>
      <c r="R697" s="301"/>
      <c r="S697" s="301"/>
      <c r="T697" s="301"/>
      <c r="U697" s="301"/>
      <c r="V697" s="301"/>
      <c r="W697" s="301"/>
      <c r="X697" s="301"/>
      <c r="Y697" s="301"/>
      <c r="Z697" s="301"/>
    </row>
    <row r="698" spans="1:26" ht="11.25" customHeight="1">
      <c r="A698" s="301"/>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row>
    <row r="699" spans="1:26" ht="11.25" customHeight="1">
      <c r="A699" s="301"/>
      <c r="B699" s="301"/>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c r="Z699" s="301"/>
    </row>
    <row r="700" spans="1:26" ht="11.25" customHeight="1">
      <c r="A700" s="301"/>
      <c r="B700" s="301"/>
      <c r="C700" s="301"/>
      <c r="D700" s="301"/>
      <c r="E700" s="301"/>
      <c r="F700" s="301"/>
      <c r="G700" s="301"/>
      <c r="H700" s="301"/>
      <c r="I700" s="301"/>
      <c r="J700" s="301"/>
      <c r="K700" s="301"/>
      <c r="L700" s="301"/>
      <c r="M700" s="301"/>
      <c r="N700" s="301"/>
      <c r="O700" s="301"/>
      <c r="P700" s="301"/>
      <c r="Q700" s="301"/>
      <c r="R700" s="301"/>
      <c r="S700" s="301"/>
      <c r="T700" s="301"/>
      <c r="U700" s="301"/>
      <c r="V700" s="301"/>
      <c r="W700" s="301"/>
      <c r="X700" s="301"/>
      <c r="Y700" s="301"/>
      <c r="Z700" s="301"/>
    </row>
    <row r="701" spans="1:26" ht="11.25" customHeight="1">
      <c r="A701" s="301"/>
      <c r="B701" s="301"/>
      <c r="C701" s="301"/>
      <c r="D701" s="301"/>
      <c r="E701" s="301"/>
      <c r="F701" s="301"/>
      <c r="G701" s="301"/>
      <c r="H701" s="301"/>
      <c r="I701" s="301"/>
      <c r="J701" s="301"/>
      <c r="K701" s="301"/>
      <c r="L701" s="301"/>
      <c r="M701" s="301"/>
      <c r="N701" s="301"/>
      <c r="O701" s="301"/>
      <c r="P701" s="301"/>
      <c r="Q701" s="301"/>
      <c r="R701" s="301"/>
      <c r="S701" s="301"/>
      <c r="T701" s="301"/>
      <c r="U701" s="301"/>
      <c r="V701" s="301"/>
      <c r="W701" s="301"/>
      <c r="X701" s="301"/>
      <c r="Y701" s="301"/>
      <c r="Z701" s="301"/>
    </row>
    <row r="702" spans="1:26" ht="11.25" customHeight="1">
      <c r="A702" s="301"/>
      <c r="B702" s="301"/>
      <c r="C702" s="301"/>
      <c r="D702" s="301"/>
      <c r="E702" s="301"/>
      <c r="F702" s="301"/>
      <c r="G702" s="301"/>
      <c r="H702" s="301"/>
      <c r="I702" s="301"/>
      <c r="J702" s="301"/>
      <c r="K702" s="301"/>
      <c r="L702" s="301"/>
      <c r="M702" s="301"/>
      <c r="N702" s="301"/>
      <c r="O702" s="301"/>
      <c r="P702" s="301"/>
      <c r="Q702" s="301"/>
      <c r="R702" s="301"/>
      <c r="S702" s="301"/>
      <c r="T702" s="301"/>
      <c r="U702" s="301"/>
      <c r="V702" s="301"/>
      <c r="W702" s="301"/>
      <c r="X702" s="301"/>
      <c r="Y702" s="301"/>
      <c r="Z702" s="301"/>
    </row>
    <row r="703" spans="1:26" ht="11.25" customHeight="1">
      <c r="A703" s="301"/>
      <c r="B703" s="301"/>
      <c r="C703" s="301"/>
      <c r="D703" s="301"/>
      <c r="E703" s="301"/>
      <c r="F703" s="301"/>
      <c r="G703" s="301"/>
      <c r="H703" s="301"/>
      <c r="I703" s="301"/>
      <c r="J703" s="301"/>
      <c r="K703" s="301"/>
      <c r="L703" s="301"/>
      <c r="M703" s="301"/>
      <c r="N703" s="301"/>
      <c r="O703" s="301"/>
      <c r="P703" s="301"/>
      <c r="Q703" s="301"/>
      <c r="R703" s="301"/>
      <c r="S703" s="301"/>
      <c r="T703" s="301"/>
      <c r="U703" s="301"/>
      <c r="V703" s="301"/>
      <c r="W703" s="301"/>
      <c r="X703" s="301"/>
      <c r="Y703" s="301"/>
      <c r="Z703" s="301"/>
    </row>
    <row r="704" spans="1:26" ht="11.25" customHeight="1">
      <c r="A704" s="301"/>
      <c r="B704" s="301"/>
      <c r="C704" s="301"/>
      <c r="D704" s="301"/>
      <c r="E704" s="301"/>
      <c r="F704" s="301"/>
      <c r="G704" s="301"/>
      <c r="H704" s="301"/>
      <c r="I704" s="301"/>
      <c r="J704" s="301"/>
      <c r="K704" s="301"/>
      <c r="L704" s="301"/>
      <c r="M704" s="301"/>
      <c r="N704" s="301"/>
      <c r="O704" s="301"/>
      <c r="P704" s="301"/>
      <c r="Q704" s="301"/>
      <c r="R704" s="301"/>
      <c r="S704" s="301"/>
      <c r="T704" s="301"/>
      <c r="U704" s="301"/>
      <c r="V704" s="301"/>
      <c r="W704" s="301"/>
      <c r="X704" s="301"/>
      <c r="Y704" s="301"/>
      <c r="Z704" s="301"/>
    </row>
    <row r="705" spans="1:26" ht="11.25" customHeight="1">
      <c r="A705" s="301"/>
      <c r="B705" s="301"/>
      <c r="C705" s="301"/>
      <c r="D705" s="301"/>
      <c r="E705" s="301"/>
      <c r="F705" s="301"/>
      <c r="G705" s="301"/>
      <c r="H705" s="301"/>
      <c r="I705" s="301"/>
      <c r="J705" s="301"/>
      <c r="K705" s="301"/>
      <c r="L705" s="301"/>
      <c r="M705" s="301"/>
      <c r="N705" s="301"/>
      <c r="O705" s="301"/>
      <c r="P705" s="301"/>
      <c r="Q705" s="301"/>
      <c r="R705" s="301"/>
      <c r="S705" s="301"/>
      <c r="T705" s="301"/>
      <c r="U705" s="301"/>
      <c r="V705" s="301"/>
      <c r="W705" s="301"/>
      <c r="X705" s="301"/>
      <c r="Y705" s="301"/>
      <c r="Z705" s="301"/>
    </row>
    <row r="706" spans="1:26" ht="11.25" customHeight="1">
      <c r="A706" s="301"/>
      <c r="B706" s="301"/>
      <c r="C706" s="301"/>
      <c r="D706" s="301"/>
      <c r="E706" s="301"/>
      <c r="F706" s="301"/>
      <c r="G706" s="301"/>
      <c r="H706" s="301"/>
      <c r="I706" s="301"/>
      <c r="J706" s="301"/>
      <c r="K706" s="301"/>
      <c r="L706" s="301"/>
      <c r="M706" s="301"/>
      <c r="N706" s="301"/>
      <c r="O706" s="301"/>
      <c r="P706" s="301"/>
      <c r="Q706" s="301"/>
      <c r="R706" s="301"/>
      <c r="S706" s="301"/>
      <c r="T706" s="301"/>
      <c r="U706" s="301"/>
      <c r="V706" s="301"/>
      <c r="W706" s="301"/>
      <c r="X706" s="301"/>
      <c r="Y706" s="301"/>
      <c r="Z706" s="301"/>
    </row>
    <row r="707" spans="1:26" ht="11.25" customHeight="1">
      <c r="A707" s="301"/>
      <c r="B707" s="301"/>
      <c r="C707" s="301"/>
      <c r="D707" s="301"/>
      <c r="E707" s="301"/>
      <c r="F707" s="301"/>
      <c r="G707" s="301"/>
      <c r="H707" s="301"/>
      <c r="I707" s="301"/>
      <c r="J707" s="301"/>
      <c r="K707" s="301"/>
      <c r="L707" s="301"/>
      <c r="M707" s="301"/>
      <c r="N707" s="301"/>
      <c r="O707" s="301"/>
      <c r="P707" s="301"/>
      <c r="Q707" s="301"/>
      <c r="R707" s="301"/>
      <c r="S707" s="301"/>
      <c r="T707" s="301"/>
      <c r="U707" s="301"/>
      <c r="V707" s="301"/>
      <c r="W707" s="301"/>
      <c r="X707" s="301"/>
      <c r="Y707" s="301"/>
      <c r="Z707" s="301"/>
    </row>
    <row r="708" spans="1:26" ht="11.25" customHeight="1">
      <c r="A708" s="301"/>
      <c r="B708" s="301"/>
      <c r="C708" s="301"/>
      <c r="D708" s="301"/>
      <c r="E708" s="301"/>
      <c r="F708" s="301"/>
      <c r="G708" s="301"/>
      <c r="H708" s="301"/>
      <c r="I708" s="301"/>
      <c r="J708" s="301"/>
      <c r="K708" s="301"/>
      <c r="L708" s="301"/>
      <c r="M708" s="301"/>
      <c r="N708" s="301"/>
      <c r="O708" s="301"/>
      <c r="P708" s="301"/>
      <c r="Q708" s="301"/>
      <c r="R708" s="301"/>
      <c r="S708" s="301"/>
      <c r="T708" s="301"/>
      <c r="U708" s="301"/>
      <c r="V708" s="301"/>
      <c r="W708" s="301"/>
      <c r="X708" s="301"/>
      <c r="Y708" s="301"/>
      <c r="Z708" s="301"/>
    </row>
    <row r="709" spans="1:26" ht="11.25" customHeight="1">
      <c r="A709" s="301"/>
      <c r="B709" s="301"/>
      <c r="C709" s="301"/>
      <c r="D709" s="301"/>
      <c r="E709" s="301"/>
      <c r="F709" s="301"/>
      <c r="G709" s="301"/>
      <c r="H709" s="301"/>
      <c r="I709" s="301"/>
      <c r="J709" s="301"/>
      <c r="K709" s="301"/>
      <c r="L709" s="301"/>
      <c r="M709" s="301"/>
      <c r="N709" s="301"/>
      <c r="O709" s="301"/>
      <c r="P709" s="301"/>
      <c r="Q709" s="301"/>
      <c r="R709" s="301"/>
      <c r="S709" s="301"/>
      <c r="T709" s="301"/>
      <c r="U709" s="301"/>
      <c r="V709" s="301"/>
      <c r="W709" s="301"/>
      <c r="X709" s="301"/>
      <c r="Y709" s="301"/>
      <c r="Z709" s="301"/>
    </row>
    <row r="710" spans="1:26" ht="11.25" customHeight="1">
      <c r="A710" s="301"/>
      <c r="B710" s="301"/>
      <c r="C710" s="301"/>
      <c r="D710" s="301"/>
      <c r="E710" s="301"/>
      <c r="F710" s="301"/>
      <c r="G710" s="301"/>
      <c r="H710" s="301"/>
      <c r="I710" s="301"/>
      <c r="J710" s="301"/>
      <c r="K710" s="301"/>
      <c r="L710" s="301"/>
      <c r="M710" s="301"/>
      <c r="N710" s="301"/>
      <c r="O710" s="301"/>
      <c r="P710" s="301"/>
      <c r="Q710" s="301"/>
      <c r="R710" s="301"/>
      <c r="S710" s="301"/>
      <c r="T710" s="301"/>
      <c r="U710" s="301"/>
      <c r="V710" s="301"/>
      <c r="W710" s="301"/>
      <c r="X710" s="301"/>
      <c r="Y710" s="301"/>
      <c r="Z710" s="301"/>
    </row>
    <row r="711" spans="1:26" ht="11.25" customHeight="1">
      <c r="A711" s="301"/>
      <c r="B711" s="301"/>
      <c r="C711" s="301"/>
      <c r="D711" s="301"/>
      <c r="E711" s="301"/>
      <c r="F711" s="301"/>
      <c r="G711" s="301"/>
      <c r="H711" s="301"/>
      <c r="I711" s="301"/>
      <c r="J711" s="301"/>
      <c r="K711" s="301"/>
      <c r="L711" s="301"/>
      <c r="M711" s="301"/>
      <c r="N711" s="301"/>
      <c r="O711" s="301"/>
      <c r="P711" s="301"/>
      <c r="Q711" s="301"/>
      <c r="R711" s="301"/>
      <c r="S711" s="301"/>
      <c r="T711" s="301"/>
      <c r="U711" s="301"/>
      <c r="V711" s="301"/>
      <c r="W711" s="301"/>
      <c r="X711" s="301"/>
      <c r="Y711" s="301"/>
      <c r="Z711" s="301"/>
    </row>
    <row r="712" spans="1:26" ht="11.25" customHeight="1">
      <c r="A712" s="301"/>
      <c r="B712" s="301"/>
      <c r="C712" s="301"/>
      <c r="D712" s="301"/>
      <c r="E712" s="301"/>
      <c r="F712" s="301"/>
      <c r="G712" s="301"/>
      <c r="H712" s="301"/>
      <c r="I712" s="301"/>
      <c r="J712" s="301"/>
      <c r="K712" s="301"/>
      <c r="L712" s="301"/>
      <c r="M712" s="301"/>
      <c r="N712" s="301"/>
      <c r="O712" s="301"/>
      <c r="P712" s="301"/>
      <c r="Q712" s="301"/>
      <c r="R712" s="301"/>
      <c r="S712" s="301"/>
      <c r="T712" s="301"/>
      <c r="U712" s="301"/>
      <c r="V712" s="301"/>
      <c r="W712" s="301"/>
      <c r="X712" s="301"/>
      <c r="Y712" s="301"/>
      <c r="Z712" s="301"/>
    </row>
    <row r="713" spans="1:26" ht="11.25" customHeight="1">
      <c r="A713" s="301"/>
      <c r="B713" s="301"/>
      <c r="C713" s="301"/>
      <c r="D713" s="301"/>
      <c r="E713" s="301"/>
      <c r="F713" s="301"/>
      <c r="G713" s="301"/>
      <c r="H713" s="301"/>
      <c r="I713" s="301"/>
      <c r="J713" s="301"/>
      <c r="K713" s="301"/>
      <c r="L713" s="301"/>
      <c r="M713" s="301"/>
      <c r="N713" s="301"/>
      <c r="O713" s="301"/>
      <c r="P713" s="301"/>
      <c r="Q713" s="301"/>
      <c r="R713" s="301"/>
      <c r="S713" s="301"/>
      <c r="T713" s="301"/>
      <c r="U713" s="301"/>
      <c r="V713" s="301"/>
      <c r="W713" s="301"/>
      <c r="X713" s="301"/>
      <c r="Y713" s="301"/>
      <c r="Z713" s="301"/>
    </row>
    <row r="714" spans="1:26" ht="11.25" customHeight="1">
      <c r="A714" s="301"/>
      <c r="B714" s="301"/>
      <c r="C714" s="301"/>
      <c r="D714" s="301"/>
      <c r="E714" s="301"/>
      <c r="F714" s="301"/>
      <c r="G714" s="301"/>
      <c r="H714" s="301"/>
      <c r="I714" s="301"/>
      <c r="J714" s="301"/>
      <c r="K714" s="301"/>
      <c r="L714" s="301"/>
      <c r="M714" s="301"/>
      <c r="N714" s="301"/>
      <c r="O714" s="301"/>
      <c r="P714" s="301"/>
      <c r="Q714" s="301"/>
      <c r="R714" s="301"/>
      <c r="S714" s="301"/>
      <c r="T714" s="301"/>
      <c r="U714" s="301"/>
      <c r="V714" s="301"/>
      <c r="W714" s="301"/>
      <c r="X714" s="301"/>
      <c r="Y714" s="301"/>
      <c r="Z714" s="301"/>
    </row>
    <row r="715" spans="1:26" ht="11.25" customHeight="1">
      <c r="A715" s="301"/>
      <c r="B715" s="301"/>
      <c r="C715" s="301"/>
      <c r="D715" s="301"/>
      <c r="E715" s="301"/>
      <c r="F715" s="301"/>
      <c r="G715" s="301"/>
      <c r="H715" s="301"/>
      <c r="I715" s="301"/>
      <c r="J715" s="301"/>
      <c r="K715" s="301"/>
      <c r="L715" s="301"/>
      <c r="M715" s="301"/>
      <c r="N715" s="301"/>
      <c r="O715" s="301"/>
      <c r="P715" s="301"/>
      <c r="Q715" s="301"/>
      <c r="R715" s="301"/>
      <c r="S715" s="301"/>
      <c r="T715" s="301"/>
      <c r="U715" s="301"/>
      <c r="V715" s="301"/>
      <c r="W715" s="301"/>
      <c r="X715" s="301"/>
      <c r="Y715" s="301"/>
      <c r="Z715" s="301"/>
    </row>
    <row r="716" spans="1:26" ht="11.25" customHeight="1">
      <c r="A716" s="301"/>
      <c r="B716" s="301"/>
      <c r="C716" s="301"/>
      <c r="D716" s="301"/>
      <c r="E716" s="301"/>
      <c r="F716" s="301"/>
      <c r="G716" s="301"/>
      <c r="H716" s="301"/>
      <c r="I716" s="301"/>
      <c r="J716" s="301"/>
      <c r="K716" s="301"/>
      <c r="L716" s="301"/>
      <c r="M716" s="301"/>
      <c r="N716" s="301"/>
      <c r="O716" s="301"/>
      <c r="P716" s="301"/>
      <c r="Q716" s="301"/>
      <c r="R716" s="301"/>
      <c r="S716" s="301"/>
      <c r="T716" s="301"/>
      <c r="U716" s="301"/>
      <c r="V716" s="301"/>
      <c r="W716" s="301"/>
      <c r="X716" s="301"/>
      <c r="Y716" s="301"/>
      <c r="Z716" s="301"/>
    </row>
    <row r="717" spans="1:26" ht="11.25" customHeight="1">
      <c r="A717" s="301"/>
      <c r="B717" s="301"/>
      <c r="C717" s="301"/>
      <c r="D717" s="301"/>
      <c r="E717" s="301"/>
      <c r="F717" s="301"/>
      <c r="G717" s="301"/>
      <c r="H717" s="301"/>
      <c r="I717" s="301"/>
      <c r="J717" s="301"/>
      <c r="K717" s="301"/>
      <c r="L717" s="301"/>
      <c r="M717" s="301"/>
      <c r="N717" s="301"/>
      <c r="O717" s="301"/>
      <c r="P717" s="301"/>
      <c r="Q717" s="301"/>
      <c r="R717" s="301"/>
      <c r="S717" s="301"/>
      <c r="T717" s="301"/>
      <c r="U717" s="301"/>
      <c r="V717" s="301"/>
      <c r="W717" s="301"/>
      <c r="X717" s="301"/>
      <c r="Y717" s="301"/>
      <c r="Z717" s="301"/>
    </row>
    <row r="718" spans="1:26" ht="11.25" customHeight="1">
      <c r="A718" s="301"/>
      <c r="B718" s="301"/>
      <c r="C718" s="301"/>
      <c r="D718" s="301"/>
      <c r="E718" s="301"/>
      <c r="F718" s="301"/>
      <c r="G718" s="301"/>
      <c r="H718" s="301"/>
      <c r="I718" s="301"/>
      <c r="J718" s="301"/>
      <c r="K718" s="301"/>
      <c r="L718" s="301"/>
      <c r="M718" s="301"/>
      <c r="N718" s="301"/>
      <c r="O718" s="301"/>
      <c r="P718" s="301"/>
      <c r="Q718" s="301"/>
      <c r="R718" s="301"/>
      <c r="S718" s="301"/>
      <c r="T718" s="301"/>
      <c r="U718" s="301"/>
      <c r="V718" s="301"/>
      <c r="W718" s="301"/>
      <c r="X718" s="301"/>
      <c r="Y718" s="301"/>
      <c r="Z718" s="301"/>
    </row>
    <row r="719" spans="1:26" ht="11.25" customHeight="1">
      <c r="A719" s="301"/>
      <c r="B719" s="301"/>
      <c r="C719" s="301"/>
      <c r="D719" s="301"/>
      <c r="E719" s="301"/>
      <c r="F719" s="301"/>
      <c r="G719" s="301"/>
      <c r="H719" s="301"/>
      <c r="I719" s="301"/>
      <c r="J719" s="301"/>
      <c r="K719" s="301"/>
      <c r="L719" s="301"/>
      <c r="M719" s="301"/>
      <c r="N719" s="301"/>
      <c r="O719" s="301"/>
      <c r="P719" s="301"/>
      <c r="Q719" s="301"/>
      <c r="R719" s="301"/>
      <c r="S719" s="301"/>
      <c r="T719" s="301"/>
      <c r="U719" s="301"/>
      <c r="V719" s="301"/>
      <c r="W719" s="301"/>
      <c r="X719" s="301"/>
      <c r="Y719" s="301"/>
      <c r="Z719" s="301"/>
    </row>
    <row r="720" spans="1:26" ht="11.25" customHeight="1">
      <c r="A720" s="301"/>
      <c r="B720" s="301"/>
      <c r="C720" s="301"/>
      <c r="D720" s="301"/>
      <c r="E720" s="301"/>
      <c r="F720" s="301"/>
      <c r="G720" s="301"/>
      <c r="H720" s="301"/>
      <c r="I720" s="301"/>
      <c r="J720" s="301"/>
      <c r="K720" s="301"/>
      <c r="L720" s="301"/>
      <c r="M720" s="301"/>
      <c r="N720" s="301"/>
      <c r="O720" s="301"/>
      <c r="P720" s="301"/>
      <c r="Q720" s="301"/>
      <c r="R720" s="301"/>
      <c r="S720" s="301"/>
      <c r="T720" s="301"/>
      <c r="U720" s="301"/>
      <c r="V720" s="301"/>
      <c r="W720" s="301"/>
      <c r="X720" s="301"/>
      <c r="Y720" s="301"/>
      <c r="Z720" s="301"/>
    </row>
    <row r="721" spans="1:26" ht="11.25" customHeight="1">
      <c r="A721" s="301"/>
      <c r="B721" s="301"/>
      <c r="C721" s="301"/>
      <c r="D721" s="301"/>
      <c r="E721" s="301"/>
      <c r="F721" s="301"/>
      <c r="G721" s="301"/>
      <c r="H721" s="301"/>
      <c r="I721" s="301"/>
      <c r="J721" s="301"/>
      <c r="K721" s="301"/>
      <c r="L721" s="301"/>
      <c r="M721" s="301"/>
      <c r="N721" s="301"/>
      <c r="O721" s="301"/>
      <c r="P721" s="301"/>
      <c r="Q721" s="301"/>
      <c r="R721" s="301"/>
      <c r="S721" s="301"/>
      <c r="T721" s="301"/>
      <c r="U721" s="301"/>
      <c r="V721" s="301"/>
      <c r="W721" s="301"/>
      <c r="X721" s="301"/>
      <c r="Y721" s="301"/>
      <c r="Z721" s="301"/>
    </row>
    <row r="722" spans="1:26" ht="11.25" customHeight="1">
      <c r="A722" s="301"/>
      <c r="B722" s="301"/>
      <c r="C722" s="301"/>
      <c r="D722" s="301"/>
      <c r="E722" s="301"/>
      <c r="F722" s="301"/>
      <c r="G722" s="301"/>
      <c r="H722" s="301"/>
      <c r="I722" s="301"/>
      <c r="J722" s="301"/>
      <c r="K722" s="301"/>
      <c r="L722" s="301"/>
      <c r="M722" s="301"/>
      <c r="N722" s="301"/>
      <c r="O722" s="301"/>
      <c r="P722" s="301"/>
      <c r="Q722" s="301"/>
      <c r="R722" s="301"/>
      <c r="S722" s="301"/>
      <c r="T722" s="301"/>
      <c r="U722" s="301"/>
      <c r="V722" s="301"/>
      <c r="W722" s="301"/>
      <c r="X722" s="301"/>
      <c r="Y722" s="301"/>
      <c r="Z722" s="301"/>
    </row>
    <row r="723" spans="1:26" ht="11.25" customHeight="1">
      <c r="A723" s="301"/>
      <c r="B723" s="301"/>
      <c r="C723" s="301"/>
      <c r="D723" s="301"/>
      <c r="E723" s="301"/>
      <c r="F723" s="301"/>
      <c r="G723" s="301"/>
      <c r="H723" s="301"/>
      <c r="I723" s="301"/>
      <c r="J723" s="301"/>
      <c r="K723" s="301"/>
      <c r="L723" s="301"/>
      <c r="M723" s="301"/>
      <c r="N723" s="301"/>
      <c r="O723" s="301"/>
      <c r="P723" s="301"/>
      <c r="Q723" s="301"/>
      <c r="R723" s="301"/>
      <c r="S723" s="301"/>
      <c r="T723" s="301"/>
      <c r="U723" s="301"/>
      <c r="V723" s="301"/>
      <c r="W723" s="301"/>
      <c r="X723" s="301"/>
      <c r="Y723" s="301"/>
      <c r="Z723" s="301"/>
    </row>
    <row r="724" spans="1:26" ht="11.25" customHeight="1">
      <c r="A724" s="301"/>
      <c r="B724" s="301"/>
      <c r="C724" s="301"/>
      <c r="D724" s="301"/>
      <c r="E724" s="301"/>
      <c r="F724" s="301"/>
      <c r="G724" s="301"/>
      <c r="H724" s="301"/>
      <c r="I724" s="301"/>
      <c r="J724" s="301"/>
      <c r="K724" s="301"/>
      <c r="L724" s="301"/>
      <c r="M724" s="301"/>
      <c r="N724" s="301"/>
      <c r="O724" s="301"/>
      <c r="P724" s="301"/>
      <c r="Q724" s="301"/>
      <c r="R724" s="301"/>
      <c r="S724" s="301"/>
      <c r="T724" s="301"/>
      <c r="U724" s="301"/>
      <c r="V724" s="301"/>
      <c r="W724" s="301"/>
      <c r="X724" s="301"/>
      <c r="Y724" s="301"/>
      <c r="Z724" s="301"/>
    </row>
    <row r="725" spans="1:26" ht="11.25" customHeight="1">
      <c r="A725" s="301"/>
      <c r="B725" s="301"/>
      <c r="C725" s="301"/>
      <c r="D725" s="301"/>
      <c r="E725" s="301"/>
      <c r="F725" s="301"/>
      <c r="G725" s="301"/>
      <c r="H725" s="301"/>
      <c r="I725" s="301"/>
      <c r="J725" s="301"/>
      <c r="K725" s="301"/>
      <c r="L725" s="301"/>
      <c r="M725" s="301"/>
      <c r="N725" s="301"/>
      <c r="O725" s="301"/>
      <c r="P725" s="301"/>
      <c r="Q725" s="301"/>
      <c r="R725" s="301"/>
      <c r="S725" s="301"/>
      <c r="T725" s="301"/>
      <c r="U725" s="301"/>
      <c r="V725" s="301"/>
      <c r="W725" s="301"/>
      <c r="X725" s="301"/>
      <c r="Y725" s="301"/>
      <c r="Z725" s="301"/>
    </row>
    <row r="726" spans="1:26" ht="11.25" customHeight="1">
      <c r="A726" s="301"/>
      <c r="B726" s="301"/>
      <c r="C726" s="301"/>
      <c r="D726" s="301"/>
      <c r="E726" s="301"/>
      <c r="F726" s="301"/>
      <c r="G726" s="301"/>
      <c r="H726" s="301"/>
      <c r="I726" s="301"/>
      <c r="J726" s="301"/>
      <c r="K726" s="301"/>
      <c r="L726" s="301"/>
      <c r="M726" s="301"/>
      <c r="N726" s="301"/>
      <c r="O726" s="301"/>
      <c r="P726" s="301"/>
      <c r="Q726" s="301"/>
      <c r="R726" s="301"/>
      <c r="S726" s="301"/>
      <c r="T726" s="301"/>
      <c r="U726" s="301"/>
      <c r="V726" s="301"/>
      <c r="W726" s="301"/>
      <c r="X726" s="301"/>
      <c r="Y726" s="301"/>
      <c r="Z726" s="301"/>
    </row>
    <row r="727" spans="1:26" ht="11.25" customHeight="1">
      <c r="A727" s="301"/>
      <c r="B727" s="301"/>
      <c r="C727" s="301"/>
      <c r="D727" s="301"/>
      <c r="E727" s="301"/>
      <c r="F727" s="301"/>
      <c r="G727" s="301"/>
      <c r="H727" s="301"/>
      <c r="I727" s="301"/>
      <c r="J727" s="301"/>
      <c r="K727" s="301"/>
      <c r="L727" s="301"/>
      <c r="M727" s="301"/>
      <c r="N727" s="301"/>
      <c r="O727" s="301"/>
      <c r="P727" s="301"/>
      <c r="Q727" s="301"/>
      <c r="R727" s="301"/>
      <c r="S727" s="301"/>
      <c r="T727" s="301"/>
      <c r="U727" s="301"/>
      <c r="V727" s="301"/>
      <c r="W727" s="301"/>
      <c r="X727" s="301"/>
      <c r="Y727" s="301"/>
      <c r="Z727" s="301"/>
    </row>
    <row r="728" spans="1:26" ht="11.25" customHeight="1">
      <c r="A728" s="301"/>
      <c r="B728" s="301"/>
      <c r="C728" s="301"/>
      <c r="D728" s="301"/>
      <c r="E728" s="301"/>
      <c r="F728" s="301"/>
      <c r="G728" s="301"/>
      <c r="H728" s="301"/>
      <c r="I728" s="301"/>
      <c r="J728" s="301"/>
      <c r="K728" s="301"/>
      <c r="L728" s="301"/>
      <c r="M728" s="301"/>
      <c r="N728" s="301"/>
      <c r="O728" s="301"/>
      <c r="P728" s="301"/>
      <c r="Q728" s="301"/>
      <c r="R728" s="301"/>
      <c r="S728" s="301"/>
      <c r="T728" s="301"/>
      <c r="U728" s="301"/>
      <c r="V728" s="301"/>
      <c r="W728" s="301"/>
      <c r="X728" s="301"/>
      <c r="Y728" s="301"/>
      <c r="Z728" s="301"/>
    </row>
    <row r="729" spans="1:26" ht="11.25" customHeight="1">
      <c r="A729" s="301"/>
      <c r="B729" s="301"/>
      <c r="C729" s="301"/>
      <c r="D729" s="301"/>
      <c r="E729" s="301"/>
      <c r="F729" s="301"/>
      <c r="G729" s="301"/>
      <c r="H729" s="301"/>
      <c r="I729" s="301"/>
      <c r="J729" s="301"/>
      <c r="K729" s="301"/>
      <c r="L729" s="301"/>
      <c r="M729" s="301"/>
      <c r="N729" s="301"/>
      <c r="O729" s="301"/>
      <c r="P729" s="301"/>
      <c r="Q729" s="301"/>
      <c r="R729" s="301"/>
      <c r="S729" s="301"/>
      <c r="T729" s="301"/>
      <c r="U729" s="301"/>
      <c r="V729" s="301"/>
      <c r="W729" s="301"/>
      <c r="X729" s="301"/>
      <c r="Y729" s="301"/>
      <c r="Z729" s="301"/>
    </row>
    <row r="730" spans="1:26" ht="11.25" customHeight="1">
      <c r="A730" s="301"/>
      <c r="B730" s="301"/>
      <c r="C730" s="301"/>
      <c r="D730" s="301"/>
      <c r="E730" s="301"/>
      <c r="F730" s="301"/>
      <c r="G730" s="301"/>
      <c r="H730" s="301"/>
      <c r="I730" s="301"/>
      <c r="J730" s="301"/>
      <c r="K730" s="301"/>
      <c r="L730" s="301"/>
      <c r="M730" s="301"/>
      <c r="N730" s="301"/>
      <c r="O730" s="301"/>
      <c r="P730" s="301"/>
      <c r="Q730" s="301"/>
      <c r="R730" s="301"/>
      <c r="S730" s="301"/>
      <c r="T730" s="301"/>
      <c r="U730" s="301"/>
      <c r="V730" s="301"/>
      <c r="W730" s="301"/>
      <c r="X730" s="301"/>
      <c r="Y730" s="301"/>
      <c r="Z730" s="301"/>
    </row>
    <row r="731" spans="1:26" ht="11.25" customHeight="1">
      <c r="A731" s="301"/>
      <c r="B731" s="301"/>
      <c r="C731" s="301"/>
      <c r="D731" s="301"/>
      <c r="E731" s="301"/>
      <c r="F731" s="301"/>
      <c r="G731" s="301"/>
      <c r="H731" s="301"/>
      <c r="I731" s="301"/>
      <c r="J731" s="301"/>
      <c r="K731" s="301"/>
      <c r="L731" s="301"/>
      <c r="M731" s="301"/>
      <c r="N731" s="301"/>
      <c r="O731" s="301"/>
      <c r="P731" s="301"/>
      <c r="Q731" s="301"/>
      <c r="R731" s="301"/>
      <c r="S731" s="301"/>
      <c r="T731" s="301"/>
      <c r="U731" s="301"/>
      <c r="V731" s="301"/>
      <c r="W731" s="301"/>
      <c r="X731" s="301"/>
      <c r="Y731" s="301"/>
      <c r="Z731" s="301"/>
    </row>
    <row r="732" spans="1:26" ht="11.25" customHeight="1">
      <c r="A732" s="301"/>
      <c r="B732" s="301"/>
      <c r="C732" s="301"/>
      <c r="D732" s="301"/>
      <c r="E732" s="301"/>
      <c r="F732" s="301"/>
      <c r="G732" s="301"/>
      <c r="H732" s="301"/>
      <c r="I732" s="301"/>
      <c r="J732" s="301"/>
      <c r="K732" s="301"/>
      <c r="L732" s="301"/>
      <c r="M732" s="301"/>
      <c r="N732" s="301"/>
      <c r="O732" s="301"/>
      <c r="P732" s="301"/>
      <c r="Q732" s="301"/>
      <c r="R732" s="301"/>
      <c r="S732" s="301"/>
      <c r="T732" s="301"/>
      <c r="U732" s="301"/>
      <c r="V732" s="301"/>
      <c r="W732" s="301"/>
      <c r="X732" s="301"/>
      <c r="Y732" s="301"/>
      <c r="Z732" s="301"/>
    </row>
    <row r="733" spans="1:26" ht="11.25" customHeight="1">
      <c r="A733" s="301"/>
      <c r="B733" s="301"/>
      <c r="C733" s="301"/>
      <c r="D733" s="301"/>
      <c r="E733" s="301"/>
      <c r="F733" s="301"/>
      <c r="G733" s="301"/>
      <c r="H733" s="301"/>
      <c r="I733" s="301"/>
      <c r="J733" s="301"/>
      <c r="K733" s="301"/>
      <c r="L733" s="301"/>
      <c r="M733" s="301"/>
      <c r="N733" s="301"/>
      <c r="O733" s="301"/>
      <c r="P733" s="301"/>
      <c r="Q733" s="301"/>
      <c r="R733" s="301"/>
      <c r="S733" s="301"/>
      <c r="T733" s="301"/>
      <c r="U733" s="301"/>
      <c r="V733" s="301"/>
      <c r="W733" s="301"/>
      <c r="X733" s="301"/>
      <c r="Y733" s="301"/>
      <c r="Z733" s="301"/>
    </row>
    <row r="734" spans="1:26" ht="11.25" customHeight="1">
      <c r="A734" s="301"/>
      <c r="B734" s="301"/>
      <c r="C734" s="301"/>
      <c r="D734" s="301"/>
      <c r="E734" s="301"/>
      <c r="F734" s="301"/>
      <c r="G734" s="301"/>
      <c r="H734" s="301"/>
      <c r="I734" s="301"/>
      <c r="J734" s="301"/>
      <c r="K734" s="301"/>
      <c r="L734" s="301"/>
      <c r="M734" s="301"/>
      <c r="N734" s="301"/>
      <c r="O734" s="301"/>
      <c r="P734" s="301"/>
      <c r="Q734" s="301"/>
      <c r="R734" s="301"/>
      <c r="S734" s="301"/>
      <c r="T734" s="301"/>
      <c r="U734" s="301"/>
      <c r="V734" s="301"/>
      <c r="W734" s="301"/>
      <c r="X734" s="301"/>
      <c r="Y734" s="301"/>
      <c r="Z734" s="301"/>
    </row>
    <row r="735" spans="1:26" ht="11.25" customHeight="1">
      <c r="A735" s="301"/>
      <c r="B735" s="301"/>
      <c r="C735" s="301"/>
      <c r="D735" s="301"/>
      <c r="E735" s="301"/>
      <c r="F735" s="301"/>
      <c r="G735" s="301"/>
      <c r="H735" s="301"/>
      <c r="I735" s="301"/>
      <c r="J735" s="301"/>
      <c r="K735" s="301"/>
      <c r="L735" s="301"/>
      <c r="M735" s="301"/>
      <c r="N735" s="301"/>
      <c r="O735" s="301"/>
      <c r="P735" s="301"/>
      <c r="Q735" s="301"/>
      <c r="R735" s="301"/>
      <c r="S735" s="301"/>
      <c r="T735" s="301"/>
      <c r="U735" s="301"/>
      <c r="V735" s="301"/>
      <c r="W735" s="301"/>
      <c r="X735" s="301"/>
      <c r="Y735" s="301"/>
      <c r="Z735" s="301"/>
    </row>
    <row r="736" spans="1:26" ht="11.25" customHeight="1">
      <c r="A736" s="301"/>
      <c r="B736" s="301"/>
      <c r="C736" s="301"/>
      <c r="D736" s="301"/>
      <c r="E736" s="301"/>
      <c r="F736" s="301"/>
      <c r="G736" s="301"/>
      <c r="H736" s="301"/>
      <c r="I736" s="301"/>
      <c r="J736" s="301"/>
      <c r="K736" s="301"/>
      <c r="L736" s="301"/>
      <c r="M736" s="301"/>
      <c r="N736" s="301"/>
      <c r="O736" s="301"/>
      <c r="P736" s="301"/>
      <c r="Q736" s="301"/>
      <c r="R736" s="301"/>
      <c r="S736" s="301"/>
      <c r="T736" s="301"/>
      <c r="U736" s="301"/>
      <c r="V736" s="301"/>
      <c r="W736" s="301"/>
      <c r="X736" s="301"/>
      <c r="Y736" s="301"/>
      <c r="Z736" s="301"/>
    </row>
    <row r="737" spans="1:26" ht="11.25" customHeight="1">
      <c r="A737" s="301"/>
      <c r="B737" s="301"/>
      <c r="C737" s="301"/>
      <c r="D737" s="301"/>
      <c r="E737" s="301"/>
      <c r="F737" s="301"/>
      <c r="G737" s="301"/>
      <c r="H737" s="301"/>
      <c r="I737" s="301"/>
      <c r="J737" s="301"/>
      <c r="K737" s="301"/>
      <c r="L737" s="301"/>
      <c r="M737" s="301"/>
      <c r="N737" s="301"/>
      <c r="O737" s="301"/>
      <c r="P737" s="301"/>
      <c r="Q737" s="301"/>
      <c r="R737" s="301"/>
      <c r="S737" s="301"/>
      <c r="T737" s="301"/>
      <c r="U737" s="301"/>
      <c r="V737" s="301"/>
      <c r="W737" s="301"/>
      <c r="X737" s="301"/>
      <c r="Y737" s="301"/>
      <c r="Z737" s="301"/>
    </row>
    <row r="738" spans="1:26" ht="11.25" customHeight="1">
      <c r="A738" s="301"/>
      <c r="B738" s="301"/>
      <c r="C738" s="301"/>
      <c r="D738" s="301"/>
      <c r="E738" s="301"/>
      <c r="F738" s="301"/>
      <c r="G738" s="301"/>
      <c r="H738" s="301"/>
      <c r="I738" s="301"/>
      <c r="J738" s="301"/>
      <c r="K738" s="301"/>
      <c r="L738" s="301"/>
      <c r="M738" s="301"/>
      <c r="N738" s="301"/>
      <c r="O738" s="301"/>
      <c r="P738" s="301"/>
      <c r="Q738" s="301"/>
      <c r="R738" s="301"/>
      <c r="S738" s="301"/>
      <c r="T738" s="301"/>
      <c r="U738" s="301"/>
      <c r="V738" s="301"/>
      <c r="W738" s="301"/>
      <c r="X738" s="301"/>
      <c r="Y738" s="301"/>
      <c r="Z738" s="301"/>
    </row>
    <row r="739" spans="1:26" ht="11.25" customHeight="1">
      <c r="A739" s="301"/>
      <c r="B739" s="301"/>
      <c r="C739" s="301"/>
      <c r="D739" s="301"/>
      <c r="E739" s="301"/>
      <c r="F739" s="301"/>
      <c r="G739" s="301"/>
      <c r="H739" s="301"/>
      <c r="I739" s="301"/>
      <c r="J739" s="301"/>
      <c r="K739" s="301"/>
      <c r="L739" s="301"/>
      <c r="M739" s="301"/>
      <c r="N739" s="301"/>
      <c r="O739" s="301"/>
      <c r="P739" s="301"/>
      <c r="Q739" s="301"/>
      <c r="R739" s="301"/>
      <c r="S739" s="301"/>
      <c r="T739" s="301"/>
      <c r="U739" s="301"/>
      <c r="V739" s="301"/>
      <c r="W739" s="301"/>
      <c r="X739" s="301"/>
      <c r="Y739" s="301"/>
      <c r="Z739" s="301"/>
    </row>
    <row r="740" spans="1:26" ht="11.25" customHeight="1">
      <c r="A740" s="301"/>
      <c r="B740" s="301"/>
      <c r="C740" s="301"/>
      <c r="D740" s="301"/>
      <c r="E740" s="301"/>
      <c r="F740" s="301"/>
      <c r="G740" s="301"/>
      <c r="H740" s="301"/>
      <c r="I740" s="301"/>
      <c r="J740" s="301"/>
      <c r="K740" s="301"/>
      <c r="L740" s="301"/>
      <c r="M740" s="301"/>
      <c r="N740" s="301"/>
      <c r="O740" s="301"/>
      <c r="P740" s="301"/>
      <c r="Q740" s="301"/>
      <c r="R740" s="301"/>
      <c r="S740" s="301"/>
      <c r="T740" s="301"/>
      <c r="U740" s="301"/>
      <c r="V740" s="301"/>
      <c r="W740" s="301"/>
      <c r="X740" s="301"/>
      <c r="Y740" s="301"/>
      <c r="Z740" s="301"/>
    </row>
    <row r="741" spans="1:26" ht="11.25" customHeight="1">
      <c r="A741" s="301"/>
      <c r="B741" s="301"/>
      <c r="C741" s="301"/>
      <c r="D741" s="301"/>
      <c r="E741" s="301"/>
      <c r="F741" s="301"/>
      <c r="G741" s="301"/>
      <c r="H741" s="301"/>
      <c r="I741" s="301"/>
      <c r="J741" s="301"/>
      <c r="K741" s="301"/>
      <c r="L741" s="301"/>
      <c r="M741" s="301"/>
      <c r="N741" s="301"/>
      <c r="O741" s="301"/>
      <c r="P741" s="301"/>
      <c r="Q741" s="301"/>
      <c r="R741" s="301"/>
      <c r="S741" s="301"/>
      <c r="T741" s="301"/>
      <c r="U741" s="301"/>
      <c r="V741" s="301"/>
      <c r="W741" s="301"/>
      <c r="X741" s="301"/>
      <c r="Y741" s="301"/>
      <c r="Z741" s="301"/>
    </row>
    <row r="742" spans="1:26" ht="11.25" customHeight="1">
      <c r="A742" s="301"/>
      <c r="B742" s="301"/>
      <c r="C742" s="301"/>
      <c r="D742" s="301"/>
      <c r="E742" s="301"/>
      <c r="F742" s="301"/>
      <c r="G742" s="301"/>
      <c r="H742" s="301"/>
      <c r="I742" s="301"/>
      <c r="J742" s="301"/>
      <c r="K742" s="301"/>
      <c r="L742" s="301"/>
      <c r="M742" s="301"/>
      <c r="N742" s="301"/>
      <c r="O742" s="301"/>
      <c r="P742" s="301"/>
      <c r="Q742" s="301"/>
      <c r="R742" s="301"/>
      <c r="S742" s="301"/>
      <c r="T742" s="301"/>
      <c r="U742" s="301"/>
      <c r="V742" s="301"/>
      <c r="W742" s="301"/>
      <c r="X742" s="301"/>
      <c r="Y742" s="301"/>
      <c r="Z742" s="301"/>
    </row>
    <row r="743" spans="1:26" ht="11.25" customHeight="1">
      <c r="A743" s="301"/>
      <c r="B743" s="301"/>
      <c r="C743" s="301"/>
      <c r="D743" s="301"/>
      <c r="E743" s="301"/>
      <c r="F743" s="301"/>
      <c r="G743" s="301"/>
      <c r="H743" s="301"/>
      <c r="I743" s="301"/>
      <c r="J743" s="301"/>
      <c r="K743" s="301"/>
      <c r="L743" s="301"/>
      <c r="M743" s="301"/>
      <c r="N743" s="301"/>
      <c r="O743" s="301"/>
      <c r="P743" s="301"/>
      <c r="Q743" s="301"/>
      <c r="R743" s="301"/>
      <c r="S743" s="301"/>
      <c r="T743" s="301"/>
      <c r="U743" s="301"/>
      <c r="V743" s="301"/>
      <c r="W743" s="301"/>
      <c r="X743" s="301"/>
      <c r="Y743" s="301"/>
      <c r="Z743" s="301"/>
    </row>
    <row r="744" spans="1:26" ht="11.25" customHeight="1">
      <c r="A744" s="301"/>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c r="Z744" s="301"/>
    </row>
    <row r="745" spans="1:26" ht="11.25" customHeight="1">
      <c r="A745" s="301"/>
      <c r="B745" s="301"/>
      <c r="C745" s="301"/>
      <c r="D745" s="301"/>
      <c r="E745" s="301"/>
      <c r="F745" s="301"/>
      <c r="G745" s="301"/>
      <c r="H745" s="301"/>
      <c r="I745" s="301"/>
      <c r="J745" s="301"/>
      <c r="K745" s="301"/>
      <c r="L745" s="301"/>
      <c r="M745" s="301"/>
      <c r="N745" s="301"/>
      <c r="O745" s="301"/>
      <c r="P745" s="301"/>
      <c r="Q745" s="301"/>
      <c r="R745" s="301"/>
      <c r="S745" s="301"/>
      <c r="T745" s="301"/>
      <c r="U745" s="301"/>
      <c r="V745" s="301"/>
      <c r="W745" s="301"/>
      <c r="X745" s="301"/>
      <c r="Y745" s="301"/>
      <c r="Z745" s="301"/>
    </row>
    <row r="746" spans="1:26" ht="11.25" customHeight="1">
      <c r="A746" s="301"/>
      <c r="B746" s="301"/>
      <c r="C746" s="301"/>
      <c r="D746" s="301"/>
      <c r="E746" s="301"/>
      <c r="F746" s="301"/>
      <c r="G746" s="301"/>
      <c r="H746" s="301"/>
      <c r="I746" s="301"/>
      <c r="J746" s="301"/>
      <c r="K746" s="301"/>
      <c r="L746" s="301"/>
      <c r="M746" s="301"/>
      <c r="N746" s="301"/>
      <c r="O746" s="301"/>
      <c r="P746" s="301"/>
      <c r="Q746" s="301"/>
      <c r="R746" s="301"/>
      <c r="S746" s="301"/>
      <c r="T746" s="301"/>
      <c r="U746" s="301"/>
      <c r="V746" s="301"/>
      <c r="W746" s="301"/>
      <c r="X746" s="301"/>
      <c r="Y746" s="301"/>
      <c r="Z746" s="301"/>
    </row>
    <row r="747" spans="1:26" ht="11.25" customHeight="1">
      <c r="A747" s="301"/>
      <c r="B747" s="301"/>
      <c r="C747" s="301"/>
      <c r="D747" s="301"/>
      <c r="E747" s="301"/>
      <c r="F747" s="301"/>
      <c r="G747" s="301"/>
      <c r="H747" s="301"/>
      <c r="I747" s="301"/>
      <c r="J747" s="301"/>
      <c r="K747" s="301"/>
      <c r="L747" s="301"/>
      <c r="M747" s="301"/>
      <c r="N747" s="301"/>
      <c r="O747" s="301"/>
      <c r="P747" s="301"/>
      <c r="Q747" s="301"/>
      <c r="R747" s="301"/>
      <c r="S747" s="301"/>
      <c r="T747" s="301"/>
      <c r="U747" s="301"/>
      <c r="V747" s="301"/>
      <c r="W747" s="301"/>
      <c r="X747" s="301"/>
      <c r="Y747" s="301"/>
      <c r="Z747" s="301"/>
    </row>
    <row r="748" spans="1:26" ht="11.25" customHeight="1">
      <c r="A748" s="301"/>
      <c r="B748" s="301"/>
      <c r="C748" s="301"/>
      <c r="D748" s="301"/>
      <c r="E748" s="301"/>
      <c r="F748" s="301"/>
      <c r="G748" s="301"/>
      <c r="H748" s="301"/>
      <c r="I748" s="301"/>
      <c r="J748" s="301"/>
      <c r="K748" s="301"/>
      <c r="L748" s="301"/>
      <c r="M748" s="301"/>
      <c r="N748" s="301"/>
      <c r="O748" s="301"/>
      <c r="P748" s="301"/>
      <c r="Q748" s="301"/>
      <c r="R748" s="301"/>
      <c r="S748" s="301"/>
      <c r="T748" s="301"/>
      <c r="U748" s="301"/>
      <c r="V748" s="301"/>
      <c r="W748" s="301"/>
      <c r="X748" s="301"/>
      <c r="Y748" s="301"/>
      <c r="Z748" s="301"/>
    </row>
    <row r="749" spans="1:26" ht="11.25" customHeight="1">
      <c r="A749" s="301"/>
      <c r="B749" s="301"/>
      <c r="C749" s="301"/>
      <c r="D749" s="301"/>
      <c r="E749" s="301"/>
      <c r="F749" s="301"/>
      <c r="G749" s="301"/>
      <c r="H749" s="301"/>
      <c r="I749" s="301"/>
      <c r="J749" s="301"/>
      <c r="K749" s="301"/>
      <c r="L749" s="301"/>
      <c r="M749" s="301"/>
      <c r="N749" s="301"/>
      <c r="O749" s="301"/>
      <c r="P749" s="301"/>
      <c r="Q749" s="301"/>
      <c r="R749" s="301"/>
      <c r="S749" s="301"/>
      <c r="T749" s="301"/>
      <c r="U749" s="301"/>
      <c r="V749" s="301"/>
      <c r="W749" s="301"/>
      <c r="X749" s="301"/>
      <c r="Y749" s="301"/>
      <c r="Z749" s="301"/>
    </row>
    <row r="750" spans="1:26" ht="11.25" customHeight="1">
      <c r="A750" s="301"/>
      <c r="B750" s="301"/>
      <c r="C750" s="301"/>
      <c r="D750" s="301"/>
      <c r="E750" s="301"/>
      <c r="F750" s="301"/>
      <c r="G750" s="301"/>
      <c r="H750" s="301"/>
      <c r="I750" s="301"/>
      <c r="J750" s="301"/>
      <c r="K750" s="301"/>
      <c r="L750" s="301"/>
      <c r="M750" s="301"/>
      <c r="N750" s="301"/>
      <c r="O750" s="301"/>
      <c r="P750" s="301"/>
      <c r="Q750" s="301"/>
      <c r="R750" s="301"/>
      <c r="S750" s="301"/>
      <c r="T750" s="301"/>
      <c r="U750" s="301"/>
      <c r="V750" s="301"/>
      <c r="W750" s="301"/>
      <c r="X750" s="301"/>
      <c r="Y750" s="301"/>
      <c r="Z750" s="301"/>
    </row>
    <row r="751" spans="1:26" ht="11.25" customHeight="1">
      <c r="A751" s="301"/>
      <c r="B751" s="301"/>
      <c r="C751" s="301"/>
      <c r="D751" s="301"/>
      <c r="E751" s="301"/>
      <c r="F751" s="301"/>
      <c r="G751" s="301"/>
      <c r="H751" s="301"/>
      <c r="I751" s="301"/>
      <c r="J751" s="301"/>
      <c r="K751" s="301"/>
      <c r="L751" s="301"/>
      <c r="M751" s="301"/>
      <c r="N751" s="301"/>
      <c r="O751" s="301"/>
      <c r="P751" s="301"/>
      <c r="Q751" s="301"/>
      <c r="R751" s="301"/>
      <c r="S751" s="301"/>
      <c r="T751" s="301"/>
      <c r="U751" s="301"/>
      <c r="V751" s="301"/>
      <c r="W751" s="301"/>
      <c r="X751" s="301"/>
      <c r="Y751" s="301"/>
      <c r="Z751" s="301"/>
    </row>
    <row r="752" spans="1:26" ht="11.25" customHeight="1">
      <c r="A752" s="301"/>
      <c r="B752" s="301"/>
      <c r="C752" s="301"/>
      <c r="D752" s="301"/>
      <c r="E752" s="301"/>
      <c r="F752" s="301"/>
      <c r="G752" s="301"/>
      <c r="H752" s="301"/>
      <c r="I752" s="301"/>
      <c r="J752" s="301"/>
      <c r="K752" s="301"/>
      <c r="L752" s="301"/>
      <c r="M752" s="301"/>
      <c r="N752" s="301"/>
      <c r="O752" s="301"/>
      <c r="P752" s="301"/>
      <c r="Q752" s="301"/>
      <c r="R752" s="301"/>
      <c r="S752" s="301"/>
      <c r="T752" s="301"/>
      <c r="U752" s="301"/>
      <c r="V752" s="301"/>
      <c r="W752" s="301"/>
      <c r="X752" s="301"/>
      <c r="Y752" s="301"/>
      <c r="Z752" s="301"/>
    </row>
    <row r="753" spans="1:26" ht="11.25" customHeight="1">
      <c r="A753" s="301"/>
      <c r="B753" s="301"/>
      <c r="C753" s="301"/>
      <c r="D753" s="301"/>
      <c r="E753" s="301"/>
      <c r="F753" s="301"/>
      <c r="G753" s="301"/>
      <c r="H753" s="301"/>
      <c r="I753" s="301"/>
      <c r="J753" s="301"/>
      <c r="K753" s="301"/>
      <c r="L753" s="301"/>
      <c r="M753" s="301"/>
      <c r="N753" s="301"/>
      <c r="O753" s="301"/>
      <c r="P753" s="301"/>
      <c r="Q753" s="301"/>
      <c r="R753" s="301"/>
      <c r="S753" s="301"/>
      <c r="T753" s="301"/>
      <c r="U753" s="301"/>
      <c r="V753" s="301"/>
      <c r="W753" s="301"/>
      <c r="X753" s="301"/>
      <c r="Y753" s="301"/>
      <c r="Z753" s="301"/>
    </row>
    <row r="754" spans="1:26" ht="11.25" customHeight="1">
      <c r="A754" s="301"/>
      <c r="B754" s="301"/>
      <c r="C754" s="301"/>
      <c r="D754" s="301"/>
      <c r="E754" s="301"/>
      <c r="F754" s="301"/>
      <c r="G754" s="301"/>
      <c r="H754" s="301"/>
      <c r="I754" s="301"/>
      <c r="J754" s="301"/>
      <c r="K754" s="301"/>
      <c r="L754" s="301"/>
      <c r="M754" s="301"/>
      <c r="N754" s="301"/>
      <c r="O754" s="301"/>
      <c r="P754" s="301"/>
      <c r="Q754" s="301"/>
      <c r="R754" s="301"/>
      <c r="S754" s="301"/>
      <c r="T754" s="301"/>
      <c r="U754" s="301"/>
      <c r="V754" s="301"/>
      <c r="W754" s="301"/>
      <c r="X754" s="301"/>
      <c r="Y754" s="301"/>
      <c r="Z754" s="301"/>
    </row>
    <row r="755" spans="1:26" ht="11.25" customHeight="1">
      <c r="A755" s="301"/>
      <c r="B755" s="301"/>
      <c r="C755" s="301"/>
      <c r="D755" s="301"/>
      <c r="E755" s="301"/>
      <c r="F755" s="301"/>
      <c r="G755" s="301"/>
      <c r="H755" s="301"/>
      <c r="I755" s="301"/>
      <c r="J755" s="301"/>
      <c r="K755" s="301"/>
      <c r="L755" s="301"/>
      <c r="M755" s="301"/>
      <c r="N755" s="301"/>
      <c r="O755" s="301"/>
      <c r="P755" s="301"/>
      <c r="Q755" s="301"/>
      <c r="R755" s="301"/>
      <c r="S755" s="301"/>
      <c r="T755" s="301"/>
      <c r="U755" s="301"/>
      <c r="V755" s="301"/>
      <c r="W755" s="301"/>
      <c r="X755" s="301"/>
      <c r="Y755" s="301"/>
      <c r="Z755" s="301"/>
    </row>
    <row r="756" spans="1:26" ht="11.25" customHeight="1">
      <c r="A756" s="301"/>
      <c r="B756" s="301"/>
      <c r="C756" s="301"/>
      <c r="D756" s="301"/>
      <c r="E756" s="301"/>
      <c r="F756" s="301"/>
      <c r="G756" s="301"/>
      <c r="H756" s="301"/>
      <c r="I756" s="301"/>
      <c r="J756" s="301"/>
      <c r="K756" s="301"/>
      <c r="L756" s="301"/>
      <c r="M756" s="301"/>
      <c r="N756" s="301"/>
      <c r="O756" s="301"/>
      <c r="P756" s="301"/>
      <c r="Q756" s="301"/>
      <c r="R756" s="301"/>
      <c r="S756" s="301"/>
      <c r="T756" s="301"/>
      <c r="U756" s="301"/>
      <c r="V756" s="301"/>
      <c r="W756" s="301"/>
      <c r="X756" s="301"/>
      <c r="Y756" s="301"/>
      <c r="Z756" s="301"/>
    </row>
    <row r="757" spans="1:26" ht="11.25" customHeight="1">
      <c r="A757" s="301"/>
      <c r="B757" s="301"/>
      <c r="C757" s="301"/>
      <c r="D757" s="301"/>
      <c r="E757" s="301"/>
      <c r="F757" s="301"/>
      <c r="G757" s="301"/>
      <c r="H757" s="301"/>
      <c r="I757" s="301"/>
      <c r="J757" s="301"/>
      <c r="K757" s="301"/>
      <c r="L757" s="301"/>
      <c r="M757" s="301"/>
      <c r="N757" s="301"/>
      <c r="O757" s="301"/>
      <c r="P757" s="301"/>
      <c r="Q757" s="301"/>
      <c r="R757" s="301"/>
      <c r="S757" s="301"/>
      <c r="T757" s="301"/>
      <c r="U757" s="301"/>
      <c r="V757" s="301"/>
      <c r="W757" s="301"/>
      <c r="X757" s="301"/>
      <c r="Y757" s="301"/>
      <c r="Z757" s="301"/>
    </row>
    <row r="758" spans="1:26" ht="11.25" customHeight="1">
      <c r="A758" s="301"/>
      <c r="B758" s="301"/>
      <c r="C758" s="301"/>
      <c r="D758" s="301"/>
      <c r="E758" s="301"/>
      <c r="F758" s="301"/>
      <c r="G758" s="301"/>
      <c r="H758" s="301"/>
      <c r="I758" s="301"/>
      <c r="J758" s="301"/>
      <c r="K758" s="301"/>
      <c r="L758" s="301"/>
      <c r="M758" s="301"/>
      <c r="N758" s="301"/>
      <c r="O758" s="301"/>
      <c r="P758" s="301"/>
      <c r="Q758" s="301"/>
      <c r="R758" s="301"/>
      <c r="S758" s="301"/>
      <c r="T758" s="301"/>
      <c r="U758" s="301"/>
      <c r="V758" s="301"/>
      <c r="W758" s="301"/>
      <c r="X758" s="301"/>
      <c r="Y758" s="301"/>
      <c r="Z758" s="301"/>
    </row>
    <row r="759" spans="1:26" ht="11.25" customHeight="1">
      <c r="A759" s="301"/>
      <c r="B759" s="301"/>
      <c r="C759" s="301"/>
      <c r="D759" s="301"/>
      <c r="E759" s="301"/>
      <c r="F759" s="301"/>
      <c r="G759" s="301"/>
      <c r="H759" s="301"/>
      <c r="I759" s="301"/>
      <c r="J759" s="301"/>
      <c r="K759" s="301"/>
      <c r="L759" s="301"/>
      <c r="M759" s="301"/>
      <c r="N759" s="301"/>
      <c r="O759" s="301"/>
      <c r="P759" s="301"/>
      <c r="Q759" s="301"/>
      <c r="R759" s="301"/>
      <c r="S759" s="301"/>
      <c r="T759" s="301"/>
      <c r="U759" s="301"/>
      <c r="V759" s="301"/>
      <c r="W759" s="301"/>
      <c r="X759" s="301"/>
      <c r="Y759" s="301"/>
      <c r="Z759" s="301"/>
    </row>
    <row r="760" spans="1:26" ht="11.25" customHeight="1">
      <c r="A760" s="301"/>
      <c r="B760" s="301"/>
      <c r="C760" s="301"/>
      <c r="D760" s="301"/>
      <c r="E760" s="301"/>
      <c r="F760" s="301"/>
      <c r="G760" s="301"/>
      <c r="H760" s="301"/>
      <c r="I760" s="301"/>
      <c r="J760" s="301"/>
      <c r="K760" s="301"/>
      <c r="L760" s="301"/>
      <c r="M760" s="301"/>
      <c r="N760" s="301"/>
      <c r="O760" s="301"/>
      <c r="P760" s="301"/>
      <c r="Q760" s="301"/>
      <c r="R760" s="301"/>
      <c r="S760" s="301"/>
      <c r="T760" s="301"/>
      <c r="U760" s="301"/>
      <c r="V760" s="301"/>
      <c r="W760" s="301"/>
      <c r="X760" s="301"/>
      <c r="Y760" s="301"/>
      <c r="Z760" s="301"/>
    </row>
    <row r="761" spans="1:26" ht="11.25" customHeight="1">
      <c r="A761" s="301"/>
      <c r="B761" s="301"/>
      <c r="C761" s="301"/>
      <c r="D761" s="301"/>
      <c r="E761" s="301"/>
      <c r="F761" s="301"/>
      <c r="G761" s="301"/>
      <c r="H761" s="301"/>
      <c r="I761" s="301"/>
      <c r="J761" s="301"/>
      <c r="K761" s="301"/>
      <c r="L761" s="301"/>
      <c r="M761" s="301"/>
      <c r="N761" s="301"/>
      <c r="O761" s="301"/>
      <c r="P761" s="301"/>
      <c r="Q761" s="301"/>
      <c r="R761" s="301"/>
      <c r="S761" s="301"/>
      <c r="T761" s="301"/>
      <c r="U761" s="301"/>
      <c r="V761" s="301"/>
      <c r="W761" s="301"/>
      <c r="X761" s="301"/>
      <c r="Y761" s="301"/>
      <c r="Z761" s="301"/>
    </row>
    <row r="762" spans="1:26" ht="11.25" customHeight="1">
      <c r="A762" s="301"/>
      <c r="B762" s="301"/>
      <c r="C762" s="301"/>
      <c r="D762" s="301"/>
      <c r="E762" s="301"/>
      <c r="F762" s="301"/>
      <c r="G762" s="301"/>
      <c r="H762" s="301"/>
      <c r="I762" s="301"/>
      <c r="J762" s="301"/>
      <c r="K762" s="301"/>
      <c r="L762" s="301"/>
      <c r="M762" s="301"/>
      <c r="N762" s="301"/>
      <c r="O762" s="301"/>
      <c r="P762" s="301"/>
      <c r="Q762" s="301"/>
      <c r="R762" s="301"/>
      <c r="S762" s="301"/>
      <c r="T762" s="301"/>
      <c r="U762" s="301"/>
      <c r="V762" s="301"/>
      <c r="W762" s="301"/>
      <c r="X762" s="301"/>
      <c r="Y762" s="301"/>
      <c r="Z762" s="301"/>
    </row>
    <row r="763" spans="1:26" ht="11.25" customHeight="1">
      <c r="A763" s="301"/>
      <c r="B763" s="301"/>
      <c r="C763" s="301"/>
      <c r="D763" s="301"/>
      <c r="E763" s="301"/>
      <c r="F763" s="301"/>
      <c r="G763" s="301"/>
      <c r="H763" s="301"/>
      <c r="I763" s="301"/>
      <c r="J763" s="301"/>
      <c r="K763" s="301"/>
      <c r="L763" s="301"/>
      <c r="M763" s="301"/>
      <c r="N763" s="301"/>
      <c r="O763" s="301"/>
      <c r="P763" s="301"/>
      <c r="Q763" s="301"/>
      <c r="R763" s="301"/>
      <c r="S763" s="301"/>
      <c r="T763" s="301"/>
      <c r="U763" s="301"/>
      <c r="V763" s="301"/>
      <c r="W763" s="301"/>
      <c r="X763" s="301"/>
      <c r="Y763" s="301"/>
      <c r="Z763" s="301"/>
    </row>
    <row r="764" spans="1:26" ht="11.25" customHeight="1">
      <c r="A764" s="301"/>
      <c r="B764" s="301"/>
      <c r="C764" s="301"/>
      <c r="D764" s="301"/>
      <c r="E764" s="301"/>
      <c r="F764" s="301"/>
      <c r="G764" s="301"/>
      <c r="H764" s="301"/>
      <c r="I764" s="301"/>
      <c r="J764" s="301"/>
      <c r="K764" s="301"/>
      <c r="L764" s="301"/>
      <c r="M764" s="301"/>
      <c r="N764" s="301"/>
      <c r="O764" s="301"/>
      <c r="P764" s="301"/>
      <c r="Q764" s="301"/>
      <c r="R764" s="301"/>
      <c r="S764" s="301"/>
      <c r="T764" s="301"/>
      <c r="U764" s="301"/>
      <c r="V764" s="301"/>
      <c r="W764" s="301"/>
      <c r="X764" s="301"/>
      <c r="Y764" s="301"/>
      <c r="Z764" s="301"/>
    </row>
    <row r="765" spans="1:26" ht="11.25" customHeight="1">
      <c r="A765" s="301"/>
      <c r="B765" s="301"/>
      <c r="C765" s="301"/>
      <c r="D765" s="301"/>
      <c r="E765" s="301"/>
      <c r="F765" s="301"/>
      <c r="G765" s="301"/>
      <c r="H765" s="301"/>
      <c r="I765" s="301"/>
      <c r="J765" s="301"/>
      <c r="K765" s="301"/>
      <c r="L765" s="301"/>
      <c r="M765" s="301"/>
      <c r="N765" s="301"/>
      <c r="O765" s="301"/>
      <c r="P765" s="301"/>
      <c r="Q765" s="301"/>
      <c r="R765" s="301"/>
      <c r="S765" s="301"/>
      <c r="T765" s="301"/>
      <c r="U765" s="301"/>
      <c r="V765" s="301"/>
      <c r="W765" s="301"/>
      <c r="X765" s="301"/>
      <c r="Y765" s="301"/>
      <c r="Z765" s="301"/>
    </row>
    <row r="766" spans="1:26" ht="11.25" customHeight="1">
      <c r="A766" s="301"/>
      <c r="B766" s="301"/>
      <c r="C766" s="301"/>
      <c r="D766" s="301"/>
      <c r="E766" s="301"/>
      <c r="F766" s="301"/>
      <c r="G766" s="301"/>
      <c r="H766" s="301"/>
      <c r="I766" s="301"/>
      <c r="J766" s="301"/>
      <c r="K766" s="301"/>
      <c r="L766" s="301"/>
      <c r="M766" s="301"/>
      <c r="N766" s="301"/>
      <c r="O766" s="301"/>
      <c r="P766" s="301"/>
      <c r="Q766" s="301"/>
      <c r="R766" s="301"/>
      <c r="S766" s="301"/>
      <c r="T766" s="301"/>
      <c r="U766" s="301"/>
      <c r="V766" s="301"/>
      <c r="W766" s="301"/>
      <c r="X766" s="301"/>
      <c r="Y766" s="301"/>
      <c r="Z766" s="301"/>
    </row>
    <row r="767" spans="1:26" ht="11.25" customHeight="1">
      <c r="A767" s="301"/>
      <c r="B767" s="301"/>
      <c r="C767" s="301"/>
      <c r="D767" s="301"/>
      <c r="E767" s="301"/>
      <c r="F767" s="301"/>
      <c r="G767" s="301"/>
      <c r="H767" s="301"/>
      <c r="I767" s="301"/>
      <c r="J767" s="301"/>
      <c r="K767" s="301"/>
      <c r="L767" s="301"/>
      <c r="M767" s="301"/>
      <c r="N767" s="301"/>
      <c r="O767" s="301"/>
      <c r="P767" s="301"/>
      <c r="Q767" s="301"/>
      <c r="R767" s="301"/>
      <c r="S767" s="301"/>
      <c r="T767" s="301"/>
      <c r="U767" s="301"/>
      <c r="V767" s="301"/>
      <c r="W767" s="301"/>
      <c r="X767" s="301"/>
      <c r="Y767" s="301"/>
      <c r="Z767" s="301"/>
    </row>
    <row r="768" spans="1:26" ht="11.25" customHeight="1">
      <c r="A768" s="301"/>
      <c r="B768" s="301"/>
      <c r="C768" s="301"/>
      <c r="D768" s="301"/>
      <c r="E768" s="301"/>
      <c r="F768" s="301"/>
      <c r="G768" s="301"/>
      <c r="H768" s="301"/>
      <c r="I768" s="301"/>
      <c r="J768" s="301"/>
      <c r="K768" s="301"/>
      <c r="L768" s="301"/>
      <c r="M768" s="301"/>
      <c r="N768" s="301"/>
      <c r="O768" s="301"/>
      <c r="P768" s="301"/>
      <c r="Q768" s="301"/>
      <c r="R768" s="301"/>
      <c r="S768" s="301"/>
      <c r="T768" s="301"/>
      <c r="U768" s="301"/>
      <c r="V768" s="301"/>
      <c r="W768" s="301"/>
      <c r="X768" s="301"/>
      <c r="Y768" s="301"/>
      <c r="Z768" s="301"/>
    </row>
    <row r="769" spans="1:26" ht="11.25" customHeight="1">
      <c r="A769" s="301"/>
      <c r="B769" s="301"/>
      <c r="C769" s="301"/>
      <c r="D769" s="301"/>
      <c r="E769" s="301"/>
      <c r="F769" s="301"/>
      <c r="G769" s="301"/>
      <c r="H769" s="301"/>
      <c r="I769" s="301"/>
      <c r="J769" s="301"/>
      <c r="K769" s="301"/>
      <c r="L769" s="301"/>
      <c r="M769" s="301"/>
      <c r="N769" s="301"/>
      <c r="O769" s="301"/>
      <c r="P769" s="301"/>
      <c r="Q769" s="301"/>
      <c r="R769" s="301"/>
      <c r="S769" s="301"/>
      <c r="T769" s="301"/>
      <c r="U769" s="301"/>
      <c r="V769" s="301"/>
      <c r="W769" s="301"/>
      <c r="X769" s="301"/>
      <c r="Y769" s="301"/>
      <c r="Z769" s="301"/>
    </row>
    <row r="770" spans="1:26" ht="11.25" customHeight="1">
      <c r="A770" s="301"/>
      <c r="B770" s="301"/>
      <c r="C770" s="301"/>
      <c r="D770" s="301"/>
      <c r="E770" s="301"/>
      <c r="F770" s="301"/>
      <c r="G770" s="301"/>
      <c r="H770" s="301"/>
      <c r="I770" s="301"/>
      <c r="J770" s="301"/>
      <c r="K770" s="301"/>
      <c r="L770" s="301"/>
      <c r="M770" s="301"/>
      <c r="N770" s="301"/>
      <c r="O770" s="301"/>
      <c r="P770" s="301"/>
      <c r="Q770" s="301"/>
      <c r="R770" s="301"/>
      <c r="S770" s="301"/>
      <c r="T770" s="301"/>
      <c r="U770" s="301"/>
      <c r="V770" s="301"/>
      <c r="W770" s="301"/>
      <c r="X770" s="301"/>
      <c r="Y770" s="301"/>
      <c r="Z770" s="301"/>
    </row>
    <row r="771" spans="1:26" ht="11.25" customHeight="1">
      <c r="A771" s="301"/>
      <c r="B771" s="301"/>
      <c r="C771" s="301"/>
      <c r="D771" s="301"/>
      <c r="E771" s="301"/>
      <c r="F771" s="301"/>
      <c r="G771" s="301"/>
      <c r="H771" s="301"/>
      <c r="I771" s="301"/>
      <c r="J771" s="301"/>
      <c r="K771" s="301"/>
      <c r="L771" s="301"/>
      <c r="M771" s="301"/>
      <c r="N771" s="301"/>
      <c r="O771" s="301"/>
      <c r="P771" s="301"/>
      <c r="Q771" s="301"/>
      <c r="R771" s="301"/>
      <c r="S771" s="301"/>
      <c r="T771" s="301"/>
      <c r="U771" s="301"/>
      <c r="V771" s="301"/>
      <c r="W771" s="301"/>
      <c r="X771" s="301"/>
      <c r="Y771" s="301"/>
      <c r="Z771" s="301"/>
    </row>
    <row r="772" spans="1:26" ht="11.25" customHeight="1">
      <c r="A772" s="301"/>
      <c r="B772" s="301"/>
      <c r="C772" s="301"/>
      <c r="D772" s="301"/>
      <c r="E772" s="301"/>
      <c r="F772" s="301"/>
      <c r="G772" s="301"/>
      <c r="H772" s="301"/>
      <c r="I772" s="301"/>
      <c r="J772" s="301"/>
      <c r="K772" s="301"/>
      <c r="L772" s="301"/>
      <c r="M772" s="301"/>
      <c r="N772" s="301"/>
      <c r="O772" s="301"/>
      <c r="P772" s="301"/>
      <c r="Q772" s="301"/>
      <c r="R772" s="301"/>
      <c r="S772" s="301"/>
      <c r="T772" s="301"/>
      <c r="U772" s="301"/>
      <c r="V772" s="301"/>
      <c r="W772" s="301"/>
      <c r="X772" s="301"/>
      <c r="Y772" s="301"/>
      <c r="Z772" s="301"/>
    </row>
    <row r="773" spans="1:26" ht="11.25" customHeight="1">
      <c r="A773" s="301"/>
      <c r="B773" s="301"/>
      <c r="C773" s="301"/>
      <c r="D773" s="301"/>
      <c r="E773" s="301"/>
      <c r="F773" s="301"/>
      <c r="G773" s="301"/>
      <c r="H773" s="301"/>
      <c r="I773" s="301"/>
      <c r="J773" s="301"/>
      <c r="K773" s="301"/>
      <c r="L773" s="301"/>
      <c r="M773" s="301"/>
      <c r="N773" s="301"/>
      <c r="O773" s="301"/>
      <c r="P773" s="301"/>
      <c r="Q773" s="301"/>
      <c r="R773" s="301"/>
      <c r="S773" s="301"/>
      <c r="T773" s="301"/>
      <c r="U773" s="301"/>
      <c r="V773" s="301"/>
      <c r="W773" s="301"/>
      <c r="X773" s="301"/>
      <c r="Y773" s="301"/>
      <c r="Z773" s="301"/>
    </row>
    <row r="774" spans="1:26" ht="11.25" customHeight="1">
      <c r="A774" s="301"/>
      <c r="B774" s="301"/>
      <c r="C774" s="301"/>
      <c r="D774" s="301"/>
      <c r="E774" s="301"/>
      <c r="F774" s="301"/>
      <c r="G774" s="301"/>
      <c r="H774" s="301"/>
      <c r="I774" s="301"/>
      <c r="J774" s="301"/>
      <c r="K774" s="301"/>
      <c r="L774" s="301"/>
      <c r="M774" s="301"/>
      <c r="N774" s="301"/>
      <c r="O774" s="301"/>
      <c r="P774" s="301"/>
      <c r="Q774" s="301"/>
      <c r="R774" s="301"/>
      <c r="S774" s="301"/>
      <c r="T774" s="301"/>
      <c r="U774" s="301"/>
      <c r="V774" s="301"/>
      <c r="W774" s="301"/>
      <c r="X774" s="301"/>
      <c r="Y774" s="301"/>
      <c r="Z774" s="301"/>
    </row>
    <row r="775" spans="1:26" ht="11.25" customHeight="1">
      <c r="A775" s="301"/>
      <c r="B775" s="301"/>
      <c r="C775" s="301"/>
      <c r="D775" s="301"/>
      <c r="E775" s="301"/>
      <c r="F775" s="301"/>
      <c r="G775" s="301"/>
      <c r="H775" s="301"/>
      <c r="I775" s="301"/>
      <c r="J775" s="301"/>
      <c r="K775" s="301"/>
      <c r="L775" s="301"/>
      <c r="M775" s="301"/>
      <c r="N775" s="301"/>
      <c r="O775" s="301"/>
      <c r="P775" s="301"/>
      <c r="Q775" s="301"/>
      <c r="R775" s="301"/>
      <c r="S775" s="301"/>
      <c r="T775" s="301"/>
      <c r="U775" s="301"/>
      <c r="V775" s="301"/>
      <c r="W775" s="301"/>
      <c r="X775" s="301"/>
      <c r="Y775" s="301"/>
      <c r="Z775" s="301"/>
    </row>
    <row r="776" spans="1:26" ht="11.25" customHeight="1">
      <c r="A776" s="301"/>
      <c r="B776" s="301"/>
      <c r="C776" s="301"/>
      <c r="D776" s="301"/>
      <c r="E776" s="301"/>
      <c r="F776" s="301"/>
      <c r="G776" s="301"/>
      <c r="H776" s="301"/>
      <c r="I776" s="301"/>
      <c r="J776" s="301"/>
      <c r="K776" s="301"/>
      <c r="L776" s="301"/>
      <c r="M776" s="301"/>
      <c r="N776" s="301"/>
      <c r="O776" s="301"/>
      <c r="P776" s="301"/>
      <c r="Q776" s="301"/>
      <c r="R776" s="301"/>
      <c r="S776" s="301"/>
      <c r="T776" s="301"/>
      <c r="U776" s="301"/>
      <c r="V776" s="301"/>
      <c r="W776" s="301"/>
      <c r="X776" s="301"/>
      <c r="Y776" s="301"/>
      <c r="Z776" s="301"/>
    </row>
    <row r="777" spans="1:26" ht="11.25" customHeight="1">
      <c r="A777" s="301"/>
      <c r="B777" s="301"/>
      <c r="C777" s="301"/>
      <c r="D777" s="301"/>
      <c r="E777" s="301"/>
      <c r="F777" s="301"/>
      <c r="G777" s="301"/>
      <c r="H777" s="301"/>
      <c r="I777" s="301"/>
      <c r="J777" s="301"/>
      <c r="K777" s="301"/>
      <c r="L777" s="301"/>
      <c r="M777" s="301"/>
      <c r="N777" s="301"/>
      <c r="O777" s="301"/>
      <c r="P777" s="301"/>
      <c r="Q777" s="301"/>
      <c r="R777" s="301"/>
      <c r="S777" s="301"/>
      <c r="T777" s="301"/>
      <c r="U777" s="301"/>
      <c r="V777" s="301"/>
      <c r="W777" s="301"/>
      <c r="X777" s="301"/>
      <c r="Y777" s="301"/>
      <c r="Z777" s="301"/>
    </row>
    <row r="778" spans="1:26" ht="11.25" customHeight="1">
      <c r="A778" s="301"/>
      <c r="B778" s="301"/>
      <c r="C778" s="301"/>
      <c r="D778" s="301"/>
      <c r="E778" s="301"/>
      <c r="F778" s="301"/>
      <c r="G778" s="301"/>
      <c r="H778" s="301"/>
      <c r="I778" s="301"/>
      <c r="J778" s="301"/>
      <c r="K778" s="301"/>
      <c r="L778" s="301"/>
      <c r="M778" s="301"/>
      <c r="N778" s="301"/>
      <c r="O778" s="301"/>
      <c r="P778" s="301"/>
      <c r="Q778" s="301"/>
      <c r="R778" s="301"/>
      <c r="S778" s="301"/>
      <c r="T778" s="301"/>
      <c r="U778" s="301"/>
      <c r="V778" s="301"/>
      <c r="W778" s="301"/>
      <c r="X778" s="301"/>
      <c r="Y778" s="301"/>
      <c r="Z778" s="301"/>
    </row>
    <row r="779" spans="1:26" ht="11.25" customHeight="1">
      <c r="A779" s="301"/>
      <c r="B779" s="301"/>
      <c r="C779" s="301"/>
      <c r="D779" s="301"/>
      <c r="E779" s="301"/>
      <c r="F779" s="301"/>
      <c r="G779" s="301"/>
      <c r="H779" s="301"/>
      <c r="I779" s="301"/>
      <c r="J779" s="301"/>
      <c r="K779" s="301"/>
      <c r="L779" s="301"/>
      <c r="M779" s="301"/>
      <c r="N779" s="301"/>
      <c r="O779" s="301"/>
      <c r="P779" s="301"/>
      <c r="Q779" s="301"/>
      <c r="R779" s="301"/>
      <c r="S779" s="301"/>
      <c r="T779" s="301"/>
      <c r="U779" s="301"/>
      <c r="V779" s="301"/>
      <c r="W779" s="301"/>
      <c r="X779" s="301"/>
      <c r="Y779" s="301"/>
      <c r="Z779" s="301"/>
    </row>
    <row r="780" spans="1:26" ht="11.25" customHeight="1">
      <c r="A780" s="301"/>
      <c r="B780" s="301"/>
      <c r="C780" s="301"/>
      <c r="D780" s="301"/>
      <c r="E780" s="301"/>
      <c r="F780" s="301"/>
      <c r="G780" s="301"/>
      <c r="H780" s="301"/>
      <c r="I780" s="301"/>
      <c r="J780" s="301"/>
      <c r="K780" s="301"/>
      <c r="L780" s="301"/>
      <c r="M780" s="301"/>
      <c r="N780" s="301"/>
      <c r="O780" s="301"/>
      <c r="P780" s="301"/>
      <c r="Q780" s="301"/>
      <c r="R780" s="301"/>
      <c r="S780" s="301"/>
      <c r="T780" s="301"/>
      <c r="U780" s="301"/>
      <c r="V780" s="301"/>
      <c r="W780" s="301"/>
      <c r="X780" s="301"/>
      <c r="Y780" s="301"/>
      <c r="Z780" s="301"/>
    </row>
    <row r="781" spans="1:26" ht="11.25" customHeight="1">
      <c r="A781" s="301"/>
      <c r="B781" s="301"/>
      <c r="C781" s="301"/>
      <c r="D781" s="301"/>
      <c r="E781" s="301"/>
      <c r="F781" s="301"/>
      <c r="G781" s="301"/>
      <c r="H781" s="301"/>
      <c r="I781" s="301"/>
      <c r="J781" s="301"/>
      <c r="K781" s="301"/>
      <c r="L781" s="301"/>
      <c r="M781" s="301"/>
      <c r="N781" s="301"/>
      <c r="O781" s="301"/>
      <c r="P781" s="301"/>
      <c r="Q781" s="301"/>
      <c r="R781" s="301"/>
      <c r="S781" s="301"/>
      <c r="T781" s="301"/>
      <c r="U781" s="301"/>
      <c r="V781" s="301"/>
      <c r="W781" s="301"/>
      <c r="X781" s="301"/>
      <c r="Y781" s="301"/>
      <c r="Z781" s="301"/>
    </row>
    <row r="782" spans="1:26" ht="11.25" customHeight="1">
      <c r="A782" s="301"/>
      <c r="B782" s="301"/>
      <c r="C782" s="301"/>
      <c r="D782" s="301"/>
      <c r="E782" s="301"/>
      <c r="F782" s="301"/>
      <c r="G782" s="301"/>
      <c r="H782" s="301"/>
      <c r="I782" s="301"/>
      <c r="J782" s="301"/>
      <c r="K782" s="301"/>
      <c r="L782" s="301"/>
      <c r="M782" s="301"/>
      <c r="N782" s="301"/>
      <c r="O782" s="301"/>
      <c r="P782" s="301"/>
      <c r="Q782" s="301"/>
      <c r="R782" s="301"/>
      <c r="S782" s="301"/>
      <c r="T782" s="301"/>
      <c r="U782" s="301"/>
      <c r="V782" s="301"/>
      <c r="W782" s="301"/>
      <c r="X782" s="301"/>
      <c r="Y782" s="301"/>
      <c r="Z782" s="301"/>
    </row>
    <row r="783" spans="1:26" ht="11.25" customHeight="1">
      <c r="A783" s="301"/>
      <c r="B783" s="301"/>
      <c r="C783" s="301"/>
      <c r="D783" s="301"/>
      <c r="E783" s="301"/>
      <c r="F783" s="301"/>
      <c r="G783" s="301"/>
      <c r="H783" s="301"/>
      <c r="I783" s="301"/>
      <c r="J783" s="301"/>
      <c r="K783" s="301"/>
      <c r="L783" s="301"/>
      <c r="M783" s="301"/>
      <c r="N783" s="301"/>
      <c r="O783" s="301"/>
      <c r="P783" s="301"/>
      <c r="Q783" s="301"/>
      <c r="R783" s="301"/>
      <c r="S783" s="301"/>
      <c r="T783" s="301"/>
      <c r="U783" s="301"/>
      <c r="V783" s="301"/>
      <c r="W783" s="301"/>
      <c r="X783" s="301"/>
      <c r="Y783" s="301"/>
      <c r="Z783" s="301"/>
    </row>
    <row r="784" spans="1:26" ht="11.25" customHeight="1">
      <c r="A784" s="301"/>
      <c r="B784" s="301"/>
      <c r="C784" s="301"/>
      <c r="D784" s="301"/>
      <c r="E784" s="301"/>
      <c r="F784" s="301"/>
      <c r="G784" s="301"/>
      <c r="H784" s="301"/>
      <c r="I784" s="301"/>
      <c r="J784" s="301"/>
      <c r="K784" s="301"/>
      <c r="L784" s="301"/>
      <c r="M784" s="301"/>
      <c r="N784" s="301"/>
      <c r="O784" s="301"/>
      <c r="P784" s="301"/>
      <c r="Q784" s="301"/>
      <c r="R784" s="301"/>
      <c r="S784" s="301"/>
      <c r="T784" s="301"/>
      <c r="U784" s="301"/>
      <c r="V784" s="301"/>
      <c r="W784" s="301"/>
      <c r="X784" s="301"/>
      <c r="Y784" s="301"/>
      <c r="Z784" s="301"/>
    </row>
    <row r="785" spans="1:26" ht="11.25" customHeight="1">
      <c r="A785" s="301"/>
      <c r="B785" s="301"/>
      <c r="C785" s="301"/>
      <c r="D785" s="301"/>
      <c r="E785" s="301"/>
      <c r="F785" s="301"/>
      <c r="G785" s="301"/>
      <c r="H785" s="301"/>
      <c r="I785" s="301"/>
      <c r="J785" s="301"/>
      <c r="K785" s="301"/>
      <c r="L785" s="301"/>
      <c r="M785" s="301"/>
      <c r="N785" s="301"/>
      <c r="O785" s="301"/>
      <c r="P785" s="301"/>
      <c r="Q785" s="301"/>
      <c r="R785" s="301"/>
      <c r="S785" s="301"/>
      <c r="T785" s="301"/>
      <c r="U785" s="301"/>
      <c r="V785" s="301"/>
      <c r="W785" s="301"/>
      <c r="X785" s="301"/>
      <c r="Y785" s="301"/>
      <c r="Z785" s="301"/>
    </row>
    <row r="786" spans="1:26" ht="11.25" customHeight="1">
      <c r="A786" s="301"/>
      <c r="B786" s="301"/>
      <c r="C786" s="301"/>
      <c r="D786" s="301"/>
      <c r="E786" s="301"/>
      <c r="F786" s="301"/>
      <c r="G786" s="301"/>
      <c r="H786" s="301"/>
      <c r="I786" s="301"/>
      <c r="J786" s="301"/>
      <c r="K786" s="301"/>
      <c r="L786" s="301"/>
      <c r="M786" s="301"/>
      <c r="N786" s="301"/>
      <c r="O786" s="301"/>
      <c r="P786" s="301"/>
      <c r="Q786" s="301"/>
      <c r="R786" s="301"/>
      <c r="S786" s="301"/>
      <c r="T786" s="301"/>
      <c r="U786" s="301"/>
      <c r="V786" s="301"/>
      <c r="W786" s="301"/>
      <c r="X786" s="301"/>
      <c r="Y786" s="301"/>
      <c r="Z786" s="301"/>
    </row>
    <row r="787" spans="1:26" ht="11.25" customHeight="1">
      <c r="A787" s="301"/>
      <c r="B787" s="301"/>
      <c r="C787" s="301"/>
      <c r="D787" s="301"/>
      <c r="E787" s="301"/>
      <c r="F787" s="301"/>
      <c r="G787" s="301"/>
      <c r="H787" s="301"/>
      <c r="I787" s="301"/>
      <c r="J787" s="301"/>
      <c r="K787" s="301"/>
      <c r="L787" s="301"/>
      <c r="M787" s="301"/>
      <c r="N787" s="301"/>
      <c r="O787" s="301"/>
      <c r="P787" s="301"/>
      <c r="Q787" s="301"/>
      <c r="R787" s="301"/>
      <c r="S787" s="301"/>
      <c r="T787" s="301"/>
      <c r="U787" s="301"/>
      <c r="V787" s="301"/>
      <c r="W787" s="301"/>
      <c r="X787" s="301"/>
      <c r="Y787" s="301"/>
      <c r="Z787" s="301"/>
    </row>
    <row r="788" spans="1:26" ht="11.25" customHeight="1">
      <c r="A788" s="301"/>
      <c r="B788" s="301"/>
      <c r="C788" s="301"/>
      <c r="D788" s="301"/>
      <c r="E788" s="301"/>
      <c r="F788" s="301"/>
      <c r="G788" s="301"/>
      <c r="H788" s="301"/>
      <c r="I788" s="301"/>
      <c r="J788" s="301"/>
      <c r="K788" s="301"/>
      <c r="L788" s="301"/>
      <c r="M788" s="301"/>
      <c r="N788" s="301"/>
      <c r="O788" s="301"/>
      <c r="P788" s="301"/>
      <c r="Q788" s="301"/>
      <c r="R788" s="301"/>
      <c r="S788" s="301"/>
      <c r="T788" s="301"/>
      <c r="U788" s="301"/>
      <c r="V788" s="301"/>
      <c r="W788" s="301"/>
      <c r="X788" s="301"/>
      <c r="Y788" s="301"/>
      <c r="Z788" s="301"/>
    </row>
    <row r="789" spans="1:26" ht="11.25" customHeight="1">
      <c r="A789" s="301"/>
      <c r="B789" s="301"/>
      <c r="C789" s="301"/>
      <c r="D789" s="301"/>
      <c r="E789" s="301"/>
      <c r="F789" s="301"/>
      <c r="G789" s="301"/>
      <c r="H789" s="301"/>
      <c r="I789" s="301"/>
      <c r="J789" s="301"/>
      <c r="K789" s="301"/>
      <c r="L789" s="301"/>
      <c r="M789" s="301"/>
      <c r="N789" s="301"/>
      <c r="O789" s="301"/>
      <c r="P789" s="301"/>
      <c r="Q789" s="301"/>
      <c r="R789" s="301"/>
      <c r="S789" s="301"/>
      <c r="T789" s="301"/>
      <c r="U789" s="301"/>
      <c r="V789" s="301"/>
      <c r="W789" s="301"/>
      <c r="X789" s="301"/>
      <c r="Y789" s="301"/>
      <c r="Z789" s="301"/>
    </row>
    <row r="790" spans="1:26" ht="11.25" customHeight="1">
      <c r="A790" s="301"/>
      <c r="B790" s="301"/>
      <c r="C790" s="301"/>
      <c r="D790" s="301"/>
      <c r="E790" s="301"/>
      <c r="F790" s="301"/>
      <c r="G790" s="301"/>
      <c r="H790" s="301"/>
      <c r="I790" s="301"/>
      <c r="J790" s="301"/>
      <c r="K790" s="301"/>
      <c r="L790" s="301"/>
      <c r="M790" s="301"/>
      <c r="N790" s="301"/>
      <c r="O790" s="301"/>
      <c r="P790" s="301"/>
      <c r="Q790" s="301"/>
      <c r="R790" s="301"/>
      <c r="S790" s="301"/>
      <c r="T790" s="301"/>
      <c r="U790" s="301"/>
      <c r="V790" s="301"/>
      <c r="W790" s="301"/>
      <c r="X790" s="301"/>
      <c r="Y790" s="301"/>
      <c r="Z790" s="301"/>
    </row>
    <row r="791" spans="1:26" ht="11.25" customHeight="1">
      <c r="A791" s="301"/>
      <c r="B791" s="301"/>
      <c r="C791" s="301"/>
      <c r="D791" s="301"/>
      <c r="E791" s="301"/>
      <c r="F791" s="301"/>
      <c r="G791" s="301"/>
      <c r="H791" s="301"/>
      <c r="I791" s="301"/>
      <c r="J791" s="301"/>
      <c r="K791" s="301"/>
      <c r="L791" s="301"/>
      <c r="M791" s="301"/>
      <c r="N791" s="301"/>
      <c r="O791" s="301"/>
      <c r="P791" s="301"/>
      <c r="Q791" s="301"/>
      <c r="R791" s="301"/>
      <c r="S791" s="301"/>
      <c r="T791" s="301"/>
      <c r="U791" s="301"/>
      <c r="V791" s="301"/>
      <c r="W791" s="301"/>
      <c r="X791" s="301"/>
      <c r="Y791" s="301"/>
      <c r="Z791" s="301"/>
    </row>
    <row r="792" spans="1:26" ht="11.25" customHeight="1">
      <c r="A792" s="301"/>
      <c r="B792" s="301"/>
      <c r="C792" s="301"/>
      <c r="D792" s="301"/>
      <c r="E792" s="301"/>
      <c r="F792" s="301"/>
      <c r="G792" s="301"/>
      <c r="H792" s="301"/>
      <c r="I792" s="301"/>
      <c r="J792" s="301"/>
      <c r="K792" s="301"/>
      <c r="L792" s="301"/>
      <c r="M792" s="301"/>
      <c r="N792" s="301"/>
      <c r="O792" s="301"/>
      <c r="P792" s="301"/>
      <c r="Q792" s="301"/>
      <c r="R792" s="301"/>
      <c r="S792" s="301"/>
      <c r="T792" s="301"/>
      <c r="U792" s="301"/>
      <c r="V792" s="301"/>
      <c r="W792" s="301"/>
      <c r="X792" s="301"/>
      <c r="Y792" s="301"/>
      <c r="Z792" s="301"/>
    </row>
    <row r="793" spans="1:26" ht="11.25" customHeight="1">
      <c r="A793" s="301"/>
      <c r="B793" s="301"/>
      <c r="C793" s="301"/>
      <c r="D793" s="301"/>
      <c r="E793" s="301"/>
      <c r="F793" s="301"/>
      <c r="G793" s="301"/>
      <c r="H793" s="301"/>
      <c r="I793" s="301"/>
      <c r="J793" s="301"/>
      <c r="K793" s="301"/>
      <c r="L793" s="301"/>
      <c r="M793" s="301"/>
      <c r="N793" s="301"/>
      <c r="O793" s="301"/>
      <c r="P793" s="301"/>
      <c r="Q793" s="301"/>
      <c r="R793" s="301"/>
      <c r="S793" s="301"/>
      <c r="T793" s="301"/>
      <c r="U793" s="301"/>
      <c r="V793" s="301"/>
      <c r="W793" s="301"/>
      <c r="X793" s="301"/>
      <c r="Y793" s="301"/>
      <c r="Z793" s="301"/>
    </row>
    <row r="794" spans="1:26" ht="11.25" customHeight="1">
      <c r="A794" s="301"/>
      <c r="B794" s="301"/>
      <c r="C794" s="301"/>
      <c r="D794" s="301"/>
      <c r="E794" s="301"/>
      <c r="F794" s="301"/>
      <c r="G794" s="301"/>
      <c r="H794" s="301"/>
      <c r="I794" s="301"/>
      <c r="J794" s="301"/>
      <c r="K794" s="301"/>
      <c r="L794" s="301"/>
      <c r="M794" s="301"/>
      <c r="N794" s="301"/>
      <c r="O794" s="301"/>
      <c r="P794" s="301"/>
      <c r="Q794" s="301"/>
      <c r="R794" s="301"/>
      <c r="S794" s="301"/>
      <c r="T794" s="301"/>
      <c r="U794" s="301"/>
      <c r="V794" s="301"/>
      <c r="W794" s="301"/>
      <c r="X794" s="301"/>
      <c r="Y794" s="301"/>
      <c r="Z794" s="301"/>
    </row>
    <row r="795" spans="1:26" ht="11.25" customHeight="1">
      <c r="A795" s="301"/>
      <c r="B795" s="301"/>
      <c r="C795" s="301"/>
      <c r="D795" s="301"/>
      <c r="E795" s="301"/>
      <c r="F795" s="301"/>
      <c r="G795" s="301"/>
      <c r="H795" s="301"/>
      <c r="I795" s="301"/>
      <c r="J795" s="301"/>
      <c r="K795" s="301"/>
      <c r="L795" s="301"/>
      <c r="M795" s="301"/>
      <c r="N795" s="301"/>
      <c r="O795" s="301"/>
      <c r="P795" s="301"/>
      <c r="Q795" s="301"/>
      <c r="R795" s="301"/>
      <c r="S795" s="301"/>
      <c r="T795" s="301"/>
      <c r="U795" s="301"/>
      <c r="V795" s="301"/>
      <c r="W795" s="301"/>
      <c r="X795" s="301"/>
      <c r="Y795" s="301"/>
      <c r="Z795" s="301"/>
    </row>
    <row r="796" spans="1:26" ht="11.25" customHeight="1">
      <c r="A796" s="301"/>
      <c r="B796" s="301"/>
      <c r="C796" s="301"/>
      <c r="D796" s="301"/>
      <c r="E796" s="301"/>
      <c r="F796" s="301"/>
      <c r="G796" s="301"/>
      <c r="H796" s="301"/>
      <c r="I796" s="301"/>
      <c r="J796" s="301"/>
      <c r="K796" s="301"/>
      <c r="L796" s="301"/>
      <c r="M796" s="301"/>
      <c r="N796" s="301"/>
      <c r="O796" s="301"/>
      <c r="P796" s="301"/>
      <c r="Q796" s="301"/>
      <c r="R796" s="301"/>
      <c r="S796" s="301"/>
      <c r="T796" s="301"/>
      <c r="U796" s="301"/>
      <c r="V796" s="301"/>
      <c r="W796" s="301"/>
      <c r="X796" s="301"/>
      <c r="Y796" s="301"/>
      <c r="Z796" s="301"/>
    </row>
    <row r="797" spans="1:26" ht="11.25" customHeight="1">
      <c r="A797" s="301"/>
      <c r="B797" s="301"/>
      <c r="C797" s="301"/>
      <c r="D797" s="301"/>
      <c r="E797" s="301"/>
      <c r="F797" s="301"/>
      <c r="G797" s="301"/>
      <c r="H797" s="301"/>
      <c r="I797" s="301"/>
      <c r="J797" s="301"/>
      <c r="K797" s="301"/>
      <c r="L797" s="301"/>
      <c r="M797" s="301"/>
      <c r="N797" s="301"/>
      <c r="O797" s="301"/>
      <c r="P797" s="301"/>
      <c r="Q797" s="301"/>
      <c r="R797" s="301"/>
      <c r="S797" s="301"/>
      <c r="T797" s="301"/>
      <c r="U797" s="301"/>
      <c r="V797" s="301"/>
      <c r="W797" s="301"/>
      <c r="X797" s="301"/>
      <c r="Y797" s="301"/>
      <c r="Z797" s="301"/>
    </row>
    <row r="798" spans="1:26" ht="11.25" customHeight="1">
      <c r="A798" s="301"/>
      <c r="B798" s="301"/>
      <c r="C798" s="301"/>
      <c r="D798" s="301"/>
      <c r="E798" s="301"/>
      <c r="F798" s="301"/>
      <c r="G798" s="301"/>
      <c r="H798" s="301"/>
      <c r="I798" s="301"/>
      <c r="J798" s="301"/>
      <c r="K798" s="301"/>
      <c r="L798" s="301"/>
      <c r="M798" s="301"/>
      <c r="N798" s="301"/>
      <c r="O798" s="301"/>
      <c r="P798" s="301"/>
      <c r="Q798" s="301"/>
      <c r="R798" s="301"/>
      <c r="S798" s="301"/>
      <c r="T798" s="301"/>
      <c r="U798" s="301"/>
      <c r="V798" s="301"/>
      <c r="W798" s="301"/>
      <c r="X798" s="301"/>
      <c r="Y798" s="301"/>
      <c r="Z798" s="301"/>
    </row>
    <row r="799" spans="1:26" ht="11.25" customHeight="1">
      <c r="A799" s="301"/>
      <c r="B799" s="301"/>
      <c r="C799" s="301"/>
      <c r="D799" s="301"/>
      <c r="E799" s="301"/>
      <c r="F799" s="301"/>
      <c r="G799" s="301"/>
      <c r="H799" s="301"/>
      <c r="I799" s="301"/>
      <c r="J799" s="301"/>
      <c r="K799" s="301"/>
      <c r="L799" s="301"/>
      <c r="M799" s="301"/>
      <c r="N799" s="301"/>
      <c r="O799" s="301"/>
      <c r="P799" s="301"/>
      <c r="Q799" s="301"/>
      <c r="R799" s="301"/>
      <c r="S799" s="301"/>
      <c r="T799" s="301"/>
      <c r="U799" s="301"/>
      <c r="V799" s="301"/>
      <c r="W799" s="301"/>
      <c r="X799" s="301"/>
      <c r="Y799" s="301"/>
      <c r="Z799" s="301"/>
    </row>
    <row r="800" spans="1:26" ht="11.25" customHeight="1">
      <c r="A800" s="301"/>
      <c r="B800" s="301"/>
      <c r="C800" s="301"/>
      <c r="D800" s="301"/>
      <c r="E800" s="301"/>
      <c r="F800" s="301"/>
      <c r="G800" s="301"/>
      <c r="H800" s="301"/>
      <c r="I800" s="301"/>
      <c r="J800" s="301"/>
      <c r="K800" s="301"/>
      <c r="L800" s="301"/>
      <c r="M800" s="301"/>
      <c r="N800" s="301"/>
      <c r="O800" s="301"/>
      <c r="P800" s="301"/>
      <c r="Q800" s="301"/>
      <c r="R800" s="301"/>
      <c r="S800" s="301"/>
      <c r="T800" s="301"/>
      <c r="U800" s="301"/>
      <c r="V800" s="301"/>
      <c r="W800" s="301"/>
      <c r="X800" s="301"/>
      <c r="Y800" s="301"/>
      <c r="Z800" s="301"/>
    </row>
    <row r="801" spans="1:26" ht="11.25" customHeight="1">
      <c r="A801" s="301"/>
      <c r="B801" s="301"/>
      <c r="C801" s="301"/>
      <c r="D801" s="301"/>
      <c r="E801" s="301"/>
      <c r="F801" s="301"/>
      <c r="G801" s="301"/>
      <c r="H801" s="301"/>
      <c r="I801" s="301"/>
      <c r="J801" s="301"/>
      <c r="K801" s="301"/>
      <c r="L801" s="301"/>
      <c r="M801" s="301"/>
      <c r="N801" s="301"/>
      <c r="O801" s="301"/>
      <c r="P801" s="301"/>
      <c r="Q801" s="301"/>
      <c r="R801" s="301"/>
      <c r="S801" s="301"/>
      <c r="T801" s="301"/>
      <c r="U801" s="301"/>
      <c r="V801" s="301"/>
      <c r="W801" s="301"/>
      <c r="X801" s="301"/>
      <c r="Y801" s="301"/>
      <c r="Z801" s="301"/>
    </row>
    <row r="802" spans="1:26" ht="11.25" customHeight="1">
      <c r="A802" s="301"/>
      <c r="B802" s="301"/>
      <c r="C802" s="301"/>
      <c r="D802" s="301"/>
      <c r="E802" s="301"/>
      <c r="F802" s="301"/>
      <c r="G802" s="301"/>
      <c r="H802" s="301"/>
      <c r="I802" s="301"/>
      <c r="J802" s="301"/>
      <c r="K802" s="301"/>
      <c r="L802" s="301"/>
      <c r="M802" s="301"/>
      <c r="N802" s="301"/>
      <c r="O802" s="301"/>
      <c r="P802" s="301"/>
      <c r="Q802" s="301"/>
      <c r="R802" s="301"/>
      <c r="S802" s="301"/>
      <c r="T802" s="301"/>
      <c r="U802" s="301"/>
      <c r="V802" s="301"/>
      <c r="W802" s="301"/>
      <c r="X802" s="301"/>
      <c r="Y802" s="301"/>
      <c r="Z802" s="301"/>
    </row>
    <row r="803" spans="1:26" ht="11.25" customHeight="1">
      <c r="A803" s="301"/>
      <c r="B803" s="301"/>
      <c r="C803" s="301"/>
      <c r="D803" s="301"/>
      <c r="E803" s="301"/>
      <c r="F803" s="301"/>
      <c r="G803" s="301"/>
      <c r="H803" s="301"/>
      <c r="I803" s="301"/>
      <c r="J803" s="301"/>
      <c r="K803" s="301"/>
      <c r="L803" s="301"/>
      <c r="M803" s="301"/>
      <c r="N803" s="301"/>
      <c r="O803" s="301"/>
      <c r="P803" s="301"/>
      <c r="Q803" s="301"/>
      <c r="R803" s="301"/>
      <c r="S803" s="301"/>
      <c r="T803" s="301"/>
      <c r="U803" s="301"/>
      <c r="V803" s="301"/>
      <c r="W803" s="301"/>
      <c r="X803" s="301"/>
      <c r="Y803" s="301"/>
      <c r="Z803" s="301"/>
    </row>
    <row r="804" spans="1:26" ht="11.25" customHeight="1">
      <c r="A804" s="301"/>
      <c r="B804" s="301"/>
      <c r="C804" s="301"/>
      <c r="D804" s="301"/>
      <c r="E804" s="301"/>
      <c r="F804" s="301"/>
      <c r="G804" s="301"/>
      <c r="H804" s="301"/>
      <c r="I804" s="301"/>
      <c r="J804" s="301"/>
      <c r="K804" s="301"/>
      <c r="L804" s="301"/>
      <c r="M804" s="301"/>
      <c r="N804" s="301"/>
      <c r="O804" s="301"/>
      <c r="P804" s="301"/>
      <c r="Q804" s="301"/>
      <c r="R804" s="301"/>
      <c r="S804" s="301"/>
      <c r="T804" s="301"/>
      <c r="U804" s="301"/>
      <c r="V804" s="301"/>
      <c r="W804" s="301"/>
      <c r="X804" s="301"/>
      <c r="Y804" s="301"/>
      <c r="Z804" s="301"/>
    </row>
    <row r="805" spans="1:26" ht="11.25" customHeight="1">
      <c r="A805" s="301"/>
      <c r="B805" s="301"/>
      <c r="C805" s="301"/>
      <c r="D805" s="301"/>
      <c r="E805" s="301"/>
      <c r="F805" s="301"/>
      <c r="G805" s="301"/>
      <c r="H805" s="301"/>
      <c r="I805" s="301"/>
      <c r="J805" s="301"/>
      <c r="K805" s="301"/>
      <c r="L805" s="301"/>
      <c r="M805" s="301"/>
      <c r="N805" s="301"/>
      <c r="O805" s="301"/>
      <c r="P805" s="301"/>
      <c r="Q805" s="301"/>
      <c r="R805" s="301"/>
      <c r="S805" s="301"/>
      <c r="T805" s="301"/>
      <c r="U805" s="301"/>
      <c r="V805" s="301"/>
      <c r="W805" s="301"/>
      <c r="X805" s="301"/>
      <c r="Y805" s="301"/>
      <c r="Z805" s="301"/>
    </row>
    <row r="806" spans="1:26" ht="11.25" customHeight="1">
      <c r="A806" s="301"/>
      <c r="B806" s="301"/>
      <c r="C806" s="301"/>
      <c r="D806" s="301"/>
      <c r="E806" s="301"/>
      <c r="F806" s="301"/>
      <c r="G806" s="301"/>
      <c r="H806" s="301"/>
      <c r="I806" s="301"/>
      <c r="J806" s="301"/>
      <c r="K806" s="301"/>
      <c r="L806" s="301"/>
      <c r="M806" s="301"/>
      <c r="N806" s="301"/>
      <c r="O806" s="301"/>
      <c r="P806" s="301"/>
      <c r="Q806" s="301"/>
      <c r="R806" s="301"/>
      <c r="S806" s="301"/>
      <c r="T806" s="301"/>
      <c r="U806" s="301"/>
      <c r="V806" s="301"/>
      <c r="W806" s="301"/>
      <c r="X806" s="301"/>
      <c r="Y806" s="301"/>
      <c r="Z806" s="301"/>
    </row>
    <row r="807" spans="1:26" ht="11.25" customHeight="1">
      <c r="A807" s="301"/>
      <c r="B807" s="301"/>
      <c r="C807" s="301"/>
      <c r="D807" s="301"/>
      <c r="E807" s="301"/>
      <c r="F807" s="301"/>
      <c r="G807" s="301"/>
      <c r="H807" s="301"/>
      <c r="I807" s="301"/>
      <c r="J807" s="301"/>
      <c r="K807" s="301"/>
      <c r="L807" s="301"/>
      <c r="M807" s="301"/>
      <c r="N807" s="301"/>
      <c r="O807" s="301"/>
      <c r="P807" s="301"/>
      <c r="Q807" s="301"/>
      <c r="R807" s="301"/>
      <c r="S807" s="301"/>
      <c r="T807" s="301"/>
      <c r="U807" s="301"/>
      <c r="V807" s="301"/>
      <c r="W807" s="301"/>
      <c r="X807" s="301"/>
      <c r="Y807" s="301"/>
      <c r="Z807" s="301"/>
    </row>
    <row r="808" spans="1:26" ht="11.25" customHeight="1">
      <c r="A808" s="301"/>
      <c r="B808" s="301"/>
      <c r="C808" s="301"/>
      <c r="D808" s="301"/>
      <c r="E808" s="301"/>
      <c r="F808" s="301"/>
      <c r="G808" s="301"/>
      <c r="H808" s="301"/>
      <c r="I808" s="301"/>
      <c r="J808" s="301"/>
      <c r="K808" s="301"/>
      <c r="L808" s="301"/>
      <c r="M808" s="301"/>
      <c r="N808" s="301"/>
      <c r="O808" s="301"/>
      <c r="P808" s="301"/>
      <c r="Q808" s="301"/>
      <c r="R808" s="301"/>
      <c r="S808" s="301"/>
      <c r="T808" s="301"/>
      <c r="U808" s="301"/>
      <c r="V808" s="301"/>
      <c r="W808" s="301"/>
      <c r="X808" s="301"/>
      <c r="Y808" s="301"/>
      <c r="Z808" s="301"/>
    </row>
    <row r="809" spans="1:26" ht="11.25" customHeight="1">
      <c r="A809" s="301"/>
      <c r="B809" s="301"/>
      <c r="C809" s="301"/>
      <c r="D809" s="301"/>
      <c r="E809" s="301"/>
      <c r="F809" s="301"/>
      <c r="G809" s="301"/>
      <c r="H809" s="301"/>
      <c r="I809" s="301"/>
      <c r="J809" s="301"/>
      <c r="K809" s="301"/>
      <c r="L809" s="301"/>
      <c r="M809" s="301"/>
      <c r="N809" s="301"/>
      <c r="O809" s="301"/>
      <c r="P809" s="301"/>
      <c r="Q809" s="301"/>
      <c r="R809" s="301"/>
      <c r="S809" s="301"/>
      <c r="T809" s="301"/>
      <c r="U809" s="301"/>
      <c r="V809" s="301"/>
      <c r="W809" s="301"/>
      <c r="X809" s="301"/>
      <c r="Y809" s="301"/>
      <c r="Z809" s="301"/>
    </row>
    <row r="810" spans="1:26" ht="11.25" customHeight="1">
      <c r="A810" s="301"/>
      <c r="B810" s="301"/>
      <c r="C810" s="301"/>
      <c r="D810" s="301"/>
      <c r="E810" s="301"/>
      <c r="F810" s="301"/>
      <c r="G810" s="301"/>
      <c r="H810" s="301"/>
      <c r="I810" s="301"/>
      <c r="J810" s="301"/>
      <c r="K810" s="301"/>
      <c r="L810" s="301"/>
      <c r="M810" s="301"/>
      <c r="N810" s="301"/>
      <c r="O810" s="301"/>
      <c r="P810" s="301"/>
      <c r="Q810" s="301"/>
      <c r="R810" s="301"/>
      <c r="S810" s="301"/>
      <c r="T810" s="301"/>
      <c r="U810" s="301"/>
      <c r="V810" s="301"/>
      <c r="W810" s="301"/>
      <c r="X810" s="301"/>
      <c r="Y810" s="301"/>
      <c r="Z810" s="301"/>
    </row>
    <row r="811" spans="1:26" ht="11.25" customHeight="1">
      <c r="A811" s="301"/>
      <c r="B811" s="301"/>
      <c r="C811" s="301"/>
      <c r="D811" s="301"/>
      <c r="E811" s="301"/>
      <c r="F811" s="301"/>
      <c r="G811" s="301"/>
      <c r="H811" s="301"/>
      <c r="I811" s="301"/>
      <c r="J811" s="301"/>
      <c r="K811" s="301"/>
      <c r="L811" s="301"/>
      <c r="M811" s="301"/>
      <c r="N811" s="301"/>
      <c r="O811" s="301"/>
      <c r="P811" s="301"/>
      <c r="Q811" s="301"/>
      <c r="R811" s="301"/>
      <c r="S811" s="301"/>
      <c r="T811" s="301"/>
      <c r="U811" s="301"/>
      <c r="V811" s="301"/>
      <c r="W811" s="301"/>
      <c r="X811" s="301"/>
      <c r="Y811" s="301"/>
      <c r="Z811" s="301"/>
    </row>
    <row r="812" spans="1:26" ht="11.25" customHeight="1">
      <c r="A812" s="301"/>
      <c r="B812" s="301"/>
      <c r="C812" s="301"/>
      <c r="D812" s="301"/>
      <c r="E812" s="301"/>
      <c r="F812" s="301"/>
      <c r="G812" s="301"/>
      <c r="H812" s="301"/>
      <c r="I812" s="301"/>
      <c r="J812" s="301"/>
      <c r="K812" s="301"/>
      <c r="L812" s="301"/>
      <c r="M812" s="301"/>
      <c r="N812" s="301"/>
      <c r="O812" s="301"/>
      <c r="P812" s="301"/>
      <c r="Q812" s="301"/>
      <c r="R812" s="301"/>
      <c r="S812" s="301"/>
      <c r="T812" s="301"/>
      <c r="U812" s="301"/>
      <c r="V812" s="301"/>
      <c r="W812" s="301"/>
      <c r="X812" s="301"/>
      <c r="Y812" s="301"/>
      <c r="Z812" s="301"/>
    </row>
    <row r="813" spans="1:26" ht="11.25" customHeight="1">
      <c r="A813" s="301"/>
      <c r="B813" s="301"/>
      <c r="C813" s="301"/>
      <c r="D813" s="301"/>
      <c r="E813" s="301"/>
      <c r="F813" s="301"/>
      <c r="G813" s="301"/>
      <c r="H813" s="301"/>
      <c r="I813" s="301"/>
      <c r="J813" s="301"/>
      <c r="K813" s="301"/>
      <c r="L813" s="301"/>
      <c r="M813" s="301"/>
      <c r="N813" s="301"/>
      <c r="O813" s="301"/>
      <c r="P813" s="301"/>
      <c r="Q813" s="301"/>
      <c r="R813" s="301"/>
      <c r="S813" s="301"/>
      <c r="T813" s="301"/>
      <c r="U813" s="301"/>
      <c r="V813" s="301"/>
      <c r="W813" s="301"/>
      <c r="X813" s="301"/>
      <c r="Y813" s="301"/>
      <c r="Z813" s="301"/>
    </row>
    <row r="814" spans="1:26" ht="11.25" customHeight="1">
      <c r="A814" s="301"/>
      <c r="B814" s="301"/>
      <c r="C814" s="301"/>
      <c r="D814" s="301"/>
      <c r="E814" s="301"/>
      <c r="F814" s="301"/>
      <c r="G814" s="301"/>
      <c r="H814" s="301"/>
      <c r="I814" s="301"/>
      <c r="J814" s="301"/>
      <c r="K814" s="301"/>
      <c r="L814" s="301"/>
      <c r="M814" s="301"/>
      <c r="N814" s="301"/>
      <c r="O814" s="301"/>
      <c r="P814" s="301"/>
      <c r="Q814" s="301"/>
      <c r="R814" s="301"/>
      <c r="S814" s="301"/>
      <c r="T814" s="301"/>
      <c r="U814" s="301"/>
      <c r="V814" s="301"/>
      <c r="W814" s="301"/>
      <c r="X814" s="301"/>
      <c r="Y814" s="301"/>
      <c r="Z814" s="301"/>
    </row>
    <row r="815" spans="1:26" ht="11.25" customHeight="1">
      <c r="A815" s="301"/>
      <c r="B815" s="301"/>
      <c r="C815" s="301"/>
      <c r="D815" s="301"/>
      <c r="E815" s="301"/>
      <c r="F815" s="301"/>
      <c r="G815" s="301"/>
      <c r="H815" s="301"/>
      <c r="I815" s="301"/>
      <c r="J815" s="301"/>
      <c r="K815" s="301"/>
      <c r="L815" s="301"/>
      <c r="M815" s="301"/>
      <c r="N815" s="301"/>
      <c r="O815" s="301"/>
      <c r="P815" s="301"/>
      <c r="Q815" s="301"/>
      <c r="R815" s="301"/>
      <c r="S815" s="301"/>
      <c r="T815" s="301"/>
      <c r="U815" s="301"/>
      <c r="V815" s="301"/>
      <c r="W815" s="301"/>
      <c r="X815" s="301"/>
      <c r="Y815" s="301"/>
      <c r="Z815" s="301"/>
    </row>
    <row r="816" spans="1:26" ht="11.25" customHeight="1">
      <c r="A816" s="301"/>
      <c r="B816" s="301"/>
      <c r="C816" s="301"/>
      <c r="D816" s="301"/>
      <c r="E816" s="301"/>
      <c r="F816" s="301"/>
      <c r="G816" s="301"/>
      <c r="H816" s="301"/>
      <c r="I816" s="301"/>
      <c r="J816" s="301"/>
      <c r="K816" s="301"/>
      <c r="L816" s="301"/>
      <c r="M816" s="301"/>
      <c r="N816" s="301"/>
      <c r="O816" s="301"/>
      <c r="P816" s="301"/>
      <c r="Q816" s="301"/>
      <c r="R816" s="301"/>
      <c r="S816" s="301"/>
      <c r="T816" s="301"/>
      <c r="U816" s="301"/>
      <c r="V816" s="301"/>
      <c r="W816" s="301"/>
      <c r="X816" s="301"/>
      <c r="Y816" s="301"/>
      <c r="Z816" s="301"/>
    </row>
    <row r="817" spans="1:26" ht="11.25" customHeight="1">
      <c r="A817" s="301"/>
      <c r="B817" s="301"/>
      <c r="C817" s="301"/>
      <c r="D817" s="301"/>
      <c r="E817" s="301"/>
      <c r="F817" s="301"/>
      <c r="G817" s="301"/>
      <c r="H817" s="301"/>
      <c r="I817" s="301"/>
      <c r="J817" s="301"/>
      <c r="K817" s="301"/>
      <c r="L817" s="301"/>
      <c r="M817" s="301"/>
      <c r="N817" s="301"/>
      <c r="O817" s="301"/>
      <c r="P817" s="301"/>
      <c r="Q817" s="301"/>
      <c r="R817" s="301"/>
      <c r="S817" s="301"/>
      <c r="T817" s="301"/>
      <c r="U817" s="301"/>
      <c r="V817" s="301"/>
      <c r="W817" s="301"/>
      <c r="X817" s="301"/>
      <c r="Y817" s="301"/>
      <c r="Z817" s="301"/>
    </row>
    <row r="818" spans="1:26" ht="11.25" customHeight="1">
      <c r="A818" s="301"/>
      <c r="B818" s="301"/>
      <c r="C818" s="301"/>
      <c r="D818" s="301"/>
      <c r="E818" s="301"/>
      <c r="F818" s="301"/>
      <c r="G818" s="301"/>
      <c r="H818" s="301"/>
      <c r="I818" s="301"/>
      <c r="J818" s="301"/>
      <c r="K818" s="301"/>
      <c r="L818" s="301"/>
      <c r="M818" s="301"/>
      <c r="N818" s="301"/>
      <c r="O818" s="301"/>
      <c r="P818" s="301"/>
      <c r="Q818" s="301"/>
      <c r="R818" s="301"/>
      <c r="S818" s="301"/>
      <c r="T818" s="301"/>
      <c r="U818" s="301"/>
      <c r="V818" s="301"/>
      <c r="W818" s="301"/>
      <c r="X818" s="301"/>
      <c r="Y818" s="301"/>
      <c r="Z818" s="301"/>
    </row>
    <row r="819" spans="1:26" ht="11.25" customHeight="1">
      <c r="A819" s="301"/>
      <c r="B819" s="301"/>
      <c r="C819" s="301"/>
      <c r="D819" s="301"/>
      <c r="E819" s="301"/>
      <c r="F819" s="301"/>
      <c r="G819" s="301"/>
      <c r="H819" s="301"/>
      <c r="I819" s="301"/>
      <c r="J819" s="301"/>
      <c r="K819" s="301"/>
      <c r="L819" s="301"/>
      <c r="M819" s="301"/>
      <c r="N819" s="301"/>
      <c r="O819" s="301"/>
      <c r="P819" s="301"/>
      <c r="Q819" s="301"/>
      <c r="R819" s="301"/>
      <c r="S819" s="301"/>
      <c r="T819" s="301"/>
      <c r="U819" s="301"/>
      <c r="V819" s="301"/>
      <c r="W819" s="301"/>
      <c r="X819" s="301"/>
      <c r="Y819" s="301"/>
      <c r="Z819" s="301"/>
    </row>
    <row r="820" spans="1:26" ht="11.25" customHeight="1">
      <c r="A820" s="301"/>
      <c r="B820" s="301"/>
      <c r="C820" s="301"/>
      <c r="D820" s="301"/>
      <c r="E820" s="301"/>
      <c r="F820" s="301"/>
      <c r="G820" s="301"/>
      <c r="H820" s="301"/>
      <c r="I820" s="301"/>
      <c r="J820" s="301"/>
      <c r="K820" s="301"/>
      <c r="L820" s="301"/>
      <c r="M820" s="301"/>
      <c r="N820" s="301"/>
      <c r="O820" s="301"/>
      <c r="P820" s="301"/>
      <c r="Q820" s="301"/>
      <c r="R820" s="301"/>
      <c r="S820" s="301"/>
      <c r="T820" s="301"/>
      <c r="U820" s="301"/>
      <c r="V820" s="301"/>
      <c r="W820" s="301"/>
      <c r="X820" s="301"/>
      <c r="Y820" s="301"/>
      <c r="Z820" s="301"/>
    </row>
    <row r="821" spans="1:26" ht="11.25" customHeight="1">
      <c r="A821" s="301"/>
      <c r="B821" s="301"/>
      <c r="C821" s="301"/>
      <c r="D821" s="301"/>
      <c r="E821" s="301"/>
      <c r="F821" s="301"/>
      <c r="G821" s="301"/>
      <c r="H821" s="301"/>
      <c r="I821" s="301"/>
      <c r="J821" s="301"/>
      <c r="K821" s="301"/>
      <c r="L821" s="301"/>
      <c r="M821" s="301"/>
      <c r="N821" s="301"/>
      <c r="O821" s="301"/>
      <c r="P821" s="301"/>
      <c r="Q821" s="301"/>
      <c r="R821" s="301"/>
      <c r="S821" s="301"/>
      <c r="T821" s="301"/>
      <c r="U821" s="301"/>
      <c r="V821" s="301"/>
      <c r="W821" s="301"/>
      <c r="X821" s="301"/>
      <c r="Y821" s="301"/>
      <c r="Z821" s="301"/>
    </row>
    <row r="822" spans="1:26" ht="11.25" customHeight="1">
      <c r="A822" s="301"/>
      <c r="B822" s="301"/>
      <c r="C822" s="301"/>
      <c r="D822" s="301"/>
      <c r="E822" s="301"/>
      <c r="F822" s="301"/>
      <c r="G822" s="301"/>
      <c r="H822" s="301"/>
      <c r="I822" s="301"/>
      <c r="J822" s="301"/>
      <c r="K822" s="301"/>
      <c r="L822" s="301"/>
      <c r="M822" s="301"/>
      <c r="N822" s="301"/>
      <c r="O822" s="301"/>
      <c r="P822" s="301"/>
      <c r="Q822" s="301"/>
      <c r="R822" s="301"/>
      <c r="S822" s="301"/>
      <c r="T822" s="301"/>
      <c r="U822" s="301"/>
      <c r="V822" s="301"/>
      <c r="W822" s="301"/>
      <c r="X822" s="301"/>
      <c r="Y822" s="301"/>
      <c r="Z822" s="301"/>
    </row>
    <row r="823" spans="1:26" ht="11.25" customHeight="1">
      <c r="A823" s="301"/>
      <c r="B823" s="301"/>
      <c r="C823" s="301"/>
      <c r="D823" s="301"/>
      <c r="E823" s="301"/>
      <c r="F823" s="301"/>
      <c r="G823" s="301"/>
      <c r="H823" s="301"/>
      <c r="I823" s="301"/>
      <c r="J823" s="301"/>
      <c r="K823" s="301"/>
      <c r="L823" s="301"/>
      <c r="M823" s="301"/>
      <c r="N823" s="301"/>
      <c r="O823" s="301"/>
      <c r="P823" s="301"/>
      <c r="Q823" s="301"/>
      <c r="R823" s="301"/>
      <c r="S823" s="301"/>
      <c r="T823" s="301"/>
      <c r="U823" s="301"/>
      <c r="V823" s="301"/>
      <c r="W823" s="301"/>
      <c r="X823" s="301"/>
      <c r="Y823" s="301"/>
      <c r="Z823" s="301"/>
    </row>
    <row r="824" spans="1:26" ht="11.25" customHeight="1">
      <c r="A824" s="301"/>
      <c r="B824" s="301"/>
      <c r="C824" s="301"/>
      <c r="D824" s="301"/>
      <c r="E824" s="301"/>
      <c r="F824" s="301"/>
      <c r="G824" s="301"/>
      <c r="H824" s="301"/>
      <c r="I824" s="301"/>
      <c r="J824" s="301"/>
      <c r="K824" s="301"/>
      <c r="L824" s="301"/>
      <c r="M824" s="301"/>
      <c r="N824" s="301"/>
      <c r="O824" s="301"/>
      <c r="P824" s="301"/>
      <c r="Q824" s="301"/>
      <c r="R824" s="301"/>
      <c r="S824" s="301"/>
      <c r="T824" s="301"/>
      <c r="U824" s="301"/>
      <c r="V824" s="301"/>
      <c r="W824" s="301"/>
      <c r="X824" s="301"/>
      <c r="Y824" s="301"/>
      <c r="Z824" s="301"/>
    </row>
    <row r="825" spans="1:26" ht="11.25" customHeight="1">
      <c r="A825" s="301"/>
      <c r="B825" s="301"/>
      <c r="C825" s="301"/>
      <c r="D825" s="301"/>
      <c r="E825" s="301"/>
      <c r="F825" s="301"/>
      <c r="G825" s="301"/>
      <c r="H825" s="301"/>
      <c r="I825" s="301"/>
      <c r="J825" s="301"/>
      <c r="K825" s="301"/>
      <c r="L825" s="301"/>
      <c r="M825" s="301"/>
      <c r="N825" s="301"/>
      <c r="O825" s="301"/>
      <c r="P825" s="301"/>
      <c r="Q825" s="301"/>
      <c r="R825" s="301"/>
      <c r="S825" s="301"/>
      <c r="T825" s="301"/>
      <c r="U825" s="301"/>
      <c r="V825" s="301"/>
      <c r="W825" s="301"/>
      <c r="X825" s="301"/>
      <c r="Y825" s="301"/>
      <c r="Z825" s="301"/>
    </row>
    <row r="826" spans="1:26" ht="11.25" customHeight="1">
      <c r="A826" s="301"/>
      <c r="B826" s="301"/>
      <c r="C826" s="301"/>
      <c r="D826" s="301"/>
      <c r="E826" s="301"/>
      <c r="F826" s="301"/>
      <c r="G826" s="301"/>
      <c r="H826" s="301"/>
      <c r="I826" s="301"/>
      <c r="J826" s="301"/>
      <c r="K826" s="301"/>
      <c r="L826" s="301"/>
      <c r="M826" s="301"/>
      <c r="N826" s="301"/>
      <c r="O826" s="301"/>
      <c r="P826" s="301"/>
      <c r="Q826" s="301"/>
      <c r="R826" s="301"/>
      <c r="S826" s="301"/>
      <c r="T826" s="301"/>
      <c r="U826" s="301"/>
      <c r="V826" s="301"/>
      <c r="W826" s="301"/>
      <c r="X826" s="301"/>
      <c r="Y826" s="301"/>
      <c r="Z826" s="301"/>
    </row>
    <row r="827" spans="1:26" ht="11.25" customHeight="1">
      <c r="A827" s="301"/>
      <c r="B827" s="301"/>
      <c r="C827" s="301"/>
      <c r="D827" s="301"/>
      <c r="E827" s="301"/>
      <c r="F827" s="301"/>
      <c r="G827" s="301"/>
      <c r="H827" s="301"/>
      <c r="I827" s="301"/>
      <c r="J827" s="301"/>
      <c r="K827" s="301"/>
      <c r="L827" s="301"/>
      <c r="M827" s="301"/>
      <c r="N827" s="301"/>
      <c r="O827" s="301"/>
      <c r="P827" s="301"/>
      <c r="Q827" s="301"/>
      <c r="R827" s="301"/>
      <c r="S827" s="301"/>
      <c r="T827" s="301"/>
      <c r="U827" s="301"/>
      <c r="V827" s="301"/>
      <c r="W827" s="301"/>
      <c r="X827" s="301"/>
      <c r="Y827" s="301"/>
      <c r="Z827" s="301"/>
    </row>
    <row r="828" spans="1:26" ht="11.25" customHeight="1">
      <c r="A828" s="301"/>
      <c r="B828" s="301"/>
      <c r="C828" s="301"/>
      <c r="D828" s="301"/>
      <c r="E828" s="301"/>
      <c r="F828" s="301"/>
      <c r="G828" s="301"/>
      <c r="H828" s="301"/>
      <c r="I828" s="301"/>
      <c r="J828" s="301"/>
      <c r="K828" s="301"/>
      <c r="L828" s="301"/>
      <c r="M828" s="301"/>
      <c r="N828" s="301"/>
      <c r="O828" s="301"/>
      <c r="P828" s="301"/>
      <c r="Q828" s="301"/>
      <c r="R828" s="301"/>
      <c r="S828" s="301"/>
      <c r="T828" s="301"/>
      <c r="U828" s="301"/>
      <c r="V828" s="301"/>
      <c r="W828" s="301"/>
      <c r="X828" s="301"/>
      <c r="Y828" s="301"/>
      <c r="Z828" s="301"/>
    </row>
    <row r="829" spans="1:26" ht="11.25" customHeight="1">
      <c r="A829" s="301"/>
      <c r="B829" s="301"/>
      <c r="C829" s="301"/>
      <c r="D829" s="301"/>
      <c r="E829" s="301"/>
      <c r="F829" s="301"/>
      <c r="G829" s="301"/>
      <c r="H829" s="301"/>
      <c r="I829" s="301"/>
      <c r="J829" s="301"/>
      <c r="K829" s="301"/>
      <c r="L829" s="301"/>
      <c r="M829" s="301"/>
      <c r="N829" s="301"/>
      <c r="O829" s="301"/>
      <c r="P829" s="301"/>
      <c r="Q829" s="301"/>
      <c r="R829" s="301"/>
      <c r="S829" s="301"/>
      <c r="T829" s="301"/>
      <c r="U829" s="301"/>
      <c r="V829" s="301"/>
      <c r="W829" s="301"/>
      <c r="X829" s="301"/>
      <c r="Y829" s="301"/>
      <c r="Z829" s="301"/>
    </row>
    <row r="830" spans="1:26" ht="11.25" customHeight="1">
      <c r="A830" s="301"/>
      <c r="B830" s="301"/>
      <c r="C830" s="301"/>
      <c r="D830" s="301"/>
      <c r="E830" s="301"/>
      <c r="F830" s="301"/>
      <c r="G830" s="301"/>
      <c r="H830" s="301"/>
      <c r="I830" s="301"/>
      <c r="J830" s="301"/>
      <c r="K830" s="301"/>
      <c r="L830" s="301"/>
      <c r="M830" s="301"/>
      <c r="N830" s="301"/>
      <c r="O830" s="301"/>
      <c r="P830" s="301"/>
      <c r="Q830" s="301"/>
      <c r="R830" s="301"/>
      <c r="S830" s="301"/>
      <c r="T830" s="301"/>
      <c r="U830" s="301"/>
      <c r="V830" s="301"/>
      <c r="W830" s="301"/>
      <c r="X830" s="301"/>
      <c r="Y830" s="301"/>
      <c r="Z830" s="301"/>
    </row>
    <row r="831" spans="1:26" ht="11.25" customHeight="1">
      <c r="A831" s="301"/>
      <c r="B831" s="301"/>
      <c r="C831" s="301"/>
      <c r="D831" s="301"/>
      <c r="E831" s="301"/>
      <c r="F831" s="301"/>
      <c r="G831" s="301"/>
      <c r="H831" s="301"/>
      <c r="I831" s="301"/>
      <c r="J831" s="301"/>
      <c r="K831" s="301"/>
      <c r="L831" s="301"/>
      <c r="M831" s="301"/>
      <c r="N831" s="301"/>
      <c r="O831" s="301"/>
      <c r="P831" s="301"/>
      <c r="Q831" s="301"/>
      <c r="R831" s="301"/>
      <c r="S831" s="301"/>
      <c r="T831" s="301"/>
      <c r="U831" s="301"/>
      <c r="V831" s="301"/>
      <c r="W831" s="301"/>
      <c r="X831" s="301"/>
      <c r="Y831" s="301"/>
      <c r="Z831" s="301"/>
    </row>
    <row r="832" spans="1:26" ht="11.25" customHeight="1">
      <c r="A832" s="301"/>
      <c r="B832" s="301"/>
      <c r="C832" s="301"/>
      <c r="D832" s="301"/>
      <c r="E832" s="301"/>
      <c r="F832" s="301"/>
      <c r="G832" s="301"/>
      <c r="H832" s="301"/>
      <c r="I832" s="301"/>
      <c r="J832" s="301"/>
      <c r="K832" s="301"/>
      <c r="L832" s="301"/>
      <c r="M832" s="301"/>
      <c r="N832" s="301"/>
      <c r="O832" s="301"/>
      <c r="P832" s="301"/>
      <c r="Q832" s="301"/>
      <c r="R832" s="301"/>
      <c r="S832" s="301"/>
      <c r="T832" s="301"/>
      <c r="U832" s="301"/>
      <c r="V832" s="301"/>
      <c r="W832" s="301"/>
      <c r="X832" s="301"/>
      <c r="Y832" s="301"/>
      <c r="Z832" s="301"/>
    </row>
    <row r="833" spans="1:26" ht="11.25" customHeight="1">
      <c r="A833" s="301"/>
      <c r="B833" s="301"/>
      <c r="C833" s="301"/>
      <c r="D833" s="301"/>
      <c r="E833" s="301"/>
      <c r="F833" s="301"/>
      <c r="G833" s="301"/>
      <c r="H833" s="301"/>
      <c r="I833" s="301"/>
      <c r="J833" s="301"/>
      <c r="K833" s="301"/>
      <c r="L833" s="301"/>
      <c r="M833" s="301"/>
      <c r="N833" s="301"/>
      <c r="O833" s="301"/>
      <c r="P833" s="301"/>
      <c r="Q833" s="301"/>
      <c r="R833" s="301"/>
      <c r="S833" s="301"/>
      <c r="T833" s="301"/>
      <c r="U833" s="301"/>
      <c r="V833" s="301"/>
      <c r="W833" s="301"/>
      <c r="X833" s="301"/>
      <c r="Y833" s="301"/>
      <c r="Z833" s="301"/>
    </row>
    <row r="834" spans="1:26" ht="11.25" customHeight="1">
      <c r="A834" s="301"/>
      <c r="B834" s="301"/>
      <c r="C834" s="301"/>
      <c r="D834" s="301"/>
      <c r="E834" s="301"/>
      <c r="F834" s="301"/>
      <c r="G834" s="301"/>
      <c r="H834" s="301"/>
      <c r="I834" s="301"/>
      <c r="J834" s="301"/>
      <c r="K834" s="301"/>
      <c r="L834" s="301"/>
      <c r="M834" s="301"/>
      <c r="N834" s="301"/>
      <c r="O834" s="301"/>
      <c r="P834" s="301"/>
      <c r="Q834" s="301"/>
      <c r="R834" s="301"/>
      <c r="S834" s="301"/>
      <c r="T834" s="301"/>
      <c r="U834" s="301"/>
      <c r="V834" s="301"/>
      <c r="W834" s="301"/>
      <c r="X834" s="301"/>
      <c r="Y834" s="301"/>
      <c r="Z834" s="301"/>
    </row>
    <row r="835" spans="1:26" ht="11.25" customHeight="1">
      <c r="A835" s="301"/>
      <c r="B835" s="301"/>
      <c r="C835" s="301"/>
      <c r="D835" s="301"/>
      <c r="E835" s="301"/>
      <c r="F835" s="301"/>
      <c r="G835" s="301"/>
      <c r="H835" s="301"/>
      <c r="I835" s="301"/>
      <c r="J835" s="301"/>
      <c r="K835" s="301"/>
      <c r="L835" s="301"/>
      <c r="M835" s="301"/>
      <c r="N835" s="301"/>
      <c r="O835" s="301"/>
      <c r="P835" s="301"/>
      <c r="Q835" s="301"/>
      <c r="R835" s="301"/>
      <c r="S835" s="301"/>
      <c r="T835" s="301"/>
      <c r="U835" s="301"/>
      <c r="V835" s="301"/>
      <c r="W835" s="301"/>
      <c r="X835" s="301"/>
      <c r="Y835" s="301"/>
      <c r="Z835" s="301"/>
    </row>
    <row r="836" spans="1:26" ht="11.25" customHeight="1">
      <c r="A836" s="301"/>
      <c r="B836" s="301"/>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c r="Z836" s="301"/>
    </row>
    <row r="837" spans="1:26" ht="11.25" customHeight="1">
      <c r="A837" s="301"/>
      <c r="B837" s="301"/>
      <c r="C837" s="301"/>
      <c r="D837" s="301"/>
      <c r="E837" s="301"/>
      <c r="F837" s="301"/>
      <c r="G837" s="301"/>
      <c r="H837" s="301"/>
      <c r="I837" s="301"/>
      <c r="J837" s="301"/>
      <c r="K837" s="301"/>
      <c r="L837" s="301"/>
      <c r="M837" s="301"/>
      <c r="N837" s="301"/>
      <c r="O837" s="301"/>
      <c r="P837" s="301"/>
      <c r="Q837" s="301"/>
      <c r="R837" s="301"/>
      <c r="S837" s="301"/>
      <c r="T837" s="301"/>
      <c r="U837" s="301"/>
      <c r="V837" s="301"/>
      <c r="W837" s="301"/>
      <c r="X837" s="301"/>
      <c r="Y837" s="301"/>
      <c r="Z837" s="301"/>
    </row>
    <row r="838" spans="1:26" ht="11.25" customHeight="1">
      <c r="A838" s="301"/>
      <c r="B838" s="301"/>
      <c r="C838" s="301"/>
      <c r="D838" s="301"/>
      <c r="E838" s="301"/>
      <c r="F838" s="301"/>
      <c r="G838" s="301"/>
      <c r="H838" s="301"/>
      <c r="I838" s="301"/>
      <c r="J838" s="301"/>
      <c r="K838" s="301"/>
      <c r="L838" s="301"/>
      <c r="M838" s="301"/>
      <c r="N838" s="301"/>
      <c r="O838" s="301"/>
      <c r="P838" s="301"/>
      <c r="Q838" s="301"/>
      <c r="R838" s="301"/>
      <c r="S838" s="301"/>
      <c r="T838" s="301"/>
      <c r="U838" s="301"/>
      <c r="V838" s="301"/>
      <c r="W838" s="301"/>
      <c r="X838" s="301"/>
      <c r="Y838" s="301"/>
      <c r="Z838" s="301"/>
    </row>
    <row r="839" spans="1:26" ht="11.25" customHeight="1">
      <c r="A839" s="301"/>
      <c r="B839" s="301"/>
      <c r="C839" s="301"/>
      <c r="D839" s="301"/>
      <c r="E839" s="301"/>
      <c r="F839" s="301"/>
      <c r="G839" s="301"/>
      <c r="H839" s="301"/>
      <c r="I839" s="301"/>
      <c r="J839" s="301"/>
      <c r="K839" s="301"/>
      <c r="L839" s="301"/>
      <c r="M839" s="301"/>
      <c r="N839" s="301"/>
      <c r="O839" s="301"/>
      <c r="P839" s="301"/>
      <c r="Q839" s="301"/>
      <c r="R839" s="301"/>
      <c r="S839" s="301"/>
      <c r="T839" s="301"/>
      <c r="U839" s="301"/>
      <c r="V839" s="301"/>
      <c r="W839" s="301"/>
      <c r="X839" s="301"/>
      <c r="Y839" s="301"/>
      <c r="Z839" s="301"/>
    </row>
    <row r="840" spans="1:26" ht="11.25" customHeight="1">
      <c r="A840" s="301"/>
      <c r="B840" s="301"/>
      <c r="C840" s="301"/>
      <c r="D840" s="301"/>
      <c r="E840" s="301"/>
      <c r="F840" s="301"/>
      <c r="G840" s="301"/>
      <c r="H840" s="301"/>
      <c r="I840" s="301"/>
      <c r="J840" s="301"/>
      <c r="K840" s="301"/>
      <c r="L840" s="301"/>
      <c r="M840" s="301"/>
      <c r="N840" s="301"/>
      <c r="O840" s="301"/>
      <c r="P840" s="301"/>
      <c r="Q840" s="301"/>
      <c r="R840" s="301"/>
      <c r="S840" s="301"/>
      <c r="T840" s="301"/>
      <c r="U840" s="301"/>
      <c r="V840" s="301"/>
      <c r="W840" s="301"/>
      <c r="X840" s="301"/>
      <c r="Y840" s="301"/>
      <c r="Z840" s="301"/>
    </row>
    <row r="841" spans="1:26" ht="11.25" customHeight="1">
      <c r="A841" s="301"/>
      <c r="B841" s="301"/>
      <c r="C841" s="301"/>
      <c r="D841" s="301"/>
      <c r="E841" s="301"/>
      <c r="F841" s="301"/>
      <c r="G841" s="301"/>
      <c r="H841" s="301"/>
      <c r="I841" s="301"/>
      <c r="J841" s="301"/>
      <c r="K841" s="301"/>
      <c r="L841" s="301"/>
      <c r="M841" s="301"/>
      <c r="N841" s="301"/>
      <c r="O841" s="301"/>
      <c r="P841" s="301"/>
      <c r="Q841" s="301"/>
      <c r="R841" s="301"/>
      <c r="S841" s="301"/>
      <c r="T841" s="301"/>
      <c r="U841" s="301"/>
      <c r="V841" s="301"/>
      <c r="W841" s="301"/>
      <c r="X841" s="301"/>
      <c r="Y841" s="301"/>
      <c r="Z841" s="301"/>
    </row>
    <row r="842" spans="1:26" ht="11.25" customHeight="1">
      <c r="A842" s="301"/>
      <c r="B842" s="301"/>
      <c r="C842" s="301"/>
      <c r="D842" s="301"/>
      <c r="E842" s="301"/>
      <c r="F842" s="301"/>
      <c r="G842" s="301"/>
      <c r="H842" s="301"/>
      <c r="I842" s="301"/>
      <c r="J842" s="301"/>
      <c r="K842" s="301"/>
      <c r="L842" s="301"/>
      <c r="M842" s="301"/>
      <c r="N842" s="301"/>
      <c r="O842" s="301"/>
      <c r="P842" s="301"/>
      <c r="Q842" s="301"/>
      <c r="R842" s="301"/>
      <c r="S842" s="301"/>
      <c r="T842" s="301"/>
      <c r="U842" s="301"/>
      <c r="V842" s="301"/>
      <c r="W842" s="301"/>
      <c r="X842" s="301"/>
      <c r="Y842" s="301"/>
      <c r="Z842" s="301"/>
    </row>
    <row r="843" spans="1:26" ht="11.25" customHeight="1">
      <c r="A843" s="301"/>
      <c r="B843" s="301"/>
      <c r="C843" s="301"/>
      <c r="D843" s="301"/>
      <c r="E843" s="301"/>
      <c r="F843" s="301"/>
      <c r="G843" s="301"/>
      <c r="H843" s="301"/>
      <c r="I843" s="301"/>
      <c r="J843" s="301"/>
      <c r="K843" s="301"/>
      <c r="L843" s="301"/>
      <c r="M843" s="301"/>
      <c r="N843" s="301"/>
      <c r="O843" s="301"/>
      <c r="P843" s="301"/>
      <c r="Q843" s="301"/>
      <c r="R843" s="301"/>
      <c r="S843" s="301"/>
      <c r="T843" s="301"/>
      <c r="U843" s="301"/>
      <c r="V843" s="301"/>
      <c r="W843" s="301"/>
      <c r="X843" s="301"/>
      <c r="Y843" s="301"/>
      <c r="Z843" s="301"/>
    </row>
    <row r="844" spans="1:26" ht="11.25" customHeight="1">
      <c r="A844" s="301"/>
      <c r="B844" s="301"/>
      <c r="C844" s="301"/>
      <c r="D844" s="301"/>
      <c r="E844" s="301"/>
      <c r="F844" s="301"/>
      <c r="G844" s="301"/>
      <c r="H844" s="301"/>
      <c r="I844" s="301"/>
      <c r="J844" s="301"/>
      <c r="K844" s="301"/>
      <c r="L844" s="301"/>
      <c r="M844" s="301"/>
      <c r="N844" s="301"/>
      <c r="O844" s="301"/>
      <c r="P844" s="301"/>
      <c r="Q844" s="301"/>
      <c r="R844" s="301"/>
      <c r="S844" s="301"/>
      <c r="T844" s="301"/>
      <c r="U844" s="301"/>
      <c r="V844" s="301"/>
      <c r="W844" s="301"/>
      <c r="X844" s="301"/>
      <c r="Y844" s="301"/>
      <c r="Z844" s="301"/>
    </row>
    <row r="845" spans="1:26" ht="11.25" customHeight="1">
      <c r="A845" s="301"/>
      <c r="B845" s="301"/>
      <c r="C845" s="301"/>
      <c r="D845" s="301"/>
      <c r="E845" s="301"/>
      <c r="F845" s="301"/>
      <c r="G845" s="301"/>
      <c r="H845" s="301"/>
      <c r="I845" s="301"/>
      <c r="J845" s="301"/>
      <c r="K845" s="301"/>
      <c r="L845" s="301"/>
      <c r="M845" s="301"/>
      <c r="N845" s="301"/>
      <c r="O845" s="301"/>
      <c r="P845" s="301"/>
      <c r="Q845" s="301"/>
      <c r="R845" s="301"/>
      <c r="S845" s="301"/>
      <c r="T845" s="301"/>
      <c r="U845" s="301"/>
      <c r="V845" s="301"/>
      <c r="W845" s="301"/>
      <c r="X845" s="301"/>
      <c r="Y845" s="301"/>
      <c r="Z845" s="301"/>
    </row>
    <row r="846" spans="1:26" ht="11.25" customHeight="1">
      <c r="A846" s="301"/>
      <c r="B846" s="301"/>
      <c r="C846" s="301"/>
      <c r="D846" s="301"/>
      <c r="E846" s="301"/>
      <c r="F846" s="301"/>
      <c r="G846" s="301"/>
      <c r="H846" s="301"/>
      <c r="I846" s="301"/>
      <c r="J846" s="301"/>
      <c r="K846" s="301"/>
      <c r="L846" s="301"/>
      <c r="M846" s="301"/>
      <c r="N846" s="301"/>
      <c r="O846" s="301"/>
      <c r="P846" s="301"/>
      <c r="Q846" s="301"/>
      <c r="R846" s="301"/>
      <c r="S846" s="301"/>
      <c r="T846" s="301"/>
      <c r="U846" s="301"/>
      <c r="V846" s="301"/>
      <c r="W846" s="301"/>
      <c r="X846" s="301"/>
      <c r="Y846" s="301"/>
      <c r="Z846" s="301"/>
    </row>
    <row r="847" spans="1:26" ht="11.25" customHeight="1">
      <c r="A847" s="301"/>
      <c r="B847" s="301"/>
      <c r="C847" s="301"/>
      <c r="D847" s="301"/>
      <c r="E847" s="301"/>
      <c r="F847" s="301"/>
      <c r="G847" s="301"/>
      <c r="H847" s="301"/>
      <c r="I847" s="301"/>
      <c r="J847" s="301"/>
      <c r="K847" s="301"/>
      <c r="L847" s="301"/>
      <c r="M847" s="301"/>
      <c r="N847" s="301"/>
      <c r="O847" s="301"/>
      <c r="P847" s="301"/>
      <c r="Q847" s="301"/>
      <c r="R847" s="301"/>
      <c r="S847" s="301"/>
      <c r="T847" s="301"/>
      <c r="U847" s="301"/>
      <c r="V847" s="301"/>
      <c r="W847" s="301"/>
      <c r="X847" s="301"/>
      <c r="Y847" s="301"/>
      <c r="Z847" s="301"/>
    </row>
    <row r="848" spans="1:26" ht="11.25" customHeight="1">
      <c r="A848" s="301"/>
      <c r="B848" s="301"/>
      <c r="C848" s="301"/>
      <c r="D848" s="301"/>
      <c r="E848" s="301"/>
      <c r="F848" s="301"/>
      <c r="G848" s="301"/>
      <c r="H848" s="301"/>
      <c r="I848" s="301"/>
      <c r="J848" s="301"/>
      <c r="K848" s="301"/>
      <c r="L848" s="301"/>
      <c r="M848" s="301"/>
      <c r="N848" s="301"/>
      <c r="O848" s="301"/>
      <c r="P848" s="301"/>
      <c r="Q848" s="301"/>
      <c r="R848" s="301"/>
      <c r="S848" s="301"/>
      <c r="T848" s="301"/>
      <c r="U848" s="301"/>
      <c r="V848" s="301"/>
      <c r="W848" s="301"/>
      <c r="X848" s="301"/>
      <c r="Y848" s="301"/>
      <c r="Z848" s="301"/>
    </row>
    <row r="849" spans="1:26" ht="11.25" customHeight="1">
      <c r="A849" s="301"/>
      <c r="B849" s="301"/>
      <c r="C849" s="301"/>
      <c r="D849" s="301"/>
      <c r="E849" s="301"/>
      <c r="F849" s="301"/>
      <c r="G849" s="301"/>
      <c r="H849" s="301"/>
      <c r="I849" s="301"/>
      <c r="J849" s="301"/>
      <c r="K849" s="301"/>
      <c r="L849" s="301"/>
      <c r="M849" s="301"/>
      <c r="N849" s="301"/>
      <c r="O849" s="301"/>
      <c r="P849" s="301"/>
      <c r="Q849" s="301"/>
      <c r="R849" s="301"/>
      <c r="S849" s="301"/>
      <c r="T849" s="301"/>
      <c r="U849" s="301"/>
      <c r="V849" s="301"/>
      <c r="W849" s="301"/>
      <c r="X849" s="301"/>
      <c r="Y849" s="301"/>
      <c r="Z849" s="301"/>
    </row>
    <row r="850" spans="1:26" ht="11.25" customHeight="1">
      <c r="A850" s="301"/>
      <c r="B850" s="301"/>
      <c r="C850" s="301"/>
      <c r="D850" s="301"/>
      <c r="E850" s="301"/>
      <c r="F850" s="301"/>
      <c r="G850" s="301"/>
      <c r="H850" s="301"/>
      <c r="I850" s="301"/>
      <c r="J850" s="301"/>
      <c r="K850" s="301"/>
      <c r="L850" s="301"/>
      <c r="M850" s="301"/>
      <c r="N850" s="301"/>
      <c r="O850" s="301"/>
      <c r="P850" s="301"/>
      <c r="Q850" s="301"/>
      <c r="R850" s="301"/>
      <c r="S850" s="301"/>
      <c r="T850" s="301"/>
      <c r="U850" s="301"/>
      <c r="V850" s="301"/>
      <c r="W850" s="301"/>
      <c r="X850" s="301"/>
      <c r="Y850" s="301"/>
      <c r="Z850" s="301"/>
    </row>
    <row r="851" spans="1:26" ht="11.25" customHeight="1">
      <c r="A851" s="301"/>
      <c r="B851" s="301"/>
      <c r="C851" s="301"/>
      <c r="D851" s="301"/>
      <c r="E851" s="301"/>
      <c r="F851" s="301"/>
      <c r="G851" s="301"/>
      <c r="H851" s="301"/>
      <c r="I851" s="301"/>
      <c r="J851" s="301"/>
      <c r="K851" s="301"/>
      <c r="L851" s="301"/>
      <c r="M851" s="301"/>
      <c r="N851" s="301"/>
      <c r="O851" s="301"/>
      <c r="P851" s="301"/>
      <c r="Q851" s="301"/>
      <c r="R851" s="301"/>
      <c r="S851" s="301"/>
      <c r="T851" s="301"/>
      <c r="U851" s="301"/>
      <c r="V851" s="301"/>
      <c r="W851" s="301"/>
      <c r="X851" s="301"/>
      <c r="Y851" s="301"/>
      <c r="Z851" s="301"/>
    </row>
    <row r="852" spans="1:26" ht="11.25" customHeight="1">
      <c r="A852" s="301"/>
      <c r="B852" s="301"/>
      <c r="C852" s="301"/>
      <c r="D852" s="301"/>
      <c r="E852" s="301"/>
      <c r="F852" s="301"/>
      <c r="G852" s="301"/>
      <c r="H852" s="301"/>
      <c r="I852" s="301"/>
      <c r="J852" s="301"/>
      <c r="K852" s="301"/>
      <c r="L852" s="301"/>
      <c r="M852" s="301"/>
      <c r="N852" s="301"/>
      <c r="O852" s="301"/>
      <c r="P852" s="301"/>
      <c r="Q852" s="301"/>
      <c r="R852" s="301"/>
      <c r="S852" s="301"/>
      <c r="T852" s="301"/>
      <c r="U852" s="301"/>
      <c r="V852" s="301"/>
      <c r="W852" s="301"/>
      <c r="X852" s="301"/>
      <c r="Y852" s="301"/>
      <c r="Z852" s="301"/>
    </row>
    <row r="853" spans="1:26" ht="11.25" customHeight="1">
      <c r="A853" s="301"/>
      <c r="B853" s="301"/>
      <c r="C853" s="301"/>
      <c r="D853" s="301"/>
      <c r="E853" s="301"/>
      <c r="F853" s="301"/>
      <c r="G853" s="301"/>
      <c r="H853" s="301"/>
      <c r="I853" s="301"/>
      <c r="J853" s="301"/>
      <c r="K853" s="301"/>
      <c r="L853" s="301"/>
      <c r="M853" s="301"/>
      <c r="N853" s="301"/>
      <c r="O853" s="301"/>
      <c r="P853" s="301"/>
      <c r="Q853" s="301"/>
      <c r="R853" s="301"/>
      <c r="S853" s="301"/>
      <c r="T853" s="301"/>
      <c r="U853" s="301"/>
      <c r="V853" s="301"/>
      <c r="W853" s="301"/>
      <c r="X853" s="301"/>
      <c r="Y853" s="301"/>
      <c r="Z853" s="301"/>
    </row>
    <row r="854" spans="1:26" ht="11.25" customHeight="1">
      <c r="A854" s="301"/>
      <c r="B854" s="301"/>
      <c r="C854" s="301"/>
      <c r="D854" s="301"/>
      <c r="E854" s="301"/>
      <c r="F854" s="301"/>
      <c r="G854" s="301"/>
      <c r="H854" s="301"/>
      <c r="I854" s="301"/>
      <c r="J854" s="301"/>
      <c r="K854" s="301"/>
      <c r="L854" s="301"/>
      <c r="M854" s="301"/>
      <c r="N854" s="301"/>
      <c r="O854" s="301"/>
      <c r="P854" s="301"/>
      <c r="Q854" s="301"/>
      <c r="R854" s="301"/>
      <c r="S854" s="301"/>
      <c r="T854" s="301"/>
      <c r="U854" s="301"/>
      <c r="V854" s="301"/>
      <c r="W854" s="301"/>
      <c r="X854" s="301"/>
      <c r="Y854" s="301"/>
      <c r="Z854" s="301"/>
    </row>
    <row r="855" spans="1:26" ht="11.25" customHeight="1">
      <c r="A855" s="301"/>
      <c r="B855" s="301"/>
      <c r="C855" s="301"/>
      <c r="D855" s="301"/>
      <c r="E855" s="301"/>
      <c r="F855" s="301"/>
      <c r="G855" s="301"/>
      <c r="H855" s="301"/>
      <c r="I855" s="301"/>
      <c r="J855" s="301"/>
      <c r="K855" s="301"/>
      <c r="L855" s="301"/>
      <c r="M855" s="301"/>
      <c r="N855" s="301"/>
      <c r="O855" s="301"/>
      <c r="P855" s="301"/>
      <c r="Q855" s="301"/>
      <c r="R855" s="301"/>
      <c r="S855" s="301"/>
      <c r="T855" s="301"/>
      <c r="U855" s="301"/>
      <c r="V855" s="301"/>
      <c r="W855" s="301"/>
      <c r="X855" s="301"/>
      <c r="Y855" s="301"/>
      <c r="Z855" s="301"/>
    </row>
    <row r="856" spans="1:26" ht="11.25" customHeight="1">
      <c r="A856" s="301"/>
      <c r="B856" s="301"/>
      <c r="C856" s="301"/>
      <c r="D856" s="301"/>
      <c r="E856" s="301"/>
      <c r="F856" s="301"/>
      <c r="G856" s="301"/>
      <c r="H856" s="301"/>
      <c r="I856" s="301"/>
      <c r="J856" s="301"/>
      <c r="K856" s="301"/>
      <c r="L856" s="301"/>
      <c r="M856" s="301"/>
      <c r="N856" s="301"/>
      <c r="O856" s="301"/>
      <c r="P856" s="301"/>
      <c r="Q856" s="301"/>
      <c r="R856" s="301"/>
      <c r="S856" s="301"/>
      <c r="T856" s="301"/>
      <c r="U856" s="301"/>
      <c r="V856" s="301"/>
      <c r="W856" s="301"/>
      <c r="X856" s="301"/>
      <c r="Y856" s="301"/>
      <c r="Z856" s="301"/>
    </row>
    <row r="857" spans="1:26" ht="11.25" customHeight="1">
      <c r="A857" s="301"/>
      <c r="B857" s="301"/>
      <c r="C857" s="301"/>
      <c r="D857" s="301"/>
      <c r="E857" s="301"/>
      <c r="F857" s="301"/>
      <c r="G857" s="301"/>
      <c r="H857" s="301"/>
      <c r="I857" s="301"/>
      <c r="J857" s="301"/>
      <c r="K857" s="301"/>
      <c r="L857" s="301"/>
      <c r="M857" s="301"/>
      <c r="N857" s="301"/>
      <c r="O857" s="301"/>
      <c r="P857" s="301"/>
      <c r="Q857" s="301"/>
      <c r="R857" s="301"/>
      <c r="S857" s="301"/>
      <c r="T857" s="301"/>
      <c r="U857" s="301"/>
      <c r="V857" s="301"/>
      <c r="W857" s="301"/>
      <c r="X857" s="301"/>
      <c r="Y857" s="301"/>
      <c r="Z857" s="301"/>
    </row>
    <row r="858" spans="1:26" ht="11.25" customHeight="1">
      <c r="A858" s="301"/>
      <c r="B858" s="301"/>
      <c r="C858" s="301"/>
      <c r="D858" s="301"/>
      <c r="E858" s="301"/>
      <c r="F858" s="301"/>
      <c r="G858" s="301"/>
      <c r="H858" s="301"/>
      <c r="I858" s="301"/>
      <c r="J858" s="301"/>
      <c r="K858" s="301"/>
      <c r="L858" s="301"/>
      <c r="M858" s="301"/>
      <c r="N858" s="301"/>
      <c r="O858" s="301"/>
      <c r="P858" s="301"/>
      <c r="Q858" s="301"/>
      <c r="R858" s="301"/>
      <c r="S858" s="301"/>
      <c r="T858" s="301"/>
      <c r="U858" s="301"/>
      <c r="V858" s="301"/>
      <c r="W858" s="301"/>
      <c r="X858" s="301"/>
      <c r="Y858" s="301"/>
      <c r="Z858" s="301"/>
    </row>
    <row r="859" spans="1:26" ht="11.25" customHeight="1">
      <c r="A859" s="301"/>
      <c r="B859" s="301"/>
      <c r="C859" s="301"/>
      <c r="D859" s="301"/>
      <c r="E859" s="301"/>
      <c r="F859" s="301"/>
      <c r="G859" s="301"/>
      <c r="H859" s="301"/>
      <c r="I859" s="301"/>
      <c r="J859" s="301"/>
      <c r="K859" s="301"/>
      <c r="L859" s="301"/>
      <c r="M859" s="301"/>
      <c r="N859" s="301"/>
      <c r="O859" s="301"/>
      <c r="P859" s="301"/>
      <c r="Q859" s="301"/>
      <c r="R859" s="301"/>
      <c r="S859" s="301"/>
      <c r="T859" s="301"/>
      <c r="U859" s="301"/>
      <c r="V859" s="301"/>
      <c r="W859" s="301"/>
      <c r="X859" s="301"/>
      <c r="Y859" s="301"/>
      <c r="Z859" s="301"/>
    </row>
    <row r="860" spans="1:26" ht="11.25" customHeight="1">
      <c r="A860" s="301"/>
      <c r="B860" s="301"/>
      <c r="C860" s="301"/>
      <c r="D860" s="301"/>
      <c r="E860" s="301"/>
      <c r="F860" s="301"/>
      <c r="G860" s="301"/>
      <c r="H860" s="301"/>
      <c r="I860" s="301"/>
      <c r="J860" s="301"/>
      <c r="K860" s="301"/>
      <c r="L860" s="301"/>
      <c r="M860" s="301"/>
      <c r="N860" s="301"/>
      <c r="O860" s="301"/>
      <c r="P860" s="301"/>
      <c r="Q860" s="301"/>
      <c r="R860" s="301"/>
      <c r="S860" s="301"/>
      <c r="T860" s="301"/>
      <c r="U860" s="301"/>
      <c r="V860" s="301"/>
      <c r="W860" s="301"/>
      <c r="X860" s="301"/>
      <c r="Y860" s="301"/>
      <c r="Z860" s="301"/>
    </row>
    <row r="861" spans="1:26" ht="11.25" customHeight="1">
      <c r="A861" s="301"/>
      <c r="B861" s="301"/>
      <c r="C861" s="301"/>
      <c r="D861" s="301"/>
      <c r="E861" s="301"/>
      <c r="F861" s="301"/>
      <c r="G861" s="301"/>
      <c r="H861" s="301"/>
      <c r="I861" s="301"/>
      <c r="J861" s="301"/>
      <c r="K861" s="301"/>
      <c r="L861" s="301"/>
      <c r="M861" s="301"/>
      <c r="N861" s="301"/>
      <c r="O861" s="301"/>
      <c r="P861" s="301"/>
      <c r="Q861" s="301"/>
      <c r="R861" s="301"/>
      <c r="S861" s="301"/>
      <c r="T861" s="301"/>
      <c r="U861" s="301"/>
      <c r="V861" s="301"/>
      <c r="W861" s="301"/>
      <c r="X861" s="301"/>
      <c r="Y861" s="301"/>
      <c r="Z861" s="301"/>
    </row>
    <row r="862" spans="1:26" ht="11.25" customHeight="1">
      <c r="A862" s="301"/>
      <c r="B862" s="301"/>
      <c r="C862" s="301"/>
      <c r="D862" s="301"/>
      <c r="E862" s="301"/>
      <c r="F862" s="301"/>
      <c r="G862" s="301"/>
      <c r="H862" s="301"/>
      <c r="I862" s="301"/>
      <c r="J862" s="301"/>
      <c r="K862" s="301"/>
      <c r="L862" s="301"/>
      <c r="M862" s="301"/>
      <c r="N862" s="301"/>
      <c r="O862" s="301"/>
      <c r="P862" s="301"/>
      <c r="Q862" s="301"/>
      <c r="R862" s="301"/>
      <c r="S862" s="301"/>
      <c r="T862" s="301"/>
      <c r="U862" s="301"/>
      <c r="V862" s="301"/>
      <c r="W862" s="301"/>
      <c r="X862" s="301"/>
      <c r="Y862" s="301"/>
      <c r="Z862" s="301"/>
    </row>
    <row r="863" spans="1:26" ht="11.25" customHeight="1">
      <c r="A863" s="301"/>
      <c r="B863" s="301"/>
      <c r="C863" s="301"/>
      <c r="D863" s="301"/>
      <c r="E863" s="301"/>
      <c r="F863" s="301"/>
      <c r="G863" s="301"/>
      <c r="H863" s="301"/>
      <c r="I863" s="301"/>
      <c r="J863" s="301"/>
      <c r="K863" s="301"/>
      <c r="L863" s="301"/>
      <c r="M863" s="301"/>
      <c r="N863" s="301"/>
      <c r="O863" s="301"/>
      <c r="P863" s="301"/>
      <c r="Q863" s="301"/>
      <c r="R863" s="301"/>
      <c r="S863" s="301"/>
      <c r="T863" s="301"/>
      <c r="U863" s="301"/>
      <c r="V863" s="301"/>
      <c r="W863" s="301"/>
      <c r="X863" s="301"/>
      <c r="Y863" s="301"/>
      <c r="Z863" s="301"/>
    </row>
    <row r="864" spans="1:26" ht="11.25" customHeight="1">
      <c r="A864" s="301"/>
      <c r="B864" s="301"/>
      <c r="C864" s="301"/>
      <c r="D864" s="301"/>
      <c r="E864" s="301"/>
      <c r="F864" s="301"/>
      <c r="G864" s="301"/>
      <c r="H864" s="301"/>
      <c r="I864" s="301"/>
      <c r="J864" s="301"/>
      <c r="K864" s="301"/>
      <c r="L864" s="301"/>
      <c r="M864" s="301"/>
      <c r="N864" s="301"/>
      <c r="O864" s="301"/>
      <c r="P864" s="301"/>
      <c r="Q864" s="301"/>
      <c r="R864" s="301"/>
      <c r="S864" s="301"/>
      <c r="T864" s="301"/>
      <c r="U864" s="301"/>
      <c r="V864" s="301"/>
      <c r="W864" s="301"/>
      <c r="X864" s="301"/>
      <c r="Y864" s="301"/>
      <c r="Z864" s="301"/>
    </row>
    <row r="865" spans="1:26" ht="11.25" customHeight="1">
      <c r="A865" s="301"/>
      <c r="B865" s="301"/>
      <c r="C865" s="301"/>
      <c r="D865" s="301"/>
      <c r="E865" s="301"/>
      <c r="F865" s="301"/>
      <c r="G865" s="301"/>
      <c r="H865" s="301"/>
      <c r="I865" s="301"/>
      <c r="J865" s="301"/>
      <c r="K865" s="301"/>
      <c r="L865" s="301"/>
      <c r="M865" s="301"/>
      <c r="N865" s="301"/>
      <c r="O865" s="301"/>
      <c r="P865" s="301"/>
      <c r="Q865" s="301"/>
      <c r="R865" s="301"/>
      <c r="S865" s="301"/>
      <c r="T865" s="301"/>
      <c r="U865" s="301"/>
      <c r="V865" s="301"/>
      <c r="W865" s="301"/>
      <c r="X865" s="301"/>
      <c r="Y865" s="301"/>
      <c r="Z865" s="301"/>
    </row>
    <row r="866" spans="1:26" ht="11.25" customHeight="1">
      <c r="A866" s="301"/>
      <c r="B866" s="301"/>
      <c r="C866" s="301"/>
      <c r="D866" s="301"/>
      <c r="E866" s="301"/>
      <c r="F866" s="301"/>
      <c r="G866" s="301"/>
      <c r="H866" s="301"/>
      <c r="I866" s="301"/>
      <c r="J866" s="301"/>
      <c r="K866" s="301"/>
      <c r="L866" s="301"/>
      <c r="M866" s="301"/>
      <c r="N866" s="301"/>
      <c r="O866" s="301"/>
      <c r="P866" s="301"/>
      <c r="Q866" s="301"/>
      <c r="R866" s="301"/>
      <c r="S866" s="301"/>
      <c r="T866" s="301"/>
      <c r="U866" s="301"/>
      <c r="V866" s="301"/>
      <c r="W866" s="301"/>
      <c r="X866" s="301"/>
      <c r="Y866" s="301"/>
      <c r="Z866" s="301"/>
    </row>
    <row r="867" spans="1:26" ht="11.25" customHeight="1">
      <c r="A867" s="301"/>
      <c r="B867" s="301"/>
      <c r="C867" s="301"/>
      <c r="D867" s="301"/>
      <c r="E867" s="301"/>
      <c r="F867" s="301"/>
      <c r="G867" s="301"/>
      <c r="H867" s="301"/>
      <c r="I867" s="301"/>
      <c r="J867" s="301"/>
      <c r="K867" s="301"/>
      <c r="L867" s="301"/>
      <c r="M867" s="301"/>
      <c r="N867" s="301"/>
      <c r="O867" s="301"/>
      <c r="P867" s="301"/>
      <c r="Q867" s="301"/>
      <c r="R867" s="301"/>
      <c r="S867" s="301"/>
      <c r="T867" s="301"/>
      <c r="U867" s="301"/>
      <c r="V867" s="301"/>
      <c r="W867" s="301"/>
      <c r="X867" s="301"/>
      <c r="Y867" s="301"/>
      <c r="Z867" s="301"/>
    </row>
    <row r="868" spans="1:26" ht="11.25" customHeight="1">
      <c r="A868" s="301"/>
      <c r="B868" s="301"/>
      <c r="C868" s="301"/>
      <c r="D868" s="301"/>
      <c r="E868" s="301"/>
      <c r="F868" s="301"/>
      <c r="G868" s="301"/>
      <c r="H868" s="301"/>
      <c r="I868" s="301"/>
      <c r="J868" s="301"/>
      <c r="K868" s="301"/>
      <c r="L868" s="301"/>
      <c r="M868" s="301"/>
      <c r="N868" s="301"/>
      <c r="O868" s="301"/>
      <c r="P868" s="301"/>
      <c r="Q868" s="301"/>
      <c r="R868" s="301"/>
      <c r="S868" s="301"/>
      <c r="T868" s="301"/>
      <c r="U868" s="301"/>
      <c r="V868" s="301"/>
      <c r="W868" s="301"/>
      <c r="X868" s="301"/>
      <c r="Y868" s="301"/>
      <c r="Z868" s="301"/>
    </row>
    <row r="869" spans="1:26" ht="11.25" customHeight="1">
      <c r="A869" s="301"/>
      <c r="B869" s="301"/>
      <c r="C869" s="301"/>
      <c r="D869" s="301"/>
      <c r="E869" s="301"/>
      <c r="F869" s="301"/>
      <c r="G869" s="301"/>
      <c r="H869" s="301"/>
      <c r="I869" s="301"/>
      <c r="J869" s="301"/>
      <c r="K869" s="301"/>
      <c r="L869" s="301"/>
      <c r="M869" s="301"/>
      <c r="N869" s="301"/>
      <c r="O869" s="301"/>
      <c r="P869" s="301"/>
      <c r="Q869" s="301"/>
      <c r="R869" s="301"/>
      <c r="S869" s="301"/>
      <c r="T869" s="301"/>
      <c r="U869" s="301"/>
      <c r="V869" s="301"/>
      <c r="W869" s="301"/>
      <c r="X869" s="301"/>
      <c r="Y869" s="301"/>
      <c r="Z869" s="301"/>
    </row>
    <row r="870" spans="1:26" ht="11.25" customHeight="1">
      <c r="A870" s="301"/>
      <c r="B870" s="301"/>
      <c r="C870" s="301"/>
      <c r="D870" s="301"/>
      <c r="E870" s="301"/>
      <c r="F870" s="301"/>
      <c r="G870" s="301"/>
      <c r="H870" s="301"/>
      <c r="I870" s="301"/>
      <c r="J870" s="301"/>
      <c r="K870" s="301"/>
      <c r="L870" s="301"/>
      <c r="M870" s="301"/>
      <c r="N870" s="301"/>
      <c r="O870" s="301"/>
      <c r="P870" s="301"/>
      <c r="Q870" s="301"/>
      <c r="R870" s="301"/>
      <c r="S870" s="301"/>
      <c r="T870" s="301"/>
      <c r="U870" s="301"/>
      <c r="V870" s="301"/>
      <c r="W870" s="301"/>
      <c r="X870" s="301"/>
      <c r="Y870" s="301"/>
      <c r="Z870" s="301"/>
    </row>
    <row r="871" spans="1:26" ht="11.25" customHeight="1">
      <c r="A871" s="301"/>
      <c r="B871" s="301"/>
      <c r="C871" s="301"/>
      <c r="D871" s="301"/>
      <c r="E871" s="301"/>
      <c r="F871" s="301"/>
      <c r="G871" s="301"/>
      <c r="H871" s="301"/>
      <c r="I871" s="301"/>
      <c r="J871" s="301"/>
      <c r="K871" s="301"/>
      <c r="L871" s="301"/>
      <c r="M871" s="301"/>
      <c r="N871" s="301"/>
      <c r="O871" s="301"/>
      <c r="P871" s="301"/>
      <c r="Q871" s="301"/>
      <c r="R871" s="301"/>
      <c r="S871" s="301"/>
      <c r="T871" s="301"/>
      <c r="U871" s="301"/>
      <c r="V871" s="301"/>
      <c r="W871" s="301"/>
      <c r="X871" s="301"/>
      <c r="Y871" s="301"/>
      <c r="Z871" s="301"/>
    </row>
    <row r="872" spans="1:26" ht="11.25" customHeight="1">
      <c r="A872" s="301"/>
      <c r="B872" s="301"/>
      <c r="C872" s="301"/>
      <c r="D872" s="301"/>
      <c r="E872" s="301"/>
      <c r="F872" s="301"/>
      <c r="G872" s="301"/>
      <c r="H872" s="301"/>
      <c r="I872" s="301"/>
      <c r="J872" s="301"/>
      <c r="K872" s="301"/>
      <c r="L872" s="301"/>
      <c r="M872" s="301"/>
      <c r="N872" s="301"/>
      <c r="O872" s="301"/>
      <c r="P872" s="301"/>
      <c r="Q872" s="301"/>
      <c r="R872" s="301"/>
      <c r="S872" s="301"/>
      <c r="T872" s="301"/>
      <c r="U872" s="301"/>
      <c r="V872" s="301"/>
      <c r="W872" s="301"/>
      <c r="X872" s="301"/>
      <c r="Y872" s="301"/>
      <c r="Z872" s="301"/>
    </row>
    <row r="873" spans="1:26" ht="11.25" customHeight="1">
      <c r="A873" s="301"/>
      <c r="B873" s="301"/>
      <c r="C873" s="301"/>
      <c r="D873" s="301"/>
      <c r="E873" s="301"/>
      <c r="F873" s="301"/>
      <c r="G873" s="301"/>
      <c r="H873" s="301"/>
      <c r="I873" s="301"/>
      <c r="J873" s="301"/>
      <c r="K873" s="301"/>
      <c r="L873" s="301"/>
      <c r="M873" s="301"/>
      <c r="N873" s="301"/>
      <c r="O873" s="301"/>
      <c r="P873" s="301"/>
      <c r="Q873" s="301"/>
      <c r="R873" s="301"/>
      <c r="S873" s="301"/>
      <c r="T873" s="301"/>
      <c r="U873" s="301"/>
      <c r="V873" s="301"/>
      <c r="W873" s="301"/>
      <c r="X873" s="301"/>
      <c r="Y873" s="301"/>
      <c r="Z873" s="301"/>
    </row>
    <row r="874" spans="1:26" ht="11.25" customHeight="1">
      <c r="A874" s="301"/>
      <c r="B874" s="301"/>
      <c r="C874" s="301"/>
      <c r="D874" s="301"/>
      <c r="E874" s="301"/>
      <c r="F874" s="301"/>
      <c r="G874" s="301"/>
      <c r="H874" s="301"/>
      <c r="I874" s="301"/>
      <c r="J874" s="301"/>
      <c r="K874" s="301"/>
      <c r="L874" s="301"/>
      <c r="M874" s="301"/>
      <c r="N874" s="301"/>
      <c r="O874" s="301"/>
      <c r="P874" s="301"/>
      <c r="Q874" s="301"/>
      <c r="R874" s="301"/>
      <c r="S874" s="301"/>
      <c r="T874" s="301"/>
      <c r="U874" s="301"/>
      <c r="V874" s="301"/>
      <c r="W874" s="301"/>
      <c r="X874" s="301"/>
      <c r="Y874" s="301"/>
      <c r="Z874" s="301"/>
    </row>
    <row r="875" spans="1:26" ht="11.25" customHeight="1">
      <c r="A875" s="301"/>
      <c r="B875" s="301"/>
      <c r="C875" s="301"/>
      <c r="D875" s="301"/>
      <c r="E875" s="301"/>
      <c r="F875" s="301"/>
      <c r="G875" s="301"/>
      <c r="H875" s="301"/>
      <c r="I875" s="301"/>
      <c r="J875" s="301"/>
      <c r="K875" s="301"/>
      <c r="L875" s="301"/>
      <c r="M875" s="301"/>
      <c r="N875" s="301"/>
      <c r="O875" s="301"/>
      <c r="P875" s="301"/>
      <c r="Q875" s="301"/>
      <c r="R875" s="301"/>
      <c r="S875" s="301"/>
      <c r="T875" s="301"/>
      <c r="U875" s="301"/>
      <c r="V875" s="301"/>
      <c r="W875" s="301"/>
      <c r="X875" s="301"/>
      <c r="Y875" s="301"/>
      <c r="Z875" s="301"/>
    </row>
    <row r="876" spans="1:26" ht="11.25" customHeight="1">
      <c r="A876" s="301"/>
      <c r="B876" s="301"/>
      <c r="C876" s="301"/>
      <c r="D876" s="301"/>
      <c r="E876" s="301"/>
      <c r="F876" s="301"/>
      <c r="G876" s="301"/>
      <c r="H876" s="301"/>
      <c r="I876" s="301"/>
      <c r="J876" s="301"/>
      <c r="K876" s="301"/>
      <c r="L876" s="301"/>
      <c r="M876" s="301"/>
      <c r="N876" s="301"/>
      <c r="O876" s="301"/>
      <c r="P876" s="301"/>
      <c r="Q876" s="301"/>
      <c r="R876" s="301"/>
      <c r="S876" s="301"/>
      <c r="T876" s="301"/>
      <c r="U876" s="301"/>
      <c r="V876" s="301"/>
      <c r="W876" s="301"/>
      <c r="X876" s="301"/>
      <c r="Y876" s="301"/>
      <c r="Z876" s="301"/>
    </row>
    <row r="877" spans="1:26" ht="11.25" customHeight="1">
      <c r="A877" s="301"/>
      <c r="B877" s="301"/>
      <c r="C877" s="301"/>
      <c r="D877" s="301"/>
      <c r="E877" s="301"/>
      <c r="F877" s="301"/>
      <c r="G877" s="301"/>
      <c r="H877" s="301"/>
      <c r="I877" s="301"/>
      <c r="J877" s="301"/>
      <c r="K877" s="301"/>
      <c r="L877" s="301"/>
      <c r="M877" s="301"/>
      <c r="N877" s="301"/>
      <c r="O877" s="301"/>
      <c r="P877" s="301"/>
      <c r="Q877" s="301"/>
      <c r="R877" s="301"/>
      <c r="S877" s="301"/>
      <c r="T877" s="301"/>
      <c r="U877" s="301"/>
      <c r="V877" s="301"/>
      <c r="W877" s="301"/>
      <c r="X877" s="301"/>
      <c r="Y877" s="301"/>
      <c r="Z877" s="301"/>
    </row>
    <row r="878" spans="1:26" ht="11.25" customHeight="1">
      <c r="A878" s="301"/>
      <c r="B878" s="301"/>
      <c r="C878" s="301"/>
      <c r="D878" s="301"/>
      <c r="E878" s="301"/>
      <c r="F878" s="301"/>
      <c r="G878" s="301"/>
      <c r="H878" s="301"/>
      <c r="I878" s="301"/>
      <c r="J878" s="301"/>
      <c r="K878" s="301"/>
      <c r="L878" s="301"/>
      <c r="M878" s="301"/>
      <c r="N878" s="301"/>
      <c r="O878" s="301"/>
      <c r="P878" s="301"/>
      <c r="Q878" s="301"/>
      <c r="R878" s="301"/>
      <c r="S878" s="301"/>
      <c r="T878" s="301"/>
      <c r="U878" s="301"/>
      <c r="V878" s="301"/>
      <c r="W878" s="301"/>
      <c r="X878" s="301"/>
      <c r="Y878" s="301"/>
      <c r="Z878" s="301"/>
    </row>
    <row r="879" spans="1:26" ht="11.25" customHeight="1">
      <c r="A879" s="301"/>
      <c r="B879" s="301"/>
      <c r="C879" s="301"/>
      <c r="D879" s="301"/>
      <c r="E879" s="301"/>
      <c r="F879" s="301"/>
      <c r="G879" s="301"/>
      <c r="H879" s="301"/>
      <c r="I879" s="301"/>
      <c r="J879" s="301"/>
      <c r="K879" s="301"/>
      <c r="L879" s="301"/>
      <c r="M879" s="301"/>
      <c r="N879" s="301"/>
      <c r="O879" s="301"/>
      <c r="P879" s="301"/>
      <c r="Q879" s="301"/>
      <c r="R879" s="301"/>
      <c r="S879" s="301"/>
      <c r="T879" s="301"/>
      <c r="U879" s="301"/>
      <c r="V879" s="301"/>
      <c r="W879" s="301"/>
      <c r="X879" s="301"/>
      <c r="Y879" s="301"/>
      <c r="Z879" s="301"/>
    </row>
    <row r="880" spans="1:26" ht="11.25" customHeight="1">
      <c r="A880" s="301"/>
      <c r="B880" s="301"/>
      <c r="C880" s="301"/>
      <c r="D880" s="301"/>
      <c r="E880" s="301"/>
      <c r="F880" s="301"/>
      <c r="G880" s="301"/>
      <c r="H880" s="301"/>
      <c r="I880" s="301"/>
      <c r="J880" s="301"/>
      <c r="K880" s="301"/>
      <c r="L880" s="301"/>
      <c r="M880" s="301"/>
      <c r="N880" s="301"/>
      <c r="O880" s="301"/>
      <c r="P880" s="301"/>
      <c r="Q880" s="301"/>
      <c r="R880" s="301"/>
      <c r="S880" s="301"/>
      <c r="T880" s="301"/>
      <c r="U880" s="301"/>
      <c r="V880" s="301"/>
      <c r="W880" s="301"/>
      <c r="X880" s="301"/>
      <c r="Y880" s="301"/>
      <c r="Z880" s="301"/>
    </row>
    <row r="881" spans="1:26" ht="11.25" customHeight="1">
      <c r="A881" s="301"/>
      <c r="B881" s="301"/>
      <c r="C881" s="301"/>
      <c r="D881" s="301"/>
      <c r="E881" s="301"/>
      <c r="F881" s="301"/>
      <c r="G881" s="301"/>
      <c r="H881" s="301"/>
      <c r="I881" s="301"/>
      <c r="J881" s="301"/>
      <c r="K881" s="301"/>
      <c r="L881" s="301"/>
      <c r="M881" s="301"/>
      <c r="N881" s="301"/>
      <c r="O881" s="301"/>
      <c r="P881" s="301"/>
      <c r="Q881" s="301"/>
      <c r="R881" s="301"/>
      <c r="S881" s="301"/>
      <c r="T881" s="301"/>
      <c r="U881" s="301"/>
      <c r="V881" s="301"/>
      <c r="W881" s="301"/>
      <c r="X881" s="301"/>
      <c r="Y881" s="301"/>
      <c r="Z881" s="301"/>
    </row>
    <row r="882" spans="1:26" ht="11.25" customHeight="1">
      <c r="A882" s="301"/>
      <c r="B882" s="301"/>
      <c r="C882" s="301"/>
      <c r="D882" s="301"/>
      <c r="E882" s="301"/>
      <c r="F882" s="301"/>
      <c r="G882" s="301"/>
      <c r="H882" s="301"/>
      <c r="I882" s="301"/>
      <c r="J882" s="301"/>
      <c r="K882" s="301"/>
      <c r="L882" s="301"/>
      <c r="M882" s="301"/>
      <c r="N882" s="301"/>
      <c r="O882" s="301"/>
      <c r="P882" s="301"/>
      <c r="Q882" s="301"/>
      <c r="R882" s="301"/>
      <c r="S882" s="301"/>
      <c r="T882" s="301"/>
      <c r="U882" s="301"/>
      <c r="V882" s="301"/>
      <c r="W882" s="301"/>
      <c r="X882" s="301"/>
      <c r="Y882" s="301"/>
      <c r="Z882" s="301"/>
    </row>
    <row r="883" spans="1:26" ht="11.25" customHeight="1">
      <c r="A883" s="301"/>
      <c r="B883" s="301"/>
      <c r="C883" s="301"/>
      <c r="D883" s="301"/>
      <c r="E883" s="301"/>
      <c r="F883" s="301"/>
      <c r="G883" s="301"/>
      <c r="H883" s="301"/>
      <c r="I883" s="301"/>
      <c r="J883" s="301"/>
      <c r="K883" s="301"/>
      <c r="L883" s="301"/>
      <c r="M883" s="301"/>
      <c r="N883" s="301"/>
      <c r="O883" s="301"/>
      <c r="P883" s="301"/>
      <c r="Q883" s="301"/>
      <c r="R883" s="301"/>
      <c r="S883" s="301"/>
      <c r="T883" s="301"/>
      <c r="U883" s="301"/>
      <c r="V883" s="301"/>
      <c r="W883" s="301"/>
      <c r="X883" s="301"/>
      <c r="Y883" s="301"/>
      <c r="Z883" s="301"/>
    </row>
    <row r="884" spans="1:26" ht="11.25" customHeight="1">
      <c r="A884" s="301"/>
      <c r="B884" s="301"/>
      <c r="C884" s="301"/>
      <c r="D884" s="301"/>
      <c r="E884" s="301"/>
      <c r="F884" s="301"/>
      <c r="G884" s="301"/>
      <c r="H884" s="301"/>
      <c r="I884" s="301"/>
      <c r="J884" s="301"/>
      <c r="K884" s="301"/>
      <c r="L884" s="301"/>
      <c r="M884" s="301"/>
      <c r="N884" s="301"/>
      <c r="O884" s="301"/>
      <c r="P884" s="301"/>
      <c r="Q884" s="301"/>
      <c r="R884" s="301"/>
      <c r="S884" s="301"/>
      <c r="T884" s="301"/>
      <c r="U884" s="301"/>
      <c r="V884" s="301"/>
      <c r="W884" s="301"/>
      <c r="X884" s="301"/>
      <c r="Y884" s="301"/>
      <c r="Z884" s="301"/>
    </row>
    <row r="885" spans="1:26" ht="11.25" customHeight="1">
      <c r="A885" s="301"/>
      <c r="B885" s="301"/>
      <c r="C885" s="301"/>
      <c r="D885" s="301"/>
      <c r="E885" s="301"/>
      <c r="F885" s="301"/>
      <c r="G885" s="301"/>
      <c r="H885" s="301"/>
      <c r="I885" s="301"/>
      <c r="J885" s="301"/>
      <c r="K885" s="301"/>
      <c r="L885" s="301"/>
      <c r="M885" s="301"/>
      <c r="N885" s="301"/>
      <c r="O885" s="301"/>
      <c r="P885" s="301"/>
      <c r="Q885" s="301"/>
      <c r="R885" s="301"/>
      <c r="S885" s="301"/>
      <c r="T885" s="301"/>
      <c r="U885" s="301"/>
      <c r="V885" s="301"/>
      <c r="W885" s="301"/>
      <c r="X885" s="301"/>
      <c r="Y885" s="301"/>
      <c r="Z885" s="301"/>
    </row>
    <row r="886" spans="1:26" ht="11.25" customHeight="1">
      <c r="A886" s="301"/>
      <c r="B886" s="301"/>
      <c r="C886" s="301"/>
      <c r="D886" s="301"/>
      <c r="E886" s="301"/>
      <c r="F886" s="301"/>
      <c r="G886" s="301"/>
      <c r="H886" s="301"/>
      <c r="I886" s="301"/>
      <c r="J886" s="301"/>
      <c r="K886" s="301"/>
      <c r="L886" s="301"/>
      <c r="M886" s="301"/>
      <c r="N886" s="301"/>
      <c r="O886" s="301"/>
      <c r="P886" s="301"/>
      <c r="Q886" s="301"/>
      <c r="R886" s="301"/>
      <c r="S886" s="301"/>
      <c r="T886" s="301"/>
      <c r="U886" s="301"/>
      <c r="V886" s="301"/>
      <c r="W886" s="301"/>
      <c r="X886" s="301"/>
      <c r="Y886" s="301"/>
      <c r="Z886" s="301"/>
    </row>
    <row r="887" spans="1:26" ht="11.25" customHeight="1">
      <c r="A887" s="301"/>
      <c r="B887" s="301"/>
      <c r="C887" s="301"/>
      <c r="D887" s="301"/>
      <c r="E887" s="301"/>
      <c r="F887" s="301"/>
      <c r="G887" s="301"/>
      <c r="H887" s="301"/>
      <c r="I887" s="301"/>
      <c r="J887" s="301"/>
      <c r="K887" s="301"/>
      <c r="L887" s="301"/>
      <c r="M887" s="301"/>
      <c r="N887" s="301"/>
      <c r="O887" s="301"/>
      <c r="P887" s="301"/>
      <c r="Q887" s="301"/>
      <c r="R887" s="301"/>
      <c r="S887" s="301"/>
      <c r="T887" s="301"/>
      <c r="U887" s="301"/>
      <c r="V887" s="301"/>
      <c r="W887" s="301"/>
      <c r="X887" s="301"/>
      <c r="Y887" s="301"/>
      <c r="Z887" s="301"/>
    </row>
    <row r="888" spans="1:26" ht="11.25" customHeight="1">
      <c r="A888" s="301"/>
      <c r="B888" s="301"/>
      <c r="C888" s="301"/>
      <c r="D888" s="301"/>
      <c r="E888" s="301"/>
      <c r="F888" s="301"/>
      <c r="G888" s="301"/>
      <c r="H888" s="301"/>
      <c r="I888" s="301"/>
      <c r="J888" s="301"/>
      <c r="K888" s="301"/>
      <c r="L888" s="301"/>
      <c r="M888" s="301"/>
      <c r="N888" s="301"/>
      <c r="O888" s="301"/>
      <c r="P888" s="301"/>
      <c r="Q888" s="301"/>
      <c r="R888" s="301"/>
      <c r="S888" s="301"/>
      <c r="T888" s="301"/>
      <c r="U888" s="301"/>
      <c r="V888" s="301"/>
      <c r="W888" s="301"/>
      <c r="X888" s="301"/>
      <c r="Y888" s="301"/>
      <c r="Z888" s="301"/>
    </row>
    <row r="889" spans="1:26" ht="11.25" customHeight="1">
      <c r="A889" s="301"/>
      <c r="B889" s="301"/>
      <c r="C889" s="301"/>
      <c r="D889" s="301"/>
      <c r="E889" s="301"/>
      <c r="F889" s="301"/>
      <c r="G889" s="301"/>
      <c r="H889" s="301"/>
      <c r="I889" s="301"/>
      <c r="J889" s="301"/>
      <c r="K889" s="301"/>
      <c r="L889" s="301"/>
      <c r="M889" s="301"/>
      <c r="N889" s="301"/>
      <c r="O889" s="301"/>
      <c r="P889" s="301"/>
      <c r="Q889" s="301"/>
      <c r="R889" s="301"/>
      <c r="S889" s="301"/>
      <c r="T889" s="301"/>
      <c r="U889" s="301"/>
      <c r="V889" s="301"/>
      <c r="W889" s="301"/>
      <c r="X889" s="301"/>
      <c r="Y889" s="301"/>
      <c r="Z889" s="301"/>
    </row>
    <row r="890" spans="1:26" ht="11.25" customHeight="1">
      <c r="A890" s="301"/>
      <c r="B890" s="301"/>
      <c r="C890" s="301"/>
      <c r="D890" s="301"/>
      <c r="E890" s="301"/>
      <c r="F890" s="301"/>
      <c r="G890" s="301"/>
      <c r="H890" s="301"/>
      <c r="I890" s="301"/>
      <c r="J890" s="301"/>
      <c r="K890" s="301"/>
      <c r="L890" s="301"/>
      <c r="M890" s="301"/>
      <c r="N890" s="301"/>
      <c r="O890" s="301"/>
      <c r="P890" s="301"/>
      <c r="Q890" s="301"/>
      <c r="R890" s="301"/>
      <c r="S890" s="301"/>
      <c r="T890" s="301"/>
      <c r="U890" s="301"/>
      <c r="V890" s="301"/>
      <c r="W890" s="301"/>
      <c r="X890" s="301"/>
      <c r="Y890" s="301"/>
      <c r="Z890" s="301"/>
    </row>
    <row r="891" spans="1:26" ht="11.25" customHeight="1">
      <c r="A891" s="301"/>
      <c r="B891" s="301"/>
      <c r="C891" s="301"/>
      <c r="D891" s="301"/>
      <c r="E891" s="301"/>
      <c r="F891" s="301"/>
      <c r="G891" s="301"/>
      <c r="H891" s="301"/>
      <c r="I891" s="301"/>
      <c r="J891" s="301"/>
      <c r="K891" s="301"/>
      <c r="L891" s="301"/>
      <c r="M891" s="301"/>
      <c r="N891" s="301"/>
      <c r="O891" s="301"/>
      <c r="P891" s="301"/>
      <c r="Q891" s="301"/>
      <c r="R891" s="301"/>
      <c r="S891" s="301"/>
      <c r="T891" s="301"/>
      <c r="U891" s="301"/>
      <c r="V891" s="301"/>
      <c r="W891" s="301"/>
      <c r="X891" s="301"/>
      <c r="Y891" s="301"/>
      <c r="Z891" s="301"/>
    </row>
    <row r="892" spans="1:26" ht="11.25" customHeight="1">
      <c r="A892" s="301"/>
      <c r="B892" s="301"/>
      <c r="C892" s="301"/>
      <c r="D892" s="301"/>
      <c r="E892" s="301"/>
      <c r="F892" s="301"/>
      <c r="G892" s="301"/>
      <c r="H892" s="301"/>
      <c r="I892" s="301"/>
      <c r="J892" s="301"/>
      <c r="K892" s="301"/>
      <c r="L892" s="301"/>
      <c r="M892" s="301"/>
      <c r="N892" s="301"/>
      <c r="O892" s="301"/>
      <c r="P892" s="301"/>
      <c r="Q892" s="301"/>
      <c r="R892" s="301"/>
      <c r="S892" s="301"/>
      <c r="T892" s="301"/>
      <c r="U892" s="301"/>
      <c r="V892" s="301"/>
      <c r="W892" s="301"/>
      <c r="X892" s="301"/>
      <c r="Y892" s="301"/>
      <c r="Z892" s="301"/>
    </row>
    <row r="893" spans="1:26" ht="11.25" customHeight="1">
      <c r="A893" s="301"/>
      <c r="B893" s="301"/>
      <c r="C893" s="301"/>
      <c r="D893" s="301"/>
      <c r="E893" s="301"/>
      <c r="F893" s="301"/>
      <c r="G893" s="301"/>
      <c r="H893" s="301"/>
      <c r="I893" s="301"/>
      <c r="J893" s="301"/>
      <c r="K893" s="301"/>
      <c r="L893" s="301"/>
      <c r="M893" s="301"/>
      <c r="N893" s="301"/>
      <c r="O893" s="301"/>
      <c r="P893" s="301"/>
      <c r="Q893" s="301"/>
      <c r="R893" s="301"/>
      <c r="S893" s="301"/>
      <c r="T893" s="301"/>
      <c r="U893" s="301"/>
      <c r="V893" s="301"/>
      <c r="W893" s="301"/>
      <c r="X893" s="301"/>
      <c r="Y893" s="301"/>
      <c r="Z893" s="301"/>
    </row>
    <row r="894" spans="1:26" ht="11.25" customHeight="1">
      <c r="A894" s="301"/>
      <c r="B894" s="301"/>
      <c r="C894" s="301"/>
      <c r="D894" s="301"/>
      <c r="E894" s="301"/>
      <c r="F894" s="301"/>
      <c r="G894" s="301"/>
      <c r="H894" s="301"/>
      <c r="I894" s="301"/>
      <c r="J894" s="301"/>
      <c r="K894" s="301"/>
      <c r="L894" s="301"/>
      <c r="M894" s="301"/>
      <c r="N894" s="301"/>
      <c r="O894" s="301"/>
      <c r="P894" s="301"/>
      <c r="Q894" s="301"/>
      <c r="R894" s="301"/>
      <c r="S894" s="301"/>
      <c r="T894" s="301"/>
      <c r="U894" s="301"/>
      <c r="V894" s="301"/>
      <c r="W894" s="301"/>
      <c r="X894" s="301"/>
      <c r="Y894" s="301"/>
      <c r="Z894" s="301"/>
    </row>
    <row r="895" spans="1:26" ht="11.25" customHeight="1">
      <c r="A895" s="301"/>
      <c r="B895" s="301"/>
      <c r="C895" s="301"/>
      <c r="D895" s="301"/>
      <c r="E895" s="301"/>
      <c r="F895" s="301"/>
      <c r="G895" s="301"/>
      <c r="H895" s="301"/>
      <c r="I895" s="301"/>
      <c r="J895" s="301"/>
      <c r="K895" s="301"/>
      <c r="L895" s="301"/>
      <c r="M895" s="301"/>
      <c r="N895" s="301"/>
      <c r="O895" s="301"/>
      <c r="P895" s="301"/>
      <c r="Q895" s="301"/>
      <c r="R895" s="301"/>
      <c r="S895" s="301"/>
      <c r="T895" s="301"/>
      <c r="U895" s="301"/>
      <c r="V895" s="301"/>
      <c r="W895" s="301"/>
      <c r="X895" s="301"/>
      <c r="Y895" s="301"/>
      <c r="Z895" s="301"/>
    </row>
    <row r="896" spans="1:26" ht="11.25" customHeight="1">
      <c r="A896" s="301"/>
      <c r="B896" s="301"/>
      <c r="C896" s="301"/>
      <c r="D896" s="301"/>
      <c r="E896" s="301"/>
      <c r="F896" s="301"/>
      <c r="G896" s="301"/>
      <c r="H896" s="301"/>
      <c r="I896" s="301"/>
      <c r="J896" s="301"/>
      <c r="K896" s="301"/>
      <c r="L896" s="301"/>
      <c r="M896" s="301"/>
      <c r="N896" s="301"/>
      <c r="O896" s="301"/>
      <c r="P896" s="301"/>
      <c r="Q896" s="301"/>
      <c r="R896" s="301"/>
      <c r="S896" s="301"/>
      <c r="T896" s="301"/>
      <c r="U896" s="301"/>
      <c r="V896" s="301"/>
      <c r="W896" s="301"/>
      <c r="X896" s="301"/>
      <c r="Y896" s="301"/>
      <c r="Z896" s="301"/>
    </row>
    <row r="897" spans="1:26" ht="11.25" customHeight="1">
      <c r="A897" s="301"/>
      <c r="B897" s="301"/>
      <c r="C897" s="301"/>
      <c r="D897" s="301"/>
      <c r="E897" s="301"/>
      <c r="F897" s="301"/>
      <c r="G897" s="301"/>
      <c r="H897" s="301"/>
      <c r="I897" s="301"/>
      <c r="J897" s="301"/>
      <c r="K897" s="301"/>
      <c r="L897" s="301"/>
      <c r="M897" s="301"/>
      <c r="N897" s="301"/>
      <c r="O897" s="301"/>
      <c r="P897" s="301"/>
      <c r="Q897" s="301"/>
      <c r="R897" s="301"/>
      <c r="S897" s="301"/>
      <c r="T897" s="301"/>
      <c r="U897" s="301"/>
      <c r="V897" s="301"/>
      <c r="W897" s="301"/>
      <c r="X897" s="301"/>
      <c r="Y897" s="301"/>
      <c r="Z897" s="301"/>
    </row>
    <row r="898" spans="1:26" ht="11.25" customHeight="1">
      <c r="A898" s="301"/>
      <c r="B898" s="301"/>
      <c r="C898" s="301"/>
      <c r="D898" s="301"/>
      <c r="E898" s="301"/>
      <c r="F898" s="301"/>
      <c r="G898" s="301"/>
      <c r="H898" s="301"/>
      <c r="I898" s="301"/>
      <c r="J898" s="301"/>
      <c r="K898" s="301"/>
      <c r="L898" s="301"/>
      <c r="M898" s="301"/>
      <c r="N898" s="301"/>
      <c r="O898" s="301"/>
      <c r="P898" s="301"/>
      <c r="Q898" s="301"/>
      <c r="R898" s="301"/>
      <c r="S898" s="301"/>
      <c r="T898" s="301"/>
      <c r="U898" s="301"/>
      <c r="V898" s="301"/>
      <c r="W898" s="301"/>
      <c r="X898" s="301"/>
      <c r="Y898" s="301"/>
      <c r="Z898" s="301"/>
    </row>
    <row r="899" spans="1:26" ht="11.25" customHeight="1">
      <c r="A899" s="301"/>
      <c r="B899" s="301"/>
      <c r="C899" s="301"/>
      <c r="D899" s="301"/>
      <c r="E899" s="301"/>
      <c r="F899" s="301"/>
      <c r="G899" s="301"/>
      <c r="H899" s="301"/>
      <c r="I899" s="301"/>
      <c r="J899" s="301"/>
      <c r="K899" s="301"/>
      <c r="L899" s="301"/>
      <c r="M899" s="301"/>
      <c r="N899" s="301"/>
      <c r="O899" s="301"/>
      <c r="P899" s="301"/>
      <c r="Q899" s="301"/>
      <c r="R899" s="301"/>
      <c r="S899" s="301"/>
      <c r="T899" s="301"/>
      <c r="U899" s="301"/>
      <c r="V899" s="301"/>
      <c r="W899" s="301"/>
      <c r="X899" s="301"/>
      <c r="Y899" s="301"/>
      <c r="Z899" s="301"/>
    </row>
    <row r="900" spans="1:26" ht="11.25" customHeight="1">
      <c r="A900" s="301"/>
      <c r="B900" s="301"/>
      <c r="C900" s="301"/>
      <c r="D900" s="301"/>
      <c r="E900" s="301"/>
      <c r="F900" s="301"/>
      <c r="G900" s="301"/>
      <c r="H900" s="301"/>
      <c r="I900" s="301"/>
      <c r="J900" s="301"/>
      <c r="K900" s="301"/>
      <c r="L900" s="301"/>
      <c r="M900" s="301"/>
      <c r="N900" s="301"/>
      <c r="O900" s="301"/>
      <c r="P900" s="301"/>
      <c r="Q900" s="301"/>
      <c r="R900" s="301"/>
      <c r="S900" s="301"/>
      <c r="T900" s="301"/>
      <c r="U900" s="301"/>
      <c r="V900" s="301"/>
      <c r="W900" s="301"/>
      <c r="X900" s="301"/>
      <c r="Y900" s="301"/>
      <c r="Z900" s="301"/>
    </row>
    <row r="901" spans="1:26" ht="11.25" customHeight="1">
      <c r="A901" s="301"/>
      <c r="B901" s="301"/>
      <c r="C901" s="301"/>
      <c r="D901" s="301"/>
      <c r="E901" s="301"/>
      <c r="F901" s="301"/>
      <c r="G901" s="301"/>
      <c r="H901" s="301"/>
      <c r="I901" s="301"/>
      <c r="J901" s="301"/>
      <c r="K901" s="301"/>
      <c r="L901" s="301"/>
      <c r="M901" s="301"/>
      <c r="N901" s="301"/>
      <c r="O901" s="301"/>
      <c r="P901" s="301"/>
      <c r="Q901" s="301"/>
      <c r="R901" s="301"/>
      <c r="S901" s="301"/>
      <c r="T901" s="301"/>
      <c r="U901" s="301"/>
      <c r="V901" s="301"/>
      <c r="W901" s="301"/>
      <c r="X901" s="301"/>
      <c r="Y901" s="301"/>
      <c r="Z901" s="301"/>
    </row>
    <row r="902" spans="1:26" ht="11.25" customHeight="1">
      <c r="A902" s="301"/>
      <c r="B902" s="301"/>
      <c r="C902" s="301"/>
      <c r="D902" s="301"/>
      <c r="E902" s="301"/>
      <c r="F902" s="301"/>
      <c r="G902" s="301"/>
      <c r="H902" s="301"/>
      <c r="I902" s="301"/>
      <c r="J902" s="301"/>
      <c r="K902" s="301"/>
      <c r="L902" s="301"/>
      <c r="M902" s="301"/>
      <c r="N902" s="301"/>
      <c r="O902" s="301"/>
      <c r="P902" s="301"/>
      <c r="Q902" s="301"/>
      <c r="R902" s="301"/>
      <c r="S902" s="301"/>
      <c r="T902" s="301"/>
      <c r="U902" s="301"/>
      <c r="V902" s="301"/>
      <c r="W902" s="301"/>
      <c r="X902" s="301"/>
      <c r="Y902" s="301"/>
      <c r="Z902" s="301"/>
    </row>
    <row r="903" spans="1:26" ht="11.25" customHeight="1">
      <c r="A903" s="301"/>
      <c r="B903" s="301"/>
      <c r="C903" s="301"/>
      <c r="D903" s="301"/>
      <c r="E903" s="301"/>
      <c r="F903" s="301"/>
      <c r="G903" s="301"/>
      <c r="H903" s="301"/>
      <c r="I903" s="301"/>
      <c r="J903" s="301"/>
      <c r="K903" s="301"/>
      <c r="L903" s="301"/>
      <c r="M903" s="301"/>
      <c r="N903" s="301"/>
      <c r="O903" s="301"/>
      <c r="P903" s="301"/>
      <c r="Q903" s="301"/>
      <c r="R903" s="301"/>
      <c r="S903" s="301"/>
      <c r="T903" s="301"/>
      <c r="U903" s="301"/>
      <c r="V903" s="301"/>
      <c r="W903" s="301"/>
      <c r="X903" s="301"/>
      <c r="Y903" s="301"/>
      <c r="Z903" s="301"/>
    </row>
    <row r="904" spans="1:26" ht="11.25" customHeight="1">
      <c r="A904" s="301"/>
      <c r="B904" s="301"/>
      <c r="C904" s="301"/>
      <c r="D904" s="301"/>
      <c r="E904" s="301"/>
      <c r="F904" s="301"/>
      <c r="G904" s="301"/>
      <c r="H904" s="301"/>
      <c r="I904" s="301"/>
      <c r="J904" s="301"/>
      <c r="K904" s="301"/>
      <c r="L904" s="301"/>
      <c r="M904" s="301"/>
      <c r="N904" s="301"/>
      <c r="O904" s="301"/>
      <c r="P904" s="301"/>
      <c r="Q904" s="301"/>
      <c r="R904" s="301"/>
      <c r="S904" s="301"/>
      <c r="T904" s="301"/>
      <c r="U904" s="301"/>
      <c r="V904" s="301"/>
      <c r="W904" s="301"/>
      <c r="X904" s="301"/>
      <c r="Y904" s="301"/>
      <c r="Z904" s="301"/>
    </row>
    <row r="905" spans="1:26" ht="11.25" customHeight="1">
      <c r="A905" s="301"/>
      <c r="B905" s="301"/>
      <c r="C905" s="301"/>
      <c r="D905" s="301"/>
      <c r="E905" s="301"/>
      <c r="F905" s="301"/>
      <c r="G905" s="301"/>
      <c r="H905" s="301"/>
      <c r="I905" s="301"/>
      <c r="J905" s="301"/>
      <c r="K905" s="301"/>
      <c r="L905" s="301"/>
      <c r="M905" s="301"/>
      <c r="N905" s="301"/>
      <c r="O905" s="301"/>
      <c r="P905" s="301"/>
      <c r="Q905" s="301"/>
      <c r="R905" s="301"/>
      <c r="S905" s="301"/>
      <c r="T905" s="301"/>
      <c r="U905" s="301"/>
      <c r="V905" s="301"/>
      <c r="W905" s="301"/>
      <c r="X905" s="301"/>
      <c r="Y905" s="301"/>
      <c r="Z905" s="301"/>
    </row>
    <row r="906" spans="1:26" ht="11.25" customHeight="1">
      <c r="A906" s="301"/>
      <c r="B906" s="301"/>
      <c r="C906" s="301"/>
      <c r="D906" s="301"/>
      <c r="E906" s="301"/>
      <c r="F906" s="301"/>
      <c r="G906" s="301"/>
      <c r="H906" s="301"/>
      <c r="I906" s="301"/>
      <c r="J906" s="301"/>
      <c r="K906" s="301"/>
      <c r="L906" s="301"/>
      <c r="M906" s="301"/>
      <c r="N906" s="301"/>
      <c r="O906" s="301"/>
      <c r="P906" s="301"/>
      <c r="Q906" s="301"/>
      <c r="R906" s="301"/>
      <c r="S906" s="301"/>
      <c r="T906" s="301"/>
      <c r="U906" s="301"/>
      <c r="V906" s="301"/>
      <c r="W906" s="301"/>
      <c r="X906" s="301"/>
      <c r="Y906" s="301"/>
      <c r="Z906" s="301"/>
    </row>
    <row r="907" spans="1:26" ht="11.25" customHeight="1">
      <c r="A907" s="301"/>
      <c r="B907" s="301"/>
      <c r="C907" s="301"/>
      <c r="D907" s="301"/>
      <c r="E907" s="301"/>
      <c r="F907" s="301"/>
      <c r="G907" s="301"/>
      <c r="H907" s="301"/>
      <c r="I907" s="301"/>
      <c r="J907" s="301"/>
      <c r="K907" s="301"/>
      <c r="L907" s="301"/>
      <c r="M907" s="301"/>
      <c r="N907" s="301"/>
      <c r="O907" s="301"/>
      <c r="P907" s="301"/>
      <c r="Q907" s="301"/>
      <c r="R907" s="301"/>
      <c r="S907" s="301"/>
      <c r="T907" s="301"/>
      <c r="U907" s="301"/>
      <c r="V907" s="301"/>
      <c r="W907" s="301"/>
      <c r="X907" s="301"/>
      <c r="Y907" s="301"/>
      <c r="Z907" s="301"/>
    </row>
    <row r="908" spans="1:26" ht="11.25" customHeight="1">
      <c r="A908" s="301"/>
      <c r="B908" s="301"/>
      <c r="C908" s="301"/>
      <c r="D908" s="301"/>
      <c r="E908" s="301"/>
      <c r="F908" s="301"/>
      <c r="G908" s="301"/>
      <c r="H908" s="301"/>
      <c r="I908" s="301"/>
      <c r="J908" s="301"/>
      <c r="K908" s="301"/>
      <c r="L908" s="301"/>
      <c r="M908" s="301"/>
      <c r="N908" s="301"/>
      <c r="O908" s="301"/>
      <c r="P908" s="301"/>
      <c r="Q908" s="301"/>
      <c r="R908" s="301"/>
      <c r="S908" s="301"/>
      <c r="T908" s="301"/>
      <c r="U908" s="301"/>
      <c r="V908" s="301"/>
      <c r="W908" s="301"/>
      <c r="X908" s="301"/>
      <c r="Y908" s="301"/>
      <c r="Z908" s="301"/>
    </row>
    <row r="909" spans="1:26" ht="11.25" customHeight="1">
      <c r="A909" s="301"/>
      <c r="B909" s="301"/>
      <c r="C909" s="301"/>
      <c r="D909" s="301"/>
      <c r="E909" s="301"/>
      <c r="F909" s="301"/>
      <c r="G909" s="301"/>
      <c r="H909" s="301"/>
      <c r="I909" s="301"/>
      <c r="J909" s="301"/>
      <c r="K909" s="301"/>
      <c r="L909" s="301"/>
      <c r="M909" s="301"/>
      <c r="N909" s="301"/>
      <c r="O909" s="301"/>
      <c r="P909" s="301"/>
      <c r="Q909" s="301"/>
      <c r="R909" s="301"/>
      <c r="S909" s="301"/>
      <c r="T909" s="301"/>
      <c r="U909" s="301"/>
      <c r="V909" s="301"/>
      <c r="W909" s="301"/>
      <c r="X909" s="301"/>
      <c r="Y909" s="301"/>
      <c r="Z909" s="301"/>
    </row>
    <row r="910" spans="1:26" ht="11.25" customHeight="1">
      <c r="A910" s="301"/>
      <c r="B910" s="301"/>
      <c r="C910" s="301"/>
      <c r="D910" s="301"/>
      <c r="E910" s="301"/>
      <c r="F910" s="301"/>
      <c r="G910" s="301"/>
      <c r="H910" s="301"/>
      <c r="I910" s="301"/>
      <c r="J910" s="301"/>
      <c r="K910" s="301"/>
      <c r="L910" s="301"/>
      <c r="M910" s="301"/>
      <c r="N910" s="301"/>
      <c r="O910" s="301"/>
      <c r="P910" s="301"/>
      <c r="Q910" s="301"/>
      <c r="R910" s="301"/>
      <c r="S910" s="301"/>
      <c r="T910" s="301"/>
      <c r="U910" s="301"/>
      <c r="V910" s="301"/>
      <c r="W910" s="301"/>
      <c r="X910" s="301"/>
      <c r="Y910" s="301"/>
      <c r="Z910" s="301"/>
    </row>
    <row r="911" spans="1:26" ht="11.25" customHeight="1">
      <c r="A911" s="301"/>
      <c r="B911" s="301"/>
      <c r="C911" s="301"/>
      <c r="D911" s="301"/>
      <c r="E911" s="301"/>
      <c r="F911" s="301"/>
      <c r="G911" s="301"/>
      <c r="H911" s="301"/>
      <c r="I911" s="301"/>
      <c r="J911" s="301"/>
      <c r="K911" s="301"/>
      <c r="L911" s="301"/>
      <c r="M911" s="301"/>
      <c r="N911" s="301"/>
      <c r="O911" s="301"/>
      <c r="P911" s="301"/>
      <c r="Q911" s="301"/>
      <c r="R911" s="301"/>
      <c r="S911" s="301"/>
      <c r="T911" s="301"/>
      <c r="U911" s="301"/>
      <c r="V911" s="301"/>
      <c r="W911" s="301"/>
      <c r="X911" s="301"/>
      <c r="Y911" s="301"/>
      <c r="Z911" s="301"/>
    </row>
    <row r="912" spans="1:26" ht="11.25" customHeight="1">
      <c r="A912" s="301"/>
      <c r="B912" s="301"/>
      <c r="C912" s="301"/>
      <c r="D912" s="301"/>
      <c r="E912" s="301"/>
      <c r="F912" s="301"/>
      <c r="G912" s="301"/>
      <c r="H912" s="301"/>
      <c r="I912" s="301"/>
      <c r="J912" s="301"/>
      <c r="K912" s="301"/>
      <c r="L912" s="301"/>
      <c r="M912" s="301"/>
      <c r="N912" s="301"/>
      <c r="O912" s="301"/>
      <c r="P912" s="301"/>
      <c r="Q912" s="301"/>
      <c r="R912" s="301"/>
      <c r="S912" s="301"/>
      <c r="T912" s="301"/>
      <c r="U912" s="301"/>
      <c r="V912" s="301"/>
      <c r="W912" s="301"/>
      <c r="X912" s="301"/>
      <c r="Y912" s="301"/>
      <c r="Z912" s="301"/>
    </row>
    <row r="913" spans="1:26" ht="11.25" customHeight="1">
      <c r="A913" s="301"/>
      <c r="B913" s="301"/>
      <c r="C913" s="301"/>
      <c r="D913" s="301"/>
      <c r="E913" s="301"/>
      <c r="F913" s="301"/>
      <c r="G913" s="301"/>
      <c r="H913" s="301"/>
      <c r="I913" s="301"/>
      <c r="J913" s="301"/>
      <c r="K913" s="301"/>
      <c r="L913" s="301"/>
      <c r="M913" s="301"/>
      <c r="N913" s="301"/>
      <c r="O913" s="301"/>
      <c r="P913" s="301"/>
      <c r="Q913" s="301"/>
      <c r="R913" s="301"/>
      <c r="S913" s="301"/>
      <c r="T913" s="301"/>
      <c r="U913" s="301"/>
      <c r="V913" s="301"/>
      <c r="W913" s="301"/>
      <c r="X913" s="301"/>
      <c r="Y913" s="301"/>
      <c r="Z913" s="301"/>
    </row>
    <row r="914" spans="1:26" ht="11.25" customHeight="1">
      <c r="A914" s="301"/>
      <c r="B914" s="301"/>
      <c r="C914" s="301"/>
      <c r="D914" s="301"/>
      <c r="E914" s="301"/>
      <c r="F914" s="301"/>
      <c r="G914" s="301"/>
      <c r="H914" s="301"/>
      <c r="I914" s="301"/>
      <c r="J914" s="301"/>
      <c r="K914" s="301"/>
      <c r="L914" s="301"/>
      <c r="M914" s="301"/>
      <c r="N914" s="301"/>
      <c r="O914" s="301"/>
      <c r="P914" s="301"/>
      <c r="Q914" s="301"/>
      <c r="R914" s="301"/>
      <c r="S914" s="301"/>
      <c r="T914" s="301"/>
      <c r="U914" s="301"/>
      <c r="V914" s="301"/>
      <c r="W914" s="301"/>
      <c r="X914" s="301"/>
      <c r="Y914" s="301"/>
      <c r="Z914" s="301"/>
    </row>
    <row r="915" spans="1:26" ht="11.25" customHeight="1">
      <c r="A915" s="301"/>
      <c r="B915" s="301"/>
      <c r="C915" s="301"/>
      <c r="D915" s="301"/>
      <c r="E915" s="301"/>
      <c r="F915" s="301"/>
      <c r="G915" s="301"/>
      <c r="H915" s="301"/>
      <c r="I915" s="301"/>
      <c r="J915" s="301"/>
      <c r="K915" s="301"/>
      <c r="L915" s="301"/>
      <c r="M915" s="301"/>
      <c r="N915" s="301"/>
      <c r="O915" s="301"/>
      <c r="P915" s="301"/>
      <c r="Q915" s="301"/>
      <c r="R915" s="301"/>
      <c r="S915" s="301"/>
      <c r="T915" s="301"/>
      <c r="U915" s="301"/>
      <c r="V915" s="301"/>
      <c r="W915" s="301"/>
      <c r="X915" s="301"/>
      <c r="Y915" s="301"/>
      <c r="Z915" s="301"/>
    </row>
    <row r="916" spans="1:26" ht="11.25" customHeight="1">
      <c r="A916" s="301"/>
      <c r="B916" s="301"/>
      <c r="C916" s="301"/>
      <c r="D916" s="301"/>
      <c r="E916" s="301"/>
      <c r="F916" s="301"/>
      <c r="G916" s="301"/>
      <c r="H916" s="301"/>
      <c r="I916" s="301"/>
      <c r="J916" s="301"/>
      <c r="K916" s="301"/>
      <c r="L916" s="301"/>
      <c r="M916" s="301"/>
      <c r="N916" s="301"/>
      <c r="O916" s="301"/>
      <c r="P916" s="301"/>
      <c r="Q916" s="301"/>
      <c r="R916" s="301"/>
      <c r="S916" s="301"/>
      <c r="T916" s="301"/>
      <c r="U916" s="301"/>
      <c r="V916" s="301"/>
      <c r="W916" s="301"/>
      <c r="X916" s="301"/>
      <c r="Y916" s="301"/>
      <c r="Z916" s="301"/>
    </row>
    <row r="917" spans="1:26" ht="11.25" customHeight="1">
      <c r="A917" s="301"/>
      <c r="B917" s="301"/>
      <c r="C917" s="301"/>
      <c r="D917" s="301"/>
      <c r="E917" s="301"/>
      <c r="F917" s="301"/>
      <c r="G917" s="301"/>
      <c r="H917" s="301"/>
      <c r="I917" s="301"/>
      <c r="J917" s="301"/>
      <c r="K917" s="301"/>
      <c r="L917" s="301"/>
      <c r="M917" s="301"/>
      <c r="N917" s="301"/>
      <c r="O917" s="301"/>
      <c r="P917" s="301"/>
      <c r="Q917" s="301"/>
      <c r="R917" s="301"/>
      <c r="S917" s="301"/>
      <c r="T917" s="301"/>
      <c r="U917" s="301"/>
      <c r="V917" s="301"/>
      <c r="W917" s="301"/>
      <c r="X917" s="301"/>
      <c r="Y917" s="301"/>
      <c r="Z917" s="301"/>
    </row>
    <row r="918" spans="1:26" ht="11.25" customHeight="1">
      <c r="A918" s="301"/>
      <c r="B918" s="301"/>
      <c r="C918" s="301"/>
      <c r="D918" s="301"/>
      <c r="E918" s="301"/>
      <c r="F918" s="301"/>
      <c r="G918" s="301"/>
      <c r="H918" s="301"/>
      <c r="I918" s="301"/>
      <c r="J918" s="301"/>
      <c r="K918" s="301"/>
      <c r="L918" s="301"/>
      <c r="M918" s="301"/>
      <c r="N918" s="301"/>
      <c r="O918" s="301"/>
      <c r="P918" s="301"/>
      <c r="Q918" s="301"/>
      <c r="R918" s="301"/>
      <c r="S918" s="301"/>
      <c r="T918" s="301"/>
      <c r="U918" s="301"/>
      <c r="V918" s="301"/>
      <c r="W918" s="301"/>
      <c r="X918" s="301"/>
      <c r="Y918" s="301"/>
      <c r="Z918" s="301"/>
    </row>
    <row r="919" spans="1:26" ht="11.25" customHeight="1">
      <c r="A919" s="301"/>
      <c r="B919" s="301"/>
      <c r="C919" s="301"/>
      <c r="D919" s="301"/>
      <c r="E919" s="301"/>
      <c r="F919" s="301"/>
      <c r="G919" s="301"/>
      <c r="H919" s="301"/>
      <c r="I919" s="301"/>
      <c r="J919" s="301"/>
      <c r="K919" s="301"/>
      <c r="L919" s="301"/>
      <c r="M919" s="301"/>
      <c r="N919" s="301"/>
      <c r="O919" s="301"/>
      <c r="P919" s="301"/>
      <c r="Q919" s="301"/>
      <c r="R919" s="301"/>
      <c r="S919" s="301"/>
      <c r="T919" s="301"/>
      <c r="U919" s="301"/>
      <c r="V919" s="301"/>
      <c r="W919" s="301"/>
      <c r="X919" s="301"/>
      <c r="Y919" s="301"/>
      <c r="Z919" s="301"/>
    </row>
    <row r="920" spans="1:26" ht="11.25" customHeight="1">
      <c r="A920" s="301"/>
      <c r="B920" s="301"/>
      <c r="C920" s="301"/>
      <c r="D920" s="301"/>
      <c r="E920" s="301"/>
      <c r="F920" s="301"/>
      <c r="G920" s="301"/>
      <c r="H920" s="301"/>
      <c r="I920" s="301"/>
      <c r="J920" s="301"/>
      <c r="K920" s="301"/>
      <c r="L920" s="301"/>
      <c r="M920" s="301"/>
      <c r="N920" s="301"/>
      <c r="O920" s="301"/>
      <c r="P920" s="301"/>
      <c r="Q920" s="301"/>
      <c r="R920" s="301"/>
      <c r="S920" s="301"/>
      <c r="T920" s="301"/>
      <c r="U920" s="301"/>
      <c r="V920" s="301"/>
      <c r="W920" s="301"/>
      <c r="X920" s="301"/>
      <c r="Y920" s="301"/>
      <c r="Z920" s="301"/>
    </row>
    <row r="921" spans="1:26" ht="11.25" customHeight="1">
      <c r="A921" s="301"/>
      <c r="B921" s="301"/>
      <c r="C921" s="301"/>
      <c r="D921" s="301"/>
      <c r="E921" s="301"/>
      <c r="F921" s="301"/>
      <c r="G921" s="301"/>
      <c r="H921" s="301"/>
      <c r="I921" s="301"/>
      <c r="J921" s="301"/>
      <c r="K921" s="301"/>
      <c r="L921" s="301"/>
      <c r="M921" s="301"/>
      <c r="N921" s="301"/>
      <c r="O921" s="301"/>
      <c r="P921" s="301"/>
      <c r="Q921" s="301"/>
      <c r="R921" s="301"/>
      <c r="S921" s="301"/>
      <c r="T921" s="301"/>
      <c r="U921" s="301"/>
      <c r="V921" s="301"/>
      <c r="W921" s="301"/>
      <c r="X921" s="301"/>
      <c r="Y921" s="301"/>
      <c r="Z921" s="301"/>
    </row>
    <row r="922" spans="1:26" ht="11.25" customHeight="1">
      <c r="A922" s="301"/>
      <c r="B922" s="301"/>
      <c r="C922" s="301"/>
      <c r="D922" s="301"/>
      <c r="E922" s="301"/>
      <c r="F922" s="301"/>
      <c r="G922" s="301"/>
      <c r="H922" s="301"/>
      <c r="I922" s="301"/>
      <c r="J922" s="301"/>
      <c r="K922" s="301"/>
      <c r="L922" s="301"/>
      <c r="M922" s="301"/>
      <c r="N922" s="301"/>
      <c r="O922" s="301"/>
      <c r="P922" s="301"/>
      <c r="Q922" s="301"/>
      <c r="R922" s="301"/>
      <c r="S922" s="301"/>
      <c r="T922" s="301"/>
      <c r="U922" s="301"/>
      <c r="V922" s="301"/>
      <c r="W922" s="301"/>
      <c r="X922" s="301"/>
      <c r="Y922" s="301"/>
      <c r="Z922" s="301"/>
    </row>
    <row r="923" spans="1:26" ht="11.25" customHeight="1">
      <c r="A923" s="301"/>
      <c r="B923" s="301"/>
      <c r="C923" s="301"/>
      <c r="D923" s="301"/>
      <c r="E923" s="301"/>
      <c r="F923" s="301"/>
      <c r="G923" s="301"/>
      <c r="H923" s="301"/>
      <c r="I923" s="301"/>
      <c r="J923" s="301"/>
      <c r="K923" s="301"/>
      <c r="L923" s="301"/>
      <c r="M923" s="301"/>
      <c r="N923" s="301"/>
      <c r="O923" s="301"/>
      <c r="P923" s="301"/>
      <c r="Q923" s="301"/>
      <c r="R923" s="301"/>
      <c r="S923" s="301"/>
      <c r="T923" s="301"/>
      <c r="U923" s="301"/>
      <c r="V923" s="301"/>
      <c r="W923" s="301"/>
      <c r="X923" s="301"/>
      <c r="Y923" s="301"/>
      <c r="Z923" s="301"/>
    </row>
    <row r="924" spans="1:26" ht="11.25" customHeight="1">
      <c r="A924" s="301"/>
      <c r="B924" s="301"/>
      <c r="C924" s="301"/>
      <c r="D924" s="301"/>
      <c r="E924" s="301"/>
      <c r="F924" s="301"/>
      <c r="G924" s="301"/>
      <c r="H924" s="301"/>
      <c r="I924" s="301"/>
      <c r="J924" s="301"/>
      <c r="K924" s="301"/>
      <c r="L924" s="301"/>
      <c r="M924" s="301"/>
      <c r="N924" s="301"/>
      <c r="O924" s="301"/>
      <c r="P924" s="301"/>
      <c r="Q924" s="301"/>
      <c r="R924" s="301"/>
      <c r="S924" s="301"/>
      <c r="T924" s="301"/>
      <c r="U924" s="301"/>
      <c r="V924" s="301"/>
      <c r="W924" s="301"/>
      <c r="X924" s="301"/>
      <c r="Y924" s="301"/>
      <c r="Z924" s="301"/>
    </row>
    <row r="925" spans="1:26" ht="11.25" customHeight="1">
      <c r="A925" s="301"/>
      <c r="B925" s="301"/>
      <c r="C925" s="301"/>
      <c r="D925" s="301"/>
      <c r="E925" s="301"/>
      <c r="F925" s="301"/>
      <c r="G925" s="301"/>
      <c r="H925" s="301"/>
      <c r="I925" s="301"/>
      <c r="J925" s="301"/>
      <c r="K925" s="301"/>
      <c r="L925" s="301"/>
      <c r="M925" s="301"/>
      <c r="N925" s="301"/>
      <c r="O925" s="301"/>
      <c r="P925" s="301"/>
      <c r="Q925" s="301"/>
      <c r="R925" s="301"/>
      <c r="S925" s="301"/>
      <c r="T925" s="301"/>
      <c r="U925" s="301"/>
      <c r="V925" s="301"/>
      <c r="W925" s="301"/>
      <c r="X925" s="301"/>
      <c r="Y925" s="301"/>
      <c r="Z925" s="301"/>
    </row>
    <row r="926" spans="1:26" ht="11.25" customHeight="1">
      <c r="A926" s="301"/>
      <c r="B926" s="301"/>
      <c r="C926" s="301"/>
      <c r="D926" s="301"/>
      <c r="E926" s="301"/>
      <c r="F926" s="301"/>
      <c r="G926" s="301"/>
      <c r="H926" s="301"/>
      <c r="I926" s="301"/>
      <c r="J926" s="301"/>
      <c r="K926" s="301"/>
      <c r="L926" s="301"/>
      <c r="M926" s="301"/>
      <c r="N926" s="301"/>
      <c r="O926" s="301"/>
      <c r="P926" s="301"/>
      <c r="Q926" s="301"/>
      <c r="R926" s="301"/>
      <c r="S926" s="301"/>
      <c r="T926" s="301"/>
      <c r="U926" s="301"/>
      <c r="V926" s="301"/>
      <c r="W926" s="301"/>
      <c r="X926" s="301"/>
      <c r="Y926" s="301"/>
      <c r="Z926" s="301"/>
    </row>
    <row r="927" spans="1:26" ht="11.25" customHeight="1">
      <c r="A927" s="301"/>
      <c r="B927" s="301"/>
      <c r="C927" s="301"/>
      <c r="D927" s="301"/>
      <c r="E927" s="301"/>
      <c r="F927" s="301"/>
      <c r="G927" s="301"/>
      <c r="H927" s="301"/>
      <c r="I927" s="301"/>
      <c r="J927" s="301"/>
      <c r="K927" s="301"/>
      <c r="L927" s="301"/>
      <c r="M927" s="301"/>
      <c r="N927" s="301"/>
      <c r="O927" s="301"/>
      <c r="P927" s="301"/>
      <c r="Q927" s="301"/>
      <c r="R927" s="301"/>
      <c r="S927" s="301"/>
      <c r="T927" s="301"/>
      <c r="U927" s="301"/>
      <c r="V927" s="301"/>
      <c r="W927" s="301"/>
      <c r="X927" s="301"/>
      <c r="Y927" s="301"/>
      <c r="Z927" s="301"/>
    </row>
    <row r="928" spans="1:26" ht="11.25" customHeight="1">
      <c r="A928" s="301"/>
      <c r="B928" s="301"/>
      <c r="C928" s="301"/>
      <c r="D928" s="301"/>
      <c r="E928" s="301"/>
      <c r="F928" s="301"/>
      <c r="G928" s="301"/>
      <c r="H928" s="301"/>
      <c r="I928" s="301"/>
      <c r="J928" s="301"/>
      <c r="K928" s="301"/>
      <c r="L928" s="301"/>
      <c r="M928" s="301"/>
      <c r="N928" s="301"/>
      <c r="O928" s="301"/>
      <c r="P928" s="301"/>
      <c r="Q928" s="301"/>
      <c r="R928" s="301"/>
      <c r="S928" s="301"/>
      <c r="T928" s="301"/>
      <c r="U928" s="301"/>
      <c r="V928" s="301"/>
      <c r="W928" s="301"/>
      <c r="X928" s="301"/>
      <c r="Y928" s="301"/>
      <c r="Z928" s="301"/>
    </row>
    <row r="929" spans="1:26" ht="11.25" customHeight="1">
      <c r="A929" s="301"/>
      <c r="B929" s="301"/>
      <c r="C929" s="301"/>
      <c r="D929" s="301"/>
      <c r="E929" s="301"/>
      <c r="F929" s="301"/>
      <c r="G929" s="301"/>
      <c r="H929" s="301"/>
      <c r="I929" s="301"/>
      <c r="J929" s="301"/>
      <c r="K929" s="301"/>
      <c r="L929" s="301"/>
      <c r="M929" s="301"/>
      <c r="N929" s="301"/>
      <c r="O929" s="301"/>
      <c r="P929" s="301"/>
      <c r="Q929" s="301"/>
      <c r="R929" s="301"/>
      <c r="S929" s="301"/>
      <c r="T929" s="301"/>
      <c r="U929" s="301"/>
      <c r="V929" s="301"/>
      <c r="W929" s="301"/>
      <c r="X929" s="301"/>
      <c r="Y929" s="301"/>
      <c r="Z929" s="301"/>
    </row>
    <row r="930" spans="1:26" ht="11.25" customHeight="1">
      <c r="A930" s="301"/>
      <c r="B930" s="301"/>
      <c r="C930" s="301"/>
      <c r="D930" s="301"/>
      <c r="E930" s="301"/>
      <c r="F930" s="301"/>
      <c r="G930" s="301"/>
      <c r="H930" s="301"/>
      <c r="I930" s="301"/>
      <c r="J930" s="301"/>
      <c r="K930" s="301"/>
      <c r="L930" s="301"/>
      <c r="M930" s="301"/>
      <c r="N930" s="301"/>
      <c r="O930" s="301"/>
      <c r="P930" s="301"/>
      <c r="Q930" s="301"/>
      <c r="R930" s="301"/>
      <c r="S930" s="301"/>
      <c r="T930" s="301"/>
      <c r="U930" s="301"/>
      <c r="V930" s="301"/>
      <c r="W930" s="301"/>
      <c r="X930" s="301"/>
      <c r="Y930" s="301"/>
      <c r="Z930" s="301"/>
    </row>
    <row r="931" spans="1:26" ht="11.25" customHeight="1">
      <c r="A931" s="301"/>
      <c r="B931" s="301"/>
      <c r="C931" s="301"/>
      <c r="D931" s="301"/>
      <c r="E931" s="301"/>
      <c r="F931" s="301"/>
      <c r="G931" s="301"/>
      <c r="H931" s="301"/>
      <c r="I931" s="301"/>
      <c r="J931" s="301"/>
      <c r="K931" s="301"/>
      <c r="L931" s="301"/>
      <c r="M931" s="301"/>
      <c r="N931" s="301"/>
      <c r="O931" s="301"/>
      <c r="P931" s="301"/>
      <c r="Q931" s="301"/>
      <c r="R931" s="301"/>
      <c r="S931" s="301"/>
      <c r="T931" s="301"/>
      <c r="U931" s="301"/>
      <c r="V931" s="301"/>
      <c r="W931" s="301"/>
      <c r="X931" s="301"/>
      <c r="Y931" s="301"/>
      <c r="Z931" s="301"/>
    </row>
    <row r="932" spans="1:26" ht="11.25" customHeight="1">
      <c r="A932" s="301"/>
      <c r="B932" s="301"/>
      <c r="C932" s="301"/>
      <c r="D932" s="301"/>
      <c r="E932" s="301"/>
      <c r="F932" s="301"/>
      <c r="G932" s="301"/>
      <c r="H932" s="301"/>
      <c r="I932" s="301"/>
      <c r="J932" s="301"/>
      <c r="K932" s="301"/>
      <c r="L932" s="301"/>
      <c r="M932" s="301"/>
      <c r="N932" s="301"/>
      <c r="O932" s="301"/>
      <c r="P932" s="301"/>
      <c r="Q932" s="301"/>
      <c r="R932" s="301"/>
      <c r="S932" s="301"/>
      <c r="T932" s="301"/>
      <c r="U932" s="301"/>
      <c r="V932" s="301"/>
      <c r="W932" s="301"/>
      <c r="X932" s="301"/>
      <c r="Y932" s="301"/>
      <c r="Z932" s="301"/>
    </row>
    <row r="933" spans="1:26" ht="11.25" customHeight="1">
      <c r="A933" s="301"/>
      <c r="B933" s="301"/>
      <c r="C933" s="301"/>
      <c r="D933" s="301"/>
      <c r="E933" s="301"/>
      <c r="F933" s="301"/>
      <c r="G933" s="301"/>
      <c r="H933" s="301"/>
      <c r="I933" s="301"/>
      <c r="J933" s="301"/>
      <c r="K933" s="301"/>
      <c r="L933" s="301"/>
      <c r="M933" s="301"/>
      <c r="N933" s="301"/>
      <c r="O933" s="301"/>
      <c r="P933" s="301"/>
      <c r="Q933" s="301"/>
      <c r="R933" s="301"/>
      <c r="S933" s="301"/>
      <c r="T933" s="301"/>
      <c r="U933" s="301"/>
      <c r="V933" s="301"/>
      <c r="W933" s="301"/>
      <c r="X933" s="301"/>
      <c r="Y933" s="301"/>
      <c r="Z933" s="301"/>
    </row>
    <row r="934" spans="1:26" ht="11.25" customHeight="1">
      <c r="A934" s="301"/>
      <c r="B934" s="301"/>
      <c r="C934" s="301"/>
      <c r="D934" s="301"/>
      <c r="E934" s="301"/>
      <c r="F934" s="301"/>
      <c r="G934" s="301"/>
      <c r="H934" s="301"/>
      <c r="I934" s="301"/>
      <c r="J934" s="301"/>
      <c r="K934" s="301"/>
      <c r="L934" s="301"/>
      <c r="M934" s="301"/>
      <c r="N934" s="301"/>
      <c r="O934" s="301"/>
      <c r="P934" s="301"/>
      <c r="Q934" s="301"/>
      <c r="R934" s="301"/>
      <c r="S934" s="301"/>
      <c r="T934" s="301"/>
      <c r="U934" s="301"/>
      <c r="V934" s="301"/>
      <c r="W934" s="301"/>
      <c r="X934" s="301"/>
      <c r="Y934" s="301"/>
      <c r="Z934" s="301"/>
    </row>
    <row r="935" spans="1:26" ht="11.25" customHeight="1">
      <c r="A935" s="301"/>
      <c r="B935" s="301"/>
      <c r="C935" s="301"/>
      <c r="D935" s="301"/>
      <c r="E935" s="301"/>
      <c r="F935" s="301"/>
      <c r="G935" s="301"/>
      <c r="H935" s="301"/>
      <c r="I935" s="301"/>
      <c r="J935" s="301"/>
      <c r="K935" s="301"/>
      <c r="L935" s="301"/>
      <c r="M935" s="301"/>
      <c r="N935" s="301"/>
      <c r="O935" s="301"/>
      <c r="P935" s="301"/>
      <c r="Q935" s="301"/>
      <c r="R935" s="301"/>
      <c r="S935" s="301"/>
      <c r="T935" s="301"/>
      <c r="U935" s="301"/>
      <c r="V935" s="301"/>
      <c r="W935" s="301"/>
      <c r="X935" s="301"/>
      <c r="Y935" s="301"/>
      <c r="Z935" s="301"/>
    </row>
    <row r="936" spans="1:26" ht="11.25" customHeight="1">
      <c r="A936" s="301"/>
      <c r="B936" s="301"/>
      <c r="C936" s="301"/>
      <c r="D936" s="301"/>
      <c r="E936" s="301"/>
      <c r="F936" s="301"/>
      <c r="G936" s="301"/>
      <c r="H936" s="301"/>
      <c r="I936" s="301"/>
      <c r="J936" s="301"/>
      <c r="K936" s="301"/>
      <c r="L936" s="301"/>
      <c r="M936" s="301"/>
      <c r="N936" s="301"/>
      <c r="O936" s="301"/>
      <c r="P936" s="301"/>
      <c r="Q936" s="301"/>
      <c r="R936" s="301"/>
      <c r="S936" s="301"/>
      <c r="T936" s="301"/>
      <c r="U936" s="301"/>
      <c r="V936" s="301"/>
      <c r="W936" s="301"/>
      <c r="X936" s="301"/>
      <c r="Y936" s="301"/>
      <c r="Z936" s="301"/>
    </row>
    <row r="937" spans="1:26" ht="11.25" customHeight="1">
      <c r="A937" s="301"/>
      <c r="B937" s="301"/>
      <c r="C937" s="301"/>
      <c r="D937" s="301"/>
      <c r="E937" s="301"/>
      <c r="F937" s="301"/>
      <c r="G937" s="301"/>
      <c r="H937" s="301"/>
      <c r="I937" s="301"/>
      <c r="J937" s="301"/>
      <c r="K937" s="301"/>
      <c r="L937" s="301"/>
      <c r="M937" s="301"/>
      <c r="N937" s="301"/>
      <c r="O937" s="301"/>
      <c r="P937" s="301"/>
      <c r="Q937" s="301"/>
      <c r="R937" s="301"/>
      <c r="S937" s="301"/>
      <c r="T937" s="301"/>
      <c r="U937" s="301"/>
      <c r="V937" s="301"/>
      <c r="W937" s="301"/>
      <c r="X937" s="301"/>
      <c r="Y937" s="301"/>
      <c r="Z937" s="301"/>
    </row>
    <row r="938" spans="1:26" ht="11.25" customHeight="1">
      <c r="A938" s="301"/>
      <c r="B938" s="301"/>
      <c r="C938" s="301"/>
      <c r="D938" s="301"/>
      <c r="E938" s="301"/>
      <c r="F938" s="301"/>
      <c r="G938" s="301"/>
      <c r="H938" s="301"/>
      <c r="I938" s="301"/>
      <c r="J938" s="301"/>
      <c r="K938" s="301"/>
      <c r="L938" s="301"/>
      <c r="M938" s="301"/>
      <c r="N938" s="301"/>
      <c r="O938" s="301"/>
      <c r="P938" s="301"/>
      <c r="Q938" s="301"/>
      <c r="R938" s="301"/>
      <c r="S938" s="301"/>
      <c r="T938" s="301"/>
      <c r="U938" s="301"/>
      <c r="V938" s="301"/>
      <c r="W938" s="301"/>
      <c r="X938" s="301"/>
      <c r="Y938" s="301"/>
      <c r="Z938" s="301"/>
    </row>
    <row r="939" spans="1:26" ht="11.25" customHeight="1">
      <c r="A939" s="301"/>
      <c r="B939" s="301"/>
      <c r="C939" s="301"/>
      <c r="D939" s="301"/>
      <c r="E939" s="301"/>
      <c r="F939" s="301"/>
      <c r="G939" s="301"/>
      <c r="H939" s="301"/>
      <c r="I939" s="301"/>
      <c r="J939" s="301"/>
      <c r="K939" s="301"/>
      <c r="L939" s="301"/>
      <c r="M939" s="301"/>
      <c r="N939" s="301"/>
      <c r="O939" s="301"/>
      <c r="P939" s="301"/>
      <c r="Q939" s="301"/>
      <c r="R939" s="301"/>
      <c r="S939" s="301"/>
      <c r="T939" s="301"/>
      <c r="U939" s="301"/>
      <c r="V939" s="301"/>
      <c r="W939" s="301"/>
      <c r="X939" s="301"/>
      <c r="Y939" s="301"/>
      <c r="Z939" s="301"/>
    </row>
    <row r="940" spans="1:26" ht="11.25" customHeight="1">
      <c r="A940" s="301"/>
      <c r="B940" s="301"/>
      <c r="C940" s="301"/>
      <c r="D940" s="301"/>
      <c r="E940" s="301"/>
      <c r="F940" s="301"/>
      <c r="G940" s="301"/>
      <c r="H940" s="301"/>
      <c r="I940" s="301"/>
      <c r="J940" s="301"/>
      <c r="K940" s="301"/>
      <c r="L940" s="301"/>
      <c r="M940" s="301"/>
      <c r="N940" s="301"/>
      <c r="O940" s="301"/>
      <c r="P940" s="301"/>
      <c r="Q940" s="301"/>
      <c r="R940" s="301"/>
      <c r="S940" s="301"/>
      <c r="T940" s="301"/>
      <c r="U940" s="301"/>
      <c r="V940" s="301"/>
      <c r="W940" s="301"/>
      <c r="X940" s="301"/>
      <c r="Y940" s="301"/>
      <c r="Z940" s="301"/>
    </row>
    <row r="941" spans="1:26" ht="11.25" customHeight="1">
      <c r="A941" s="301"/>
      <c r="B941" s="301"/>
      <c r="C941" s="301"/>
      <c r="D941" s="301"/>
      <c r="E941" s="301"/>
      <c r="F941" s="301"/>
      <c r="G941" s="301"/>
      <c r="H941" s="301"/>
      <c r="I941" s="301"/>
      <c r="J941" s="301"/>
      <c r="K941" s="301"/>
      <c r="L941" s="301"/>
      <c r="M941" s="301"/>
      <c r="N941" s="301"/>
      <c r="O941" s="301"/>
      <c r="P941" s="301"/>
      <c r="Q941" s="301"/>
      <c r="R941" s="301"/>
      <c r="S941" s="301"/>
      <c r="T941" s="301"/>
      <c r="U941" s="301"/>
      <c r="V941" s="301"/>
      <c r="W941" s="301"/>
      <c r="X941" s="301"/>
      <c r="Y941" s="301"/>
      <c r="Z941" s="301"/>
    </row>
    <row r="942" spans="1:26" ht="11.25" customHeight="1">
      <c r="A942" s="301"/>
      <c r="B942" s="301"/>
      <c r="C942" s="301"/>
      <c r="D942" s="301"/>
      <c r="E942" s="301"/>
      <c r="F942" s="301"/>
      <c r="G942" s="301"/>
      <c r="H942" s="301"/>
      <c r="I942" s="301"/>
      <c r="J942" s="301"/>
      <c r="K942" s="301"/>
      <c r="L942" s="301"/>
      <c r="M942" s="301"/>
      <c r="N942" s="301"/>
      <c r="O942" s="301"/>
      <c r="P942" s="301"/>
      <c r="Q942" s="301"/>
      <c r="R942" s="301"/>
      <c r="S942" s="301"/>
      <c r="T942" s="301"/>
      <c r="U942" s="301"/>
      <c r="V942" s="301"/>
      <c r="W942" s="301"/>
      <c r="X942" s="301"/>
      <c r="Y942" s="301"/>
      <c r="Z942" s="301"/>
    </row>
    <row r="943" spans="1:26" ht="11.25" customHeight="1">
      <c r="A943" s="301"/>
      <c r="B943" s="301"/>
      <c r="C943" s="301"/>
      <c r="D943" s="301"/>
      <c r="E943" s="301"/>
      <c r="F943" s="301"/>
      <c r="G943" s="301"/>
      <c r="H943" s="301"/>
      <c r="I943" s="301"/>
      <c r="J943" s="301"/>
      <c r="K943" s="301"/>
      <c r="L943" s="301"/>
      <c r="M943" s="301"/>
      <c r="N943" s="301"/>
      <c r="O943" s="301"/>
      <c r="P943" s="301"/>
      <c r="Q943" s="301"/>
      <c r="R943" s="301"/>
      <c r="S943" s="301"/>
      <c r="T943" s="301"/>
      <c r="U943" s="301"/>
      <c r="V943" s="301"/>
      <c r="W943" s="301"/>
      <c r="X943" s="301"/>
      <c r="Y943" s="301"/>
      <c r="Z943" s="301"/>
    </row>
    <row r="944" spans="1:26" ht="11.25" customHeight="1">
      <c r="A944" s="301"/>
      <c r="B944" s="301"/>
      <c r="C944" s="301"/>
      <c r="D944" s="301"/>
      <c r="E944" s="301"/>
      <c r="F944" s="301"/>
      <c r="G944" s="301"/>
      <c r="H944" s="301"/>
      <c r="I944" s="301"/>
      <c r="J944" s="301"/>
      <c r="K944" s="301"/>
      <c r="L944" s="301"/>
      <c r="M944" s="301"/>
      <c r="N944" s="301"/>
      <c r="O944" s="301"/>
      <c r="P944" s="301"/>
      <c r="Q944" s="301"/>
      <c r="R944" s="301"/>
      <c r="S944" s="301"/>
      <c r="T944" s="301"/>
      <c r="U944" s="301"/>
      <c r="V944" s="301"/>
      <c r="W944" s="301"/>
      <c r="X944" s="301"/>
      <c r="Y944" s="301"/>
      <c r="Z944" s="301"/>
    </row>
    <row r="945" spans="1:26" ht="11.25" customHeight="1">
      <c r="A945" s="301"/>
      <c r="B945" s="301"/>
      <c r="C945" s="301"/>
      <c r="D945" s="301"/>
      <c r="E945" s="301"/>
      <c r="F945" s="301"/>
      <c r="G945" s="301"/>
      <c r="H945" s="301"/>
      <c r="I945" s="301"/>
      <c r="J945" s="301"/>
      <c r="K945" s="301"/>
      <c r="L945" s="301"/>
      <c r="M945" s="301"/>
      <c r="N945" s="301"/>
      <c r="O945" s="301"/>
      <c r="P945" s="301"/>
      <c r="Q945" s="301"/>
      <c r="R945" s="301"/>
      <c r="S945" s="301"/>
      <c r="T945" s="301"/>
      <c r="U945" s="301"/>
      <c r="V945" s="301"/>
      <c r="W945" s="301"/>
      <c r="X945" s="301"/>
      <c r="Y945" s="301"/>
      <c r="Z945" s="301"/>
    </row>
    <row r="946" spans="1:26" ht="11.25" customHeight="1">
      <c r="A946" s="301"/>
      <c r="B946" s="301"/>
      <c r="C946" s="301"/>
      <c r="D946" s="301"/>
      <c r="E946" s="301"/>
      <c r="F946" s="301"/>
      <c r="G946" s="301"/>
      <c r="H946" s="301"/>
      <c r="I946" s="301"/>
      <c r="J946" s="301"/>
      <c r="K946" s="301"/>
      <c r="L946" s="301"/>
      <c r="M946" s="301"/>
      <c r="N946" s="301"/>
      <c r="O946" s="301"/>
      <c r="P946" s="301"/>
      <c r="Q946" s="301"/>
      <c r="R946" s="301"/>
      <c r="S946" s="301"/>
      <c r="T946" s="301"/>
      <c r="U946" s="301"/>
      <c r="V946" s="301"/>
      <c r="W946" s="301"/>
      <c r="X946" s="301"/>
      <c r="Y946" s="301"/>
      <c r="Z946" s="301"/>
    </row>
    <row r="947" spans="1:26" ht="11.25" customHeight="1">
      <c r="A947" s="301"/>
      <c r="B947" s="301"/>
      <c r="C947" s="301"/>
      <c r="D947" s="301"/>
      <c r="E947" s="301"/>
      <c r="F947" s="301"/>
      <c r="G947" s="301"/>
      <c r="H947" s="301"/>
      <c r="I947" s="301"/>
      <c r="J947" s="301"/>
      <c r="K947" s="301"/>
      <c r="L947" s="301"/>
      <c r="M947" s="301"/>
      <c r="N947" s="301"/>
      <c r="O947" s="301"/>
      <c r="P947" s="301"/>
      <c r="Q947" s="301"/>
      <c r="R947" s="301"/>
      <c r="S947" s="301"/>
      <c r="T947" s="301"/>
      <c r="U947" s="301"/>
      <c r="V947" s="301"/>
      <c r="W947" s="301"/>
      <c r="X947" s="301"/>
      <c r="Y947" s="301"/>
      <c r="Z947" s="301"/>
    </row>
    <row r="948" spans="1:26" ht="11.25" customHeight="1">
      <c r="A948" s="301"/>
      <c r="B948" s="301"/>
      <c r="C948" s="301"/>
      <c r="D948" s="301"/>
      <c r="E948" s="301"/>
      <c r="F948" s="301"/>
      <c r="G948" s="301"/>
      <c r="H948" s="301"/>
      <c r="I948" s="301"/>
      <c r="J948" s="301"/>
      <c r="K948" s="301"/>
      <c r="L948" s="301"/>
      <c r="M948" s="301"/>
      <c r="N948" s="301"/>
      <c r="O948" s="301"/>
      <c r="P948" s="301"/>
      <c r="Q948" s="301"/>
      <c r="R948" s="301"/>
      <c r="S948" s="301"/>
      <c r="T948" s="301"/>
      <c r="U948" s="301"/>
      <c r="V948" s="301"/>
      <c r="W948" s="301"/>
      <c r="X948" s="301"/>
      <c r="Y948" s="301"/>
      <c r="Z948" s="301"/>
    </row>
    <row r="949" spans="1:26" ht="11.25" customHeight="1">
      <c r="A949" s="301"/>
      <c r="B949" s="301"/>
      <c r="C949" s="301"/>
      <c r="D949" s="301"/>
      <c r="E949" s="301"/>
      <c r="F949" s="301"/>
      <c r="G949" s="301"/>
      <c r="H949" s="301"/>
      <c r="I949" s="301"/>
      <c r="J949" s="301"/>
      <c r="K949" s="301"/>
      <c r="L949" s="301"/>
      <c r="M949" s="301"/>
      <c r="N949" s="301"/>
      <c r="O949" s="301"/>
      <c r="P949" s="301"/>
      <c r="Q949" s="301"/>
      <c r="R949" s="301"/>
      <c r="S949" s="301"/>
      <c r="T949" s="301"/>
      <c r="U949" s="301"/>
      <c r="V949" s="301"/>
      <c r="W949" s="301"/>
      <c r="X949" s="301"/>
      <c r="Y949" s="301"/>
      <c r="Z949" s="301"/>
    </row>
    <row r="950" spans="1:26" ht="11.25" customHeight="1">
      <c r="A950" s="301"/>
      <c r="B950" s="301"/>
      <c r="C950" s="301"/>
      <c r="D950" s="301"/>
      <c r="E950" s="301"/>
      <c r="F950" s="301"/>
      <c r="G950" s="301"/>
      <c r="H950" s="301"/>
      <c r="I950" s="301"/>
      <c r="J950" s="301"/>
      <c r="K950" s="301"/>
      <c r="L950" s="301"/>
      <c r="M950" s="301"/>
      <c r="N950" s="301"/>
      <c r="O950" s="301"/>
      <c r="P950" s="301"/>
      <c r="Q950" s="301"/>
      <c r="R950" s="301"/>
      <c r="S950" s="301"/>
      <c r="T950" s="301"/>
      <c r="U950" s="301"/>
      <c r="V950" s="301"/>
      <c r="W950" s="301"/>
      <c r="X950" s="301"/>
      <c r="Y950" s="301"/>
      <c r="Z950" s="301"/>
    </row>
    <row r="951" spans="1:26" ht="11.25" customHeight="1">
      <c r="A951" s="301"/>
      <c r="B951" s="301"/>
      <c r="C951" s="301"/>
      <c r="D951" s="301"/>
      <c r="E951" s="301"/>
      <c r="F951" s="301"/>
      <c r="G951" s="301"/>
      <c r="H951" s="301"/>
      <c r="I951" s="301"/>
      <c r="J951" s="301"/>
      <c r="K951" s="301"/>
      <c r="L951" s="301"/>
      <c r="M951" s="301"/>
      <c r="N951" s="301"/>
      <c r="O951" s="301"/>
      <c r="P951" s="301"/>
      <c r="Q951" s="301"/>
      <c r="R951" s="301"/>
      <c r="S951" s="301"/>
      <c r="T951" s="301"/>
      <c r="U951" s="301"/>
      <c r="V951" s="301"/>
      <c r="W951" s="301"/>
      <c r="X951" s="301"/>
      <c r="Y951" s="301"/>
      <c r="Z951" s="301"/>
    </row>
    <row r="952" spans="1:26" ht="11.25" customHeight="1">
      <c r="A952" s="301"/>
      <c r="B952" s="301"/>
      <c r="C952" s="301"/>
      <c r="D952" s="301"/>
      <c r="E952" s="301"/>
      <c r="F952" s="301"/>
      <c r="G952" s="301"/>
      <c r="H952" s="301"/>
      <c r="I952" s="301"/>
      <c r="J952" s="301"/>
      <c r="K952" s="301"/>
      <c r="L952" s="301"/>
      <c r="M952" s="301"/>
      <c r="N952" s="301"/>
      <c r="O952" s="301"/>
      <c r="P952" s="301"/>
      <c r="Q952" s="301"/>
      <c r="R952" s="301"/>
      <c r="S952" s="301"/>
      <c r="T952" s="301"/>
      <c r="U952" s="301"/>
      <c r="V952" s="301"/>
      <c r="W952" s="301"/>
      <c r="X952" s="301"/>
      <c r="Y952" s="301"/>
      <c r="Z952" s="301"/>
    </row>
    <row r="953" spans="1:26" ht="11.25" customHeight="1">
      <c r="A953" s="301"/>
      <c r="B953" s="301"/>
      <c r="C953" s="301"/>
      <c r="D953" s="301"/>
      <c r="E953" s="301"/>
      <c r="F953" s="301"/>
      <c r="G953" s="301"/>
      <c r="H953" s="301"/>
      <c r="I953" s="301"/>
      <c r="J953" s="301"/>
      <c r="K953" s="301"/>
      <c r="L953" s="301"/>
      <c r="M953" s="301"/>
      <c r="N953" s="301"/>
      <c r="O953" s="301"/>
      <c r="P953" s="301"/>
      <c r="Q953" s="301"/>
      <c r="R953" s="301"/>
      <c r="S953" s="301"/>
      <c r="T953" s="301"/>
      <c r="U953" s="301"/>
      <c r="V953" s="301"/>
      <c r="W953" s="301"/>
      <c r="X953" s="301"/>
      <c r="Y953" s="301"/>
      <c r="Z953" s="301"/>
    </row>
    <row r="954" spans="1:26" ht="11.25" customHeight="1">
      <c r="A954" s="301"/>
      <c r="B954" s="301"/>
      <c r="C954" s="301"/>
      <c r="D954" s="301"/>
      <c r="E954" s="301"/>
      <c r="F954" s="301"/>
      <c r="G954" s="301"/>
      <c r="H954" s="301"/>
      <c r="I954" s="301"/>
      <c r="J954" s="301"/>
      <c r="K954" s="301"/>
      <c r="L954" s="301"/>
      <c r="M954" s="301"/>
      <c r="N954" s="301"/>
      <c r="O954" s="301"/>
      <c r="P954" s="301"/>
      <c r="Q954" s="301"/>
      <c r="R954" s="301"/>
      <c r="S954" s="301"/>
      <c r="T954" s="301"/>
      <c r="U954" s="301"/>
      <c r="V954" s="301"/>
      <c r="W954" s="301"/>
      <c r="X954" s="301"/>
      <c r="Y954" s="301"/>
      <c r="Z954" s="301"/>
    </row>
    <row r="955" spans="1:26" ht="11.25" customHeight="1">
      <c r="A955" s="301"/>
      <c r="B955" s="301"/>
      <c r="C955" s="301"/>
      <c r="D955" s="301"/>
      <c r="E955" s="301"/>
      <c r="F955" s="301"/>
      <c r="G955" s="301"/>
      <c r="H955" s="301"/>
      <c r="I955" s="301"/>
      <c r="J955" s="301"/>
      <c r="K955" s="301"/>
      <c r="L955" s="301"/>
      <c r="M955" s="301"/>
      <c r="N955" s="301"/>
      <c r="O955" s="301"/>
      <c r="P955" s="301"/>
      <c r="Q955" s="301"/>
      <c r="R955" s="301"/>
      <c r="S955" s="301"/>
      <c r="T955" s="301"/>
      <c r="U955" s="301"/>
      <c r="V955" s="301"/>
      <c r="W955" s="301"/>
      <c r="X955" s="301"/>
      <c r="Y955" s="301"/>
      <c r="Z955" s="301"/>
    </row>
    <row r="956" spans="1:26" ht="11.25" customHeight="1">
      <c r="A956" s="301"/>
      <c r="B956" s="301"/>
      <c r="C956" s="301"/>
      <c r="D956" s="301"/>
      <c r="E956" s="301"/>
      <c r="F956" s="301"/>
      <c r="G956" s="301"/>
      <c r="H956" s="301"/>
      <c r="I956" s="301"/>
      <c r="J956" s="301"/>
      <c r="K956" s="301"/>
      <c r="L956" s="301"/>
      <c r="M956" s="301"/>
      <c r="N956" s="301"/>
      <c r="O956" s="301"/>
      <c r="P956" s="301"/>
      <c r="Q956" s="301"/>
      <c r="R956" s="301"/>
      <c r="S956" s="301"/>
      <c r="T956" s="301"/>
      <c r="U956" s="301"/>
      <c r="V956" s="301"/>
      <c r="W956" s="301"/>
      <c r="X956" s="301"/>
      <c r="Y956" s="301"/>
      <c r="Z956" s="301"/>
    </row>
    <row r="957" spans="1:26" ht="11.25" customHeight="1">
      <c r="A957" s="301"/>
      <c r="B957" s="301"/>
      <c r="C957" s="301"/>
      <c r="D957" s="301"/>
      <c r="E957" s="301"/>
      <c r="F957" s="301"/>
      <c r="G957" s="301"/>
      <c r="H957" s="301"/>
      <c r="I957" s="301"/>
      <c r="J957" s="301"/>
      <c r="K957" s="301"/>
      <c r="L957" s="301"/>
      <c r="M957" s="301"/>
      <c r="N957" s="301"/>
      <c r="O957" s="301"/>
      <c r="P957" s="301"/>
      <c r="Q957" s="301"/>
      <c r="R957" s="301"/>
      <c r="S957" s="301"/>
      <c r="T957" s="301"/>
      <c r="U957" s="301"/>
      <c r="V957" s="301"/>
      <c r="W957" s="301"/>
      <c r="X957" s="301"/>
      <c r="Y957" s="301"/>
      <c r="Z957" s="301"/>
    </row>
    <row r="958" spans="1:26" ht="11.25" customHeight="1">
      <c r="A958" s="301"/>
      <c r="B958" s="301"/>
      <c r="C958" s="301"/>
      <c r="D958" s="301"/>
      <c r="E958" s="301"/>
      <c r="F958" s="301"/>
      <c r="G958" s="301"/>
      <c r="H958" s="301"/>
      <c r="I958" s="301"/>
      <c r="J958" s="301"/>
      <c r="K958" s="301"/>
      <c r="L958" s="301"/>
      <c r="M958" s="301"/>
      <c r="N958" s="301"/>
      <c r="O958" s="301"/>
      <c r="P958" s="301"/>
      <c r="Q958" s="301"/>
      <c r="R958" s="301"/>
      <c r="S958" s="301"/>
      <c r="T958" s="301"/>
      <c r="U958" s="301"/>
      <c r="V958" s="301"/>
      <c r="W958" s="301"/>
      <c r="X958" s="301"/>
      <c r="Y958" s="301"/>
      <c r="Z958" s="301"/>
    </row>
    <row r="959" spans="1:26" ht="11.25" customHeight="1">
      <c r="A959" s="301"/>
      <c r="B959" s="301"/>
      <c r="C959" s="301"/>
      <c r="D959" s="301"/>
      <c r="E959" s="301"/>
      <c r="F959" s="301"/>
      <c r="G959" s="301"/>
      <c r="H959" s="301"/>
      <c r="I959" s="301"/>
      <c r="J959" s="301"/>
      <c r="K959" s="301"/>
      <c r="L959" s="301"/>
      <c r="M959" s="301"/>
      <c r="N959" s="301"/>
      <c r="O959" s="301"/>
      <c r="P959" s="301"/>
      <c r="Q959" s="301"/>
      <c r="R959" s="301"/>
      <c r="S959" s="301"/>
      <c r="T959" s="301"/>
      <c r="U959" s="301"/>
      <c r="V959" s="301"/>
      <c r="W959" s="301"/>
      <c r="X959" s="301"/>
      <c r="Y959" s="301"/>
      <c r="Z959" s="301"/>
    </row>
    <row r="960" spans="1:26" ht="11.25" customHeight="1">
      <c r="A960" s="301"/>
      <c r="B960" s="301"/>
      <c r="C960" s="301"/>
      <c r="D960" s="301"/>
      <c r="E960" s="301"/>
      <c r="F960" s="301"/>
      <c r="G960" s="301"/>
      <c r="H960" s="301"/>
      <c r="I960" s="301"/>
      <c r="J960" s="301"/>
      <c r="K960" s="301"/>
      <c r="L960" s="301"/>
      <c r="M960" s="301"/>
      <c r="N960" s="301"/>
      <c r="O960" s="301"/>
      <c r="P960" s="301"/>
      <c r="Q960" s="301"/>
      <c r="R960" s="301"/>
      <c r="S960" s="301"/>
      <c r="T960" s="301"/>
      <c r="U960" s="301"/>
      <c r="V960" s="301"/>
      <c r="W960" s="301"/>
      <c r="X960" s="301"/>
      <c r="Y960" s="301"/>
      <c r="Z960" s="301"/>
    </row>
    <row r="961" spans="1:26" ht="11.25" customHeight="1">
      <c r="A961" s="301"/>
      <c r="B961" s="301"/>
      <c r="C961" s="301"/>
      <c r="D961" s="301"/>
      <c r="E961" s="301"/>
      <c r="F961" s="301"/>
      <c r="G961" s="301"/>
      <c r="H961" s="301"/>
      <c r="I961" s="301"/>
      <c r="J961" s="301"/>
      <c r="K961" s="301"/>
      <c r="L961" s="301"/>
      <c r="M961" s="301"/>
      <c r="N961" s="301"/>
      <c r="O961" s="301"/>
      <c r="P961" s="301"/>
      <c r="Q961" s="301"/>
      <c r="R961" s="301"/>
      <c r="S961" s="301"/>
      <c r="T961" s="301"/>
      <c r="U961" s="301"/>
      <c r="V961" s="301"/>
      <c r="W961" s="301"/>
      <c r="X961" s="301"/>
      <c r="Y961" s="301"/>
      <c r="Z961" s="301"/>
    </row>
    <row r="962" spans="1:26" ht="11.25" customHeight="1">
      <c r="A962" s="301"/>
      <c r="B962" s="301"/>
      <c r="C962" s="301"/>
      <c r="D962" s="301"/>
      <c r="E962" s="301"/>
      <c r="F962" s="301"/>
      <c r="G962" s="301"/>
      <c r="H962" s="301"/>
      <c r="I962" s="301"/>
      <c r="J962" s="301"/>
      <c r="K962" s="301"/>
      <c r="L962" s="301"/>
      <c r="M962" s="301"/>
      <c r="N962" s="301"/>
      <c r="O962" s="301"/>
      <c r="P962" s="301"/>
      <c r="Q962" s="301"/>
      <c r="R962" s="301"/>
      <c r="S962" s="301"/>
      <c r="T962" s="301"/>
      <c r="U962" s="301"/>
      <c r="V962" s="301"/>
      <c r="W962" s="301"/>
      <c r="X962" s="301"/>
      <c r="Y962" s="301"/>
      <c r="Z962" s="301"/>
    </row>
    <row r="963" spans="1:26" ht="11.25" customHeight="1">
      <c r="A963" s="301"/>
      <c r="B963" s="301"/>
      <c r="C963" s="301"/>
      <c r="D963" s="301"/>
      <c r="E963" s="301"/>
      <c r="F963" s="301"/>
      <c r="G963" s="301"/>
      <c r="H963" s="301"/>
      <c r="I963" s="301"/>
      <c r="J963" s="301"/>
      <c r="K963" s="301"/>
      <c r="L963" s="301"/>
      <c r="M963" s="301"/>
      <c r="N963" s="301"/>
      <c r="O963" s="301"/>
      <c r="P963" s="301"/>
      <c r="Q963" s="301"/>
      <c r="R963" s="301"/>
      <c r="S963" s="301"/>
      <c r="T963" s="301"/>
      <c r="U963" s="301"/>
      <c r="V963" s="301"/>
      <c r="W963" s="301"/>
      <c r="X963" s="301"/>
      <c r="Y963" s="301"/>
      <c r="Z963" s="301"/>
    </row>
    <row r="964" spans="1:26" ht="11.25" customHeight="1">
      <c r="A964" s="301"/>
      <c r="B964" s="301"/>
      <c r="C964" s="301"/>
      <c r="D964" s="301"/>
      <c r="E964" s="301"/>
      <c r="F964" s="301"/>
      <c r="G964" s="301"/>
      <c r="H964" s="301"/>
      <c r="I964" s="301"/>
      <c r="J964" s="301"/>
      <c r="K964" s="301"/>
      <c r="L964" s="301"/>
      <c r="M964" s="301"/>
      <c r="N964" s="301"/>
      <c r="O964" s="301"/>
      <c r="P964" s="301"/>
      <c r="Q964" s="301"/>
      <c r="R964" s="301"/>
      <c r="S964" s="301"/>
      <c r="T964" s="301"/>
      <c r="U964" s="301"/>
      <c r="V964" s="301"/>
      <c r="W964" s="301"/>
      <c r="X964" s="301"/>
      <c r="Y964" s="301"/>
      <c r="Z964" s="301"/>
    </row>
    <row r="965" spans="1:26" ht="11.25" customHeight="1">
      <c r="A965" s="301"/>
      <c r="B965" s="301"/>
      <c r="C965" s="301"/>
      <c r="D965" s="301"/>
      <c r="E965" s="301"/>
      <c r="F965" s="301"/>
      <c r="G965" s="301"/>
      <c r="H965" s="301"/>
      <c r="I965" s="301"/>
      <c r="J965" s="301"/>
      <c r="K965" s="301"/>
      <c r="L965" s="301"/>
      <c r="M965" s="301"/>
      <c r="N965" s="301"/>
      <c r="O965" s="301"/>
      <c r="P965" s="301"/>
      <c r="Q965" s="301"/>
      <c r="R965" s="301"/>
      <c r="S965" s="301"/>
      <c r="T965" s="301"/>
      <c r="U965" s="301"/>
      <c r="V965" s="301"/>
      <c r="W965" s="301"/>
      <c r="X965" s="301"/>
      <c r="Y965" s="301"/>
      <c r="Z965" s="301"/>
    </row>
    <row r="966" spans="1:26" ht="11.25" customHeight="1">
      <c r="A966" s="301"/>
      <c r="B966" s="301"/>
      <c r="C966" s="301"/>
      <c r="D966" s="301"/>
      <c r="E966" s="301"/>
      <c r="F966" s="301"/>
      <c r="G966" s="301"/>
      <c r="H966" s="301"/>
      <c r="I966" s="301"/>
      <c r="J966" s="301"/>
      <c r="K966" s="301"/>
      <c r="L966" s="301"/>
      <c r="M966" s="301"/>
      <c r="N966" s="301"/>
      <c r="O966" s="301"/>
      <c r="P966" s="301"/>
      <c r="Q966" s="301"/>
      <c r="R966" s="301"/>
      <c r="S966" s="301"/>
      <c r="T966" s="301"/>
      <c r="U966" s="301"/>
      <c r="V966" s="301"/>
      <c r="W966" s="301"/>
      <c r="X966" s="301"/>
      <c r="Y966" s="301"/>
      <c r="Z966" s="301"/>
    </row>
    <row r="967" spans="1:26" ht="11.25" customHeight="1">
      <c r="A967" s="301"/>
      <c r="B967" s="301"/>
      <c r="C967" s="301"/>
      <c r="D967" s="301"/>
      <c r="E967" s="301"/>
      <c r="F967" s="301"/>
      <c r="G967" s="301"/>
      <c r="H967" s="301"/>
      <c r="I967" s="301"/>
      <c r="J967" s="301"/>
      <c r="K967" s="301"/>
      <c r="L967" s="301"/>
      <c r="M967" s="301"/>
      <c r="N967" s="301"/>
      <c r="O967" s="301"/>
      <c r="P967" s="301"/>
      <c r="Q967" s="301"/>
      <c r="R967" s="301"/>
      <c r="S967" s="301"/>
      <c r="T967" s="301"/>
      <c r="U967" s="301"/>
      <c r="V967" s="301"/>
      <c r="W967" s="301"/>
      <c r="X967" s="301"/>
      <c r="Y967" s="301"/>
      <c r="Z967" s="301"/>
    </row>
    <row r="968" spans="1:26" ht="11.25" customHeight="1">
      <c r="A968" s="301"/>
      <c r="B968" s="301"/>
      <c r="C968" s="301"/>
      <c r="D968" s="301"/>
      <c r="E968" s="301"/>
      <c r="F968" s="301"/>
      <c r="G968" s="301"/>
      <c r="H968" s="301"/>
      <c r="I968" s="301"/>
      <c r="J968" s="301"/>
      <c r="K968" s="301"/>
      <c r="L968" s="301"/>
      <c r="M968" s="301"/>
      <c r="N968" s="301"/>
      <c r="O968" s="301"/>
      <c r="P968" s="301"/>
      <c r="Q968" s="301"/>
      <c r="R968" s="301"/>
      <c r="S968" s="301"/>
      <c r="T968" s="301"/>
      <c r="U968" s="301"/>
      <c r="V968" s="301"/>
      <c r="W968" s="301"/>
      <c r="X968" s="301"/>
      <c r="Y968" s="301"/>
      <c r="Z968" s="301"/>
    </row>
    <row r="969" spans="1:26" ht="11.25" customHeight="1">
      <c r="A969" s="301"/>
      <c r="B969" s="301"/>
      <c r="C969" s="301"/>
      <c r="D969" s="301"/>
      <c r="E969" s="301"/>
      <c r="F969" s="301"/>
      <c r="G969" s="301"/>
      <c r="H969" s="301"/>
      <c r="I969" s="301"/>
      <c r="J969" s="301"/>
      <c r="K969" s="301"/>
      <c r="L969" s="301"/>
      <c r="M969" s="301"/>
      <c r="N969" s="301"/>
      <c r="O969" s="301"/>
      <c r="P969" s="301"/>
      <c r="Q969" s="301"/>
      <c r="R969" s="301"/>
      <c r="S969" s="301"/>
      <c r="T969" s="301"/>
      <c r="U969" s="301"/>
      <c r="V969" s="301"/>
      <c r="W969" s="301"/>
      <c r="X969" s="301"/>
      <c r="Y969" s="301"/>
      <c r="Z969" s="301"/>
    </row>
    <row r="970" spans="1:26" ht="11.25" customHeight="1">
      <c r="A970" s="301"/>
      <c r="B970" s="301"/>
      <c r="C970" s="301"/>
      <c r="D970" s="301"/>
      <c r="E970" s="301"/>
      <c r="F970" s="301"/>
      <c r="G970" s="301"/>
      <c r="H970" s="301"/>
      <c r="I970" s="301"/>
      <c r="J970" s="301"/>
      <c r="K970" s="301"/>
      <c r="L970" s="301"/>
      <c r="M970" s="301"/>
      <c r="N970" s="301"/>
      <c r="O970" s="301"/>
      <c r="P970" s="301"/>
      <c r="Q970" s="301"/>
      <c r="R970" s="301"/>
      <c r="S970" s="301"/>
      <c r="T970" s="301"/>
      <c r="U970" s="301"/>
      <c r="V970" s="301"/>
      <c r="W970" s="301"/>
      <c r="X970" s="301"/>
      <c r="Y970" s="301"/>
      <c r="Z970" s="301"/>
    </row>
    <row r="971" spans="1:26" ht="11.25" customHeight="1">
      <c r="A971" s="301"/>
      <c r="B971" s="301"/>
      <c r="C971" s="301"/>
      <c r="D971" s="301"/>
      <c r="E971" s="301"/>
      <c r="F971" s="301"/>
      <c r="G971" s="301"/>
      <c r="H971" s="301"/>
      <c r="I971" s="301"/>
      <c r="J971" s="301"/>
      <c r="K971" s="301"/>
      <c r="L971" s="301"/>
      <c r="M971" s="301"/>
      <c r="N971" s="301"/>
      <c r="O971" s="301"/>
      <c r="P971" s="301"/>
      <c r="Q971" s="301"/>
      <c r="R971" s="301"/>
      <c r="S971" s="301"/>
      <c r="T971" s="301"/>
      <c r="U971" s="301"/>
      <c r="V971" s="301"/>
      <c r="W971" s="301"/>
      <c r="X971" s="301"/>
      <c r="Y971" s="301"/>
      <c r="Z971" s="301"/>
    </row>
    <row r="972" spans="1:26" ht="11.25" customHeight="1">
      <c r="A972" s="301"/>
      <c r="B972" s="301"/>
      <c r="C972" s="301"/>
      <c r="D972" s="301"/>
      <c r="E972" s="301"/>
      <c r="F972" s="301"/>
      <c r="G972" s="301"/>
      <c r="H972" s="301"/>
      <c r="I972" s="301"/>
      <c r="J972" s="301"/>
      <c r="K972" s="301"/>
      <c r="L972" s="301"/>
      <c r="M972" s="301"/>
      <c r="N972" s="301"/>
      <c r="O972" s="301"/>
      <c r="P972" s="301"/>
      <c r="Q972" s="301"/>
      <c r="R972" s="301"/>
      <c r="S972" s="301"/>
      <c r="T972" s="301"/>
      <c r="U972" s="301"/>
      <c r="V972" s="301"/>
      <c r="W972" s="301"/>
      <c r="X972" s="301"/>
      <c r="Y972" s="301"/>
      <c r="Z972" s="301"/>
    </row>
    <row r="973" spans="1:26" ht="11.25" customHeight="1">
      <c r="A973" s="301"/>
      <c r="B973" s="301"/>
      <c r="C973" s="301"/>
      <c r="D973" s="301"/>
      <c r="E973" s="301"/>
      <c r="F973" s="301"/>
      <c r="G973" s="301"/>
      <c r="H973" s="301"/>
      <c r="I973" s="301"/>
      <c r="J973" s="301"/>
      <c r="K973" s="301"/>
      <c r="L973" s="301"/>
      <c r="M973" s="301"/>
      <c r="N973" s="301"/>
      <c r="O973" s="301"/>
      <c r="P973" s="301"/>
      <c r="Q973" s="301"/>
      <c r="R973" s="301"/>
      <c r="S973" s="301"/>
      <c r="T973" s="301"/>
      <c r="U973" s="301"/>
      <c r="V973" s="301"/>
      <c r="W973" s="301"/>
      <c r="X973" s="301"/>
      <c r="Y973" s="301"/>
      <c r="Z973" s="301"/>
    </row>
    <row r="974" spans="1:26" ht="11.25" customHeight="1">
      <c r="A974" s="301"/>
      <c r="B974" s="301"/>
      <c r="C974" s="301"/>
      <c r="D974" s="301"/>
      <c r="E974" s="301"/>
      <c r="F974" s="301"/>
      <c r="G974" s="301"/>
      <c r="H974" s="301"/>
      <c r="I974" s="301"/>
      <c r="J974" s="301"/>
      <c r="K974" s="301"/>
      <c r="L974" s="301"/>
      <c r="M974" s="301"/>
      <c r="N974" s="301"/>
      <c r="O974" s="301"/>
      <c r="P974" s="301"/>
      <c r="Q974" s="301"/>
      <c r="R974" s="301"/>
      <c r="S974" s="301"/>
      <c r="T974" s="301"/>
      <c r="U974" s="301"/>
      <c r="V974" s="301"/>
      <c r="W974" s="301"/>
      <c r="X974" s="301"/>
      <c r="Y974" s="301"/>
      <c r="Z974" s="301"/>
    </row>
    <row r="975" spans="1:26" ht="11.25" customHeight="1">
      <c r="A975" s="301"/>
      <c r="B975" s="301"/>
      <c r="C975" s="301"/>
      <c r="D975" s="301"/>
      <c r="E975" s="301"/>
      <c r="F975" s="301"/>
      <c r="G975" s="301"/>
      <c r="H975" s="301"/>
      <c r="I975" s="301"/>
      <c r="J975" s="301"/>
      <c r="K975" s="301"/>
      <c r="L975" s="301"/>
      <c r="M975" s="301"/>
      <c r="N975" s="301"/>
      <c r="O975" s="301"/>
      <c r="P975" s="301"/>
      <c r="Q975" s="301"/>
      <c r="R975" s="301"/>
      <c r="S975" s="301"/>
      <c r="T975" s="301"/>
      <c r="U975" s="301"/>
      <c r="V975" s="301"/>
      <c r="W975" s="301"/>
      <c r="X975" s="301"/>
      <c r="Y975" s="301"/>
      <c r="Z975" s="301"/>
    </row>
    <row r="976" spans="1:26" ht="11.25" customHeight="1">
      <c r="A976" s="301"/>
      <c r="B976" s="301"/>
      <c r="C976" s="301"/>
      <c r="D976" s="301"/>
      <c r="E976" s="301"/>
      <c r="F976" s="301"/>
      <c r="G976" s="301"/>
      <c r="H976" s="301"/>
      <c r="I976" s="301"/>
      <c r="J976" s="301"/>
      <c r="K976" s="301"/>
      <c r="L976" s="301"/>
      <c r="M976" s="301"/>
      <c r="N976" s="301"/>
      <c r="O976" s="301"/>
      <c r="P976" s="301"/>
      <c r="Q976" s="301"/>
      <c r="R976" s="301"/>
      <c r="S976" s="301"/>
      <c r="T976" s="301"/>
      <c r="U976" s="301"/>
      <c r="V976" s="301"/>
      <c r="W976" s="301"/>
      <c r="X976" s="301"/>
      <c r="Y976" s="301"/>
      <c r="Z976" s="301"/>
    </row>
    <row r="977" spans="1:26" ht="11.25" customHeight="1">
      <c r="A977" s="301"/>
      <c r="B977" s="301"/>
      <c r="C977" s="301"/>
      <c r="D977" s="301"/>
      <c r="E977" s="301"/>
      <c r="F977" s="301"/>
      <c r="G977" s="301"/>
      <c r="H977" s="301"/>
      <c r="I977" s="301"/>
      <c r="J977" s="301"/>
      <c r="K977" s="301"/>
      <c r="L977" s="301"/>
      <c r="M977" s="301"/>
      <c r="N977" s="301"/>
      <c r="O977" s="301"/>
      <c r="P977" s="301"/>
      <c r="Q977" s="301"/>
      <c r="R977" s="301"/>
      <c r="S977" s="301"/>
      <c r="T977" s="301"/>
      <c r="U977" s="301"/>
      <c r="V977" s="301"/>
      <c r="W977" s="301"/>
      <c r="X977" s="301"/>
      <c r="Y977" s="301"/>
      <c r="Z977" s="301"/>
    </row>
    <row r="978" spans="1:26" ht="11.25" customHeight="1">
      <c r="A978" s="301"/>
      <c r="B978" s="301"/>
      <c r="C978" s="301"/>
      <c r="D978" s="301"/>
      <c r="E978" s="301"/>
      <c r="F978" s="301"/>
      <c r="G978" s="301"/>
      <c r="H978" s="301"/>
      <c r="I978" s="301"/>
      <c r="J978" s="301"/>
      <c r="K978" s="301"/>
      <c r="L978" s="301"/>
      <c r="M978" s="301"/>
      <c r="N978" s="301"/>
      <c r="O978" s="301"/>
      <c r="P978" s="301"/>
      <c r="Q978" s="301"/>
      <c r="R978" s="301"/>
      <c r="S978" s="301"/>
      <c r="T978" s="301"/>
      <c r="U978" s="301"/>
      <c r="V978" s="301"/>
      <c r="W978" s="301"/>
      <c r="X978" s="301"/>
      <c r="Y978" s="301"/>
      <c r="Z978" s="301"/>
    </row>
    <row r="979" spans="1:26" ht="11.25" customHeight="1">
      <c r="A979" s="301"/>
      <c r="B979" s="301"/>
      <c r="C979" s="301"/>
      <c r="D979" s="301"/>
      <c r="E979" s="301"/>
      <c r="F979" s="301"/>
      <c r="G979" s="301"/>
      <c r="H979" s="301"/>
      <c r="I979" s="301"/>
      <c r="J979" s="301"/>
      <c r="K979" s="301"/>
      <c r="L979" s="301"/>
      <c r="M979" s="301"/>
      <c r="N979" s="301"/>
      <c r="O979" s="301"/>
      <c r="P979" s="301"/>
      <c r="Q979" s="301"/>
      <c r="R979" s="301"/>
      <c r="S979" s="301"/>
      <c r="T979" s="301"/>
      <c r="U979" s="301"/>
      <c r="V979" s="301"/>
      <c r="W979" s="301"/>
      <c r="X979" s="301"/>
      <c r="Y979" s="301"/>
      <c r="Z979" s="301"/>
    </row>
    <row r="980" spans="1:26" ht="11.25" customHeight="1">
      <c r="A980" s="301"/>
      <c r="B980" s="301"/>
      <c r="C980" s="301"/>
      <c r="D980" s="301"/>
      <c r="E980" s="301"/>
      <c r="F980" s="301"/>
      <c r="G980" s="301"/>
      <c r="H980" s="301"/>
      <c r="I980" s="301"/>
      <c r="J980" s="301"/>
      <c r="K980" s="301"/>
      <c r="L980" s="301"/>
      <c r="M980" s="301"/>
      <c r="N980" s="301"/>
      <c r="O980" s="301"/>
      <c r="P980" s="301"/>
      <c r="Q980" s="301"/>
      <c r="R980" s="301"/>
      <c r="S980" s="301"/>
      <c r="T980" s="301"/>
      <c r="U980" s="301"/>
      <c r="V980" s="301"/>
      <c r="W980" s="301"/>
      <c r="X980" s="301"/>
      <c r="Y980" s="301"/>
      <c r="Z980" s="301"/>
    </row>
    <row r="981" spans="1:26" ht="11.25" customHeight="1">
      <c r="A981" s="301"/>
      <c r="B981" s="301"/>
      <c r="C981" s="301"/>
      <c r="D981" s="301"/>
      <c r="E981" s="301"/>
      <c r="F981" s="301"/>
      <c r="G981" s="301"/>
      <c r="H981" s="301"/>
      <c r="I981" s="301"/>
      <c r="J981" s="301"/>
      <c r="K981" s="301"/>
      <c r="L981" s="301"/>
      <c r="M981" s="301"/>
      <c r="N981" s="301"/>
      <c r="O981" s="301"/>
      <c r="P981" s="301"/>
      <c r="Q981" s="301"/>
      <c r="R981" s="301"/>
      <c r="S981" s="301"/>
      <c r="T981" s="301"/>
      <c r="U981" s="301"/>
      <c r="V981" s="301"/>
      <c r="W981" s="301"/>
      <c r="X981" s="301"/>
      <c r="Y981" s="301"/>
      <c r="Z981" s="301"/>
    </row>
    <row r="982" spans="1:26" ht="11.25" customHeight="1">
      <c r="A982" s="301"/>
      <c r="B982" s="301"/>
      <c r="C982" s="301"/>
      <c r="D982" s="301"/>
      <c r="E982" s="301"/>
      <c r="F982" s="301"/>
      <c r="G982" s="301"/>
      <c r="H982" s="301"/>
      <c r="I982" s="301"/>
      <c r="J982" s="301"/>
      <c r="K982" s="301"/>
      <c r="L982" s="301"/>
      <c r="M982" s="301"/>
      <c r="N982" s="301"/>
      <c r="O982" s="301"/>
      <c r="P982" s="301"/>
      <c r="Q982" s="301"/>
      <c r="R982" s="301"/>
      <c r="S982" s="301"/>
      <c r="T982" s="301"/>
      <c r="U982" s="301"/>
      <c r="V982" s="301"/>
      <c r="W982" s="301"/>
      <c r="X982" s="301"/>
      <c r="Y982" s="301"/>
      <c r="Z982" s="301"/>
    </row>
    <row r="983" spans="1:26" ht="11.25" customHeight="1">
      <c r="A983" s="301"/>
      <c r="B983" s="301"/>
      <c r="C983" s="301"/>
      <c r="D983" s="301"/>
      <c r="E983" s="301"/>
      <c r="F983" s="301"/>
      <c r="G983" s="301"/>
      <c r="H983" s="301"/>
      <c r="I983" s="301"/>
      <c r="J983" s="301"/>
      <c r="K983" s="301"/>
      <c r="L983" s="301"/>
      <c r="M983" s="301"/>
      <c r="N983" s="301"/>
      <c r="O983" s="301"/>
      <c r="P983" s="301"/>
      <c r="Q983" s="301"/>
      <c r="R983" s="301"/>
      <c r="S983" s="301"/>
      <c r="T983" s="301"/>
      <c r="U983" s="301"/>
      <c r="V983" s="301"/>
      <c r="W983" s="301"/>
      <c r="X983" s="301"/>
      <c r="Y983" s="301"/>
      <c r="Z983" s="301"/>
    </row>
    <row r="984" spans="1:26" ht="11.25" customHeight="1">
      <c r="A984" s="301"/>
      <c r="B984" s="301"/>
      <c r="C984" s="301"/>
      <c r="D984" s="301"/>
      <c r="E984" s="301"/>
      <c r="F984" s="301"/>
      <c r="G984" s="301"/>
      <c r="H984" s="301"/>
      <c r="I984" s="301"/>
      <c r="J984" s="301"/>
      <c r="K984" s="301"/>
      <c r="L984" s="301"/>
      <c r="M984" s="301"/>
      <c r="N984" s="301"/>
      <c r="O984" s="301"/>
      <c r="P984" s="301"/>
      <c r="Q984" s="301"/>
      <c r="R984" s="301"/>
      <c r="S984" s="301"/>
      <c r="T984" s="301"/>
      <c r="U984" s="301"/>
      <c r="V984" s="301"/>
      <c r="W984" s="301"/>
      <c r="X984" s="301"/>
      <c r="Y984" s="301"/>
      <c r="Z984" s="301"/>
    </row>
    <row r="985" spans="1:26" ht="11.25" customHeight="1">
      <c r="A985" s="301"/>
      <c r="B985" s="301"/>
      <c r="C985" s="301"/>
      <c r="D985" s="301"/>
      <c r="E985" s="301"/>
      <c r="F985" s="301"/>
      <c r="G985" s="301"/>
      <c r="H985" s="301"/>
      <c r="I985" s="301"/>
      <c r="J985" s="301"/>
      <c r="K985" s="301"/>
      <c r="L985" s="301"/>
      <c r="M985" s="301"/>
      <c r="N985" s="301"/>
      <c r="O985" s="301"/>
      <c r="P985" s="301"/>
      <c r="Q985" s="301"/>
      <c r="R985" s="301"/>
      <c r="S985" s="301"/>
      <c r="T985" s="301"/>
      <c r="U985" s="301"/>
      <c r="V985" s="301"/>
      <c r="W985" s="301"/>
      <c r="X985" s="301"/>
      <c r="Y985" s="301"/>
      <c r="Z985" s="301"/>
    </row>
    <row r="986" spans="1:26" ht="11.25" customHeight="1">
      <c r="A986" s="301"/>
      <c r="B986" s="301"/>
      <c r="C986" s="301"/>
      <c r="D986" s="301"/>
      <c r="E986" s="301"/>
      <c r="F986" s="301"/>
      <c r="G986" s="301"/>
      <c r="H986" s="301"/>
      <c r="I986" s="301"/>
      <c r="J986" s="301"/>
      <c r="K986" s="301"/>
      <c r="L986" s="301"/>
      <c r="M986" s="301"/>
      <c r="N986" s="301"/>
      <c r="O986" s="301"/>
      <c r="P986" s="301"/>
      <c r="Q986" s="301"/>
      <c r="R986" s="301"/>
      <c r="S986" s="301"/>
      <c r="T986" s="301"/>
      <c r="U986" s="301"/>
      <c r="V986" s="301"/>
      <c r="W986" s="301"/>
      <c r="X986" s="301"/>
      <c r="Y986" s="301"/>
      <c r="Z986" s="301"/>
    </row>
    <row r="987" spans="1:26" ht="11.25" customHeight="1">
      <c r="A987" s="301"/>
      <c r="B987" s="301"/>
      <c r="C987" s="301"/>
      <c r="D987" s="301"/>
      <c r="E987" s="301"/>
      <c r="F987" s="301"/>
      <c r="G987" s="301"/>
      <c r="H987" s="301"/>
      <c r="I987" s="301"/>
      <c r="J987" s="301"/>
      <c r="K987" s="301"/>
      <c r="L987" s="301"/>
      <c r="M987" s="301"/>
      <c r="N987" s="301"/>
      <c r="O987" s="301"/>
      <c r="P987" s="301"/>
      <c r="Q987" s="301"/>
      <c r="R987" s="301"/>
      <c r="S987" s="301"/>
      <c r="T987" s="301"/>
      <c r="U987" s="301"/>
      <c r="V987" s="301"/>
      <c r="W987" s="301"/>
      <c r="X987" s="301"/>
      <c r="Y987" s="301"/>
      <c r="Z987" s="301"/>
    </row>
    <row r="988" spans="1:26" ht="11.25" customHeight="1">
      <c r="A988" s="301"/>
      <c r="B988" s="301"/>
      <c r="C988" s="301"/>
      <c r="D988" s="301"/>
      <c r="E988" s="301"/>
      <c r="F988" s="301"/>
      <c r="G988" s="301"/>
      <c r="H988" s="301"/>
      <c r="I988" s="301"/>
      <c r="J988" s="301"/>
      <c r="K988" s="301"/>
      <c r="L988" s="301"/>
      <c r="M988" s="301"/>
      <c r="N988" s="301"/>
      <c r="O988" s="301"/>
      <c r="P988" s="301"/>
      <c r="Q988" s="301"/>
      <c r="R988" s="301"/>
      <c r="S988" s="301"/>
      <c r="T988" s="301"/>
      <c r="U988" s="301"/>
      <c r="V988" s="301"/>
      <c r="W988" s="301"/>
      <c r="X988" s="301"/>
      <c r="Y988" s="301"/>
      <c r="Z988" s="301"/>
    </row>
    <row r="989" spans="1:26" ht="11.25" customHeight="1">
      <c r="A989" s="301"/>
      <c r="B989" s="301"/>
      <c r="C989" s="301"/>
      <c r="D989" s="301"/>
      <c r="E989" s="301"/>
      <c r="F989" s="301"/>
      <c r="G989" s="301"/>
      <c r="H989" s="301"/>
      <c r="I989" s="301"/>
      <c r="J989" s="301"/>
      <c r="K989" s="301"/>
      <c r="L989" s="301"/>
      <c r="M989" s="301"/>
      <c r="N989" s="301"/>
      <c r="O989" s="301"/>
      <c r="P989" s="301"/>
      <c r="Q989" s="301"/>
      <c r="R989" s="301"/>
      <c r="S989" s="301"/>
      <c r="T989" s="301"/>
      <c r="U989" s="301"/>
      <c r="V989" s="301"/>
      <c r="W989" s="301"/>
      <c r="X989" s="301"/>
      <c r="Y989" s="301"/>
      <c r="Z989" s="301"/>
    </row>
    <row r="990" spans="1:26" ht="11.25" customHeight="1">
      <c r="A990" s="301"/>
      <c r="B990" s="301"/>
      <c r="C990" s="301"/>
      <c r="D990" s="301"/>
      <c r="E990" s="301"/>
      <c r="F990" s="301"/>
      <c r="G990" s="301"/>
      <c r="H990" s="301"/>
      <c r="I990" s="301"/>
      <c r="J990" s="301"/>
      <c r="K990" s="301"/>
      <c r="L990" s="301"/>
      <c r="M990" s="301"/>
      <c r="N990" s="301"/>
      <c r="O990" s="301"/>
      <c r="P990" s="301"/>
      <c r="Q990" s="301"/>
      <c r="R990" s="301"/>
      <c r="S990" s="301"/>
      <c r="T990" s="301"/>
      <c r="U990" s="301"/>
      <c r="V990" s="301"/>
      <c r="W990" s="301"/>
      <c r="X990" s="301"/>
      <c r="Y990" s="301"/>
      <c r="Z990" s="301"/>
    </row>
    <row r="991" spans="1:26" ht="11.25" customHeight="1">
      <c r="A991" s="301"/>
      <c r="B991" s="301"/>
      <c r="C991" s="301"/>
      <c r="D991" s="301"/>
      <c r="E991" s="301"/>
      <c r="F991" s="301"/>
      <c r="G991" s="301"/>
      <c r="H991" s="301"/>
      <c r="I991" s="301"/>
      <c r="J991" s="301"/>
      <c r="K991" s="301"/>
      <c r="L991" s="301"/>
      <c r="M991" s="301"/>
      <c r="N991" s="301"/>
      <c r="O991" s="301"/>
      <c r="P991" s="301"/>
      <c r="Q991" s="301"/>
      <c r="R991" s="301"/>
      <c r="S991" s="301"/>
      <c r="T991" s="301"/>
      <c r="U991" s="301"/>
      <c r="V991" s="301"/>
      <c r="W991" s="301"/>
      <c r="X991" s="301"/>
      <c r="Y991" s="301"/>
      <c r="Z991" s="301"/>
    </row>
    <row r="992" spans="1:26" ht="11.25" customHeight="1">
      <c r="A992" s="301"/>
      <c r="B992" s="301"/>
      <c r="C992" s="301"/>
      <c r="D992" s="301"/>
      <c r="E992" s="301"/>
      <c r="F992" s="301"/>
      <c r="G992" s="301"/>
      <c r="H992" s="301"/>
      <c r="I992" s="301"/>
      <c r="J992" s="301"/>
      <c r="K992" s="301"/>
      <c r="L992" s="301"/>
      <c r="M992" s="301"/>
      <c r="N992" s="301"/>
      <c r="O992" s="301"/>
      <c r="P992" s="301"/>
      <c r="Q992" s="301"/>
      <c r="R992" s="301"/>
      <c r="S992" s="301"/>
      <c r="T992" s="301"/>
      <c r="U992" s="301"/>
      <c r="V992" s="301"/>
      <c r="W992" s="301"/>
      <c r="X992" s="301"/>
      <c r="Y992" s="301"/>
      <c r="Z992" s="301"/>
    </row>
    <row r="993" spans="1:26" ht="11.25" customHeight="1">
      <c r="A993" s="301"/>
      <c r="B993" s="301"/>
      <c r="C993" s="301"/>
      <c r="D993" s="301"/>
      <c r="E993" s="301"/>
      <c r="F993" s="301"/>
      <c r="G993" s="301"/>
      <c r="H993" s="301"/>
      <c r="I993" s="301"/>
      <c r="J993" s="301"/>
      <c r="K993" s="301"/>
      <c r="L993" s="301"/>
      <c r="M993" s="301"/>
      <c r="N993" s="301"/>
      <c r="O993" s="301"/>
      <c r="P993" s="301"/>
      <c r="Q993" s="301"/>
      <c r="R993" s="301"/>
      <c r="S993" s="301"/>
      <c r="T993" s="301"/>
      <c r="U993" s="301"/>
      <c r="V993" s="301"/>
      <c r="W993" s="301"/>
      <c r="X993" s="301"/>
      <c r="Y993" s="301"/>
      <c r="Z993" s="301"/>
    </row>
    <row r="994" spans="1:26" ht="11.25" customHeight="1">
      <c r="A994" s="301"/>
      <c r="B994" s="301"/>
      <c r="C994" s="301"/>
      <c r="D994" s="301"/>
      <c r="E994" s="301"/>
      <c r="F994" s="301"/>
      <c r="G994" s="301"/>
      <c r="H994" s="301"/>
      <c r="I994" s="301"/>
      <c r="J994" s="301"/>
      <c r="K994" s="301"/>
      <c r="L994" s="301"/>
      <c r="M994" s="301"/>
      <c r="N994" s="301"/>
      <c r="O994" s="301"/>
      <c r="P994" s="301"/>
      <c r="Q994" s="301"/>
      <c r="R994" s="301"/>
      <c r="S994" s="301"/>
      <c r="T994" s="301"/>
      <c r="U994" s="301"/>
      <c r="V994" s="301"/>
      <c r="W994" s="301"/>
      <c r="X994" s="301"/>
      <c r="Y994" s="301"/>
      <c r="Z994" s="301"/>
    </row>
    <row r="995" spans="1:26" ht="11.25" customHeight="1">
      <c r="A995" s="301"/>
      <c r="B995" s="301"/>
      <c r="C995" s="301"/>
      <c r="D995" s="301"/>
      <c r="E995" s="301"/>
      <c r="F995" s="301"/>
      <c r="G995" s="301"/>
      <c r="H995" s="301"/>
      <c r="I995" s="301"/>
      <c r="J995" s="301"/>
      <c r="K995" s="301"/>
      <c r="L995" s="301"/>
      <c r="M995" s="301"/>
      <c r="N995" s="301"/>
      <c r="O995" s="301"/>
      <c r="P995" s="301"/>
      <c r="Q995" s="301"/>
      <c r="R995" s="301"/>
      <c r="S995" s="301"/>
      <c r="T995" s="301"/>
      <c r="U995" s="301"/>
      <c r="V995" s="301"/>
      <c r="W995" s="301"/>
      <c r="X995" s="301"/>
      <c r="Y995" s="301"/>
      <c r="Z995" s="301"/>
    </row>
    <row r="996" spans="1:26" ht="11.25" customHeight="1">
      <c r="A996" s="301"/>
      <c r="B996" s="301"/>
      <c r="C996" s="301"/>
      <c r="D996" s="301"/>
      <c r="E996" s="301"/>
      <c r="F996" s="301"/>
      <c r="G996" s="301"/>
      <c r="H996" s="301"/>
      <c r="I996" s="301"/>
      <c r="J996" s="301"/>
      <c r="K996" s="301"/>
      <c r="L996" s="301"/>
      <c r="M996" s="301"/>
      <c r="N996" s="301"/>
      <c r="O996" s="301"/>
      <c r="P996" s="301"/>
      <c r="Q996" s="301"/>
      <c r="R996" s="301"/>
      <c r="S996" s="301"/>
      <c r="T996" s="301"/>
      <c r="U996" s="301"/>
      <c r="V996" s="301"/>
      <c r="W996" s="301"/>
      <c r="X996" s="301"/>
      <c r="Y996" s="301"/>
      <c r="Z996" s="301"/>
    </row>
    <row r="997" spans="1:26" ht="11.25" customHeight="1">
      <c r="A997" s="301"/>
      <c r="B997" s="301"/>
      <c r="C997" s="301"/>
      <c r="D997" s="301"/>
      <c r="E997" s="301"/>
      <c r="F997" s="301"/>
      <c r="G997" s="301"/>
      <c r="H997" s="301"/>
      <c r="I997" s="301"/>
      <c r="J997" s="301"/>
      <c r="K997" s="301"/>
      <c r="L997" s="301"/>
      <c r="M997" s="301"/>
      <c r="N997" s="301"/>
      <c r="O997" s="301"/>
      <c r="P997" s="301"/>
      <c r="Q997" s="301"/>
      <c r="R997" s="301"/>
      <c r="S997" s="301"/>
      <c r="T997" s="301"/>
      <c r="U997" s="301"/>
      <c r="V997" s="301"/>
      <c r="W997" s="301"/>
      <c r="X997" s="301"/>
      <c r="Y997" s="301"/>
      <c r="Z997" s="301"/>
    </row>
    <row r="998" spans="1:26" ht="11.25" customHeight="1">
      <c r="A998" s="301"/>
      <c r="B998" s="301"/>
      <c r="C998" s="301"/>
      <c r="D998" s="301"/>
      <c r="E998" s="301"/>
      <c r="F998" s="301"/>
      <c r="G998" s="301"/>
      <c r="H998" s="301"/>
      <c r="I998" s="301"/>
      <c r="J998" s="301"/>
      <c r="K998" s="301"/>
      <c r="L998" s="301"/>
      <c r="M998" s="301"/>
      <c r="N998" s="301"/>
      <c r="O998" s="301"/>
      <c r="P998" s="301"/>
      <c r="Q998" s="301"/>
      <c r="R998" s="301"/>
      <c r="S998" s="301"/>
      <c r="T998" s="301"/>
      <c r="U998" s="301"/>
      <c r="V998" s="301"/>
      <c r="W998" s="301"/>
      <c r="X998" s="301"/>
      <c r="Y998" s="301"/>
      <c r="Z998" s="301"/>
    </row>
    <row r="999" spans="1:26" ht="11.25" customHeight="1">
      <c r="A999" s="301"/>
      <c r="B999" s="301"/>
      <c r="C999" s="301"/>
      <c r="D999" s="301"/>
      <c r="E999" s="301"/>
      <c r="F999" s="301"/>
      <c r="G999" s="301"/>
      <c r="H999" s="301"/>
      <c r="I999" s="301"/>
      <c r="J999" s="301"/>
      <c r="K999" s="301"/>
      <c r="L999" s="301"/>
      <c r="M999" s="301"/>
      <c r="N999" s="301"/>
      <c r="O999" s="301"/>
      <c r="P999" s="301"/>
      <c r="Q999" s="301"/>
      <c r="R999" s="301"/>
      <c r="S999" s="301"/>
      <c r="T999" s="301"/>
      <c r="U999" s="301"/>
      <c r="V999" s="301"/>
      <c r="W999" s="301"/>
      <c r="X999" s="301"/>
      <c r="Y999" s="301"/>
      <c r="Z999" s="301"/>
    </row>
    <row r="1000" spans="1:26" ht="11.25" customHeight="1">
      <c r="A1000" s="301"/>
      <c r="B1000" s="301"/>
      <c r="C1000" s="301"/>
      <c r="D1000" s="301"/>
      <c r="E1000" s="301"/>
      <c r="F1000" s="301"/>
      <c r="G1000" s="301"/>
      <c r="H1000" s="301"/>
      <c r="I1000" s="301"/>
      <c r="J1000" s="301"/>
      <c r="K1000" s="301"/>
      <c r="L1000" s="301"/>
      <c r="M1000" s="301"/>
      <c r="N1000" s="301"/>
      <c r="O1000" s="301"/>
      <c r="P1000" s="301"/>
      <c r="Q1000" s="301"/>
      <c r="R1000" s="301"/>
      <c r="S1000" s="301"/>
      <c r="T1000" s="301"/>
      <c r="U1000" s="301"/>
      <c r="V1000" s="301"/>
      <c r="W1000" s="301"/>
      <c r="X1000" s="301"/>
      <c r="Y1000" s="301"/>
      <c r="Z1000" s="301"/>
    </row>
    <row r="1001" spans="1:26" ht="11.25" customHeight="1">
      <c r="A1001" s="301"/>
      <c r="B1001" s="301"/>
      <c r="C1001" s="301"/>
      <c r="D1001" s="301"/>
      <c r="E1001" s="301"/>
      <c r="F1001" s="301"/>
      <c r="G1001" s="301"/>
      <c r="H1001" s="301"/>
      <c r="I1001" s="301"/>
      <c r="J1001" s="301"/>
      <c r="K1001" s="301"/>
      <c r="L1001" s="301"/>
      <c r="M1001" s="301"/>
      <c r="N1001" s="301"/>
      <c r="O1001" s="301"/>
      <c r="P1001" s="301"/>
      <c r="Q1001" s="301"/>
      <c r="R1001" s="301"/>
      <c r="S1001" s="301"/>
      <c r="T1001" s="301"/>
      <c r="U1001" s="301"/>
      <c r="V1001" s="301"/>
      <c r="W1001" s="301"/>
      <c r="X1001" s="301"/>
      <c r="Y1001" s="301"/>
      <c r="Z1001" s="301"/>
    </row>
  </sheetData>
  <mergeCells count="3">
    <mergeCell ref="B1:E1"/>
    <mergeCell ref="F1:H1"/>
    <mergeCell ref="I1:K1"/>
  </mergeCells>
  <pageMargins left="0.7" right="0.7" top="0.75" bottom="0.75" header="0" footer="0"/>
  <pageSetup orientation="landscape"/>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82"/>
  <sheetViews>
    <sheetView workbookViewId="0">
      <pane xSplit="2" ySplit="1" topLeftCell="C133" activePane="bottomRight" state="frozen"/>
      <selection pane="topRight" activeCell="C1" sqref="C1"/>
      <selection pane="bottomLeft" activeCell="A2" sqref="A2"/>
      <selection pane="bottomRight" activeCell="Q155" sqref="Q155"/>
    </sheetView>
  </sheetViews>
  <sheetFormatPr defaultRowHeight="14.4"/>
  <cols>
    <col min="1" max="2" width="8.796875" style="572"/>
    <col min="3" max="5" width="8.09765625" style="573" bestFit="1" customWidth="1"/>
    <col min="6" max="6" width="11.796875" style="573" customWidth="1"/>
    <col min="7" max="7" width="8.09765625" style="573" bestFit="1" customWidth="1"/>
    <col min="8" max="8" width="11.09765625" style="574" bestFit="1" customWidth="1"/>
    <col min="9" max="9" width="11.09765625" style="572" bestFit="1" customWidth="1"/>
    <col min="10" max="10" width="15.3984375" style="572" customWidth="1"/>
    <col min="11" max="12" width="8.296875" style="572" bestFit="1" customWidth="1"/>
    <col min="13" max="15" width="8.796875" style="572"/>
    <col min="16" max="16" width="9.09765625" style="572" bestFit="1" customWidth="1"/>
    <col min="17" max="16384" width="8.796875" style="572"/>
  </cols>
  <sheetData>
    <row r="1" spans="1:17" s="569" customFormat="1" ht="43.2">
      <c r="A1" s="569" t="s">
        <v>1325</v>
      </c>
      <c r="B1" s="569" t="s">
        <v>1326</v>
      </c>
      <c r="C1" s="570" t="s">
        <v>1327</v>
      </c>
      <c r="D1" s="570" t="s">
        <v>1328</v>
      </c>
      <c r="E1" s="570" t="s">
        <v>1329</v>
      </c>
      <c r="F1" s="570" t="s">
        <v>1330</v>
      </c>
      <c r="G1" s="570" t="s">
        <v>1331</v>
      </c>
      <c r="H1" s="571" t="s">
        <v>1332</v>
      </c>
      <c r="I1" s="569" t="s">
        <v>1333</v>
      </c>
      <c r="J1" s="569" t="s">
        <v>1334</v>
      </c>
      <c r="K1" s="569" t="s">
        <v>1335</v>
      </c>
      <c r="L1" s="569" t="s">
        <v>1336</v>
      </c>
      <c r="P1" s="569" t="s">
        <v>9</v>
      </c>
      <c r="Q1" s="569" t="s">
        <v>32</v>
      </c>
    </row>
    <row r="2" spans="1:17">
      <c r="A2" s="572">
        <v>2007</v>
      </c>
      <c r="B2" s="572">
        <v>11</v>
      </c>
      <c r="C2" s="573">
        <v>4614.4399999999996</v>
      </c>
      <c r="D2" s="573">
        <v>4818.8</v>
      </c>
      <c r="E2" s="573">
        <v>4543.78</v>
      </c>
      <c r="F2" s="573">
        <v>4658.4916666666704</v>
      </c>
      <c r="G2" s="573">
        <v>4657.51</v>
      </c>
      <c r="H2" s="574">
        <v>1.45</v>
      </c>
      <c r="I2" s="573">
        <v>-1.67</v>
      </c>
      <c r="J2" s="573">
        <v>265635040.77000001</v>
      </c>
      <c r="M2" s="573"/>
      <c r="P2" s="580">
        <v>39416</v>
      </c>
      <c r="Q2" s="573">
        <f>G2</f>
        <v>4657.51</v>
      </c>
    </row>
    <row r="3" spans="1:17">
      <c r="A3" s="572">
        <v>2007</v>
      </c>
      <c r="B3" s="572">
        <v>12</v>
      </c>
      <c r="C3" s="573">
        <v>4635.34</v>
      </c>
      <c r="D3" s="573">
        <v>5241.99</v>
      </c>
      <c r="E3" s="573">
        <v>4613.91</v>
      </c>
      <c r="F3" s="573">
        <v>4969.9955555555598</v>
      </c>
      <c r="G3" s="573">
        <v>5239.03</v>
      </c>
      <c r="H3" s="574">
        <v>3.04</v>
      </c>
      <c r="I3" s="573">
        <v>-0.84</v>
      </c>
      <c r="J3" s="573">
        <v>992545259.10000002</v>
      </c>
      <c r="K3" s="575">
        <f>+F3/F2*100-100</f>
        <v>6.6867971690884644</v>
      </c>
      <c r="L3" s="575">
        <f>+G3/G2*100-100</f>
        <v>12.485641469368815</v>
      </c>
      <c r="M3" s="573"/>
      <c r="P3" s="580">
        <v>39447</v>
      </c>
      <c r="Q3" s="573">
        <f t="shared" ref="Q3:Q66" si="0">G3</f>
        <v>5239.03</v>
      </c>
    </row>
    <row r="4" spans="1:17">
      <c r="A4" s="572">
        <v>2008</v>
      </c>
      <c r="B4" s="572">
        <v>1</v>
      </c>
      <c r="C4" s="573">
        <v>5228.82</v>
      </c>
      <c r="D4" s="573">
        <v>5292.14</v>
      </c>
      <c r="E4" s="573">
        <v>4347.09</v>
      </c>
      <c r="F4" s="573">
        <v>4853.4754545454498</v>
      </c>
      <c r="G4" s="573">
        <v>4497.18</v>
      </c>
      <c r="H4" s="574">
        <v>2.0499999999999998</v>
      </c>
      <c r="I4" s="573">
        <v>-5.08</v>
      </c>
      <c r="J4" s="573">
        <v>1566430647.0699999</v>
      </c>
      <c r="K4" s="575">
        <f t="shared" ref="K4:L67" si="1">+F4/F3*100-100</f>
        <v>-2.3444709297548769</v>
      </c>
      <c r="L4" s="575">
        <f t="shared" si="1"/>
        <v>-14.160063981309506</v>
      </c>
      <c r="M4" s="573"/>
      <c r="P4" s="580">
        <v>39478</v>
      </c>
      <c r="Q4" s="573">
        <f t="shared" si="0"/>
        <v>4497.18</v>
      </c>
    </row>
    <row r="5" spans="1:17">
      <c r="A5" s="572">
        <v>2008</v>
      </c>
      <c r="B5" s="572">
        <v>2</v>
      </c>
      <c r="C5" s="573">
        <v>4502.62</v>
      </c>
      <c r="D5" s="573">
        <v>4522.8999999999996</v>
      </c>
      <c r="E5" s="573">
        <v>3875.32</v>
      </c>
      <c r="F5" s="573">
        <v>4190.8171428571404</v>
      </c>
      <c r="G5" s="573">
        <v>4232.2700000000004</v>
      </c>
      <c r="H5" s="574">
        <v>3.9</v>
      </c>
      <c r="I5" s="573">
        <v>-3.23</v>
      </c>
      <c r="J5" s="573">
        <v>1461118239.5999999</v>
      </c>
      <c r="K5" s="575">
        <f t="shared" si="1"/>
        <v>-13.653274192778838</v>
      </c>
      <c r="L5" s="575">
        <f t="shared" si="1"/>
        <v>-5.8905803192222663</v>
      </c>
      <c r="M5" s="573"/>
      <c r="P5" s="580">
        <v>39507</v>
      </c>
      <c r="Q5" s="573">
        <f t="shared" si="0"/>
        <v>4232.2700000000004</v>
      </c>
    </row>
    <row r="6" spans="1:17">
      <c r="A6" s="572">
        <v>2008</v>
      </c>
      <c r="B6" s="572">
        <v>3</v>
      </c>
      <c r="C6" s="573">
        <v>4236.75</v>
      </c>
      <c r="D6" s="573">
        <v>4287.66</v>
      </c>
      <c r="E6" s="573">
        <v>3699.82</v>
      </c>
      <c r="F6" s="573">
        <v>4002.0878947368401</v>
      </c>
      <c r="G6" s="573">
        <v>3845.09</v>
      </c>
      <c r="H6" s="574">
        <v>1.79</v>
      </c>
      <c r="I6" s="573">
        <v>-5.51</v>
      </c>
      <c r="J6" s="573">
        <v>1125377760.6400001</v>
      </c>
      <c r="K6" s="575">
        <f t="shared" si="1"/>
        <v>-4.5033997353468749</v>
      </c>
      <c r="L6" s="575">
        <f t="shared" si="1"/>
        <v>-9.1482821275580335</v>
      </c>
      <c r="M6" s="573"/>
      <c r="P6" s="580">
        <v>39538</v>
      </c>
      <c r="Q6" s="573">
        <f t="shared" si="0"/>
        <v>3845.09</v>
      </c>
    </row>
    <row r="7" spans="1:17">
      <c r="A7" s="572">
        <v>2008</v>
      </c>
      <c r="B7" s="572">
        <v>4</v>
      </c>
      <c r="C7" s="573">
        <v>3843.81</v>
      </c>
      <c r="D7" s="573">
        <v>3903.86</v>
      </c>
      <c r="E7" s="573">
        <v>3215.91</v>
      </c>
      <c r="F7" s="573">
        <v>3634.80272727273</v>
      </c>
      <c r="G7" s="573">
        <v>3792.72</v>
      </c>
      <c r="H7" s="574">
        <v>4.72</v>
      </c>
      <c r="I7" s="573">
        <v>-6.03</v>
      </c>
      <c r="J7" s="573">
        <v>1496597213.6700001</v>
      </c>
      <c r="K7" s="575">
        <f t="shared" si="1"/>
        <v>-9.1773388572282073</v>
      </c>
      <c r="L7" s="575">
        <f t="shared" si="1"/>
        <v>-1.361996728295054</v>
      </c>
      <c r="M7" s="573"/>
      <c r="P7" s="580">
        <v>39568</v>
      </c>
      <c r="Q7" s="573">
        <f t="shared" si="0"/>
        <v>3792.72</v>
      </c>
    </row>
    <row r="8" spans="1:17">
      <c r="A8" s="572">
        <v>2008</v>
      </c>
      <c r="B8" s="572">
        <v>5</v>
      </c>
      <c r="C8" s="573">
        <v>3828.75</v>
      </c>
      <c r="D8" s="573">
        <v>4209.12</v>
      </c>
      <c r="E8" s="573">
        <v>3751.18</v>
      </c>
      <c r="F8" s="573">
        <v>3962.4073684210498</v>
      </c>
      <c r="G8" s="573">
        <v>3988.12</v>
      </c>
      <c r="H8" s="574">
        <v>2.14</v>
      </c>
      <c r="I8" s="573">
        <v>-3.07</v>
      </c>
      <c r="J8" s="573">
        <v>1123567075.02</v>
      </c>
      <c r="K8" s="575">
        <f t="shared" si="1"/>
        <v>9.0129964603093811</v>
      </c>
      <c r="L8" s="575">
        <f t="shared" si="1"/>
        <v>5.1519753633276366</v>
      </c>
      <c r="M8" s="573"/>
      <c r="P8" s="580">
        <v>39599</v>
      </c>
      <c r="Q8" s="573">
        <f t="shared" si="0"/>
        <v>3988.12</v>
      </c>
    </row>
    <row r="9" spans="1:17">
      <c r="A9" s="572">
        <v>2008</v>
      </c>
      <c r="B9" s="572">
        <v>6</v>
      </c>
      <c r="C9" s="573">
        <v>4009.99</v>
      </c>
      <c r="D9" s="573">
        <v>4047.71</v>
      </c>
      <c r="E9" s="573">
        <v>3501.34</v>
      </c>
      <c r="F9" s="573">
        <v>3772.0695000000001</v>
      </c>
      <c r="G9" s="573">
        <v>3587.59</v>
      </c>
      <c r="H9" s="574">
        <v>1.2</v>
      </c>
      <c r="I9" s="573">
        <v>-2.68</v>
      </c>
      <c r="J9" s="573">
        <v>791891133.64999998</v>
      </c>
      <c r="K9" s="575">
        <f t="shared" si="1"/>
        <v>-4.8035916230616209</v>
      </c>
      <c r="L9" s="575">
        <f t="shared" si="1"/>
        <v>-10.043077941486217</v>
      </c>
      <c r="M9" s="573"/>
      <c r="P9" s="580">
        <v>39629</v>
      </c>
      <c r="Q9" s="573">
        <f t="shared" si="0"/>
        <v>3587.59</v>
      </c>
    </row>
    <row r="10" spans="1:17">
      <c r="A10" s="572">
        <v>2008</v>
      </c>
      <c r="B10" s="572">
        <v>7</v>
      </c>
      <c r="C10" s="573">
        <v>3586.83</v>
      </c>
      <c r="D10" s="573">
        <v>3760.97</v>
      </c>
      <c r="E10" s="573">
        <v>3459.84</v>
      </c>
      <c r="F10" s="573">
        <v>3585.96782608696</v>
      </c>
      <c r="G10" s="573">
        <v>3637.55</v>
      </c>
      <c r="H10" s="574">
        <v>3.54</v>
      </c>
      <c r="I10" s="573">
        <v>-2.5</v>
      </c>
      <c r="J10" s="573">
        <v>1175148814.26</v>
      </c>
      <c r="K10" s="575">
        <f t="shared" si="1"/>
        <v>-4.9336756364918557</v>
      </c>
      <c r="L10" s="575">
        <f t="shared" si="1"/>
        <v>1.3925783046557854</v>
      </c>
      <c r="M10" s="573"/>
      <c r="P10" s="580">
        <v>39660</v>
      </c>
      <c r="Q10" s="573">
        <f t="shared" si="0"/>
        <v>3637.55</v>
      </c>
    </row>
    <row r="11" spans="1:17">
      <c r="A11" s="572">
        <v>2008</v>
      </c>
      <c r="B11" s="572">
        <v>8</v>
      </c>
      <c r="C11" s="573">
        <v>3629.62</v>
      </c>
      <c r="D11" s="573">
        <v>3655.24</v>
      </c>
      <c r="E11" s="573">
        <v>3446.82</v>
      </c>
      <c r="F11" s="573">
        <v>3580.2222222222199</v>
      </c>
      <c r="G11" s="573">
        <v>3495.02</v>
      </c>
      <c r="H11" s="574">
        <v>0.56999999999999995</v>
      </c>
      <c r="I11" s="573">
        <v>-1.56</v>
      </c>
      <c r="J11" s="573">
        <v>502722239.05000001</v>
      </c>
      <c r="K11" s="575">
        <f t="shared" si="1"/>
        <v>-0.16022463511642115</v>
      </c>
      <c r="L11" s="575">
        <f t="shared" si="1"/>
        <v>-3.9182966557160768</v>
      </c>
      <c r="M11" s="573"/>
      <c r="P11" s="580">
        <v>39691</v>
      </c>
      <c r="Q11" s="573">
        <f t="shared" si="0"/>
        <v>3495.02</v>
      </c>
    </row>
    <row r="12" spans="1:17">
      <c r="A12" s="572">
        <v>2008</v>
      </c>
      <c r="B12" s="572">
        <v>9</v>
      </c>
      <c r="C12" s="573">
        <v>3498.64</v>
      </c>
      <c r="D12" s="573">
        <v>3500.11</v>
      </c>
      <c r="E12" s="573">
        <v>2850.06</v>
      </c>
      <c r="F12" s="573">
        <v>3260.5877272727298</v>
      </c>
      <c r="G12" s="573">
        <v>2990.97</v>
      </c>
      <c r="H12" s="574">
        <v>7.33</v>
      </c>
      <c r="I12" s="573">
        <v>-5.35</v>
      </c>
      <c r="J12" s="573">
        <v>1409621198.05</v>
      </c>
      <c r="K12" s="575">
        <f t="shared" si="1"/>
        <v>-8.9277836712352183</v>
      </c>
      <c r="L12" s="575">
        <f t="shared" si="1"/>
        <v>-14.421948944498169</v>
      </c>
      <c r="M12" s="573"/>
      <c r="P12" s="580">
        <v>39721</v>
      </c>
      <c r="Q12" s="573">
        <f t="shared" si="0"/>
        <v>2990.97</v>
      </c>
    </row>
    <row r="13" spans="1:17">
      <c r="A13" s="572">
        <v>2008</v>
      </c>
      <c r="B13" s="572">
        <v>10</v>
      </c>
      <c r="C13" s="573">
        <v>2997.9</v>
      </c>
      <c r="D13" s="573">
        <v>3062.87</v>
      </c>
      <c r="E13" s="573">
        <v>2018.47</v>
      </c>
      <c r="F13" s="573">
        <v>2498.6672727272698</v>
      </c>
      <c r="G13" s="573">
        <v>2191.84</v>
      </c>
      <c r="H13" s="574">
        <v>13.74</v>
      </c>
      <c r="I13" s="573">
        <v>-11.36</v>
      </c>
      <c r="J13" s="573">
        <v>1591913663.6300001</v>
      </c>
      <c r="K13" s="575">
        <f t="shared" si="1"/>
        <v>-23.367580273104849</v>
      </c>
      <c r="L13" s="575">
        <f t="shared" si="1"/>
        <v>-26.718088111883432</v>
      </c>
      <c r="M13" s="573"/>
      <c r="P13" s="580">
        <v>39752</v>
      </c>
      <c r="Q13" s="573">
        <f t="shared" si="0"/>
        <v>2191.84</v>
      </c>
    </row>
    <row r="14" spans="1:17">
      <c r="A14" s="572">
        <v>2008</v>
      </c>
      <c r="B14" s="572">
        <v>11</v>
      </c>
      <c r="C14" s="573">
        <v>2191.84</v>
      </c>
      <c r="D14" s="573">
        <v>2425.25</v>
      </c>
      <c r="E14" s="573">
        <v>1603.49</v>
      </c>
      <c r="F14" s="573">
        <v>1961.7929999999999</v>
      </c>
      <c r="G14" s="573">
        <v>1607.29</v>
      </c>
      <c r="H14" s="574">
        <v>6.94</v>
      </c>
      <c r="I14" s="573">
        <v>-7.15</v>
      </c>
      <c r="J14" s="573">
        <v>744256187.80999994</v>
      </c>
      <c r="K14" s="575">
        <f t="shared" si="1"/>
        <v>-21.486425126994888</v>
      </c>
      <c r="L14" s="575">
        <f t="shared" si="1"/>
        <v>-26.669373676910737</v>
      </c>
      <c r="M14" s="573"/>
      <c r="P14" s="580">
        <v>39782</v>
      </c>
      <c r="Q14" s="573">
        <f t="shared" si="0"/>
        <v>1607.29</v>
      </c>
    </row>
    <row r="15" spans="1:17">
      <c r="A15" s="572">
        <v>2008</v>
      </c>
      <c r="B15" s="572">
        <v>12</v>
      </c>
      <c r="C15" s="573">
        <v>1604.42</v>
      </c>
      <c r="D15" s="573">
        <v>1784.24</v>
      </c>
      <c r="E15" s="573">
        <v>1430.79</v>
      </c>
      <c r="F15" s="573">
        <v>1667.60380952381</v>
      </c>
      <c r="G15" s="573">
        <v>1722.25</v>
      </c>
      <c r="H15" s="574">
        <v>5.61</v>
      </c>
      <c r="I15" s="573">
        <v>-6.91</v>
      </c>
      <c r="J15" s="573">
        <v>531285007.92000002</v>
      </c>
      <c r="K15" s="575">
        <f t="shared" si="1"/>
        <v>-14.995934355775049</v>
      </c>
      <c r="L15" s="575">
        <f t="shared" si="1"/>
        <v>7.1524118236285972</v>
      </c>
      <c r="M15" s="573"/>
      <c r="P15" s="580">
        <v>39813</v>
      </c>
      <c r="Q15" s="573">
        <f t="shared" si="0"/>
        <v>1722.25</v>
      </c>
    </row>
    <row r="16" spans="1:17">
      <c r="A16" s="572">
        <v>2009</v>
      </c>
      <c r="B16" s="572">
        <v>1</v>
      </c>
      <c r="C16" s="573">
        <v>1726.62</v>
      </c>
      <c r="D16" s="573">
        <v>1880.73</v>
      </c>
      <c r="E16" s="573">
        <v>1667.52</v>
      </c>
      <c r="F16" s="573">
        <v>1765.5494736842099</v>
      </c>
      <c r="G16" s="573">
        <v>1681.77</v>
      </c>
      <c r="H16" s="574">
        <v>3.16</v>
      </c>
      <c r="I16" s="573">
        <v>-4.75</v>
      </c>
      <c r="J16" s="573">
        <v>447683506.08999997</v>
      </c>
      <c r="K16" s="575">
        <f t="shared" si="1"/>
        <v>5.8734372997365938</v>
      </c>
      <c r="L16" s="575">
        <f t="shared" si="1"/>
        <v>-2.35041370300479</v>
      </c>
      <c r="M16" s="573"/>
      <c r="P16" s="580">
        <v>39844</v>
      </c>
      <c r="Q16" s="573">
        <f t="shared" si="0"/>
        <v>1681.77</v>
      </c>
    </row>
    <row r="17" spans="1:17">
      <c r="A17" s="572">
        <v>2009</v>
      </c>
      <c r="B17" s="572">
        <v>2</v>
      </c>
      <c r="C17" s="573">
        <v>1679.81</v>
      </c>
      <c r="D17" s="573">
        <v>1692.88</v>
      </c>
      <c r="E17" s="573">
        <v>1372.77</v>
      </c>
      <c r="F17" s="573">
        <v>1551.7909999999999</v>
      </c>
      <c r="G17" s="573">
        <v>1383.71</v>
      </c>
      <c r="H17" s="574">
        <v>2.17</v>
      </c>
      <c r="I17" s="573">
        <v>-5.96</v>
      </c>
      <c r="J17" s="573">
        <v>413059868.93000001</v>
      </c>
      <c r="K17" s="575">
        <f t="shared" si="1"/>
        <v>-12.107192512603774</v>
      </c>
      <c r="L17" s="575">
        <f t="shared" si="1"/>
        <v>-17.722994226321077</v>
      </c>
      <c r="M17" s="573"/>
      <c r="P17" s="580">
        <v>39872</v>
      </c>
      <c r="Q17" s="573">
        <f t="shared" si="0"/>
        <v>1383.71</v>
      </c>
    </row>
    <row r="18" spans="1:17">
      <c r="A18" s="572">
        <v>2009</v>
      </c>
      <c r="B18" s="572">
        <v>3</v>
      </c>
      <c r="C18" s="573">
        <v>1370.03</v>
      </c>
      <c r="D18" s="573">
        <v>1481.91</v>
      </c>
      <c r="E18" s="573">
        <v>1239.17</v>
      </c>
      <c r="F18" s="573">
        <v>1353.4336363636401</v>
      </c>
      <c r="G18" s="573">
        <v>1451.32</v>
      </c>
      <c r="H18" s="574">
        <v>3.91</v>
      </c>
      <c r="I18" s="573">
        <v>-3.88</v>
      </c>
      <c r="J18" s="573">
        <v>469420643.31</v>
      </c>
      <c r="K18" s="575">
        <f t="shared" si="1"/>
        <v>-12.782479318178801</v>
      </c>
      <c r="L18" s="575">
        <f t="shared" si="1"/>
        <v>4.8861394367316819</v>
      </c>
      <c r="M18" s="573"/>
      <c r="P18" s="580">
        <v>39903</v>
      </c>
      <c r="Q18" s="573">
        <f t="shared" si="0"/>
        <v>1451.32</v>
      </c>
    </row>
    <row r="19" spans="1:17">
      <c r="A19" s="572">
        <v>2009</v>
      </c>
      <c r="B19" s="572">
        <v>4</v>
      </c>
      <c r="C19" s="573">
        <v>1451.99</v>
      </c>
      <c r="D19" s="573">
        <v>1599.63</v>
      </c>
      <c r="E19" s="573">
        <v>1428.69</v>
      </c>
      <c r="F19" s="573">
        <v>1538.4159999999999</v>
      </c>
      <c r="G19" s="573">
        <v>1593.57</v>
      </c>
      <c r="H19" s="574">
        <v>5.36</v>
      </c>
      <c r="I19" s="573">
        <v>-3.58</v>
      </c>
      <c r="J19" s="573">
        <v>485919751.07999998</v>
      </c>
      <c r="K19" s="575">
        <f t="shared" si="1"/>
        <v>13.667634575224866</v>
      </c>
      <c r="L19" s="575">
        <f t="shared" si="1"/>
        <v>9.8014221536256656</v>
      </c>
      <c r="M19" s="573"/>
      <c r="P19" s="580">
        <v>39933</v>
      </c>
      <c r="Q19" s="573">
        <f t="shared" si="0"/>
        <v>1593.57</v>
      </c>
    </row>
    <row r="20" spans="1:17">
      <c r="A20" s="572">
        <v>2009</v>
      </c>
      <c r="B20" s="572">
        <v>5</v>
      </c>
      <c r="C20" s="573">
        <v>1602.29</v>
      </c>
      <c r="D20" s="573">
        <v>2173.86</v>
      </c>
      <c r="E20" s="573">
        <v>1602.29</v>
      </c>
      <c r="F20" s="573">
        <v>1874.2750000000001</v>
      </c>
      <c r="G20" s="573">
        <v>2144.14</v>
      </c>
      <c r="H20" s="574">
        <v>6.08</v>
      </c>
      <c r="I20" s="573">
        <v>-3.58</v>
      </c>
      <c r="J20" s="573">
        <v>924104242.02999997</v>
      </c>
      <c r="K20" s="575">
        <f t="shared" si="1"/>
        <v>21.831481211843879</v>
      </c>
      <c r="L20" s="575">
        <f t="shared" si="1"/>
        <v>34.549470685316606</v>
      </c>
      <c r="M20" s="573"/>
      <c r="P20" s="580">
        <v>39964</v>
      </c>
      <c r="Q20" s="573">
        <f t="shared" si="0"/>
        <v>2144.14</v>
      </c>
    </row>
    <row r="21" spans="1:17">
      <c r="A21" s="572">
        <v>2009</v>
      </c>
      <c r="B21" s="572">
        <v>6</v>
      </c>
      <c r="C21" s="573">
        <v>2186.89</v>
      </c>
      <c r="D21" s="573">
        <v>2292.36</v>
      </c>
      <c r="E21" s="573">
        <v>1855.24</v>
      </c>
      <c r="F21" s="573">
        <v>1987.2015789473701</v>
      </c>
      <c r="G21" s="573">
        <v>1896.36</v>
      </c>
      <c r="H21" s="574">
        <v>5.67</v>
      </c>
      <c r="I21" s="573">
        <v>-7.27</v>
      </c>
      <c r="J21" s="573">
        <v>726988650.69000006</v>
      </c>
      <c r="K21" s="575">
        <f t="shared" si="1"/>
        <v>6.0250805750154086</v>
      </c>
      <c r="L21" s="575">
        <f t="shared" si="1"/>
        <v>-11.556148385833012</v>
      </c>
      <c r="M21" s="573"/>
      <c r="P21" s="580">
        <v>39994</v>
      </c>
      <c r="Q21" s="573">
        <f t="shared" si="0"/>
        <v>1896.36</v>
      </c>
    </row>
    <row r="22" spans="1:17">
      <c r="A22" s="572">
        <v>2009</v>
      </c>
      <c r="B22" s="572">
        <v>7</v>
      </c>
      <c r="C22" s="573">
        <v>1894.29</v>
      </c>
      <c r="D22" s="573">
        <v>1926.15</v>
      </c>
      <c r="E22" s="573">
        <v>1658.25</v>
      </c>
      <c r="F22" s="573">
        <v>1818.8256521739099</v>
      </c>
      <c r="G22" s="573">
        <v>1878.94</v>
      </c>
      <c r="H22" s="574">
        <v>4.2699999999999996</v>
      </c>
      <c r="I22" s="573">
        <v>-4.09</v>
      </c>
      <c r="J22" s="573">
        <v>588222998.49000001</v>
      </c>
      <c r="K22" s="575">
        <f t="shared" si="1"/>
        <v>-8.473016957980164</v>
      </c>
      <c r="L22" s="575">
        <f t="shared" si="1"/>
        <v>-0.91860195321562799</v>
      </c>
      <c r="M22" s="573"/>
      <c r="P22" s="580">
        <v>40025</v>
      </c>
      <c r="Q22" s="573">
        <f t="shared" si="0"/>
        <v>1878.94</v>
      </c>
    </row>
    <row r="23" spans="1:17">
      <c r="A23" s="572">
        <v>2009</v>
      </c>
      <c r="B23" s="572">
        <v>8</v>
      </c>
      <c r="C23" s="573">
        <v>1878.79</v>
      </c>
      <c r="D23" s="573">
        <v>2058</v>
      </c>
      <c r="E23" s="573">
        <v>1867.85</v>
      </c>
      <c r="F23" s="573">
        <v>1942.2625</v>
      </c>
      <c r="G23" s="573">
        <v>2009.02</v>
      </c>
      <c r="H23" s="574">
        <v>3.38</v>
      </c>
      <c r="I23" s="573">
        <v>-1.76</v>
      </c>
      <c r="J23" s="573">
        <v>349067426.55000001</v>
      </c>
      <c r="K23" s="575">
        <f t="shared" si="1"/>
        <v>6.7866234280649707</v>
      </c>
      <c r="L23" s="575">
        <f t="shared" si="1"/>
        <v>6.9230523593089686</v>
      </c>
      <c r="M23" s="573"/>
      <c r="P23" s="580">
        <v>40056</v>
      </c>
      <c r="Q23" s="573">
        <f t="shared" si="0"/>
        <v>2009.02</v>
      </c>
    </row>
    <row r="24" spans="1:17">
      <c r="A24" s="572">
        <v>2009</v>
      </c>
      <c r="B24" s="572">
        <v>9</v>
      </c>
      <c r="C24" s="573">
        <v>2011.89</v>
      </c>
      <c r="D24" s="573">
        <v>2287.44</v>
      </c>
      <c r="E24" s="573">
        <v>1981.09</v>
      </c>
      <c r="F24" s="573">
        <v>2136.5204545454499</v>
      </c>
      <c r="G24" s="573">
        <v>2197.36</v>
      </c>
      <c r="H24" s="574">
        <v>3.03</v>
      </c>
      <c r="I24" s="573">
        <v>-1.8</v>
      </c>
      <c r="J24" s="573">
        <v>607316288.88</v>
      </c>
      <c r="K24" s="575">
        <f t="shared" si="1"/>
        <v>10.001632351211526</v>
      </c>
      <c r="L24" s="575">
        <f t="shared" si="1"/>
        <v>9.3747200127425288</v>
      </c>
      <c r="M24" s="573"/>
      <c r="P24" s="580">
        <v>40086</v>
      </c>
      <c r="Q24" s="573">
        <f t="shared" si="0"/>
        <v>2197.36</v>
      </c>
    </row>
    <row r="25" spans="1:17">
      <c r="A25" s="572">
        <v>2009</v>
      </c>
      <c r="B25" s="572">
        <v>10</v>
      </c>
      <c r="C25" s="573">
        <v>2200.0100000000002</v>
      </c>
      <c r="D25" s="573">
        <v>2318.41</v>
      </c>
      <c r="E25" s="573">
        <v>2119.62</v>
      </c>
      <c r="F25" s="573">
        <v>2217.2869999999998</v>
      </c>
      <c r="G25" s="573">
        <v>2144.77</v>
      </c>
      <c r="H25" s="574">
        <v>2.41</v>
      </c>
      <c r="I25" s="573">
        <v>-3.14</v>
      </c>
      <c r="J25" s="573">
        <v>503064167.32999998</v>
      </c>
      <c r="K25" s="575">
        <f t="shared" si="1"/>
        <v>3.7802842131803089</v>
      </c>
      <c r="L25" s="575">
        <f t="shared" si="1"/>
        <v>-2.3933265372993162</v>
      </c>
      <c r="M25" s="573"/>
      <c r="P25" s="580">
        <v>40117</v>
      </c>
      <c r="Q25" s="573">
        <f t="shared" si="0"/>
        <v>2144.77</v>
      </c>
    </row>
    <row r="26" spans="1:17">
      <c r="A26" s="572">
        <v>2009</v>
      </c>
      <c r="B26" s="572">
        <v>11</v>
      </c>
      <c r="C26" s="573">
        <v>2144.85</v>
      </c>
      <c r="D26" s="573">
        <v>2160.17</v>
      </c>
      <c r="E26" s="573">
        <v>2001.71</v>
      </c>
      <c r="F26" s="573">
        <v>2095.7661904761899</v>
      </c>
      <c r="G26" s="573">
        <v>2066.91</v>
      </c>
      <c r="H26" s="574">
        <v>1.4</v>
      </c>
      <c r="I26" s="573">
        <v>-1.89</v>
      </c>
      <c r="J26" s="573">
        <v>485915655.38999999</v>
      </c>
      <c r="K26" s="575">
        <f t="shared" si="1"/>
        <v>-5.4806080369302634</v>
      </c>
      <c r="L26" s="575">
        <f t="shared" si="1"/>
        <v>-3.6302260848482604</v>
      </c>
      <c r="M26" s="573"/>
      <c r="P26" s="580">
        <v>40147</v>
      </c>
      <c r="Q26" s="573">
        <f t="shared" si="0"/>
        <v>2066.91</v>
      </c>
    </row>
    <row r="27" spans="1:17">
      <c r="A27" s="572">
        <v>2009</v>
      </c>
      <c r="B27" s="572">
        <v>12</v>
      </c>
      <c r="C27" s="573">
        <v>2068.77</v>
      </c>
      <c r="D27" s="573">
        <v>2133.02</v>
      </c>
      <c r="E27" s="573">
        <v>1934.36</v>
      </c>
      <c r="F27" s="573">
        <v>2033.29272727273</v>
      </c>
      <c r="G27" s="573">
        <v>2004.06</v>
      </c>
      <c r="H27" s="574">
        <v>2.3199999999999998</v>
      </c>
      <c r="I27" s="573">
        <v>-2.09</v>
      </c>
      <c r="J27" s="573">
        <v>322929609.64999998</v>
      </c>
      <c r="K27" s="575">
        <f t="shared" si="1"/>
        <v>-2.9809366849870287</v>
      </c>
      <c r="L27" s="575">
        <f t="shared" si="1"/>
        <v>-3.0407710059944435</v>
      </c>
      <c r="M27" s="573"/>
      <c r="P27" s="580">
        <v>40178</v>
      </c>
      <c r="Q27" s="573">
        <f t="shared" si="0"/>
        <v>2004.06</v>
      </c>
    </row>
    <row r="28" spans="1:17">
      <c r="A28" s="572">
        <v>2010</v>
      </c>
      <c r="B28" s="572">
        <v>1</v>
      </c>
      <c r="C28" s="573">
        <v>2001.34</v>
      </c>
      <c r="D28" s="573">
        <v>2221.09</v>
      </c>
      <c r="E28" s="573">
        <v>1979.85</v>
      </c>
      <c r="F28" s="573">
        <v>2134.8815789473701</v>
      </c>
      <c r="G28" s="573">
        <v>2203.4</v>
      </c>
      <c r="H28" s="574">
        <v>1.77</v>
      </c>
      <c r="I28" s="573">
        <v>-0.74</v>
      </c>
      <c r="J28" s="573">
        <v>368693834.60000002</v>
      </c>
      <c r="K28" s="575">
        <f t="shared" si="1"/>
        <v>4.9962728097150233</v>
      </c>
      <c r="L28" s="575">
        <f t="shared" si="1"/>
        <v>9.9468079798010081</v>
      </c>
      <c r="M28" s="573"/>
      <c r="P28" s="580">
        <v>40209</v>
      </c>
      <c r="Q28" s="573">
        <f t="shared" si="0"/>
        <v>2203.4</v>
      </c>
    </row>
    <row r="29" spans="1:17">
      <c r="A29" s="572">
        <v>2010</v>
      </c>
      <c r="B29" s="572">
        <v>2</v>
      </c>
      <c r="C29" s="573">
        <v>2201.41</v>
      </c>
      <c r="D29" s="573">
        <v>2220.65</v>
      </c>
      <c r="E29" s="573">
        <v>2128.54</v>
      </c>
      <c r="F29" s="573">
        <v>2161.7514999999999</v>
      </c>
      <c r="G29" s="573">
        <v>2138.12</v>
      </c>
      <c r="H29" s="574">
        <v>1.3</v>
      </c>
      <c r="I29" s="573">
        <v>-1.54</v>
      </c>
      <c r="J29" s="573">
        <v>383933684.56</v>
      </c>
      <c r="K29" s="575">
        <f t="shared" si="1"/>
        <v>1.2586141225631025</v>
      </c>
      <c r="L29" s="575">
        <f t="shared" si="1"/>
        <v>-2.9626940183353128</v>
      </c>
      <c r="M29" s="573"/>
      <c r="P29" s="580">
        <v>40237</v>
      </c>
      <c r="Q29" s="573">
        <f t="shared" si="0"/>
        <v>2138.12</v>
      </c>
    </row>
    <row r="30" spans="1:17">
      <c r="A30" s="572">
        <v>2010</v>
      </c>
      <c r="B30" s="572">
        <v>3</v>
      </c>
      <c r="C30" s="573">
        <v>2139.0500000000002</v>
      </c>
      <c r="D30" s="573">
        <v>2178.42</v>
      </c>
      <c r="E30" s="573">
        <v>2112.88</v>
      </c>
      <c r="F30" s="573">
        <v>2144.69</v>
      </c>
      <c r="G30" s="573">
        <v>2142.8200000000002</v>
      </c>
      <c r="H30" s="574">
        <v>1.37</v>
      </c>
      <c r="I30" s="573">
        <v>-1.33</v>
      </c>
      <c r="J30" s="573">
        <v>336732535.62</v>
      </c>
      <c r="K30" s="575">
        <f t="shared" si="1"/>
        <v>-0.78924427715210754</v>
      </c>
      <c r="L30" s="575">
        <f t="shared" si="1"/>
        <v>0.21981928048941768</v>
      </c>
      <c r="M30" s="573"/>
      <c r="P30" s="580">
        <v>40268</v>
      </c>
      <c r="Q30" s="573">
        <f t="shared" si="0"/>
        <v>2142.8200000000002</v>
      </c>
    </row>
    <row r="31" spans="1:17">
      <c r="A31" s="572">
        <v>2010</v>
      </c>
      <c r="B31" s="572">
        <v>4</v>
      </c>
      <c r="C31" s="573">
        <v>2142.4499999999998</v>
      </c>
      <c r="D31" s="573">
        <v>2225.9899999999998</v>
      </c>
      <c r="E31" s="573">
        <v>2135.75</v>
      </c>
      <c r="F31" s="573">
        <v>2181.9180000000001</v>
      </c>
      <c r="G31" s="573">
        <v>2161.2600000000002</v>
      </c>
      <c r="H31" s="574">
        <v>1.62</v>
      </c>
      <c r="I31" s="573">
        <v>-1.95</v>
      </c>
      <c r="J31" s="573">
        <v>495313820.63</v>
      </c>
      <c r="K31" s="575">
        <f t="shared" si="1"/>
        <v>1.7358219602833032</v>
      </c>
      <c r="L31" s="575">
        <f t="shared" si="1"/>
        <v>0.86054824950298325</v>
      </c>
      <c r="M31" s="573"/>
      <c r="P31" s="580">
        <v>40298</v>
      </c>
      <c r="Q31" s="573">
        <f t="shared" si="0"/>
        <v>2161.2600000000002</v>
      </c>
    </row>
    <row r="32" spans="1:17">
      <c r="A32" s="572">
        <v>2010</v>
      </c>
      <c r="B32" s="572">
        <v>5</v>
      </c>
      <c r="C32" s="573">
        <v>2161.2600000000002</v>
      </c>
      <c r="D32" s="573">
        <v>2161.2600000000002</v>
      </c>
      <c r="E32" s="573">
        <v>1932.2</v>
      </c>
      <c r="F32" s="573">
        <v>2047.97523809524</v>
      </c>
      <c r="G32" s="573">
        <v>1986.4</v>
      </c>
      <c r="H32" s="574">
        <v>1.61</v>
      </c>
      <c r="I32" s="573">
        <v>-1.79</v>
      </c>
      <c r="J32" s="573">
        <v>358369569.11000001</v>
      </c>
      <c r="K32" s="575">
        <f t="shared" si="1"/>
        <v>-6.1387624055881105</v>
      </c>
      <c r="L32" s="575">
        <f t="shared" si="1"/>
        <v>-8.0906508240563397</v>
      </c>
      <c r="M32" s="573"/>
      <c r="P32" s="580">
        <v>40329</v>
      </c>
      <c r="Q32" s="573">
        <f t="shared" si="0"/>
        <v>1986.4</v>
      </c>
    </row>
    <row r="33" spans="1:17">
      <c r="A33" s="572">
        <v>2010</v>
      </c>
      <c r="B33" s="572">
        <v>6</v>
      </c>
      <c r="C33" s="573">
        <v>1984.68</v>
      </c>
      <c r="D33" s="573">
        <v>1984.68</v>
      </c>
      <c r="E33" s="573">
        <v>1847.52</v>
      </c>
      <c r="F33" s="573">
        <v>1933.0357894736801</v>
      </c>
      <c r="G33" s="573">
        <v>1855.19</v>
      </c>
      <c r="H33" s="574">
        <v>1.53</v>
      </c>
      <c r="I33" s="573">
        <v>-2.54</v>
      </c>
      <c r="J33" s="573">
        <v>203564328.03999999</v>
      </c>
      <c r="K33" s="575">
        <f t="shared" si="1"/>
        <v>-5.6123456223260604</v>
      </c>
      <c r="L33" s="575">
        <f t="shared" si="1"/>
        <v>-6.6054168344744255</v>
      </c>
      <c r="M33" s="573"/>
      <c r="P33" s="580">
        <v>40359</v>
      </c>
      <c r="Q33" s="573">
        <f t="shared" si="0"/>
        <v>1855.19</v>
      </c>
    </row>
    <row r="34" spans="1:17">
      <c r="A34" s="572">
        <v>2010</v>
      </c>
      <c r="B34" s="572">
        <v>7</v>
      </c>
      <c r="C34" s="573">
        <v>1853.12</v>
      </c>
      <c r="D34" s="573">
        <v>1866.03</v>
      </c>
      <c r="E34" s="573">
        <v>1777.06</v>
      </c>
      <c r="F34" s="573">
        <v>1834.2459090909099</v>
      </c>
      <c r="G34" s="573">
        <v>1856.55</v>
      </c>
      <c r="H34" s="574">
        <v>1.54</v>
      </c>
      <c r="I34" s="573">
        <v>-2.17</v>
      </c>
      <c r="J34" s="573">
        <v>239820082.77000001</v>
      </c>
      <c r="K34" s="575">
        <f t="shared" si="1"/>
        <v>-5.1106079318721953</v>
      </c>
      <c r="L34" s="575">
        <f t="shared" si="1"/>
        <v>7.3307855260097199E-2</v>
      </c>
      <c r="M34" s="573"/>
      <c r="P34" s="580">
        <v>40390</v>
      </c>
      <c r="Q34" s="573">
        <f t="shared" si="0"/>
        <v>1856.55</v>
      </c>
    </row>
    <row r="35" spans="1:17">
      <c r="A35" s="572">
        <v>2010</v>
      </c>
      <c r="B35" s="572">
        <v>8</v>
      </c>
      <c r="C35" s="573">
        <v>1856.78</v>
      </c>
      <c r="D35" s="573">
        <v>1891.06</v>
      </c>
      <c r="E35" s="573">
        <v>1838.68</v>
      </c>
      <c r="F35" s="573">
        <v>1862.3695</v>
      </c>
      <c r="G35" s="573">
        <v>1848.06</v>
      </c>
      <c r="H35" s="574">
        <v>0.71</v>
      </c>
      <c r="I35" s="573">
        <v>-0.97</v>
      </c>
      <c r="J35" s="573">
        <v>183619705.66999999</v>
      </c>
      <c r="K35" s="575">
        <f t="shared" si="1"/>
        <v>1.5332508454675349</v>
      </c>
      <c r="L35" s="575">
        <f t="shared" si="1"/>
        <v>-0.45729983033044164</v>
      </c>
      <c r="M35" s="573"/>
      <c r="P35" s="580">
        <v>40421</v>
      </c>
      <c r="Q35" s="573">
        <f t="shared" si="0"/>
        <v>1848.06</v>
      </c>
    </row>
    <row r="36" spans="1:17">
      <c r="A36" s="572">
        <v>2010</v>
      </c>
      <c r="B36" s="572">
        <v>9</v>
      </c>
      <c r="C36" s="573">
        <v>1848.06</v>
      </c>
      <c r="D36" s="573">
        <v>1926.97</v>
      </c>
      <c r="E36" s="573">
        <v>1846.99</v>
      </c>
      <c r="F36" s="573">
        <v>1899.895</v>
      </c>
      <c r="G36" s="573">
        <v>1915.58</v>
      </c>
      <c r="H36" s="574">
        <v>1.01</v>
      </c>
      <c r="I36" s="573">
        <v>-0.76</v>
      </c>
      <c r="J36" s="573">
        <v>270219620.82999998</v>
      </c>
      <c r="K36" s="575">
        <f t="shared" si="1"/>
        <v>2.0149331268580113</v>
      </c>
      <c r="L36" s="575">
        <f t="shared" si="1"/>
        <v>3.6535610315682447</v>
      </c>
      <c r="M36" s="573"/>
      <c r="P36" s="580">
        <v>40451</v>
      </c>
      <c r="Q36" s="573">
        <f t="shared" si="0"/>
        <v>1915.58</v>
      </c>
    </row>
    <row r="37" spans="1:17">
      <c r="A37" s="572">
        <v>2010</v>
      </c>
      <c r="B37" s="572">
        <v>10</v>
      </c>
      <c r="C37" s="573">
        <v>1915.61</v>
      </c>
      <c r="D37" s="573">
        <v>1925.01</v>
      </c>
      <c r="E37" s="573">
        <v>1862.96</v>
      </c>
      <c r="F37" s="573">
        <v>1895.2435</v>
      </c>
      <c r="G37" s="573">
        <v>1869.36</v>
      </c>
      <c r="H37" s="574">
        <v>1.08</v>
      </c>
      <c r="I37" s="573">
        <v>-1.27</v>
      </c>
      <c r="J37" s="573">
        <v>219582962.63999999</v>
      </c>
      <c r="K37" s="575">
        <f t="shared" si="1"/>
        <v>-0.24482931951503417</v>
      </c>
      <c r="L37" s="575">
        <f t="shared" si="1"/>
        <v>-2.4128462397811603</v>
      </c>
      <c r="M37" s="573"/>
      <c r="P37" s="580">
        <v>40482</v>
      </c>
      <c r="Q37" s="573">
        <f t="shared" si="0"/>
        <v>1869.36</v>
      </c>
    </row>
    <row r="38" spans="1:17">
      <c r="A38" s="572">
        <v>2010</v>
      </c>
      <c r="B38" s="572">
        <v>11</v>
      </c>
      <c r="C38" s="573">
        <v>1869.62</v>
      </c>
      <c r="D38" s="573">
        <v>1888.33</v>
      </c>
      <c r="E38" s="573">
        <v>1772.91</v>
      </c>
      <c r="F38" s="573">
        <v>1838.9866666666701</v>
      </c>
      <c r="G38" s="573">
        <v>1787.15</v>
      </c>
      <c r="H38" s="574">
        <v>1.88</v>
      </c>
      <c r="I38" s="573">
        <v>-1.69</v>
      </c>
      <c r="J38" s="573">
        <v>294914670.85000002</v>
      </c>
      <c r="K38" s="575">
        <f t="shared" si="1"/>
        <v>-2.9683169119603861</v>
      </c>
      <c r="L38" s="575">
        <f t="shared" si="1"/>
        <v>-4.3977618008302244</v>
      </c>
      <c r="M38" s="573"/>
      <c r="P38" s="580">
        <v>40512</v>
      </c>
      <c r="Q38" s="573">
        <f t="shared" si="0"/>
        <v>1787.15</v>
      </c>
    </row>
    <row r="39" spans="1:17">
      <c r="A39" s="572">
        <v>2010</v>
      </c>
      <c r="B39" s="572">
        <v>12</v>
      </c>
      <c r="C39" s="573">
        <v>1787.86</v>
      </c>
      <c r="D39" s="573">
        <v>2114.11</v>
      </c>
      <c r="E39" s="573">
        <v>1777.46</v>
      </c>
      <c r="F39" s="573">
        <v>1977.5760869565199</v>
      </c>
      <c r="G39" s="573">
        <v>2110.9299999999998</v>
      </c>
      <c r="H39" s="574">
        <v>8.2100000000000009</v>
      </c>
      <c r="I39" s="573">
        <v>-1.48</v>
      </c>
      <c r="J39" s="573">
        <v>1441046653.8199999</v>
      </c>
      <c r="K39" s="575">
        <f t="shared" si="1"/>
        <v>7.5361840736483288</v>
      </c>
      <c r="L39" s="575">
        <f t="shared" si="1"/>
        <v>18.117113840472257</v>
      </c>
      <c r="M39" s="573"/>
      <c r="P39" s="580">
        <v>40543</v>
      </c>
      <c r="Q39" s="573">
        <f t="shared" si="0"/>
        <v>2110.9299999999998</v>
      </c>
    </row>
    <row r="40" spans="1:17">
      <c r="A40" s="572">
        <v>2011</v>
      </c>
      <c r="B40" s="572">
        <v>1</v>
      </c>
      <c r="C40" s="573">
        <v>2111.2399999999998</v>
      </c>
      <c r="D40" s="573">
        <v>2328.7399999999998</v>
      </c>
      <c r="E40" s="573">
        <v>2107.98</v>
      </c>
      <c r="F40" s="573">
        <v>2251.8609999999999</v>
      </c>
      <c r="G40" s="573">
        <v>2292.58</v>
      </c>
      <c r="H40" s="574">
        <v>1.72</v>
      </c>
      <c r="I40" s="573">
        <v>-1.25</v>
      </c>
      <c r="J40" s="573">
        <v>1143617525.53</v>
      </c>
      <c r="K40" s="575">
        <f t="shared" si="1"/>
        <v>13.869752716599805</v>
      </c>
      <c r="L40" s="575">
        <f t="shared" si="1"/>
        <v>8.6052119208121667</v>
      </c>
      <c r="M40" s="573"/>
      <c r="P40" s="580">
        <v>40574</v>
      </c>
      <c r="Q40" s="573">
        <f t="shared" si="0"/>
        <v>2292.58</v>
      </c>
    </row>
    <row r="41" spans="1:17">
      <c r="A41" s="572">
        <v>2011</v>
      </c>
      <c r="B41" s="572">
        <v>2</v>
      </c>
      <c r="C41" s="573">
        <v>2294.94</v>
      </c>
      <c r="D41" s="573">
        <v>2338.31</v>
      </c>
      <c r="E41" s="573">
        <v>2241.04</v>
      </c>
      <c r="F41" s="573">
        <v>2286.8905</v>
      </c>
      <c r="G41" s="573">
        <v>2241.04</v>
      </c>
      <c r="H41" s="574">
        <v>0.89</v>
      </c>
      <c r="I41" s="573">
        <v>-0.97</v>
      </c>
      <c r="J41" s="573">
        <v>508413369.75</v>
      </c>
      <c r="K41" s="575">
        <f t="shared" si="1"/>
        <v>1.5555800291403585</v>
      </c>
      <c r="L41" s="575">
        <f t="shared" si="1"/>
        <v>-2.2481222029329331</v>
      </c>
      <c r="M41" s="573"/>
      <c r="P41" s="580">
        <v>40602</v>
      </c>
      <c r="Q41" s="573">
        <f t="shared" si="0"/>
        <v>2241.04</v>
      </c>
    </row>
    <row r="42" spans="1:17">
      <c r="A42" s="572">
        <v>2011</v>
      </c>
      <c r="B42" s="572">
        <v>3</v>
      </c>
      <c r="C42" s="573">
        <v>2241.0500000000002</v>
      </c>
      <c r="D42" s="573">
        <v>2302.98</v>
      </c>
      <c r="E42" s="573">
        <v>2201.3000000000002</v>
      </c>
      <c r="F42" s="573">
        <v>2260.02869565217</v>
      </c>
      <c r="G42" s="573">
        <v>2290.4499999999998</v>
      </c>
      <c r="H42" s="574">
        <v>1.37</v>
      </c>
      <c r="I42" s="573">
        <v>-1.1499999999999999</v>
      </c>
      <c r="J42" s="573">
        <v>348048464.92000002</v>
      </c>
      <c r="K42" s="575">
        <f t="shared" si="1"/>
        <v>-1.1745994986568036</v>
      </c>
      <c r="L42" s="575">
        <f t="shared" si="1"/>
        <v>2.2047799236068784</v>
      </c>
      <c r="M42" s="573"/>
      <c r="P42" s="580">
        <v>40633</v>
      </c>
      <c r="Q42" s="573">
        <f t="shared" si="0"/>
        <v>2290.4499999999998</v>
      </c>
    </row>
    <row r="43" spans="1:17">
      <c r="A43" s="572">
        <v>2011</v>
      </c>
      <c r="B43" s="572">
        <v>4</v>
      </c>
      <c r="C43" s="573">
        <v>2289.88</v>
      </c>
      <c r="D43" s="573">
        <v>2289.88</v>
      </c>
      <c r="E43" s="573">
        <v>2178.7399999999998</v>
      </c>
      <c r="F43" s="573">
        <v>2222.0970000000002</v>
      </c>
      <c r="G43" s="573">
        <v>2233.9699999999998</v>
      </c>
      <c r="H43" s="574">
        <v>1.33</v>
      </c>
      <c r="I43" s="573">
        <v>-1.84</v>
      </c>
      <c r="J43" s="573">
        <v>296039666.70999998</v>
      </c>
      <c r="K43" s="575">
        <f t="shared" si="1"/>
        <v>-1.6783723023137895</v>
      </c>
      <c r="L43" s="575">
        <f t="shared" si="1"/>
        <v>-2.4658909821214223</v>
      </c>
      <c r="M43" s="573"/>
      <c r="P43" s="580">
        <v>40663</v>
      </c>
      <c r="Q43" s="573">
        <f t="shared" si="0"/>
        <v>2233.9699999999998</v>
      </c>
    </row>
    <row r="44" spans="1:17">
      <c r="A44" s="572">
        <v>2011</v>
      </c>
      <c r="B44" s="572">
        <v>5</v>
      </c>
      <c r="C44" s="573">
        <v>2233.77</v>
      </c>
      <c r="D44" s="573">
        <v>2296.29</v>
      </c>
      <c r="E44" s="573">
        <v>2194.64</v>
      </c>
      <c r="F44" s="573">
        <v>2222.38409090909</v>
      </c>
      <c r="G44" s="573">
        <v>2278.88</v>
      </c>
      <c r="H44" s="574">
        <v>1.68</v>
      </c>
      <c r="I44" s="573">
        <v>-1.69</v>
      </c>
      <c r="J44" s="573">
        <v>299719050.94999999</v>
      </c>
      <c r="K44" s="575">
        <f t="shared" si="1"/>
        <v>1.2919818940844152E-2</v>
      </c>
      <c r="L44" s="575">
        <f t="shared" si="1"/>
        <v>2.0103224304713194</v>
      </c>
      <c r="M44" s="573"/>
      <c r="P44" s="580">
        <v>40694</v>
      </c>
      <c r="Q44" s="573">
        <f t="shared" si="0"/>
        <v>2278.88</v>
      </c>
    </row>
    <row r="45" spans="1:17">
      <c r="A45" s="572">
        <v>2011</v>
      </c>
      <c r="B45" s="572">
        <v>6</v>
      </c>
      <c r="C45" s="573">
        <v>2278.7199999999998</v>
      </c>
      <c r="D45" s="573">
        <v>2289.06</v>
      </c>
      <c r="E45" s="573">
        <v>2221.88</v>
      </c>
      <c r="F45" s="573">
        <v>2251.4879999999998</v>
      </c>
      <c r="G45" s="573">
        <v>2230.85</v>
      </c>
      <c r="H45" s="574">
        <v>0.47</v>
      </c>
      <c r="I45" s="573">
        <v>-0.72</v>
      </c>
      <c r="J45" s="573">
        <v>273151982.51999998</v>
      </c>
      <c r="K45" s="575">
        <f t="shared" si="1"/>
        <v>1.3095805180554692</v>
      </c>
      <c r="L45" s="575">
        <f t="shared" si="1"/>
        <v>-2.1076142666573077</v>
      </c>
      <c r="M45" s="573"/>
      <c r="P45" s="580">
        <v>40724</v>
      </c>
      <c r="Q45" s="573">
        <f t="shared" si="0"/>
        <v>2230.85</v>
      </c>
    </row>
    <row r="46" spans="1:17">
      <c r="A46" s="572">
        <v>2011</v>
      </c>
      <c r="B46" s="572">
        <v>7</v>
      </c>
      <c r="C46" s="573">
        <v>2231.11</v>
      </c>
      <c r="D46" s="573">
        <v>2240.84</v>
      </c>
      <c r="E46" s="573">
        <v>2056.71</v>
      </c>
      <c r="F46" s="573">
        <v>2185.1457142857098</v>
      </c>
      <c r="G46" s="573">
        <v>2173.73</v>
      </c>
      <c r="H46" s="574">
        <v>4.42</v>
      </c>
      <c r="I46" s="573">
        <v>-4.8899999999999997</v>
      </c>
      <c r="J46" s="573">
        <v>216612227.13</v>
      </c>
      <c r="K46" s="575">
        <f t="shared" si="1"/>
        <v>-2.9465973486996262</v>
      </c>
      <c r="L46" s="575">
        <f t="shared" si="1"/>
        <v>-2.5604590178631383</v>
      </c>
      <c r="M46" s="573"/>
      <c r="P46" s="580">
        <v>40755</v>
      </c>
      <c r="Q46" s="573">
        <f t="shared" si="0"/>
        <v>2173.73</v>
      </c>
    </row>
    <row r="47" spans="1:17">
      <c r="A47" s="572">
        <v>2011</v>
      </c>
      <c r="B47" s="572">
        <v>8</v>
      </c>
      <c r="C47" s="573">
        <v>2174.7800000000002</v>
      </c>
      <c r="D47" s="573">
        <v>2177.13</v>
      </c>
      <c r="E47" s="573">
        <v>1924.3</v>
      </c>
      <c r="F47" s="573">
        <v>2031.4414285714299</v>
      </c>
      <c r="G47" s="573">
        <v>2033.92</v>
      </c>
      <c r="H47" s="574">
        <v>2.2999999999999998</v>
      </c>
      <c r="I47" s="573">
        <v>-4.79</v>
      </c>
      <c r="J47" s="573">
        <v>394382760.76999998</v>
      </c>
      <c r="K47" s="575">
        <f t="shared" si="1"/>
        <v>-7.0340519952246439</v>
      </c>
      <c r="L47" s="575">
        <f t="shared" si="1"/>
        <v>-6.4318015576911591</v>
      </c>
      <c r="M47" s="573"/>
      <c r="P47" s="580">
        <v>40786</v>
      </c>
      <c r="Q47" s="573">
        <f t="shared" si="0"/>
        <v>2033.92</v>
      </c>
    </row>
    <row r="48" spans="1:17">
      <c r="A48" s="572">
        <v>2011</v>
      </c>
      <c r="B48" s="572">
        <v>9</v>
      </c>
      <c r="C48" s="573">
        <v>2034.48</v>
      </c>
      <c r="D48" s="573">
        <v>2037.78</v>
      </c>
      <c r="E48" s="573">
        <v>1832.52</v>
      </c>
      <c r="F48" s="573">
        <v>1930.94909090909</v>
      </c>
      <c r="G48" s="573">
        <v>1854.41</v>
      </c>
      <c r="H48" s="574">
        <v>1.82</v>
      </c>
      <c r="I48" s="573">
        <v>-2.93</v>
      </c>
      <c r="J48" s="573">
        <v>269536064.75</v>
      </c>
      <c r="K48" s="575">
        <f t="shared" si="1"/>
        <v>-4.9468488851784969</v>
      </c>
      <c r="L48" s="575">
        <f t="shared" si="1"/>
        <v>-8.8258141913152883</v>
      </c>
      <c r="M48" s="573"/>
      <c r="P48" s="580">
        <v>40816</v>
      </c>
      <c r="Q48" s="573">
        <f t="shared" si="0"/>
        <v>1854.41</v>
      </c>
    </row>
    <row r="49" spans="1:17">
      <c r="A49" s="572">
        <v>2011</v>
      </c>
      <c r="B49" s="572">
        <v>10</v>
      </c>
      <c r="C49" s="573">
        <v>1853.55</v>
      </c>
      <c r="D49" s="573">
        <v>1878.33</v>
      </c>
      <c r="E49" s="573">
        <v>1784.17</v>
      </c>
      <c r="F49" s="573">
        <v>1815.8804761904801</v>
      </c>
      <c r="G49" s="573">
        <v>1842.63</v>
      </c>
      <c r="H49" s="574">
        <v>1.61</v>
      </c>
      <c r="I49" s="573">
        <v>-2.0699999999999998</v>
      </c>
      <c r="J49" s="573">
        <v>229169164.81999999</v>
      </c>
      <c r="K49" s="575">
        <f t="shared" si="1"/>
        <v>-5.9591739243853254</v>
      </c>
      <c r="L49" s="575">
        <f t="shared" si="1"/>
        <v>-0.63524247604360085</v>
      </c>
      <c r="M49" s="573"/>
      <c r="P49" s="580">
        <v>40847</v>
      </c>
      <c r="Q49" s="573">
        <f t="shared" si="0"/>
        <v>1842.63</v>
      </c>
    </row>
    <row r="50" spans="1:17">
      <c r="A50" s="572">
        <v>2011</v>
      </c>
      <c r="B50" s="572">
        <v>11</v>
      </c>
      <c r="C50" s="573">
        <v>1839.73</v>
      </c>
      <c r="D50" s="573">
        <v>1857.77</v>
      </c>
      <c r="E50" s="573">
        <v>1706.95</v>
      </c>
      <c r="F50" s="573">
        <v>1800.08619047619</v>
      </c>
      <c r="G50" s="573">
        <v>1739.2</v>
      </c>
      <c r="H50" s="574">
        <v>1.33</v>
      </c>
      <c r="I50" s="573">
        <v>-1.68</v>
      </c>
      <c r="J50" s="573">
        <v>169366534.75</v>
      </c>
      <c r="K50" s="575">
        <f t="shared" si="1"/>
        <v>-0.86978663636632803</v>
      </c>
      <c r="L50" s="575">
        <f t="shared" si="1"/>
        <v>-5.6131724762974642</v>
      </c>
      <c r="M50" s="573"/>
      <c r="P50" s="580">
        <v>40877</v>
      </c>
      <c r="Q50" s="573">
        <f t="shared" si="0"/>
        <v>1739.2</v>
      </c>
    </row>
    <row r="51" spans="1:17">
      <c r="A51" s="572">
        <v>2011</v>
      </c>
      <c r="B51" s="572">
        <v>12</v>
      </c>
      <c r="C51" s="573">
        <v>1739.74</v>
      </c>
      <c r="D51" s="573">
        <v>1817.14</v>
      </c>
      <c r="E51" s="573">
        <v>1721.32</v>
      </c>
      <c r="F51" s="573">
        <v>1754.0142857142901</v>
      </c>
      <c r="G51" s="573">
        <v>1740.21</v>
      </c>
      <c r="H51" s="574">
        <v>2.27</v>
      </c>
      <c r="I51" s="573">
        <v>-1.86</v>
      </c>
      <c r="J51" s="573">
        <v>142203607.77000001</v>
      </c>
      <c r="K51" s="575">
        <f t="shared" si="1"/>
        <v>-2.5594277099427245</v>
      </c>
      <c r="L51" s="575">
        <f t="shared" si="1"/>
        <v>5.8072677092923186E-2</v>
      </c>
      <c r="M51" s="573"/>
      <c r="P51" s="580">
        <v>40908</v>
      </c>
      <c r="Q51" s="573">
        <f t="shared" si="0"/>
        <v>1740.21</v>
      </c>
    </row>
    <row r="52" spans="1:17">
      <c r="A52" s="572">
        <v>2012</v>
      </c>
      <c r="B52" s="572">
        <v>1</v>
      </c>
      <c r="C52" s="573">
        <v>1741.44</v>
      </c>
      <c r="D52" s="573">
        <v>1773.47</v>
      </c>
      <c r="E52" s="573">
        <v>1706.45</v>
      </c>
      <c r="F52" s="573">
        <v>1734.5833333333301</v>
      </c>
      <c r="G52" s="573">
        <v>1727.28</v>
      </c>
      <c r="H52" s="574">
        <v>1.37</v>
      </c>
      <c r="I52" s="573">
        <v>-1.74</v>
      </c>
      <c r="J52" s="573">
        <v>137649252.31999999</v>
      </c>
      <c r="K52" s="575">
        <f t="shared" si="1"/>
        <v>-1.1077989808416504</v>
      </c>
      <c r="L52" s="575">
        <f t="shared" si="1"/>
        <v>-0.74301377419968162</v>
      </c>
      <c r="M52" s="573"/>
      <c r="P52" s="580">
        <v>40939</v>
      </c>
      <c r="Q52" s="573">
        <f t="shared" si="0"/>
        <v>1727.28</v>
      </c>
    </row>
    <row r="53" spans="1:17">
      <c r="A53" s="572">
        <v>2012</v>
      </c>
      <c r="B53" s="572">
        <v>2</v>
      </c>
      <c r="C53" s="573">
        <v>1727.48</v>
      </c>
      <c r="D53" s="573">
        <v>1799.69</v>
      </c>
      <c r="E53" s="573">
        <v>1707.69</v>
      </c>
      <c r="F53" s="573">
        <v>1756.34380952381</v>
      </c>
      <c r="G53" s="573">
        <v>1787.23</v>
      </c>
      <c r="H53" s="574">
        <v>1.01</v>
      </c>
      <c r="I53" s="573">
        <v>-1.04</v>
      </c>
      <c r="J53" s="573">
        <v>276592646.19</v>
      </c>
      <c r="K53" s="575">
        <f t="shared" si="1"/>
        <v>1.2545073950793011</v>
      </c>
      <c r="L53" s="575">
        <f t="shared" si="1"/>
        <v>3.4707748598953287</v>
      </c>
      <c r="M53" s="573"/>
      <c r="P53" s="580">
        <v>40968</v>
      </c>
      <c r="Q53" s="573">
        <f t="shared" si="0"/>
        <v>1787.23</v>
      </c>
    </row>
    <row r="54" spans="1:17">
      <c r="A54" s="572">
        <v>2012</v>
      </c>
      <c r="B54" s="572">
        <v>3</v>
      </c>
      <c r="C54" s="573">
        <v>1787.08</v>
      </c>
      <c r="D54" s="573">
        <v>1864.17</v>
      </c>
      <c r="E54" s="573">
        <v>1759.48</v>
      </c>
      <c r="F54" s="573">
        <v>1808.7877272727301</v>
      </c>
      <c r="G54" s="573">
        <v>1833.54</v>
      </c>
      <c r="H54" s="574">
        <v>1.25</v>
      </c>
      <c r="I54" s="573">
        <v>-1.35</v>
      </c>
      <c r="J54" s="573">
        <v>377171051.25999999</v>
      </c>
      <c r="K54" s="575">
        <f t="shared" si="1"/>
        <v>2.9859710533064003</v>
      </c>
      <c r="L54" s="575">
        <f t="shared" si="1"/>
        <v>2.5911606228633133</v>
      </c>
      <c r="M54" s="573"/>
      <c r="P54" s="580">
        <v>40999</v>
      </c>
      <c r="Q54" s="573">
        <f t="shared" si="0"/>
        <v>1833.54</v>
      </c>
    </row>
    <row r="55" spans="1:17">
      <c r="A55" s="572">
        <v>2012</v>
      </c>
      <c r="B55" s="572">
        <v>4</v>
      </c>
      <c r="C55" s="573">
        <v>1833.3</v>
      </c>
      <c r="D55" s="573">
        <v>1850.32</v>
      </c>
      <c r="E55" s="573">
        <v>1793.26</v>
      </c>
      <c r="F55" s="573">
        <v>1826.325</v>
      </c>
      <c r="G55" s="573">
        <v>1800.76</v>
      </c>
      <c r="H55" s="574">
        <v>0.49</v>
      </c>
      <c r="I55" s="573">
        <v>-1.25</v>
      </c>
      <c r="J55" s="573">
        <v>278742267.44</v>
      </c>
      <c r="K55" s="575">
        <f t="shared" si="1"/>
        <v>0.96955947139869636</v>
      </c>
      <c r="L55" s="575">
        <f t="shared" si="1"/>
        <v>-1.7877984663547011</v>
      </c>
      <c r="M55" s="573"/>
      <c r="P55" s="580">
        <v>41029</v>
      </c>
      <c r="Q55" s="573">
        <f t="shared" si="0"/>
        <v>1800.76</v>
      </c>
    </row>
    <row r="56" spans="1:17">
      <c r="A56" s="572">
        <v>2012</v>
      </c>
      <c r="B56" s="572">
        <v>5</v>
      </c>
      <c r="C56" s="573">
        <v>1801.31</v>
      </c>
      <c r="D56" s="573">
        <v>1828.98</v>
      </c>
      <c r="E56" s="573">
        <v>1667.45</v>
      </c>
      <c r="F56" s="573">
        <v>1749.47181818182</v>
      </c>
      <c r="G56" s="573">
        <v>1668.46</v>
      </c>
      <c r="H56" s="574">
        <v>1.28</v>
      </c>
      <c r="I56" s="573">
        <v>-1.47</v>
      </c>
      <c r="J56" s="573">
        <v>219004477.13999999</v>
      </c>
      <c r="K56" s="575">
        <f t="shared" si="1"/>
        <v>-4.2080780703423528</v>
      </c>
      <c r="L56" s="575">
        <f t="shared" si="1"/>
        <v>-7.3468979764099629</v>
      </c>
      <c r="M56" s="573"/>
      <c r="P56" s="580">
        <v>41060</v>
      </c>
      <c r="Q56" s="573">
        <f t="shared" si="0"/>
        <v>1668.46</v>
      </c>
    </row>
    <row r="57" spans="1:17">
      <c r="A57" s="572">
        <v>2012</v>
      </c>
      <c r="B57" s="572">
        <v>6</v>
      </c>
      <c r="C57" s="573">
        <v>1666.57</v>
      </c>
      <c r="D57" s="573">
        <v>1699.19</v>
      </c>
      <c r="E57" s="573">
        <v>1612.69</v>
      </c>
      <c r="F57" s="573">
        <v>1634.3050000000001</v>
      </c>
      <c r="G57" s="573">
        <v>1693.85</v>
      </c>
      <c r="H57" s="574">
        <v>3.33</v>
      </c>
      <c r="I57" s="573">
        <v>-2.46</v>
      </c>
      <c r="J57" s="573">
        <v>106464701.89</v>
      </c>
      <c r="K57" s="575">
        <f t="shared" si="1"/>
        <v>-6.5829478923249951</v>
      </c>
      <c r="L57" s="575">
        <f t="shared" si="1"/>
        <v>1.5217625834602018</v>
      </c>
      <c r="M57" s="573"/>
      <c r="P57" s="580">
        <v>41090</v>
      </c>
      <c r="Q57" s="573">
        <f t="shared" si="0"/>
        <v>1693.85</v>
      </c>
    </row>
    <row r="58" spans="1:17">
      <c r="A58" s="572">
        <v>2012</v>
      </c>
      <c r="B58" s="572">
        <v>7</v>
      </c>
      <c r="C58" s="573">
        <v>1694.23</v>
      </c>
      <c r="D58" s="573">
        <v>1710.87</v>
      </c>
      <c r="E58" s="573">
        <v>1659.5</v>
      </c>
      <c r="F58" s="573">
        <v>1682.20909090909</v>
      </c>
      <c r="G58" s="573">
        <v>1698.23</v>
      </c>
      <c r="H58" s="574">
        <v>0.69</v>
      </c>
      <c r="I58" s="573">
        <v>-1.38</v>
      </c>
      <c r="J58" s="573">
        <v>114703699.64</v>
      </c>
      <c r="K58" s="575">
        <f t="shared" si="1"/>
        <v>2.9311597840727472</v>
      </c>
      <c r="L58" s="575">
        <f t="shared" si="1"/>
        <v>0.25858251911326136</v>
      </c>
      <c r="M58" s="573"/>
      <c r="P58" s="580">
        <v>41121</v>
      </c>
      <c r="Q58" s="573">
        <f t="shared" si="0"/>
        <v>1698.23</v>
      </c>
    </row>
    <row r="59" spans="1:17">
      <c r="A59" s="572">
        <v>2012</v>
      </c>
      <c r="B59" s="572">
        <v>8</v>
      </c>
      <c r="C59" s="573">
        <v>1702.83</v>
      </c>
      <c r="D59" s="573">
        <v>1718.07</v>
      </c>
      <c r="E59" s="573">
        <v>1675.32</v>
      </c>
      <c r="F59" s="573">
        <v>1692.8618181818199</v>
      </c>
      <c r="G59" s="573">
        <v>1679.95</v>
      </c>
      <c r="H59" s="574">
        <v>0.66</v>
      </c>
      <c r="I59" s="573">
        <v>-0.88</v>
      </c>
      <c r="J59" s="573">
        <v>99746524.079999998</v>
      </c>
      <c r="K59" s="575">
        <f t="shared" si="1"/>
        <v>0.63325821565814522</v>
      </c>
      <c r="L59" s="575">
        <f t="shared" si="1"/>
        <v>-1.0764148554671493</v>
      </c>
      <c r="M59" s="573"/>
      <c r="P59" s="580">
        <v>41152</v>
      </c>
      <c r="Q59" s="573">
        <f t="shared" si="0"/>
        <v>1679.95</v>
      </c>
    </row>
    <row r="60" spans="1:17">
      <c r="A60" s="572">
        <v>2012</v>
      </c>
      <c r="B60" s="572">
        <v>9</v>
      </c>
      <c r="C60" s="573">
        <v>1680.94</v>
      </c>
      <c r="D60" s="573">
        <v>1720.3</v>
      </c>
      <c r="E60" s="573">
        <v>1662.95</v>
      </c>
      <c r="F60" s="573">
        <v>1693.5225</v>
      </c>
      <c r="G60" s="573">
        <v>1715.24</v>
      </c>
      <c r="H60" s="574">
        <v>1.1499999999999999</v>
      </c>
      <c r="I60" s="573">
        <v>-0.9</v>
      </c>
      <c r="J60" s="573">
        <v>151841209.81999999</v>
      </c>
      <c r="K60" s="575">
        <f t="shared" si="1"/>
        <v>3.9027510165581702E-2</v>
      </c>
      <c r="L60" s="575">
        <f t="shared" si="1"/>
        <v>2.100657757671371</v>
      </c>
      <c r="M60" s="573"/>
      <c r="P60" s="580">
        <v>41182</v>
      </c>
      <c r="Q60" s="573">
        <f t="shared" si="0"/>
        <v>1715.24</v>
      </c>
    </row>
    <row r="61" spans="1:17">
      <c r="A61" s="572">
        <v>2012</v>
      </c>
      <c r="B61" s="572">
        <v>10</v>
      </c>
      <c r="C61" s="573">
        <v>1716.01</v>
      </c>
      <c r="D61" s="573">
        <v>1785.49</v>
      </c>
      <c r="E61" s="573">
        <v>1705.75</v>
      </c>
      <c r="F61" s="573">
        <v>1758.8181818181799</v>
      </c>
      <c r="G61" s="573">
        <v>1754.82</v>
      </c>
      <c r="H61" s="574">
        <v>1.33</v>
      </c>
      <c r="I61" s="573">
        <v>-1.55</v>
      </c>
      <c r="J61" s="573">
        <v>188860652.00999999</v>
      </c>
      <c r="K61" s="575">
        <f t="shared" si="1"/>
        <v>3.8556134812605052</v>
      </c>
      <c r="L61" s="575">
        <f t="shared" si="1"/>
        <v>2.3075487978358638</v>
      </c>
      <c r="M61" s="573"/>
      <c r="P61" s="580">
        <v>41213</v>
      </c>
      <c r="Q61" s="573">
        <f t="shared" si="0"/>
        <v>1754.82</v>
      </c>
    </row>
    <row r="62" spans="1:17">
      <c r="A62" s="572">
        <v>2012</v>
      </c>
      <c r="B62" s="572">
        <v>11</v>
      </c>
      <c r="C62" s="573">
        <v>1754.83</v>
      </c>
      <c r="D62" s="573">
        <v>1776.55</v>
      </c>
      <c r="E62" s="573">
        <v>1727.46</v>
      </c>
      <c r="F62" s="573">
        <v>1754.8919047618999</v>
      </c>
      <c r="G62" s="573">
        <v>1760.16</v>
      </c>
      <c r="H62" s="574">
        <v>1.24</v>
      </c>
      <c r="I62" s="573">
        <v>-0.86</v>
      </c>
      <c r="J62" s="573">
        <v>167478702.66999999</v>
      </c>
      <c r="K62" s="575">
        <f t="shared" si="1"/>
        <v>-0.22323382239665079</v>
      </c>
      <c r="L62" s="575">
        <f t="shared" si="1"/>
        <v>0.30430471501350098</v>
      </c>
      <c r="M62" s="573"/>
      <c r="P62" s="580">
        <v>41243</v>
      </c>
      <c r="Q62" s="573">
        <f t="shared" si="0"/>
        <v>1760.16</v>
      </c>
    </row>
    <row r="63" spans="1:17">
      <c r="A63" s="572">
        <v>2012</v>
      </c>
      <c r="B63" s="572">
        <v>12</v>
      </c>
      <c r="C63" s="573">
        <v>1761.24</v>
      </c>
      <c r="D63" s="573">
        <v>1773.87</v>
      </c>
      <c r="E63" s="573">
        <v>1674.3</v>
      </c>
      <c r="F63" s="573">
        <v>1734.3894736842101</v>
      </c>
      <c r="G63" s="573">
        <v>1740.39</v>
      </c>
      <c r="H63" s="574">
        <v>1.43</v>
      </c>
      <c r="I63" s="573">
        <v>-2.36</v>
      </c>
      <c r="J63" s="573">
        <v>158615139.55000001</v>
      </c>
      <c r="K63" s="575">
        <f t="shared" si="1"/>
        <v>-1.1683016499225118</v>
      </c>
      <c r="L63" s="575">
        <f t="shared" si="1"/>
        <v>-1.1231933460594519</v>
      </c>
      <c r="M63" s="573"/>
      <c r="P63" s="580">
        <v>41274</v>
      </c>
      <c r="Q63" s="573">
        <f t="shared" si="0"/>
        <v>1740.39</v>
      </c>
    </row>
    <row r="64" spans="1:17">
      <c r="A64" s="572">
        <v>2013</v>
      </c>
      <c r="B64" s="572">
        <v>1</v>
      </c>
      <c r="C64" s="573">
        <v>1740.55</v>
      </c>
      <c r="D64" s="573">
        <v>1909.94</v>
      </c>
      <c r="E64" s="573">
        <v>1740.55</v>
      </c>
      <c r="F64" s="573">
        <v>1860.12</v>
      </c>
      <c r="G64" s="573">
        <v>1887.81</v>
      </c>
      <c r="H64" s="574">
        <v>2.1800000000000002</v>
      </c>
      <c r="I64" s="573">
        <v>-0.57999999999999996</v>
      </c>
      <c r="J64" s="573">
        <v>245627539.06999999</v>
      </c>
      <c r="K64" s="575">
        <f t="shared" si="1"/>
        <v>7.2492671469408521</v>
      </c>
      <c r="L64" s="575">
        <f t="shared" si="1"/>
        <v>8.4705152293451391</v>
      </c>
      <c r="M64" s="573"/>
      <c r="P64" s="580">
        <v>41305</v>
      </c>
      <c r="Q64" s="573">
        <f t="shared" si="0"/>
        <v>1887.81</v>
      </c>
    </row>
    <row r="65" spans="1:17">
      <c r="A65" s="572">
        <v>2013</v>
      </c>
      <c r="B65" s="572">
        <v>2</v>
      </c>
      <c r="C65" s="573">
        <v>1888.8</v>
      </c>
      <c r="D65" s="573">
        <v>1983.34</v>
      </c>
      <c r="E65" s="573">
        <v>1888.8</v>
      </c>
      <c r="F65" s="573">
        <v>1929.0025000000001</v>
      </c>
      <c r="G65" s="573">
        <v>1945.38</v>
      </c>
      <c r="H65" s="574">
        <v>1.69</v>
      </c>
      <c r="I65" s="573">
        <v>-1.2</v>
      </c>
      <c r="J65" s="573">
        <v>263780317.62</v>
      </c>
      <c r="K65" s="575">
        <f t="shared" si="1"/>
        <v>3.7031213040018969</v>
      </c>
      <c r="L65" s="575">
        <f t="shared" si="1"/>
        <v>3.0495653693962907</v>
      </c>
      <c r="M65" s="573"/>
      <c r="P65" s="580">
        <v>41333</v>
      </c>
      <c r="Q65" s="573">
        <f t="shared" si="0"/>
        <v>1945.38</v>
      </c>
    </row>
    <row r="66" spans="1:17">
      <c r="A66" s="572">
        <v>2013</v>
      </c>
      <c r="B66" s="572">
        <v>3</v>
      </c>
      <c r="C66" s="573">
        <v>1946.29</v>
      </c>
      <c r="D66" s="573">
        <v>2032.14</v>
      </c>
      <c r="E66" s="573">
        <v>1938.42</v>
      </c>
      <c r="F66" s="573">
        <v>1999.9571428571401</v>
      </c>
      <c r="G66" s="573">
        <v>2007.94</v>
      </c>
      <c r="H66" s="574">
        <v>1.26</v>
      </c>
      <c r="I66" s="573">
        <v>-0.87</v>
      </c>
      <c r="J66" s="573">
        <v>187350887.59999999</v>
      </c>
      <c r="K66" s="575">
        <f t="shared" si="1"/>
        <v>3.6783074597954055</v>
      </c>
      <c r="L66" s="575">
        <f t="shared" si="1"/>
        <v>3.2158241577481022</v>
      </c>
      <c r="M66" s="573"/>
      <c r="P66" s="580">
        <v>41364</v>
      </c>
      <c r="Q66" s="573">
        <f t="shared" si="0"/>
        <v>2007.94</v>
      </c>
    </row>
    <row r="67" spans="1:17">
      <c r="A67" s="572">
        <v>2013</v>
      </c>
      <c r="B67" s="572">
        <v>4</v>
      </c>
      <c r="C67" s="573">
        <v>2007.93</v>
      </c>
      <c r="D67" s="573">
        <v>2008.49</v>
      </c>
      <c r="E67" s="573">
        <v>1932.23</v>
      </c>
      <c r="F67" s="573">
        <v>1966.6469999999999</v>
      </c>
      <c r="G67" s="573">
        <v>1948.39</v>
      </c>
      <c r="H67" s="574">
        <v>0.52</v>
      </c>
      <c r="I67" s="573">
        <v>-0.98</v>
      </c>
      <c r="J67" s="573">
        <v>135484851.25999999</v>
      </c>
      <c r="K67" s="575">
        <f t="shared" si="1"/>
        <v>-1.6655428330605702</v>
      </c>
      <c r="L67" s="575">
        <f t="shared" si="1"/>
        <v>-2.9657260675119801</v>
      </c>
      <c r="M67" s="573"/>
      <c r="P67" s="580">
        <v>41394</v>
      </c>
      <c r="Q67" s="573">
        <f t="shared" ref="Q67:Q130" si="2">G67</f>
        <v>1948.39</v>
      </c>
    </row>
    <row r="68" spans="1:17">
      <c r="A68" s="572">
        <v>2013</v>
      </c>
      <c r="B68" s="572">
        <v>5</v>
      </c>
      <c r="C68" s="573">
        <v>1946.43</v>
      </c>
      <c r="D68" s="573">
        <v>1956.76</v>
      </c>
      <c r="E68" s="573">
        <v>1845.15</v>
      </c>
      <c r="F68" s="573">
        <v>1902.7442857142901</v>
      </c>
      <c r="G68" s="573">
        <v>1853.97</v>
      </c>
      <c r="H68" s="574">
        <v>1.01</v>
      </c>
      <c r="I68" s="573">
        <v>-1.1299999999999999</v>
      </c>
      <c r="J68" s="573">
        <v>226434249.28</v>
      </c>
      <c r="K68" s="575">
        <f t="shared" ref="K68:L131" si="3">+F68/F67*100-100</f>
        <v>-3.2493230501309966</v>
      </c>
      <c r="L68" s="575">
        <f t="shared" si="3"/>
        <v>-4.8460523817100238</v>
      </c>
      <c r="M68" s="573"/>
      <c r="P68" s="580">
        <v>41425</v>
      </c>
      <c r="Q68" s="573">
        <f t="shared" si="2"/>
        <v>1853.97</v>
      </c>
    </row>
    <row r="69" spans="1:17">
      <c r="A69" s="572">
        <v>2013</v>
      </c>
      <c r="B69" s="572">
        <v>6</v>
      </c>
      <c r="C69" s="573">
        <v>1853.89</v>
      </c>
      <c r="D69" s="573">
        <v>1858.71</v>
      </c>
      <c r="E69" s="573">
        <v>1774.78</v>
      </c>
      <c r="F69" s="573">
        <v>1814.1315789473699</v>
      </c>
      <c r="G69" s="573">
        <v>1804.69</v>
      </c>
      <c r="H69" s="574">
        <v>0.91</v>
      </c>
      <c r="I69" s="573">
        <v>-1.37</v>
      </c>
      <c r="J69" s="573">
        <v>141361943.55000001</v>
      </c>
      <c r="K69" s="575">
        <f t="shared" si="3"/>
        <v>-4.6571001385850934</v>
      </c>
      <c r="L69" s="575">
        <f t="shared" si="3"/>
        <v>-2.6580796884523465</v>
      </c>
      <c r="M69" s="573"/>
      <c r="P69" s="580">
        <v>41455</v>
      </c>
      <c r="Q69" s="573">
        <f t="shared" si="2"/>
        <v>1804.69</v>
      </c>
    </row>
    <row r="70" spans="1:17">
      <c r="A70" s="572">
        <v>2013</v>
      </c>
      <c r="B70" s="572">
        <v>7</v>
      </c>
      <c r="C70" s="573">
        <v>1806.96</v>
      </c>
      <c r="D70" s="573">
        <v>1861.36</v>
      </c>
      <c r="E70" s="573">
        <v>1792.95</v>
      </c>
      <c r="F70" s="573">
        <v>1828.5830434782599</v>
      </c>
      <c r="G70" s="573">
        <v>1848.55</v>
      </c>
      <c r="H70" s="574">
        <v>1.51</v>
      </c>
      <c r="I70" s="573">
        <v>-0.57999999999999996</v>
      </c>
      <c r="J70" s="573">
        <v>141293225.78</v>
      </c>
      <c r="K70" s="575">
        <f t="shared" si="3"/>
        <v>0.79660509185752915</v>
      </c>
      <c r="L70" s="575">
        <f t="shared" si="3"/>
        <v>2.4303342956407903</v>
      </c>
      <c r="M70" s="573"/>
      <c r="P70" s="580">
        <v>41486</v>
      </c>
      <c r="Q70" s="573">
        <f t="shared" si="2"/>
        <v>1848.55</v>
      </c>
    </row>
    <row r="71" spans="1:17">
      <c r="A71" s="572">
        <v>2013</v>
      </c>
      <c r="B71" s="572">
        <v>8</v>
      </c>
      <c r="C71" s="573">
        <v>1850.43</v>
      </c>
      <c r="D71" s="573">
        <v>1861.79</v>
      </c>
      <c r="E71" s="573">
        <v>1822.17</v>
      </c>
      <c r="F71" s="573">
        <v>1840.528</v>
      </c>
      <c r="G71" s="573">
        <v>1841.41</v>
      </c>
      <c r="H71" s="574">
        <v>0.59</v>
      </c>
      <c r="I71" s="573">
        <v>-0.74</v>
      </c>
      <c r="J71" s="573">
        <v>122487902.92</v>
      </c>
      <c r="K71" s="575">
        <f t="shared" si="3"/>
        <v>0.65323566049364956</v>
      </c>
      <c r="L71" s="575">
        <f t="shared" si="3"/>
        <v>-0.38624868139892499</v>
      </c>
      <c r="M71" s="573"/>
      <c r="P71" s="580">
        <v>41517</v>
      </c>
      <c r="Q71" s="573">
        <f t="shared" si="2"/>
        <v>1841.41</v>
      </c>
    </row>
    <row r="72" spans="1:17">
      <c r="A72" s="572">
        <v>2013</v>
      </c>
      <c r="B72" s="572">
        <v>9</v>
      </c>
      <c r="C72" s="573">
        <v>1841.17</v>
      </c>
      <c r="D72" s="573">
        <v>1853.71</v>
      </c>
      <c r="E72" s="573">
        <v>1809.8</v>
      </c>
      <c r="F72" s="573">
        <v>1826.87380952381</v>
      </c>
      <c r="G72" s="573">
        <v>1810.54</v>
      </c>
      <c r="H72" s="574">
        <v>0.5</v>
      </c>
      <c r="I72" s="573">
        <v>-0.49</v>
      </c>
      <c r="J72" s="573">
        <v>148081742.28999999</v>
      </c>
      <c r="K72" s="575">
        <f t="shared" si="3"/>
        <v>-0.74186268702187874</v>
      </c>
      <c r="L72" s="575">
        <f t="shared" si="3"/>
        <v>-1.6764327336117617</v>
      </c>
      <c r="M72" s="573"/>
      <c r="P72" s="580">
        <v>41547</v>
      </c>
      <c r="Q72" s="573">
        <f t="shared" si="2"/>
        <v>1810.54</v>
      </c>
    </row>
    <row r="73" spans="1:17">
      <c r="A73" s="572">
        <v>2013</v>
      </c>
      <c r="B73" s="572">
        <v>10</v>
      </c>
      <c r="C73" s="573">
        <v>1810.2</v>
      </c>
      <c r="D73" s="573">
        <v>1819.11</v>
      </c>
      <c r="E73" s="573">
        <v>1749.09</v>
      </c>
      <c r="F73" s="573">
        <v>1779.6263636363601</v>
      </c>
      <c r="G73" s="573">
        <v>1764.41</v>
      </c>
      <c r="H73" s="574">
        <v>0.56999999999999995</v>
      </c>
      <c r="I73" s="573">
        <v>-0.76</v>
      </c>
      <c r="J73" s="573">
        <v>146611064.08000001</v>
      </c>
      <c r="K73" s="575">
        <f t="shared" si="3"/>
        <v>-2.5862457297893684</v>
      </c>
      <c r="L73" s="575">
        <f t="shared" si="3"/>
        <v>-2.5478586499055496</v>
      </c>
      <c r="M73" s="573"/>
      <c r="P73" s="580">
        <v>41578</v>
      </c>
      <c r="Q73" s="573">
        <f t="shared" si="2"/>
        <v>1764.41</v>
      </c>
    </row>
    <row r="74" spans="1:17">
      <c r="A74" s="572">
        <v>2013</v>
      </c>
      <c r="B74" s="572">
        <v>11</v>
      </c>
      <c r="C74" s="573">
        <v>1762.42</v>
      </c>
      <c r="D74" s="573">
        <v>1777.14</v>
      </c>
      <c r="E74" s="573">
        <v>1734.89</v>
      </c>
      <c r="F74" s="573">
        <v>1758.3810000000001</v>
      </c>
      <c r="G74" s="573">
        <v>1772.11</v>
      </c>
      <c r="H74" s="574">
        <v>0.56999999999999995</v>
      </c>
      <c r="I74" s="573">
        <v>-0.75</v>
      </c>
      <c r="J74" s="573">
        <v>152637787.55000001</v>
      </c>
      <c r="K74" s="575">
        <f t="shared" si="3"/>
        <v>-1.1938103452765745</v>
      </c>
      <c r="L74" s="575">
        <f t="shared" si="3"/>
        <v>0.43640650415719051</v>
      </c>
      <c r="M74" s="573"/>
      <c r="P74" s="580">
        <v>41608</v>
      </c>
      <c r="Q74" s="573">
        <f t="shared" si="2"/>
        <v>1772.11</v>
      </c>
    </row>
    <row r="75" spans="1:17">
      <c r="A75" s="572">
        <v>2013</v>
      </c>
      <c r="B75" s="572">
        <v>12</v>
      </c>
      <c r="C75" s="573">
        <v>1771.95</v>
      </c>
      <c r="D75" s="573">
        <v>1794.28</v>
      </c>
      <c r="E75" s="573">
        <v>1755.78</v>
      </c>
      <c r="F75" s="573">
        <v>1771.37526315789</v>
      </c>
      <c r="G75" s="573">
        <v>1794.28</v>
      </c>
      <c r="H75" s="574">
        <v>0.82</v>
      </c>
      <c r="I75" s="573">
        <v>-0.45</v>
      </c>
      <c r="J75" s="573">
        <v>140263948.81</v>
      </c>
      <c r="K75" s="575">
        <f t="shared" si="3"/>
        <v>0.7389901937003458</v>
      </c>
      <c r="L75" s="575">
        <f t="shared" si="3"/>
        <v>1.2510510069916734</v>
      </c>
      <c r="M75" s="573"/>
      <c r="P75" s="580">
        <v>41639</v>
      </c>
      <c r="Q75" s="573">
        <f t="shared" si="2"/>
        <v>1794.28</v>
      </c>
    </row>
    <row r="76" spans="1:17">
      <c r="A76" s="572">
        <v>2014</v>
      </c>
      <c r="B76" s="572">
        <v>1</v>
      </c>
      <c r="C76" s="573">
        <v>1794.71</v>
      </c>
      <c r="D76" s="573">
        <v>1819.56</v>
      </c>
      <c r="E76" s="573">
        <v>1791.33</v>
      </c>
      <c r="F76" s="573">
        <v>1806.3204761904799</v>
      </c>
      <c r="G76" s="573">
        <v>1803.53</v>
      </c>
      <c r="H76" s="574">
        <v>0.67</v>
      </c>
      <c r="I76" s="573">
        <v>-0.5</v>
      </c>
      <c r="J76" s="573">
        <v>143604547.93000001</v>
      </c>
      <c r="K76" s="575">
        <f t="shared" si="3"/>
        <v>1.9727730063415123</v>
      </c>
      <c r="L76" s="575">
        <f t="shared" si="3"/>
        <v>0.51552711951312347</v>
      </c>
      <c r="M76" s="573"/>
      <c r="P76" s="580">
        <v>41670</v>
      </c>
      <c r="Q76" s="573">
        <f t="shared" si="2"/>
        <v>1803.53</v>
      </c>
    </row>
    <row r="77" spans="1:17">
      <c r="A77" s="572">
        <v>2014</v>
      </c>
      <c r="B77" s="572">
        <v>2</v>
      </c>
      <c r="C77" s="573">
        <v>1803.15</v>
      </c>
      <c r="D77" s="573">
        <v>1814.05</v>
      </c>
      <c r="E77" s="573">
        <v>1777.97</v>
      </c>
      <c r="F77" s="573">
        <v>1794.684</v>
      </c>
      <c r="G77" s="573">
        <v>1795.09</v>
      </c>
      <c r="H77" s="574">
        <v>0.93</v>
      </c>
      <c r="I77" s="573">
        <v>-0.7</v>
      </c>
      <c r="J77" s="573">
        <v>181817794.96000001</v>
      </c>
      <c r="K77" s="575">
        <f t="shared" si="3"/>
        <v>-0.64420884022868563</v>
      </c>
      <c r="L77" s="575">
        <f t="shared" si="3"/>
        <v>-0.46797114547581486</v>
      </c>
      <c r="M77" s="573"/>
      <c r="P77" s="580">
        <v>41698</v>
      </c>
      <c r="Q77" s="573">
        <f t="shared" si="2"/>
        <v>1795.09</v>
      </c>
    </row>
    <row r="78" spans="1:17">
      <c r="A78" s="572">
        <v>2014</v>
      </c>
      <c r="B78" s="572">
        <v>3</v>
      </c>
      <c r="C78" s="573">
        <v>1794.64</v>
      </c>
      <c r="D78" s="573">
        <v>1795.14</v>
      </c>
      <c r="E78" s="573">
        <v>1746.19</v>
      </c>
      <c r="F78" s="573">
        <v>1767.6652380952401</v>
      </c>
      <c r="G78" s="573">
        <v>1758.44</v>
      </c>
      <c r="H78" s="574">
        <v>0.49</v>
      </c>
      <c r="I78" s="573">
        <v>-1.1000000000000001</v>
      </c>
      <c r="J78" s="573">
        <v>178872751.91</v>
      </c>
      <c r="K78" s="575">
        <f t="shared" si="3"/>
        <v>-1.5054885375230356</v>
      </c>
      <c r="L78" s="575">
        <f t="shared" si="3"/>
        <v>-2.0416803614303376</v>
      </c>
      <c r="M78" s="573"/>
      <c r="P78" s="580">
        <v>41729</v>
      </c>
      <c r="Q78" s="573">
        <f t="shared" si="2"/>
        <v>1758.44</v>
      </c>
    </row>
    <row r="79" spans="1:17">
      <c r="A79" s="572">
        <v>2014</v>
      </c>
      <c r="B79" s="572">
        <v>4</v>
      </c>
      <c r="C79" s="573">
        <v>1758.44</v>
      </c>
      <c r="D79" s="573">
        <v>1758.44</v>
      </c>
      <c r="E79" s="573">
        <v>1718.35</v>
      </c>
      <c r="F79" s="573">
        <v>1744.6723809523801</v>
      </c>
      <c r="G79" s="573">
        <v>1721.39</v>
      </c>
      <c r="H79" s="574">
        <v>0.43</v>
      </c>
      <c r="I79" s="573">
        <v>-1.02</v>
      </c>
      <c r="J79" s="573">
        <v>150341022.88</v>
      </c>
      <c r="K79" s="575">
        <f t="shared" si="3"/>
        <v>-1.3007472595679985</v>
      </c>
      <c r="L79" s="575">
        <f t="shared" si="3"/>
        <v>-2.1069811878710567</v>
      </c>
      <c r="M79" s="573"/>
      <c r="P79" s="580">
        <v>41759</v>
      </c>
      <c r="Q79" s="573">
        <f t="shared" si="2"/>
        <v>1721.39</v>
      </c>
    </row>
    <row r="80" spans="1:17">
      <c r="A80" s="572">
        <v>2014</v>
      </c>
      <c r="B80" s="572">
        <v>5</v>
      </c>
      <c r="C80" s="573">
        <v>1720.53</v>
      </c>
      <c r="D80" s="573">
        <v>1725.12</v>
      </c>
      <c r="E80" s="573">
        <v>1661.36</v>
      </c>
      <c r="F80" s="573">
        <v>1690.8180952381001</v>
      </c>
      <c r="G80" s="573">
        <v>1701.51</v>
      </c>
      <c r="H80" s="574">
        <v>1.05</v>
      </c>
      <c r="I80" s="573">
        <v>-1.29</v>
      </c>
      <c r="J80" s="573">
        <v>203695396.94999999</v>
      </c>
      <c r="K80" s="575">
        <f t="shared" si="3"/>
        <v>-3.0867850206284544</v>
      </c>
      <c r="L80" s="575">
        <f t="shared" si="3"/>
        <v>-1.1548806487780325</v>
      </c>
      <c r="M80" s="573"/>
      <c r="P80" s="580">
        <v>41790</v>
      </c>
      <c r="Q80" s="573">
        <f t="shared" si="2"/>
        <v>1701.51</v>
      </c>
    </row>
    <row r="81" spans="1:17">
      <c r="A81" s="572">
        <v>2014</v>
      </c>
      <c r="B81" s="572">
        <v>6</v>
      </c>
      <c r="C81" s="573">
        <v>1701.61</v>
      </c>
      <c r="D81" s="573">
        <v>1819.3</v>
      </c>
      <c r="E81" s="573">
        <v>1687.46</v>
      </c>
      <c r="F81" s="573">
        <v>1768.7110526315801</v>
      </c>
      <c r="G81" s="573">
        <v>1791.48</v>
      </c>
      <c r="H81" s="574">
        <v>1.37</v>
      </c>
      <c r="I81" s="573">
        <v>-0.73</v>
      </c>
      <c r="J81" s="573">
        <v>156689048.53</v>
      </c>
      <c r="K81" s="575">
        <f t="shared" si="3"/>
        <v>4.6068206634913622</v>
      </c>
      <c r="L81" s="575">
        <f t="shared" si="3"/>
        <v>5.2876562582647324</v>
      </c>
      <c r="M81" s="573"/>
      <c r="P81" s="580">
        <v>41820</v>
      </c>
      <c r="Q81" s="573">
        <f t="shared" si="2"/>
        <v>1791.48</v>
      </c>
    </row>
    <row r="82" spans="1:17">
      <c r="A82" s="572">
        <v>2014</v>
      </c>
      <c r="B82" s="572">
        <v>7</v>
      </c>
      <c r="C82" s="573">
        <v>1791.49</v>
      </c>
      <c r="D82" s="573">
        <v>1844.04</v>
      </c>
      <c r="E82" s="573">
        <v>1768.62</v>
      </c>
      <c r="F82" s="573">
        <v>1810.45869565217</v>
      </c>
      <c r="G82" s="573">
        <v>1815.3</v>
      </c>
      <c r="H82" s="574">
        <v>1.85</v>
      </c>
      <c r="I82" s="573">
        <v>-0.96</v>
      </c>
      <c r="J82" s="573">
        <v>153530803.58000001</v>
      </c>
      <c r="K82" s="575">
        <f t="shared" si="3"/>
        <v>2.3603427455533676</v>
      </c>
      <c r="L82" s="575">
        <f t="shared" si="3"/>
        <v>1.3296269006631434</v>
      </c>
      <c r="M82" s="573"/>
      <c r="P82" s="580">
        <v>41851</v>
      </c>
      <c r="Q82" s="573">
        <f t="shared" si="2"/>
        <v>1815.3</v>
      </c>
    </row>
    <row r="83" spans="1:17">
      <c r="A83" s="572">
        <v>2014</v>
      </c>
      <c r="B83" s="572">
        <v>8</v>
      </c>
      <c r="C83" s="573">
        <v>1815.68</v>
      </c>
      <c r="D83" s="573">
        <v>1876.22</v>
      </c>
      <c r="E83" s="573">
        <v>1791.86</v>
      </c>
      <c r="F83" s="573">
        <v>1833.6215789473699</v>
      </c>
      <c r="G83" s="573">
        <v>1850.73</v>
      </c>
      <c r="H83" s="574">
        <v>0.99</v>
      </c>
      <c r="I83" s="573">
        <v>-0.82</v>
      </c>
      <c r="J83" s="573">
        <v>105959456.91</v>
      </c>
      <c r="K83" s="575">
        <f t="shared" si="3"/>
        <v>1.2793930814785028</v>
      </c>
      <c r="L83" s="575">
        <f t="shared" si="3"/>
        <v>1.9517435134688554</v>
      </c>
      <c r="M83" s="573"/>
      <c r="P83" s="580">
        <v>41882</v>
      </c>
      <c r="Q83" s="573">
        <f t="shared" si="2"/>
        <v>1850.73</v>
      </c>
    </row>
    <row r="84" spans="1:17">
      <c r="A84" s="572">
        <v>2014</v>
      </c>
      <c r="B84" s="572">
        <v>9</v>
      </c>
      <c r="C84" s="573">
        <v>1849.95</v>
      </c>
      <c r="D84" s="573">
        <v>1938.71</v>
      </c>
      <c r="E84" s="573">
        <v>1840.74</v>
      </c>
      <c r="F84" s="573">
        <v>1880.8195454545501</v>
      </c>
      <c r="G84" s="573">
        <v>1918.06</v>
      </c>
      <c r="H84" s="574">
        <v>0.83</v>
      </c>
      <c r="I84" s="573">
        <v>-0.36</v>
      </c>
      <c r="J84" s="573">
        <v>184138170.06999999</v>
      </c>
      <c r="K84" s="575">
        <f t="shared" si="3"/>
        <v>2.5740298352223192</v>
      </c>
      <c r="L84" s="575">
        <f t="shared" si="3"/>
        <v>3.6380239148876399</v>
      </c>
      <c r="M84" s="573"/>
      <c r="P84" s="580">
        <v>41912</v>
      </c>
      <c r="Q84" s="573">
        <f t="shared" si="2"/>
        <v>1918.06</v>
      </c>
    </row>
    <row r="85" spans="1:17">
      <c r="A85" s="572">
        <v>2014</v>
      </c>
      <c r="B85" s="572">
        <v>10</v>
      </c>
      <c r="C85" s="573">
        <v>1917.39</v>
      </c>
      <c r="D85" s="573">
        <v>1928.9</v>
      </c>
      <c r="E85" s="573">
        <v>1804.59</v>
      </c>
      <c r="F85" s="573">
        <v>1860.97727272727</v>
      </c>
      <c r="G85" s="573">
        <v>1838.75</v>
      </c>
      <c r="H85" s="574">
        <v>1.23</v>
      </c>
      <c r="I85" s="573">
        <v>-1.98</v>
      </c>
      <c r="J85" s="573">
        <v>115489124.08</v>
      </c>
      <c r="K85" s="575">
        <f t="shared" si="3"/>
        <v>-1.0549801428443146</v>
      </c>
      <c r="L85" s="575">
        <f t="shared" si="3"/>
        <v>-4.1349071457618578</v>
      </c>
      <c r="M85" s="573"/>
      <c r="P85" s="580">
        <v>41943</v>
      </c>
      <c r="Q85" s="573">
        <f t="shared" si="2"/>
        <v>1838.75</v>
      </c>
    </row>
    <row r="86" spans="1:17">
      <c r="A86" s="572">
        <v>2014</v>
      </c>
      <c r="B86" s="572">
        <v>11</v>
      </c>
      <c r="C86" s="573">
        <v>1838.75</v>
      </c>
      <c r="D86" s="573">
        <v>1845.62</v>
      </c>
      <c r="E86" s="573">
        <v>1792.02</v>
      </c>
      <c r="F86" s="573">
        <v>1814.9829999999999</v>
      </c>
      <c r="G86" s="573">
        <v>1792.02</v>
      </c>
      <c r="H86" s="574">
        <v>0.71</v>
      </c>
      <c r="I86" s="573">
        <v>-0.82</v>
      </c>
      <c r="J86" s="573">
        <v>86440247.489999995</v>
      </c>
      <c r="K86" s="575">
        <f t="shared" si="3"/>
        <v>-2.4715117912141551</v>
      </c>
      <c r="L86" s="575">
        <f t="shared" si="3"/>
        <v>-2.5414004078858028</v>
      </c>
      <c r="M86" s="573"/>
      <c r="P86" s="580">
        <v>41973</v>
      </c>
      <c r="Q86" s="573">
        <f t="shared" si="2"/>
        <v>1792.02</v>
      </c>
    </row>
    <row r="87" spans="1:17">
      <c r="A87" s="572">
        <v>2014</v>
      </c>
      <c r="B87" s="572">
        <v>12</v>
      </c>
      <c r="C87" s="573">
        <v>1792.62</v>
      </c>
      <c r="D87" s="573">
        <v>1792.62</v>
      </c>
      <c r="E87" s="573">
        <v>1727.53</v>
      </c>
      <c r="F87" s="573">
        <v>1755.44</v>
      </c>
      <c r="G87" s="573">
        <v>1745.44</v>
      </c>
      <c r="H87" s="574">
        <v>0.51</v>
      </c>
      <c r="I87" s="573">
        <v>-0.8</v>
      </c>
      <c r="J87" s="573">
        <v>144168843.47999999</v>
      </c>
      <c r="K87" s="575">
        <f t="shared" si="3"/>
        <v>-3.2806367883335525</v>
      </c>
      <c r="L87" s="575">
        <f t="shared" si="3"/>
        <v>-2.5993013470831698</v>
      </c>
      <c r="M87" s="573"/>
      <c r="P87" s="580">
        <v>42004</v>
      </c>
      <c r="Q87" s="573">
        <f t="shared" si="2"/>
        <v>1745.44</v>
      </c>
    </row>
    <row r="88" spans="1:17">
      <c r="A88" s="572">
        <v>2015</v>
      </c>
      <c r="B88" s="572">
        <v>1</v>
      </c>
      <c r="C88" s="573">
        <v>1745.39</v>
      </c>
      <c r="D88" s="573">
        <v>1808.25</v>
      </c>
      <c r="E88" s="573">
        <v>1740.11</v>
      </c>
      <c r="F88" s="573">
        <v>1776.8475000000001</v>
      </c>
      <c r="G88" s="573">
        <v>1764.75</v>
      </c>
      <c r="H88" s="574">
        <v>1.41</v>
      </c>
      <c r="I88" s="573">
        <v>-0.95</v>
      </c>
      <c r="J88" s="573">
        <v>119376985.59</v>
      </c>
      <c r="K88" s="575">
        <f t="shared" si="3"/>
        <v>1.2194948275076314</v>
      </c>
      <c r="L88" s="575">
        <f t="shared" si="3"/>
        <v>1.1063113025941789</v>
      </c>
      <c r="M88" s="573"/>
      <c r="P88" s="580">
        <v>42035</v>
      </c>
      <c r="Q88" s="573">
        <f t="shared" si="2"/>
        <v>1764.75</v>
      </c>
    </row>
    <row r="89" spans="1:17">
      <c r="A89" s="572">
        <v>2015</v>
      </c>
      <c r="B89" s="572">
        <v>2</v>
      </c>
      <c r="C89" s="573">
        <v>1764.75</v>
      </c>
      <c r="D89" s="573">
        <v>1774.99</v>
      </c>
      <c r="E89" s="573">
        <v>1728.23</v>
      </c>
      <c r="F89" s="573">
        <v>1751.845</v>
      </c>
      <c r="G89" s="573">
        <v>1745.56</v>
      </c>
      <c r="H89" s="574">
        <v>0.71</v>
      </c>
      <c r="I89" s="573">
        <v>-0.91</v>
      </c>
      <c r="J89" s="573">
        <v>135195078.40000001</v>
      </c>
      <c r="K89" s="575">
        <f t="shared" si="3"/>
        <v>-1.4071269481483455</v>
      </c>
      <c r="L89" s="575">
        <f t="shared" si="3"/>
        <v>-1.0874061481796389</v>
      </c>
      <c r="M89" s="573"/>
      <c r="P89" s="580">
        <v>42063</v>
      </c>
      <c r="Q89" s="573">
        <f t="shared" si="2"/>
        <v>1745.56</v>
      </c>
    </row>
    <row r="90" spans="1:17">
      <c r="A90" s="572">
        <v>2015</v>
      </c>
      <c r="B90" s="572">
        <v>3</v>
      </c>
      <c r="C90" s="573">
        <v>1745.72</v>
      </c>
      <c r="D90" s="573">
        <v>1764.46</v>
      </c>
      <c r="E90" s="573">
        <v>1708.26</v>
      </c>
      <c r="F90" s="573">
        <v>1737.2104545454499</v>
      </c>
      <c r="G90" s="573">
        <v>1712.82</v>
      </c>
      <c r="H90" s="574">
        <v>0.63</v>
      </c>
      <c r="I90" s="573">
        <v>-0.66</v>
      </c>
      <c r="J90" s="573">
        <v>109908810.5</v>
      </c>
      <c r="K90" s="575">
        <f t="shared" si="3"/>
        <v>-0.83537901210152654</v>
      </c>
      <c r="L90" s="575">
        <f t="shared" si="3"/>
        <v>-1.8756158482091649</v>
      </c>
      <c r="M90" s="573"/>
      <c r="P90" s="580">
        <v>42094</v>
      </c>
      <c r="Q90" s="573">
        <f t="shared" si="2"/>
        <v>1712.82</v>
      </c>
    </row>
    <row r="91" spans="1:17">
      <c r="A91" s="572">
        <v>2015</v>
      </c>
      <c r="B91" s="572">
        <v>4</v>
      </c>
      <c r="C91" s="573">
        <v>1713</v>
      </c>
      <c r="D91" s="573">
        <v>1755.08</v>
      </c>
      <c r="E91" s="573">
        <v>1704.3</v>
      </c>
      <c r="F91" s="573">
        <v>1730.4670000000001</v>
      </c>
      <c r="G91" s="573">
        <v>1751.67</v>
      </c>
      <c r="H91" s="574">
        <v>1.23</v>
      </c>
      <c r="I91" s="573">
        <v>-0.83</v>
      </c>
      <c r="J91" s="573">
        <v>112683510.66</v>
      </c>
      <c r="K91" s="575">
        <f t="shared" si="3"/>
        <v>-0.38817717955849673</v>
      </c>
      <c r="L91" s="575">
        <f t="shared" si="3"/>
        <v>2.2681893018530843</v>
      </c>
      <c r="M91" s="573"/>
      <c r="P91" s="580">
        <v>42124</v>
      </c>
      <c r="Q91" s="573">
        <f t="shared" si="2"/>
        <v>1751.67</v>
      </c>
    </row>
    <row r="92" spans="1:17">
      <c r="A92" s="572">
        <v>2015</v>
      </c>
      <c r="B92" s="572">
        <v>5</v>
      </c>
      <c r="C92" s="573">
        <v>1751.82</v>
      </c>
      <c r="D92" s="573">
        <v>1757.97</v>
      </c>
      <c r="E92" s="573">
        <v>1707.2</v>
      </c>
      <c r="F92" s="573">
        <v>1727.8420000000001</v>
      </c>
      <c r="G92" s="573">
        <v>1729.44</v>
      </c>
      <c r="H92" s="574">
        <v>0.47</v>
      </c>
      <c r="I92" s="573">
        <v>-0.74</v>
      </c>
      <c r="J92" s="573">
        <v>114291234.43000001</v>
      </c>
      <c r="K92" s="575">
        <f t="shared" si="3"/>
        <v>-0.15169315566259911</v>
      </c>
      <c r="L92" s="575">
        <f t="shared" si="3"/>
        <v>-1.2690746544725897</v>
      </c>
      <c r="M92" s="573"/>
      <c r="P92" s="580">
        <v>42155</v>
      </c>
      <c r="Q92" s="573">
        <f t="shared" si="2"/>
        <v>1729.44</v>
      </c>
    </row>
    <row r="93" spans="1:17">
      <c r="A93" s="572">
        <v>2015</v>
      </c>
      <c r="B93" s="572">
        <v>6</v>
      </c>
      <c r="C93" s="573">
        <v>1737.24</v>
      </c>
      <c r="D93" s="573">
        <v>1765.73</v>
      </c>
      <c r="E93" s="573">
        <v>1720.53</v>
      </c>
      <c r="F93" s="573">
        <v>1747.60368421053</v>
      </c>
      <c r="G93" s="573">
        <v>1737.55</v>
      </c>
      <c r="H93" s="574">
        <v>0.97</v>
      </c>
      <c r="I93" s="573">
        <v>-0.95</v>
      </c>
      <c r="J93" s="573">
        <v>134494873.77000001</v>
      </c>
      <c r="K93" s="575">
        <f t="shared" si="3"/>
        <v>1.1437205607069245</v>
      </c>
      <c r="L93" s="575">
        <f t="shared" si="3"/>
        <v>0.46893792210194363</v>
      </c>
      <c r="M93" s="573"/>
      <c r="P93" s="580">
        <v>42185</v>
      </c>
      <c r="Q93" s="573">
        <f t="shared" si="2"/>
        <v>1737.55</v>
      </c>
    </row>
    <row r="94" spans="1:17">
      <c r="A94" s="572">
        <v>2015</v>
      </c>
      <c r="B94" s="572">
        <v>7</v>
      </c>
      <c r="C94" s="573">
        <v>1737.48</v>
      </c>
      <c r="D94" s="573">
        <v>1805.15</v>
      </c>
      <c r="E94" s="573">
        <v>1732.72</v>
      </c>
      <c r="F94" s="573">
        <v>1771.4065217391301</v>
      </c>
      <c r="G94" s="573">
        <v>1798.44</v>
      </c>
      <c r="H94" s="574">
        <v>1.29</v>
      </c>
      <c r="I94" s="573">
        <v>-0.5</v>
      </c>
      <c r="J94" s="573">
        <v>131049975.18000001</v>
      </c>
      <c r="K94" s="575">
        <f t="shared" si="3"/>
        <v>1.3620272000830056</v>
      </c>
      <c r="L94" s="575">
        <f t="shared" si="3"/>
        <v>3.5043595867744841</v>
      </c>
      <c r="M94" s="573"/>
      <c r="P94" s="580">
        <v>42216</v>
      </c>
      <c r="Q94" s="573">
        <f t="shared" si="2"/>
        <v>1798.44</v>
      </c>
    </row>
    <row r="95" spans="1:17">
      <c r="A95" s="572">
        <v>2015</v>
      </c>
      <c r="B95" s="572">
        <v>8</v>
      </c>
      <c r="C95" s="573">
        <v>1799.93</v>
      </c>
      <c r="D95" s="573">
        <v>1819.78</v>
      </c>
      <c r="E95" s="573">
        <v>1717.84</v>
      </c>
      <c r="F95" s="573">
        <v>1783.3185000000001</v>
      </c>
      <c r="G95" s="573">
        <v>1738.18</v>
      </c>
      <c r="H95" s="574">
        <v>0.81</v>
      </c>
      <c r="I95" s="573">
        <v>-2.92</v>
      </c>
      <c r="J95" s="573">
        <v>187257474.16</v>
      </c>
      <c r="K95" s="575">
        <f t="shared" si="3"/>
        <v>0.67245875606096206</v>
      </c>
      <c r="L95" s="575">
        <f t="shared" si="3"/>
        <v>-3.3506817019194415</v>
      </c>
      <c r="M95" s="573"/>
      <c r="P95" s="580">
        <v>42247</v>
      </c>
      <c r="Q95" s="573">
        <f t="shared" si="2"/>
        <v>1738.18</v>
      </c>
    </row>
    <row r="96" spans="1:17">
      <c r="A96" s="572">
        <v>2015</v>
      </c>
      <c r="B96" s="572">
        <v>9</v>
      </c>
      <c r="C96" s="573">
        <v>1739.25</v>
      </c>
      <c r="D96" s="573">
        <v>1747.97</v>
      </c>
      <c r="E96" s="573">
        <v>1669.31</v>
      </c>
      <c r="F96" s="573">
        <v>1716.34318181818</v>
      </c>
      <c r="G96" s="573">
        <v>1685.63</v>
      </c>
      <c r="H96" s="574">
        <v>0.8</v>
      </c>
      <c r="I96" s="573">
        <v>-1.29</v>
      </c>
      <c r="J96" s="573">
        <v>151456806.53999999</v>
      </c>
      <c r="K96" s="575">
        <f t="shared" si="3"/>
        <v>-3.7556565572453877</v>
      </c>
      <c r="L96" s="575">
        <f t="shared" si="3"/>
        <v>-3.0232772210012797</v>
      </c>
      <c r="M96" s="573"/>
      <c r="P96" s="580">
        <v>42277</v>
      </c>
      <c r="Q96" s="573">
        <f t="shared" si="2"/>
        <v>1685.63</v>
      </c>
    </row>
    <row r="97" spans="1:17">
      <c r="A97" s="572">
        <v>2015</v>
      </c>
      <c r="B97" s="572">
        <v>10</v>
      </c>
      <c r="C97" s="573">
        <v>1687.34</v>
      </c>
      <c r="D97" s="573">
        <v>1731.67</v>
      </c>
      <c r="E97" s="573">
        <v>1678.64</v>
      </c>
      <c r="F97" s="573">
        <v>1703.9319047618999</v>
      </c>
      <c r="G97" s="573">
        <v>1725.1</v>
      </c>
      <c r="H97" s="574">
        <v>1.04</v>
      </c>
      <c r="I97" s="573">
        <v>-0.98</v>
      </c>
      <c r="J97" s="573">
        <v>161343239.25999999</v>
      </c>
      <c r="K97" s="575">
        <f t="shared" si="3"/>
        <v>-0.7231232767290976</v>
      </c>
      <c r="L97" s="575">
        <f t="shared" si="3"/>
        <v>2.34155775585387</v>
      </c>
      <c r="M97" s="573"/>
      <c r="P97" s="580">
        <v>42308</v>
      </c>
      <c r="Q97" s="573">
        <f t="shared" si="2"/>
        <v>1725.1</v>
      </c>
    </row>
    <row r="98" spans="1:17">
      <c r="A98" s="572">
        <v>2015</v>
      </c>
      <c r="B98" s="572">
        <v>11</v>
      </c>
      <c r="C98" s="573">
        <v>1725.1</v>
      </c>
      <c r="D98" s="573">
        <v>1729.6</v>
      </c>
      <c r="E98" s="573">
        <v>1674.05</v>
      </c>
      <c r="F98" s="573">
        <v>1700.7014285714299</v>
      </c>
      <c r="G98" s="573">
        <v>1680.19</v>
      </c>
      <c r="H98" s="574">
        <v>0.88</v>
      </c>
      <c r="I98" s="573">
        <v>-0.65</v>
      </c>
      <c r="J98" s="573">
        <v>114140557.13</v>
      </c>
      <c r="K98" s="575">
        <f t="shared" si="3"/>
        <v>-0.18958951243544675</v>
      </c>
      <c r="L98" s="575">
        <f t="shared" si="3"/>
        <v>-2.6033273433424142</v>
      </c>
      <c r="M98" s="573"/>
      <c r="P98" s="580">
        <v>42338</v>
      </c>
      <c r="Q98" s="573">
        <f t="shared" si="2"/>
        <v>1680.19</v>
      </c>
    </row>
    <row r="99" spans="1:17">
      <c r="A99" s="572">
        <v>2015</v>
      </c>
      <c r="B99" s="572">
        <v>12</v>
      </c>
      <c r="C99" s="573">
        <v>1679.8</v>
      </c>
      <c r="D99" s="573">
        <v>1691.02</v>
      </c>
      <c r="E99" s="573">
        <v>1641.41</v>
      </c>
      <c r="F99" s="573">
        <v>1669.1165000000001</v>
      </c>
      <c r="G99" s="573">
        <v>1689.63</v>
      </c>
      <c r="H99" s="574">
        <v>1.21</v>
      </c>
      <c r="I99" s="573">
        <v>-0.8</v>
      </c>
      <c r="J99" s="573">
        <v>149876343.84999999</v>
      </c>
      <c r="K99" s="575">
        <f t="shared" si="3"/>
        <v>-1.8571706967966009</v>
      </c>
      <c r="L99" s="575">
        <f t="shared" si="3"/>
        <v>0.56184122033818085</v>
      </c>
      <c r="M99" s="573"/>
      <c r="P99" s="580">
        <v>42369</v>
      </c>
      <c r="Q99" s="573">
        <f t="shared" si="2"/>
        <v>1689.63</v>
      </c>
    </row>
    <row r="100" spans="1:17">
      <c r="A100" s="572">
        <v>2016</v>
      </c>
      <c r="B100" s="572">
        <v>1</v>
      </c>
      <c r="C100" s="573">
        <v>1689.6</v>
      </c>
      <c r="D100" s="573">
        <v>1689.79</v>
      </c>
      <c r="E100" s="573">
        <v>1570.05</v>
      </c>
      <c r="F100" s="573">
        <v>1614.41631578947</v>
      </c>
      <c r="G100" s="573">
        <v>1612.19</v>
      </c>
      <c r="H100" s="574">
        <v>1.08</v>
      </c>
      <c r="I100" s="573">
        <v>-1.7</v>
      </c>
      <c r="J100" s="573">
        <v>98815008.129999995</v>
      </c>
      <c r="K100" s="575">
        <f t="shared" si="3"/>
        <v>-3.2771939053103978</v>
      </c>
      <c r="L100" s="575">
        <f t="shared" si="3"/>
        <v>-4.5832519545699313</v>
      </c>
      <c r="M100" s="573"/>
      <c r="P100" s="580">
        <v>42400</v>
      </c>
      <c r="Q100" s="573">
        <f t="shared" si="2"/>
        <v>1612.19</v>
      </c>
    </row>
    <row r="101" spans="1:17">
      <c r="A101" s="572">
        <v>2016</v>
      </c>
      <c r="B101" s="572">
        <v>2</v>
      </c>
      <c r="C101" s="573">
        <v>1610.88</v>
      </c>
      <c r="D101" s="573">
        <v>1629.09</v>
      </c>
      <c r="E101" s="573">
        <v>1586.72</v>
      </c>
      <c r="F101" s="573">
        <v>1608.68333333333</v>
      </c>
      <c r="G101" s="573">
        <v>1614.28</v>
      </c>
      <c r="H101" s="574">
        <v>0.72</v>
      </c>
      <c r="I101" s="573">
        <v>-0.89</v>
      </c>
      <c r="J101" s="573">
        <v>90106026.540000007</v>
      </c>
      <c r="K101" s="575">
        <f t="shared" si="3"/>
        <v>-0.35511177631629209</v>
      </c>
      <c r="L101" s="575">
        <f t="shared" si="3"/>
        <v>0.12963732562538155</v>
      </c>
      <c r="M101" s="573"/>
      <c r="P101" s="580">
        <v>42429</v>
      </c>
      <c r="Q101" s="573">
        <f t="shared" si="2"/>
        <v>1614.28</v>
      </c>
    </row>
    <row r="102" spans="1:17">
      <c r="A102" s="572">
        <v>2016</v>
      </c>
      <c r="B102" s="572">
        <v>3</v>
      </c>
      <c r="C102" s="573">
        <v>1614.24</v>
      </c>
      <c r="D102" s="573">
        <v>1670.76</v>
      </c>
      <c r="E102" s="573">
        <v>1593.44</v>
      </c>
      <c r="F102" s="573">
        <v>1625.4342857142899</v>
      </c>
      <c r="G102" s="573">
        <v>1669.68</v>
      </c>
      <c r="H102" s="574">
        <v>1.69</v>
      </c>
      <c r="I102" s="573">
        <v>-1.1299999999999999</v>
      </c>
      <c r="J102" s="573">
        <v>100582974.23</v>
      </c>
      <c r="K102" s="575">
        <f t="shared" si="3"/>
        <v>1.0412833920676405</v>
      </c>
      <c r="L102" s="575">
        <f t="shared" si="3"/>
        <v>3.4318705552940116</v>
      </c>
      <c r="M102" s="573"/>
      <c r="P102" s="580">
        <v>42460</v>
      </c>
      <c r="Q102" s="573">
        <f t="shared" si="2"/>
        <v>1669.68</v>
      </c>
    </row>
    <row r="103" spans="1:17">
      <c r="A103" s="572">
        <v>2016</v>
      </c>
      <c r="B103" s="572">
        <v>4</v>
      </c>
      <c r="C103" s="573">
        <v>1669.8</v>
      </c>
      <c r="D103" s="573">
        <v>1697.5</v>
      </c>
      <c r="E103" s="573">
        <v>1656.45</v>
      </c>
      <c r="F103" s="573">
        <v>1675.7171428571401</v>
      </c>
      <c r="G103" s="573">
        <v>1688.48</v>
      </c>
      <c r="H103" s="574">
        <v>1.5</v>
      </c>
      <c r="I103" s="573">
        <v>-0.59</v>
      </c>
      <c r="J103" s="573">
        <v>102577596.67</v>
      </c>
      <c r="K103" s="575">
        <f t="shared" si="3"/>
        <v>3.093502923174384</v>
      </c>
      <c r="L103" s="575">
        <f t="shared" si="3"/>
        <v>1.125964256624016</v>
      </c>
      <c r="M103" s="573"/>
      <c r="P103" s="580">
        <v>42490</v>
      </c>
      <c r="Q103" s="573">
        <f t="shared" si="2"/>
        <v>1688.48</v>
      </c>
    </row>
    <row r="104" spans="1:17">
      <c r="A104" s="572">
        <v>2016</v>
      </c>
      <c r="B104" s="572">
        <v>5</v>
      </c>
      <c r="C104" s="573">
        <v>1687.39</v>
      </c>
      <c r="D104" s="573">
        <v>1722.49</v>
      </c>
      <c r="E104" s="573">
        <v>1667.49</v>
      </c>
      <c r="F104" s="573">
        <v>1696.5585714285701</v>
      </c>
      <c r="G104" s="573">
        <v>1704.64</v>
      </c>
      <c r="H104" s="574">
        <v>0.57999999999999996</v>
      </c>
      <c r="I104" s="573">
        <v>-0.85</v>
      </c>
      <c r="J104" s="573">
        <v>88552223.319999993</v>
      </c>
      <c r="K104" s="575">
        <f t="shared" si="3"/>
        <v>1.2437318947453662</v>
      </c>
      <c r="L104" s="575">
        <f t="shared" si="3"/>
        <v>0.95707381787168799</v>
      </c>
      <c r="M104" s="573"/>
      <c r="P104" s="580">
        <v>42521</v>
      </c>
      <c r="Q104" s="573">
        <f t="shared" si="2"/>
        <v>1704.64</v>
      </c>
    </row>
    <row r="105" spans="1:17">
      <c r="A105" s="572">
        <v>2016</v>
      </c>
      <c r="B105" s="572">
        <v>6</v>
      </c>
      <c r="C105" s="573">
        <v>1704.61</v>
      </c>
      <c r="D105" s="573">
        <v>1717.86</v>
      </c>
      <c r="E105" s="573">
        <v>1643.84</v>
      </c>
      <c r="F105" s="573">
        <v>1686.17857142857</v>
      </c>
      <c r="G105" s="573">
        <v>1675.95</v>
      </c>
      <c r="H105" s="574">
        <v>0.82</v>
      </c>
      <c r="I105" s="573">
        <v>-1.65</v>
      </c>
      <c r="J105" s="573">
        <v>95743563.730000004</v>
      </c>
      <c r="K105" s="575">
        <f t="shared" si="3"/>
        <v>-0.61182679895688352</v>
      </c>
      <c r="L105" s="575">
        <f t="shared" si="3"/>
        <v>-1.6830533133095571</v>
      </c>
      <c r="M105" s="573"/>
      <c r="P105" s="580">
        <v>42551</v>
      </c>
      <c r="Q105" s="573">
        <f t="shared" si="2"/>
        <v>1675.95</v>
      </c>
    </row>
    <row r="106" spans="1:17">
      <c r="A106" s="572">
        <v>2016</v>
      </c>
      <c r="B106" s="572">
        <v>7</v>
      </c>
      <c r="C106" s="573">
        <v>1677.15</v>
      </c>
      <c r="D106" s="573">
        <v>1782.68</v>
      </c>
      <c r="E106" s="573">
        <v>1674.41</v>
      </c>
      <c r="F106" s="573">
        <v>1728.9195238095199</v>
      </c>
      <c r="G106" s="573">
        <v>1773.97</v>
      </c>
      <c r="H106" s="574">
        <v>1.03</v>
      </c>
      <c r="I106" s="573">
        <v>-0.59</v>
      </c>
      <c r="J106" s="573">
        <v>91574480.379999995</v>
      </c>
      <c r="K106" s="575">
        <f t="shared" si="3"/>
        <v>2.5347820868544773</v>
      </c>
      <c r="L106" s="575">
        <f t="shared" si="3"/>
        <v>5.8486231689489614</v>
      </c>
      <c r="M106" s="573"/>
      <c r="P106" s="580">
        <v>42582</v>
      </c>
      <c r="Q106" s="573">
        <f t="shared" si="2"/>
        <v>1773.97</v>
      </c>
    </row>
    <row r="107" spans="1:17">
      <c r="A107" s="572">
        <v>2016</v>
      </c>
      <c r="B107" s="572">
        <v>8</v>
      </c>
      <c r="C107" s="573">
        <v>1774.27</v>
      </c>
      <c r="D107" s="573">
        <v>1819.62</v>
      </c>
      <c r="E107" s="573">
        <v>1757.55</v>
      </c>
      <c r="F107" s="573">
        <v>1789.6666666666699</v>
      </c>
      <c r="G107" s="573">
        <v>1818.39</v>
      </c>
      <c r="H107" s="574">
        <v>0.85</v>
      </c>
      <c r="I107" s="573">
        <v>-0.6</v>
      </c>
      <c r="J107" s="573">
        <v>97525773.650000006</v>
      </c>
      <c r="K107" s="575">
        <f t="shared" si="3"/>
        <v>3.5135899630133878</v>
      </c>
      <c r="L107" s="575">
        <f t="shared" si="3"/>
        <v>2.5039882297896838</v>
      </c>
      <c r="M107" s="573"/>
      <c r="P107" s="580">
        <v>42613</v>
      </c>
      <c r="Q107" s="573">
        <f t="shared" si="2"/>
        <v>1818.39</v>
      </c>
    </row>
    <row r="108" spans="1:17">
      <c r="A108" s="572">
        <v>2016</v>
      </c>
      <c r="B108" s="572">
        <v>9</v>
      </c>
      <c r="C108" s="573">
        <v>1818.22</v>
      </c>
      <c r="D108" s="573">
        <v>1955.28</v>
      </c>
      <c r="E108" s="573">
        <v>1810</v>
      </c>
      <c r="F108" s="573">
        <v>1880.9368181818199</v>
      </c>
      <c r="G108" s="573">
        <v>1941.32</v>
      </c>
      <c r="H108" s="574">
        <v>1.22</v>
      </c>
      <c r="I108" s="573">
        <v>-0.36</v>
      </c>
      <c r="J108" s="573">
        <v>223987323.62</v>
      </c>
      <c r="K108" s="575">
        <f t="shared" si="3"/>
        <v>5.0998408371288946</v>
      </c>
      <c r="L108" s="575">
        <f t="shared" si="3"/>
        <v>6.7603759369551994</v>
      </c>
      <c r="M108" s="573"/>
      <c r="P108" s="580">
        <v>42643</v>
      </c>
      <c r="Q108" s="573">
        <f t="shared" si="2"/>
        <v>1941.32</v>
      </c>
    </row>
    <row r="109" spans="1:17">
      <c r="A109" s="572">
        <v>2016</v>
      </c>
      <c r="B109" s="572">
        <v>10</v>
      </c>
      <c r="C109" s="573">
        <v>1941.13</v>
      </c>
      <c r="D109" s="573">
        <v>2006.24</v>
      </c>
      <c r="E109" s="573">
        <v>1939.71</v>
      </c>
      <c r="F109" s="573">
        <v>1971.84142857143</v>
      </c>
      <c r="G109" s="573">
        <v>1958.94</v>
      </c>
      <c r="H109" s="574">
        <v>1.1399999999999999</v>
      </c>
      <c r="I109" s="573">
        <v>-0.96</v>
      </c>
      <c r="J109" s="573">
        <v>154288413.78</v>
      </c>
      <c r="K109" s="575">
        <f t="shared" si="3"/>
        <v>4.8329433243526836</v>
      </c>
      <c r="L109" s="575">
        <f t="shared" si="3"/>
        <v>0.90762986009519864</v>
      </c>
      <c r="M109" s="573"/>
      <c r="P109" s="580">
        <v>42674</v>
      </c>
      <c r="Q109" s="573">
        <f t="shared" si="2"/>
        <v>1958.94</v>
      </c>
    </row>
    <row r="110" spans="1:17">
      <c r="A110" s="572">
        <v>2016</v>
      </c>
      <c r="B110" s="572">
        <v>11</v>
      </c>
      <c r="C110" s="573">
        <v>1959.39</v>
      </c>
      <c r="D110" s="573">
        <v>2000.05</v>
      </c>
      <c r="E110" s="573">
        <v>1899.54</v>
      </c>
      <c r="F110" s="573">
        <v>1967.8471428571399</v>
      </c>
      <c r="G110" s="573">
        <v>1997.81</v>
      </c>
      <c r="H110" s="574">
        <v>0.86</v>
      </c>
      <c r="I110" s="573">
        <v>-0.96</v>
      </c>
      <c r="J110" s="573">
        <v>137868258.58000001</v>
      </c>
      <c r="K110" s="575">
        <f t="shared" si="3"/>
        <v>-0.2025662741645391</v>
      </c>
      <c r="L110" s="575">
        <f t="shared" si="3"/>
        <v>1.9842363727321981</v>
      </c>
      <c r="M110" s="573"/>
      <c r="P110" s="580">
        <v>42704</v>
      </c>
      <c r="Q110" s="573">
        <f t="shared" si="2"/>
        <v>1997.81</v>
      </c>
    </row>
    <row r="111" spans="1:17">
      <c r="A111" s="572">
        <v>2016</v>
      </c>
      <c r="B111" s="572">
        <v>12</v>
      </c>
      <c r="C111" s="573">
        <v>1997.67</v>
      </c>
      <c r="D111" s="573">
        <v>2005.03</v>
      </c>
      <c r="E111" s="573">
        <v>1961.97</v>
      </c>
      <c r="F111" s="573">
        <v>1983.46333333333</v>
      </c>
      <c r="G111" s="573">
        <v>1994.84</v>
      </c>
      <c r="H111" s="574">
        <v>0.71</v>
      </c>
      <c r="I111" s="573">
        <v>-1.1200000000000001</v>
      </c>
      <c r="J111" s="573">
        <v>112100505.53</v>
      </c>
      <c r="K111" s="575">
        <f t="shared" si="3"/>
        <v>0.79356725103743031</v>
      </c>
      <c r="L111" s="575">
        <f t="shared" si="3"/>
        <v>-0.14866278575040326</v>
      </c>
      <c r="M111" s="573"/>
      <c r="P111" s="580">
        <v>42735</v>
      </c>
      <c r="Q111" s="573">
        <f t="shared" si="2"/>
        <v>1994.84</v>
      </c>
    </row>
    <row r="112" spans="1:17">
      <c r="A112" s="572">
        <v>2017</v>
      </c>
      <c r="B112" s="572">
        <v>1</v>
      </c>
      <c r="C112" s="573">
        <v>1995.49</v>
      </c>
      <c r="D112" s="573">
        <v>2146.14</v>
      </c>
      <c r="E112" s="573">
        <v>1988.15</v>
      </c>
      <c r="F112" s="573">
        <v>2074.0404761904801</v>
      </c>
      <c r="G112" s="573">
        <v>2142.69</v>
      </c>
      <c r="H112" s="574">
        <v>1.67</v>
      </c>
      <c r="I112" s="573">
        <v>-0.44</v>
      </c>
      <c r="J112" s="573">
        <v>164245000.30000001</v>
      </c>
      <c r="K112" s="575">
        <f t="shared" si="3"/>
        <v>4.5666154415332443</v>
      </c>
      <c r="L112" s="575">
        <f t="shared" si="3"/>
        <v>7.4116219847205826</v>
      </c>
      <c r="M112" s="573"/>
      <c r="P112" s="580">
        <v>42766</v>
      </c>
      <c r="Q112" s="573">
        <f t="shared" si="2"/>
        <v>2142.69</v>
      </c>
    </row>
    <row r="113" spans="1:17">
      <c r="A113" s="572">
        <v>2017</v>
      </c>
      <c r="B113" s="572">
        <v>2</v>
      </c>
      <c r="C113" s="573">
        <v>2145.16</v>
      </c>
      <c r="D113" s="573">
        <v>2254.86</v>
      </c>
      <c r="E113" s="573">
        <v>2136.38</v>
      </c>
      <c r="F113" s="573">
        <v>2192.5839999999998</v>
      </c>
      <c r="G113" s="573">
        <v>2221.02</v>
      </c>
      <c r="H113" s="574">
        <v>1.38</v>
      </c>
      <c r="I113" s="573">
        <v>-0.63</v>
      </c>
      <c r="J113" s="573">
        <v>268201911.09</v>
      </c>
      <c r="K113" s="575">
        <f t="shared" si="3"/>
        <v>5.715583913157559</v>
      </c>
      <c r="L113" s="575">
        <f t="shared" si="3"/>
        <v>3.6556851434411897</v>
      </c>
      <c r="M113" s="573"/>
      <c r="P113" s="580">
        <v>42794</v>
      </c>
      <c r="Q113" s="573">
        <f t="shared" si="2"/>
        <v>2221.02</v>
      </c>
    </row>
    <row r="114" spans="1:17">
      <c r="A114" s="572">
        <v>2017</v>
      </c>
      <c r="B114" s="572">
        <v>3</v>
      </c>
      <c r="C114" s="573">
        <v>2221</v>
      </c>
      <c r="D114" s="573">
        <v>2231.11</v>
      </c>
      <c r="E114" s="573">
        <v>1914.46</v>
      </c>
      <c r="F114" s="573">
        <v>2146.75782608696</v>
      </c>
      <c r="G114" s="573">
        <v>1989.27</v>
      </c>
      <c r="H114" s="574">
        <v>2.31</v>
      </c>
      <c r="I114" s="573">
        <v>-3.06</v>
      </c>
      <c r="J114" s="573">
        <v>395560937.36000001</v>
      </c>
      <c r="K114" s="575">
        <f t="shared" si="3"/>
        <v>-2.0900532847562374</v>
      </c>
      <c r="L114" s="575">
        <f t="shared" si="3"/>
        <v>-10.434395007699166</v>
      </c>
      <c r="M114" s="573"/>
      <c r="P114" s="580">
        <v>42825</v>
      </c>
      <c r="Q114" s="573">
        <f t="shared" si="2"/>
        <v>1989.27</v>
      </c>
    </row>
    <row r="115" spans="1:17">
      <c r="A115" s="572">
        <v>2017</v>
      </c>
      <c r="B115" s="572">
        <v>4</v>
      </c>
      <c r="C115" s="573">
        <v>1990.1</v>
      </c>
      <c r="D115" s="573">
        <v>2042.63</v>
      </c>
      <c r="E115" s="573">
        <v>1866.58</v>
      </c>
      <c r="F115" s="573">
        <v>1942.87055555556</v>
      </c>
      <c r="G115" s="573">
        <v>1901.87</v>
      </c>
      <c r="H115" s="574">
        <v>2.31</v>
      </c>
      <c r="I115" s="573">
        <v>-2.63</v>
      </c>
      <c r="J115" s="573">
        <v>289108596.82999998</v>
      </c>
      <c r="K115" s="575">
        <f t="shared" si="3"/>
        <v>-9.4974509026497458</v>
      </c>
      <c r="L115" s="575">
        <f t="shared" si="3"/>
        <v>-4.3935715111573614</v>
      </c>
      <c r="M115" s="573"/>
      <c r="P115" s="580">
        <v>42855</v>
      </c>
      <c r="Q115" s="573">
        <f t="shared" si="2"/>
        <v>1901.87</v>
      </c>
    </row>
    <row r="116" spans="1:17">
      <c r="A116" s="572">
        <v>2017</v>
      </c>
      <c r="B116" s="572">
        <v>5</v>
      </c>
      <c r="C116" s="573">
        <v>1902.54</v>
      </c>
      <c r="D116" s="573">
        <v>1910.6</v>
      </c>
      <c r="E116" s="573">
        <v>1845.82</v>
      </c>
      <c r="F116" s="573">
        <v>1874.1909090909101</v>
      </c>
      <c r="G116" s="573">
        <v>1864.17</v>
      </c>
      <c r="H116" s="574">
        <v>0.62</v>
      </c>
      <c r="I116" s="573">
        <v>-0.93</v>
      </c>
      <c r="J116" s="573">
        <v>108344577.63</v>
      </c>
      <c r="K116" s="575">
        <f t="shared" si="3"/>
        <v>-3.5349573994141394</v>
      </c>
      <c r="L116" s="575">
        <f t="shared" si="3"/>
        <v>-1.9822595655854371</v>
      </c>
      <c r="M116" s="573"/>
      <c r="P116" s="580">
        <v>42886</v>
      </c>
      <c r="Q116" s="573">
        <f t="shared" si="2"/>
        <v>1864.17</v>
      </c>
    </row>
    <row r="117" spans="1:17">
      <c r="A117" s="572">
        <v>2017</v>
      </c>
      <c r="B117" s="572">
        <v>6</v>
      </c>
      <c r="C117" s="573">
        <v>1861.95</v>
      </c>
      <c r="D117" s="573">
        <v>1882.69</v>
      </c>
      <c r="E117" s="573">
        <v>1816.11</v>
      </c>
      <c r="F117" s="573">
        <v>1853.453</v>
      </c>
      <c r="G117" s="573">
        <v>1865.57</v>
      </c>
      <c r="H117" s="574">
        <v>0.73</v>
      </c>
      <c r="I117" s="573">
        <v>-0.84</v>
      </c>
      <c r="J117" s="573">
        <v>107354605.91</v>
      </c>
      <c r="K117" s="575">
        <f t="shared" si="3"/>
        <v>-1.1064992893903849</v>
      </c>
      <c r="L117" s="575">
        <f t="shared" si="3"/>
        <v>7.5100446847642388E-2</v>
      </c>
      <c r="M117" s="573"/>
      <c r="P117" s="580">
        <v>42916</v>
      </c>
      <c r="Q117" s="573">
        <f t="shared" si="2"/>
        <v>1865.57</v>
      </c>
    </row>
    <row r="118" spans="1:17">
      <c r="A118" s="572">
        <v>2017</v>
      </c>
      <c r="B118" s="572">
        <v>7</v>
      </c>
      <c r="C118" s="573">
        <v>1867.12</v>
      </c>
      <c r="D118" s="573">
        <v>1895.29</v>
      </c>
      <c r="E118" s="573">
        <v>1842.53</v>
      </c>
      <c r="F118" s="573">
        <v>1869.87571428571</v>
      </c>
      <c r="G118" s="573">
        <v>1885.31</v>
      </c>
      <c r="H118" s="574">
        <v>0.82</v>
      </c>
      <c r="I118" s="573">
        <v>-0.88</v>
      </c>
      <c r="J118" s="573">
        <v>76822299.370000005</v>
      </c>
      <c r="K118" s="575">
        <f t="shared" si="3"/>
        <v>0.88606046582837905</v>
      </c>
      <c r="L118" s="575">
        <f t="shared" si="3"/>
        <v>1.0581216464672991</v>
      </c>
      <c r="M118" s="573"/>
      <c r="P118" s="580">
        <v>42947</v>
      </c>
      <c r="Q118" s="573">
        <f t="shared" si="2"/>
        <v>1885.31</v>
      </c>
    </row>
    <row r="119" spans="1:17">
      <c r="A119" s="572">
        <v>2017</v>
      </c>
      <c r="B119" s="572">
        <v>8</v>
      </c>
      <c r="C119" s="573">
        <v>1883.89</v>
      </c>
      <c r="D119" s="573">
        <v>1908.48</v>
      </c>
      <c r="E119" s="573">
        <v>1882.75</v>
      </c>
      <c r="F119" s="573">
        <v>1895.1772727272701</v>
      </c>
      <c r="G119" s="573">
        <v>1893.01</v>
      </c>
      <c r="H119" s="574">
        <v>0.45</v>
      </c>
      <c r="I119" s="573">
        <v>-0.37</v>
      </c>
      <c r="J119" s="573">
        <v>68483835.340000004</v>
      </c>
      <c r="K119" s="575">
        <f t="shared" si="3"/>
        <v>1.3531144475677195</v>
      </c>
      <c r="L119" s="575">
        <f t="shared" si="3"/>
        <v>0.40842089629822453</v>
      </c>
      <c r="M119" s="573"/>
      <c r="P119" s="580">
        <v>42978</v>
      </c>
      <c r="Q119" s="573">
        <f t="shared" si="2"/>
        <v>1893.01</v>
      </c>
    </row>
    <row r="120" spans="1:17">
      <c r="A120" s="572">
        <v>2017</v>
      </c>
      <c r="B120" s="572">
        <v>9</v>
      </c>
      <c r="C120" s="573">
        <v>1893.89</v>
      </c>
      <c r="D120" s="573">
        <v>1904.61</v>
      </c>
      <c r="E120" s="573">
        <v>1793.17</v>
      </c>
      <c r="F120" s="573">
        <v>1845.8947619047599</v>
      </c>
      <c r="G120" s="573">
        <v>1811.12</v>
      </c>
      <c r="H120" s="574">
        <v>1.6</v>
      </c>
      <c r="I120" s="573">
        <v>-1.42</v>
      </c>
      <c r="J120" s="573">
        <v>153942858.87</v>
      </c>
      <c r="K120" s="575">
        <f t="shared" si="3"/>
        <v>-2.6004169389172631</v>
      </c>
      <c r="L120" s="575">
        <f t="shared" si="3"/>
        <v>-4.3259148129169915</v>
      </c>
      <c r="M120" s="573"/>
      <c r="P120" s="580">
        <v>43008</v>
      </c>
      <c r="Q120" s="573">
        <f t="shared" si="2"/>
        <v>1811.12</v>
      </c>
    </row>
    <row r="121" spans="1:17">
      <c r="A121" s="572">
        <v>2017</v>
      </c>
      <c r="B121" s="572">
        <v>10</v>
      </c>
      <c r="C121" s="573">
        <v>1814.88</v>
      </c>
      <c r="D121" s="573">
        <v>1906.07</v>
      </c>
      <c r="E121" s="573">
        <v>1798.81</v>
      </c>
      <c r="F121" s="573">
        <v>1847.76909090909</v>
      </c>
      <c r="G121" s="573">
        <v>1874.49</v>
      </c>
      <c r="H121" s="574">
        <v>2.13</v>
      </c>
      <c r="I121" s="573">
        <v>-0.56999999999999995</v>
      </c>
      <c r="J121" s="573">
        <v>115640336.95</v>
      </c>
      <c r="K121" s="575">
        <f t="shared" si="3"/>
        <v>0.1015404043075705</v>
      </c>
      <c r="L121" s="575">
        <f t="shared" si="3"/>
        <v>3.4989398825036488</v>
      </c>
      <c r="M121" s="573"/>
      <c r="P121" s="580">
        <v>43039</v>
      </c>
      <c r="Q121" s="573">
        <f t="shared" si="2"/>
        <v>1874.49</v>
      </c>
    </row>
    <row r="122" spans="1:17">
      <c r="A122" s="572">
        <v>2017</v>
      </c>
      <c r="B122" s="572">
        <v>11</v>
      </c>
      <c r="C122" s="573">
        <v>1874.49</v>
      </c>
      <c r="D122" s="573">
        <v>1875.01</v>
      </c>
      <c r="E122" s="573">
        <v>1804.59</v>
      </c>
      <c r="F122" s="573">
        <v>1850.92333333333</v>
      </c>
      <c r="G122" s="573">
        <v>1875.01</v>
      </c>
      <c r="H122" s="574">
        <v>1.26</v>
      </c>
      <c r="I122" s="573">
        <v>-1.38</v>
      </c>
      <c r="J122" s="573">
        <v>93459428.480000004</v>
      </c>
      <c r="K122" s="575">
        <f t="shared" si="3"/>
        <v>0.17070544364869988</v>
      </c>
      <c r="L122" s="575">
        <f t="shared" si="3"/>
        <v>2.7740878852384299E-2</v>
      </c>
      <c r="M122" s="573"/>
      <c r="P122" s="580">
        <v>43069</v>
      </c>
      <c r="Q122" s="573">
        <f t="shared" si="2"/>
        <v>1875.01</v>
      </c>
    </row>
    <row r="123" spans="1:17">
      <c r="A123" s="572">
        <v>2017</v>
      </c>
      <c r="B123" s="572">
        <v>12</v>
      </c>
      <c r="C123" s="573">
        <v>1874.27</v>
      </c>
      <c r="D123" s="573">
        <v>1877.3</v>
      </c>
      <c r="E123" s="573">
        <v>1824</v>
      </c>
      <c r="F123" s="573">
        <v>1851.0231578947401</v>
      </c>
      <c r="G123" s="573">
        <v>1842.87</v>
      </c>
      <c r="H123" s="574">
        <v>0.62</v>
      </c>
      <c r="I123" s="573">
        <v>-0.79</v>
      </c>
      <c r="J123" s="573">
        <v>86247417.950000003</v>
      </c>
      <c r="K123" s="575">
        <f t="shared" si="3"/>
        <v>5.393230481899991E-3</v>
      </c>
      <c r="L123" s="575">
        <f t="shared" si="3"/>
        <v>-1.7141241913376462</v>
      </c>
      <c r="M123" s="573"/>
      <c r="P123" s="580">
        <v>43100</v>
      </c>
      <c r="Q123" s="573">
        <f t="shared" si="2"/>
        <v>1842.87</v>
      </c>
    </row>
    <row r="124" spans="1:17">
      <c r="A124" s="572">
        <v>2018</v>
      </c>
      <c r="B124" s="572">
        <v>1</v>
      </c>
      <c r="C124" s="573">
        <v>1842.83</v>
      </c>
      <c r="D124" s="573">
        <v>1885.26</v>
      </c>
      <c r="E124" s="573">
        <v>1835.11</v>
      </c>
      <c r="F124" s="573">
        <v>1865.02909090909</v>
      </c>
      <c r="G124" s="573">
        <v>1884.79</v>
      </c>
      <c r="H124" s="574">
        <v>0.73</v>
      </c>
      <c r="I124" s="573">
        <v>-0.26</v>
      </c>
      <c r="J124" s="573">
        <v>97044980.689999998</v>
      </c>
      <c r="K124" s="575">
        <f t="shared" si="3"/>
        <v>0.7566589836876858</v>
      </c>
      <c r="L124" s="575">
        <f t="shared" si="3"/>
        <v>2.2747128120811624</v>
      </c>
      <c r="M124" s="573"/>
      <c r="P124" s="580">
        <v>43131</v>
      </c>
      <c r="Q124" s="573">
        <f t="shared" si="2"/>
        <v>1884.79</v>
      </c>
    </row>
    <row r="125" spans="1:17">
      <c r="A125" s="572">
        <v>2018</v>
      </c>
      <c r="B125" s="572">
        <v>2</v>
      </c>
      <c r="C125" s="573">
        <v>1884.19</v>
      </c>
      <c r="D125" s="573">
        <v>1886.99</v>
      </c>
      <c r="E125" s="573">
        <v>1810.6</v>
      </c>
      <c r="F125" s="573">
        <v>1853.1320000000001</v>
      </c>
      <c r="G125" s="573">
        <v>1839.46</v>
      </c>
      <c r="H125" s="574">
        <v>1.84</v>
      </c>
      <c r="I125" s="573">
        <v>-2.34</v>
      </c>
      <c r="J125" s="573">
        <v>108526286.37</v>
      </c>
      <c r="K125" s="575">
        <f t="shared" si="3"/>
        <v>-0.63790377142539967</v>
      </c>
      <c r="L125" s="575">
        <f t="shared" si="3"/>
        <v>-2.4050424715750864</v>
      </c>
      <c r="M125" s="573"/>
      <c r="P125" s="580">
        <v>43159</v>
      </c>
      <c r="Q125" s="573">
        <f t="shared" si="2"/>
        <v>1839.46</v>
      </c>
    </row>
    <row r="126" spans="1:17">
      <c r="A126" s="572">
        <v>2018</v>
      </c>
      <c r="B126" s="572">
        <v>3</v>
      </c>
      <c r="C126" s="573">
        <v>1839.87</v>
      </c>
      <c r="D126" s="573">
        <v>1860</v>
      </c>
      <c r="E126" s="573">
        <v>1804.01</v>
      </c>
      <c r="F126" s="573">
        <v>1840.4785714285699</v>
      </c>
      <c r="G126" s="573">
        <v>1804.97</v>
      </c>
      <c r="H126" s="574">
        <v>0.53</v>
      </c>
      <c r="I126" s="573">
        <v>-0.71</v>
      </c>
      <c r="J126" s="573">
        <v>96333020.859999999</v>
      </c>
      <c r="K126" s="575">
        <f t="shared" si="3"/>
        <v>-0.68281312779824077</v>
      </c>
      <c r="L126" s="575">
        <f t="shared" si="3"/>
        <v>-1.8750067954725864</v>
      </c>
      <c r="M126" s="573"/>
      <c r="P126" s="580">
        <v>43190</v>
      </c>
      <c r="Q126" s="573">
        <f t="shared" si="2"/>
        <v>1804.97</v>
      </c>
    </row>
    <row r="127" spans="1:17">
      <c r="A127" s="572">
        <v>2018</v>
      </c>
      <c r="B127" s="572">
        <v>4</v>
      </c>
      <c r="C127" s="573">
        <v>1805.66</v>
      </c>
      <c r="D127" s="573">
        <v>1816.08</v>
      </c>
      <c r="E127" s="573">
        <v>1768.86</v>
      </c>
      <c r="F127" s="573">
        <v>1793.8744999999999</v>
      </c>
      <c r="G127" s="573">
        <v>1809.6</v>
      </c>
      <c r="H127" s="574">
        <v>0.83</v>
      </c>
      <c r="I127" s="573">
        <v>-0.91</v>
      </c>
      <c r="J127" s="573">
        <v>80163301.730000004</v>
      </c>
      <c r="K127" s="575">
        <f t="shared" si="3"/>
        <v>-2.5321713684716372</v>
      </c>
      <c r="L127" s="575">
        <f t="shared" si="3"/>
        <v>0.25651395868074189</v>
      </c>
      <c r="M127" s="573"/>
      <c r="P127" s="580">
        <v>43220</v>
      </c>
      <c r="Q127" s="573">
        <f t="shared" si="2"/>
        <v>1809.6</v>
      </c>
    </row>
    <row r="128" spans="1:17">
      <c r="A128" s="572">
        <v>2018</v>
      </c>
      <c r="B128" s="572">
        <v>5</v>
      </c>
      <c r="C128" s="573">
        <v>1810.48</v>
      </c>
      <c r="D128" s="573">
        <v>1864.2</v>
      </c>
      <c r="E128" s="573">
        <v>1809.97</v>
      </c>
      <c r="F128" s="573">
        <v>1843.9661904761899</v>
      </c>
      <c r="G128" s="573">
        <v>1854.02</v>
      </c>
      <c r="H128" s="574">
        <v>1.03</v>
      </c>
      <c r="I128" s="573">
        <v>-0.45</v>
      </c>
      <c r="J128" s="573">
        <v>108666236.81</v>
      </c>
      <c r="K128" s="575">
        <f t="shared" si="3"/>
        <v>2.7923742979896389</v>
      </c>
      <c r="L128" s="575">
        <f t="shared" si="3"/>
        <v>2.4546861184792306</v>
      </c>
      <c r="M128" s="573"/>
      <c r="P128" s="580">
        <v>43251</v>
      </c>
      <c r="Q128" s="573">
        <f t="shared" si="2"/>
        <v>1854.02</v>
      </c>
    </row>
    <row r="129" spans="1:17">
      <c r="A129" s="572">
        <v>2018</v>
      </c>
      <c r="B129" s="572">
        <v>6</v>
      </c>
      <c r="C129" s="573">
        <v>1853.59</v>
      </c>
      <c r="D129" s="573">
        <v>1855.35</v>
      </c>
      <c r="E129" s="573">
        <v>1803.51</v>
      </c>
      <c r="F129" s="573">
        <v>1826.38315789474</v>
      </c>
      <c r="G129" s="573">
        <v>1816.49</v>
      </c>
      <c r="H129" s="574">
        <v>0.62</v>
      </c>
      <c r="I129" s="573">
        <v>-1.33</v>
      </c>
      <c r="J129" s="573">
        <v>99585106.890000001</v>
      </c>
      <c r="K129" s="575">
        <f t="shared" si="3"/>
        <v>-0.95354419578100647</v>
      </c>
      <c r="L129" s="575">
        <f t="shared" si="3"/>
        <v>-2.0242500080905188</v>
      </c>
      <c r="M129" s="573"/>
      <c r="P129" s="580">
        <v>43281</v>
      </c>
      <c r="Q129" s="573">
        <f t="shared" si="2"/>
        <v>1816.49</v>
      </c>
    </row>
    <row r="130" spans="1:17">
      <c r="A130" s="572">
        <v>2018</v>
      </c>
      <c r="B130" s="572">
        <v>7</v>
      </c>
      <c r="C130" s="573">
        <v>1816.49</v>
      </c>
      <c r="D130" s="573">
        <v>1838.85</v>
      </c>
      <c r="E130" s="573">
        <v>1784.28</v>
      </c>
      <c r="F130" s="573">
        <v>1809.0131818181801</v>
      </c>
      <c r="G130" s="573">
        <v>1820.01</v>
      </c>
      <c r="H130" s="574">
        <v>1.07</v>
      </c>
      <c r="I130" s="573">
        <v>-0.88</v>
      </c>
      <c r="J130" s="573">
        <v>81569928.920000002</v>
      </c>
      <c r="K130" s="575">
        <f t="shared" si="3"/>
        <v>-0.95105870865465647</v>
      </c>
      <c r="L130" s="575">
        <f t="shared" si="3"/>
        <v>0.19378031258085571</v>
      </c>
      <c r="M130" s="573"/>
      <c r="P130" s="580">
        <v>43312</v>
      </c>
      <c r="Q130" s="573">
        <f t="shared" si="2"/>
        <v>1820.01</v>
      </c>
    </row>
    <row r="131" spans="1:17">
      <c r="A131" s="572">
        <v>2018</v>
      </c>
      <c r="B131" s="572">
        <v>8</v>
      </c>
      <c r="C131" s="573">
        <v>1821.33</v>
      </c>
      <c r="D131" s="573">
        <v>1844.68</v>
      </c>
      <c r="E131" s="573">
        <v>1808.27</v>
      </c>
      <c r="F131" s="573">
        <v>1825.3245454545499</v>
      </c>
      <c r="G131" s="573">
        <v>1822.24</v>
      </c>
      <c r="H131" s="574">
        <v>0.55000000000000004</v>
      </c>
      <c r="I131" s="573">
        <v>-0.59</v>
      </c>
      <c r="J131" s="573">
        <v>102556841</v>
      </c>
      <c r="K131" s="575">
        <f t="shared" si="3"/>
        <v>0.90167190600433855</v>
      </c>
      <c r="L131" s="575">
        <f t="shared" si="3"/>
        <v>0.12252679930328725</v>
      </c>
      <c r="M131" s="573"/>
      <c r="P131" s="580">
        <v>43343</v>
      </c>
      <c r="Q131" s="573">
        <f t="shared" ref="Q131:Q159" si="4">G131</f>
        <v>1822.24</v>
      </c>
    </row>
    <row r="132" spans="1:17">
      <c r="A132" s="572">
        <v>2018</v>
      </c>
      <c r="B132" s="572">
        <v>9</v>
      </c>
      <c r="C132" s="573">
        <v>1820.91</v>
      </c>
      <c r="D132" s="573">
        <v>1822.34</v>
      </c>
      <c r="E132" s="573">
        <v>1775.08</v>
      </c>
      <c r="F132" s="573">
        <v>1802.2935</v>
      </c>
      <c r="G132" s="573">
        <v>1782.15</v>
      </c>
      <c r="H132" s="574">
        <v>0.79</v>
      </c>
      <c r="I132" s="573">
        <v>-0.73</v>
      </c>
      <c r="J132" s="573">
        <v>106697897.40000001</v>
      </c>
      <c r="K132" s="575">
        <f t="shared" ref="K132:L151" si="5">+F132/F131*100-100</f>
        <v>-1.2617507123268723</v>
      </c>
      <c r="L132" s="575">
        <f t="shared" si="5"/>
        <v>-2.200039511809635</v>
      </c>
      <c r="M132" s="573"/>
      <c r="P132" s="580">
        <v>43373</v>
      </c>
      <c r="Q132" s="573">
        <f t="shared" si="4"/>
        <v>1782.15</v>
      </c>
    </row>
    <row r="133" spans="1:17">
      <c r="A133" s="572">
        <v>2018</v>
      </c>
      <c r="B133" s="572">
        <v>10</v>
      </c>
      <c r="C133" s="573">
        <v>1781.41</v>
      </c>
      <c r="D133" s="573">
        <v>1803.19</v>
      </c>
      <c r="E133" s="573">
        <v>1747.47</v>
      </c>
      <c r="F133" s="573">
        <v>1779.30090909091</v>
      </c>
      <c r="G133" s="573">
        <v>1779.13</v>
      </c>
      <c r="H133" s="574">
        <v>1.03</v>
      </c>
      <c r="I133" s="573">
        <v>-0.88</v>
      </c>
      <c r="J133" s="573">
        <v>119221640.3</v>
      </c>
      <c r="K133" s="575">
        <f t="shared" si="5"/>
        <v>-1.2757406553976978</v>
      </c>
      <c r="L133" s="575">
        <f t="shared" si="5"/>
        <v>-0.16945823864433862</v>
      </c>
      <c r="M133" s="573"/>
      <c r="P133" s="580">
        <v>43404</v>
      </c>
      <c r="Q133" s="573">
        <f t="shared" si="4"/>
        <v>1779.13</v>
      </c>
    </row>
    <row r="134" spans="1:17">
      <c r="A134" s="572">
        <v>2018</v>
      </c>
      <c r="B134" s="572">
        <v>11</v>
      </c>
      <c r="C134" s="573">
        <v>1779.13</v>
      </c>
      <c r="D134" s="573">
        <v>1788.77</v>
      </c>
      <c r="E134" s="573">
        <v>1713.37</v>
      </c>
      <c r="F134" s="573">
        <v>1750.8942857142899</v>
      </c>
      <c r="G134" s="573">
        <v>1729.38</v>
      </c>
      <c r="H134" s="574">
        <v>0.43</v>
      </c>
      <c r="I134" s="573">
        <v>-1.04</v>
      </c>
      <c r="J134" s="573">
        <v>123969585.09999999</v>
      </c>
      <c r="K134" s="575">
        <f t="shared" si="5"/>
        <v>-1.5965047413556164</v>
      </c>
      <c r="L134" s="575">
        <f t="shared" si="5"/>
        <v>-2.7963105562831316</v>
      </c>
      <c r="M134" s="573"/>
      <c r="P134" s="580">
        <v>43434</v>
      </c>
      <c r="Q134" s="573">
        <f t="shared" si="4"/>
        <v>1729.38</v>
      </c>
    </row>
    <row r="135" spans="1:17">
      <c r="A135" s="572">
        <v>2018</v>
      </c>
      <c r="B135" s="572">
        <v>12</v>
      </c>
      <c r="C135" s="573">
        <v>1730.75</v>
      </c>
      <c r="D135" s="573">
        <v>1753.29</v>
      </c>
      <c r="E135" s="573">
        <v>1693.82</v>
      </c>
      <c r="F135" s="573">
        <v>1730.09705882353</v>
      </c>
      <c r="G135" s="573">
        <v>1748.81</v>
      </c>
      <c r="H135" s="574">
        <v>0.96</v>
      </c>
      <c r="I135" s="573">
        <v>-1.63</v>
      </c>
      <c r="J135" s="573">
        <v>135688384.52000001</v>
      </c>
      <c r="K135" s="575">
        <f t="shared" si="5"/>
        <v>-1.1878059720935994</v>
      </c>
      <c r="L135" s="575">
        <f t="shared" si="5"/>
        <v>1.1235240375163187</v>
      </c>
      <c r="M135" s="573"/>
      <c r="P135" s="580">
        <v>43465</v>
      </c>
      <c r="Q135" s="573">
        <f t="shared" si="4"/>
        <v>1748.81</v>
      </c>
    </row>
    <row r="136" spans="1:17">
      <c r="A136" s="572">
        <v>2019</v>
      </c>
      <c r="B136" s="572">
        <v>1</v>
      </c>
      <c r="C136" s="573">
        <v>1748.81</v>
      </c>
      <c r="D136" s="573">
        <v>1769.24</v>
      </c>
      <c r="E136" s="573">
        <v>1724.07</v>
      </c>
      <c r="F136" s="573">
        <v>1747.9677272727299</v>
      </c>
      <c r="G136" s="573">
        <v>1761.79</v>
      </c>
      <c r="H136" s="574">
        <v>0.76</v>
      </c>
      <c r="I136" s="573">
        <v>-1.1100000000000001</v>
      </c>
      <c r="J136" s="573">
        <v>79683188.060000002</v>
      </c>
      <c r="K136" s="575">
        <f t="shared" si="5"/>
        <v>1.032928664785544</v>
      </c>
      <c r="L136" s="575">
        <f t="shared" si="5"/>
        <v>0.74221899463063323</v>
      </c>
      <c r="M136" s="573"/>
      <c r="P136" s="580">
        <v>43496</v>
      </c>
      <c r="Q136" s="573">
        <f t="shared" si="4"/>
        <v>1761.79</v>
      </c>
    </row>
    <row r="137" spans="1:17">
      <c r="A137" s="572">
        <v>2019</v>
      </c>
      <c r="B137" s="572">
        <v>2</v>
      </c>
      <c r="C137" s="573">
        <v>1761.79</v>
      </c>
      <c r="D137" s="573">
        <v>1799.2</v>
      </c>
      <c r="E137" s="573">
        <v>1748.58</v>
      </c>
      <c r="F137" s="573">
        <v>1768.0564999999999</v>
      </c>
      <c r="G137" s="573">
        <v>1798.98</v>
      </c>
      <c r="H137" s="574">
        <v>1.02</v>
      </c>
      <c r="I137" s="573">
        <v>-0.61</v>
      </c>
      <c r="J137" s="573">
        <v>73682332.489999995</v>
      </c>
      <c r="K137" s="575">
        <f t="shared" si="5"/>
        <v>1.1492645095120508</v>
      </c>
      <c r="L137" s="575">
        <f t="shared" si="5"/>
        <v>2.1109212789265541</v>
      </c>
      <c r="M137" s="573"/>
      <c r="P137" s="580">
        <v>43524</v>
      </c>
      <c r="Q137" s="573">
        <f t="shared" si="4"/>
        <v>1798.98</v>
      </c>
    </row>
    <row r="138" spans="1:17">
      <c r="A138" s="572">
        <v>2019</v>
      </c>
      <c r="B138" s="572">
        <v>3</v>
      </c>
      <c r="C138" s="573">
        <v>1797.71</v>
      </c>
      <c r="D138" s="573">
        <v>1804.21</v>
      </c>
      <c r="E138" s="573">
        <v>1760.6</v>
      </c>
      <c r="F138" s="573">
        <v>1778.45761904762</v>
      </c>
      <c r="G138" s="573">
        <v>1797.81</v>
      </c>
      <c r="H138" s="574">
        <v>0.99</v>
      </c>
      <c r="I138" s="573">
        <v>-1.58</v>
      </c>
      <c r="J138" s="573">
        <v>121960821.05</v>
      </c>
      <c r="K138" s="575">
        <f t="shared" si="5"/>
        <v>0.58827978900109201</v>
      </c>
      <c r="L138" s="575">
        <f t="shared" si="5"/>
        <v>-6.5036854217396467E-2</v>
      </c>
      <c r="M138" s="573"/>
      <c r="P138" s="580">
        <v>43555</v>
      </c>
      <c r="Q138" s="573">
        <f t="shared" si="4"/>
        <v>1797.81</v>
      </c>
    </row>
    <row r="139" spans="1:17">
      <c r="A139" s="572">
        <v>2019</v>
      </c>
      <c r="B139" s="572">
        <v>4</v>
      </c>
      <c r="C139" s="573">
        <v>1797.81</v>
      </c>
      <c r="D139" s="573">
        <v>1839.77</v>
      </c>
      <c r="E139" s="573">
        <v>1787.01</v>
      </c>
      <c r="F139" s="573">
        <v>1808.116</v>
      </c>
      <c r="G139" s="573">
        <v>1837.98</v>
      </c>
      <c r="H139" s="574">
        <v>0.59</v>
      </c>
      <c r="I139" s="573">
        <v>-0.8</v>
      </c>
      <c r="J139" s="573">
        <v>97999447.409999996</v>
      </c>
      <c r="K139" s="575">
        <f t="shared" si="5"/>
        <v>1.6676462027957797</v>
      </c>
      <c r="L139" s="575">
        <f t="shared" si="5"/>
        <v>2.2343851686218272</v>
      </c>
      <c r="M139" s="573"/>
      <c r="P139" s="580">
        <v>43585</v>
      </c>
      <c r="Q139" s="573">
        <f t="shared" si="4"/>
        <v>1837.98</v>
      </c>
    </row>
    <row r="140" spans="1:17">
      <c r="A140" s="572">
        <v>2019</v>
      </c>
      <c r="B140" s="572">
        <v>5</v>
      </c>
      <c r="C140" s="573">
        <v>1837.75</v>
      </c>
      <c r="D140" s="573">
        <v>1877.21</v>
      </c>
      <c r="E140" s="573">
        <v>1823.73</v>
      </c>
      <c r="F140" s="573">
        <v>1851.0845454545499</v>
      </c>
      <c r="G140" s="573">
        <v>1851.2</v>
      </c>
      <c r="H140" s="574">
        <v>0.76</v>
      </c>
      <c r="I140" s="573">
        <v>-0.87</v>
      </c>
      <c r="J140" s="573">
        <v>177507173.40000001</v>
      </c>
      <c r="K140" s="575">
        <f t="shared" si="5"/>
        <v>2.3764263716791447</v>
      </c>
      <c r="L140" s="575">
        <f t="shared" si="5"/>
        <v>0.71926789192482943</v>
      </c>
      <c r="M140" s="573"/>
      <c r="P140" s="580">
        <v>43616</v>
      </c>
      <c r="Q140" s="573">
        <f t="shared" si="4"/>
        <v>1851.2</v>
      </c>
    </row>
    <row r="141" spans="1:17">
      <c r="A141" s="572">
        <v>2019</v>
      </c>
      <c r="B141" s="572">
        <v>6</v>
      </c>
      <c r="C141" s="573">
        <v>1851.2</v>
      </c>
      <c r="D141" s="573">
        <v>1922.65</v>
      </c>
      <c r="E141" s="573">
        <v>1842.95</v>
      </c>
      <c r="F141" s="573">
        <v>1888.2166666666701</v>
      </c>
      <c r="G141" s="573">
        <v>1883.11</v>
      </c>
      <c r="H141" s="574">
        <v>1.1299999999999999</v>
      </c>
      <c r="I141" s="573">
        <v>-1.1499999999999999</v>
      </c>
      <c r="J141" s="573">
        <v>125175684.53</v>
      </c>
      <c r="K141" s="575">
        <f t="shared" si="5"/>
        <v>2.005965708227663</v>
      </c>
      <c r="L141" s="575">
        <f t="shared" si="5"/>
        <v>1.7237467588591073</v>
      </c>
      <c r="M141" s="573"/>
      <c r="P141" s="580">
        <v>43646</v>
      </c>
      <c r="Q141" s="573">
        <f t="shared" si="4"/>
        <v>1883.11</v>
      </c>
    </row>
    <row r="142" spans="1:17">
      <c r="A142" s="572">
        <v>2019</v>
      </c>
      <c r="B142" s="572">
        <v>7</v>
      </c>
      <c r="C142" s="573">
        <v>1883.11</v>
      </c>
      <c r="D142" s="573">
        <v>1930.51</v>
      </c>
      <c r="E142" s="573">
        <v>1871.75</v>
      </c>
      <c r="F142" s="573">
        <v>1900.5591304347799</v>
      </c>
      <c r="G142" s="573">
        <v>1911.58</v>
      </c>
      <c r="H142" s="574">
        <v>0.7</v>
      </c>
      <c r="I142" s="573">
        <v>-0.61</v>
      </c>
      <c r="J142" s="573">
        <v>102814071.52</v>
      </c>
      <c r="K142" s="575">
        <f t="shared" si="5"/>
        <v>0.65365717748369434</v>
      </c>
      <c r="L142" s="575">
        <f t="shared" si="5"/>
        <v>1.5118606985253109</v>
      </c>
      <c r="M142" s="573"/>
      <c r="P142" s="580">
        <v>43677</v>
      </c>
      <c r="Q142" s="573">
        <f t="shared" si="4"/>
        <v>1911.58</v>
      </c>
    </row>
    <row r="143" spans="1:17">
      <c r="A143" s="572">
        <v>2019</v>
      </c>
      <c r="B143" s="572">
        <v>8</v>
      </c>
      <c r="C143" s="573">
        <v>1911.58</v>
      </c>
      <c r="D143" s="573">
        <v>1915.78</v>
      </c>
      <c r="E143" s="573">
        <v>1859.56</v>
      </c>
      <c r="F143" s="573">
        <v>1885.2805000000001</v>
      </c>
      <c r="G143" s="573">
        <v>1873.36</v>
      </c>
      <c r="H143" s="574">
        <v>0.65</v>
      </c>
      <c r="I143" s="573">
        <v>-0.5</v>
      </c>
      <c r="J143" s="573">
        <v>87633436.390000001</v>
      </c>
      <c r="K143" s="575">
        <f t="shared" si="5"/>
        <v>-0.80390187235504129</v>
      </c>
      <c r="L143" s="575">
        <f t="shared" si="5"/>
        <v>-1.99939317214033</v>
      </c>
      <c r="M143" s="573"/>
      <c r="P143" s="580">
        <v>43708</v>
      </c>
      <c r="Q143" s="573">
        <f t="shared" si="4"/>
        <v>1873.36</v>
      </c>
    </row>
    <row r="144" spans="1:17">
      <c r="A144" s="572">
        <v>2019</v>
      </c>
      <c r="B144" s="572">
        <v>9</v>
      </c>
      <c r="C144" s="573">
        <v>1872.87</v>
      </c>
      <c r="D144" s="573">
        <v>1988.04</v>
      </c>
      <c r="E144" s="573">
        <v>1859.83</v>
      </c>
      <c r="F144" s="573">
        <v>1899.5457142857099</v>
      </c>
      <c r="G144" s="573">
        <v>1963.54</v>
      </c>
      <c r="H144" s="574">
        <v>1.29</v>
      </c>
      <c r="I144" s="573">
        <v>-0.77</v>
      </c>
      <c r="J144" s="573">
        <v>146508277.78</v>
      </c>
      <c r="K144" s="575">
        <f t="shared" si="5"/>
        <v>0.75666269744527881</v>
      </c>
      <c r="L144" s="575">
        <f t="shared" si="5"/>
        <v>4.8138104795661292</v>
      </c>
      <c r="M144" s="573"/>
      <c r="P144" s="580">
        <v>43738</v>
      </c>
      <c r="Q144" s="573">
        <f t="shared" si="4"/>
        <v>1963.54</v>
      </c>
    </row>
    <row r="145" spans="1:17">
      <c r="A145" s="572">
        <v>2019</v>
      </c>
      <c r="B145" s="572">
        <v>10</v>
      </c>
      <c r="C145" s="573">
        <v>1963.54</v>
      </c>
      <c r="D145" s="573">
        <v>2032.12</v>
      </c>
      <c r="E145" s="573">
        <v>1922.3</v>
      </c>
      <c r="F145" s="573">
        <v>1981.90045454545</v>
      </c>
      <c r="G145" s="573">
        <v>1991.98</v>
      </c>
      <c r="H145" s="574">
        <v>2.1</v>
      </c>
      <c r="I145" s="573">
        <v>-1.1399999999999999</v>
      </c>
      <c r="J145" s="573">
        <v>129668391.94</v>
      </c>
      <c r="K145" s="575">
        <f t="shared" si="5"/>
        <v>4.3354966211333306</v>
      </c>
      <c r="L145" s="575">
        <f t="shared" si="5"/>
        <v>1.4484044124387623</v>
      </c>
      <c r="M145" s="573"/>
      <c r="P145" s="580">
        <v>43769</v>
      </c>
      <c r="Q145" s="573">
        <f t="shared" si="4"/>
        <v>1991.98</v>
      </c>
    </row>
    <row r="146" spans="1:17">
      <c r="A146" s="572">
        <v>2019</v>
      </c>
      <c r="B146" s="572">
        <v>11</v>
      </c>
      <c r="C146" s="573">
        <v>1991.98</v>
      </c>
      <c r="D146" s="573">
        <v>2004.88</v>
      </c>
      <c r="E146" s="573">
        <v>1966.12</v>
      </c>
      <c r="F146" s="573">
        <v>1986.0744999999999</v>
      </c>
      <c r="G146" s="573">
        <v>1995.61</v>
      </c>
      <c r="H146" s="574">
        <v>0.54</v>
      </c>
      <c r="I146" s="573">
        <v>-1.04</v>
      </c>
      <c r="J146" s="573">
        <v>116048499.70999999</v>
      </c>
      <c r="K146" s="575">
        <f t="shared" si="5"/>
        <v>0.21060822933749535</v>
      </c>
      <c r="L146" s="575">
        <f t="shared" si="5"/>
        <v>0.1822307452886065</v>
      </c>
      <c r="M146" s="573"/>
      <c r="O146" s="575"/>
      <c r="P146" s="580">
        <v>43799</v>
      </c>
      <c r="Q146" s="573">
        <f t="shared" si="4"/>
        <v>1995.61</v>
      </c>
    </row>
    <row r="147" spans="1:17">
      <c r="A147" s="572">
        <v>2019</v>
      </c>
      <c r="B147" s="572">
        <v>12</v>
      </c>
      <c r="C147" s="573">
        <v>1994.47</v>
      </c>
      <c r="D147" s="573">
        <v>2030.44</v>
      </c>
      <c r="E147" s="573">
        <v>1975.67</v>
      </c>
      <c r="F147" s="573">
        <v>2002.05833333333</v>
      </c>
      <c r="G147" s="573">
        <v>2017.43</v>
      </c>
      <c r="H147" s="574">
        <v>1.04</v>
      </c>
      <c r="I147" s="573">
        <v>-0.53</v>
      </c>
      <c r="J147" s="573">
        <v>92272577.180000007</v>
      </c>
      <c r="K147" s="575">
        <f t="shared" si="5"/>
        <v>0.80479525482704162</v>
      </c>
      <c r="L147" s="575">
        <f t="shared" si="5"/>
        <v>1.0934000130285995</v>
      </c>
      <c r="M147" s="573"/>
      <c r="O147" s="575"/>
      <c r="P147" s="580">
        <v>43830</v>
      </c>
      <c r="Q147" s="573">
        <f t="shared" si="4"/>
        <v>2017.43</v>
      </c>
    </row>
    <row r="148" spans="1:17">
      <c r="A148" s="572">
        <v>2020</v>
      </c>
      <c r="B148" s="572">
        <v>1</v>
      </c>
      <c r="C148" s="573">
        <v>2016.25</v>
      </c>
      <c r="D148" s="573">
        <v>2058.46</v>
      </c>
      <c r="E148" s="573">
        <v>2016.18</v>
      </c>
      <c r="F148" s="573">
        <v>2039.89095238095</v>
      </c>
      <c r="G148" s="573">
        <v>2041.52</v>
      </c>
      <c r="H148" s="574">
        <v>0.62</v>
      </c>
      <c r="I148" s="573">
        <v>-0.7</v>
      </c>
      <c r="J148" s="573">
        <v>128630308.09999999</v>
      </c>
      <c r="K148" s="575">
        <f t="shared" si="5"/>
        <v>1.8896861503845628</v>
      </c>
      <c r="L148" s="575">
        <f t="shared" si="5"/>
        <v>1.1940934753622088</v>
      </c>
      <c r="M148" s="573"/>
      <c r="O148" s="575"/>
      <c r="P148" s="580">
        <v>43861</v>
      </c>
      <c r="Q148" s="573">
        <f t="shared" si="4"/>
        <v>2041.52</v>
      </c>
    </row>
    <row r="149" spans="1:17">
      <c r="A149" s="572">
        <v>2020</v>
      </c>
      <c r="B149" s="572">
        <v>2</v>
      </c>
      <c r="C149" s="573">
        <v>2041.72</v>
      </c>
      <c r="D149" s="573">
        <v>2043.46</v>
      </c>
      <c r="E149" s="573">
        <v>1846.74</v>
      </c>
      <c r="F149" s="573">
        <v>1994.3430000000001</v>
      </c>
      <c r="G149" s="573">
        <v>1863.4</v>
      </c>
      <c r="H149" s="574">
        <v>1.25</v>
      </c>
      <c r="I149" s="573">
        <v>-4.91</v>
      </c>
      <c r="J149" s="573">
        <v>261411188.30000001</v>
      </c>
      <c r="K149" s="575">
        <f t="shared" si="5"/>
        <v>-2.232862120780851</v>
      </c>
      <c r="L149" s="575">
        <f t="shared" si="5"/>
        <v>-8.7248716642501734</v>
      </c>
      <c r="M149" s="573"/>
      <c r="O149" s="575"/>
      <c r="P149" s="580">
        <v>43890</v>
      </c>
      <c r="Q149" s="573">
        <f t="shared" si="4"/>
        <v>1863.4</v>
      </c>
    </row>
    <row r="150" spans="1:17">
      <c r="A150" s="572">
        <v>2020</v>
      </c>
      <c r="B150" s="572">
        <v>3</v>
      </c>
      <c r="C150" s="573">
        <v>1863.8</v>
      </c>
      <c r="D150" s="573">
        <v>1896.76</v>
      </c>
      <c r="E150" s="573">
        <v>1322.07</v>
      </c>
      <c r="F150" s="573">
        <v>1552.2831818181801</v>
      </c>
      <c r="G150" s="573">
        <v>1480.51</v>
      </c>
      <c r="H150" s="574">
        <v>5.78</v>
      </c>
      <c r="I150" s="573">
        <v>-10.18</v>
      </c>
      <c r="J150" s="573">
        <v>443688005.22000003</v>
      </c>
      <c r="K150" s="575">
        <f>+F150/F149*100-100</f>
        <v>-22.165686553507584</v>
      </c>
      <c r="L150" s="575">
        <f t="shared" si="5"/>
        <v>-20.547923151228943</v>
      </c>
      <c r="M150" s="573"/>
      <c r="O150" s="575"/>
      <c r="P150" s="580">
        <v>43921</v>
      </c>
      <c r="Q150" s="573">
        <f t="shared" si="4"/>
        <v>1480.51</v>
      </c>
    </row>
    <row r="151" spans="1:17">
      <c r="A151" s="572">
        <v>2020</v>
      </c>
      <c r="B151" s="572">
        <v>4</v>
      </c>
      <c r="C151" s="573">
        <v>1480.51</v>
      </c>
      <c r="D151" s="573">
        <v>1654.13</v>
      </c>
      <c r="E151" s="573">
        <v>1466.87</v>
      </c>
      <c r="F151" s="573">
        <v>1556.9735000000001</v>
      </c>
      <c r="G151" s="573">
        <v>1544.3</v>
      </c>
      <c r="H151" s="574">
        <v>5.0599999999999996</v>
      </c>
      <c r="I151" s="573">
        <v>-1.79</v>
      </c>
      <c r="J151" s="573">
        <v>211022800.56</v>
      </c>
      <c r="K151" s="575">
        <f t="shared" si="5"/>
        <v>0.30215609089614759</v>
      </c>
      <c r="L151" s="575">
        <f t="shared" si="5"/>
        <v>4.3086503974981554</v>
      </c>
      <c r="M151" s="573"/>
      <c r="O151" s="575"/>
      <c r="P151" s="580">
        <v>43951</v>
      </c>
      <c r="Q151" s="573">
        <f t="shared" si="4"/>
        <v>1544.3</v>
      </c>
    </row>
    <row r="152" spans="1:17">
      <c r="A152" s="576">
        <v>2020</v>
      </c>
      <c r="B152" s="576">
        <v>5</v>
      </c>
      <c r="C152" s="577"/>
      <c r="D152" s="577"/>
      <c r="E152" s="577"/>
      <c r="F152" s="577">
        <f>+(K152+100)/100*F151</f>
        <v>1368.4677209847753</v>
      </c>
      <c r="G152" s="577">
        <f>+(L152+100)/100*G151</f>
        <v>1270.6038001629236</v>
      </c>
      <c r="H152" s="578"/>
      <c r="I152" s="576"/>
      <c r="J152" s="577"/>
      <c r="K152" s="579">
        <f>+K17</f>
        <v>-12.107192512603774</v>
      </c>
      <c r="L152" s="579">
        <f>+L17</f>
        <v>-17.722994226321077</v>
      </c>
      <c r="M152" s="572">
        <f>+A17</f>
        <v>2009</v>
      </c>
      <c r="N152" s="572">
        <f>+B17</f>
        <v>2</v>
      </c>
      <c r="O152" s="575"/>
      <c r="P152" s="580">
        <v>43982</v>
      </c>
      <c r="Q152" s="573">
        <f t="shared" si="4"/>
        <v>1270.6038001629236</v>
      </c>
    </row>
    <row r="153" spans="1:17">
      <c r="A153" s="576">
        <v>2020</v>
      </c>
      <c r="B153" s="576">
        <v>6</v>
      </c>
      <c r="C153" s="577"/>
      <c r="D153" s="577"/>
      <c r="E153" s="577"/>
      <c r="F153" s="577">
        <f t="shared" ref="F153:G159" si="6">+(K153+100)/100*F152</f>
        <v>1193.5436175739437</v>
      </c>
      <c r="G153" s="577">
        <f t="shared" si="6"/>
        <v>1332.6872735272957</v>
      </c>
      <c r="H153" s="578"/>
      <c r="I153" s="576"/>
      <c r="J153" s="576"/>
      <c r="K153" s="579">
        <f t="shared" ref="K153:L159" si="7">+K18</f>
        <v>-12.782479318178801</v>
      </c>
      <c r="L153" s="579">
        <f t="shared" si="7"/>
        <v>4.8861394367316819</v>
      </c>
      <c r="M153" s="572">
        <f t="shared" ref="M153:N159" si="8">+A18</f>
        <v>2009</v>
      </c>
      <c r="N153" s="572">
        <f t="shared" si="8"/>
        <v>3</v>
      </c>
      <c r="O153" s="575"/>
      <c r="P153" s="580">
        <v>44012</v>
      </c>
      <c r="Q153" s="573">
        <f t="shared" si="4"/>
        <v>1332.6872735272957</v>
      </c>
    </row>
    <row r="154" spans="1:17">
      <c r="A154" s="576">
        <v>2020</v>
      </c>
      <c r="B154" s="576">
        <v>7</v>
      </c>
      <c r="C154" s="577"/>
      <c r="D154" s="577"/>
      <c r="E154" s="577"/>
      <c r="F154" s="577">
        <f t="shared" si="6"/>
        <v>1356.6727977198698</v>
      </c>
      <c r="G154" s="577">
        <f t="shared" si="6"/>
        <v>1463.3095791933499</v>
      </c>
      <c r="H154" s="578"/>
      <c r="I154" s="576"/>
      <c r="J154" s="576"/>
      <c r="K154" s="579">
        <f t="shared" si="7"/>
        <v>13.667634575224866</v>
      </c>
      <c r="L154" s="579">
        <f t="shared" si="7"/>
        <v>9.8014221536256656</v>
      </c>
      <c r="M154" s="572">
        <f t="shared" si="8"/>
        <v>2009</v>
      </c>
      <c r="N154" s="572">
        <f t="shared" si="8"/>
        <v>4</v>
      </c>
      <c r="O154" s="575"/>
      <c r="P154" s="580">
        <v>44043</v>
      </c>
      <c r="Q154" s="573">
        <f t="shared" si="4"/>
        <v>1463.3095791933499</v>
      </c>
    </row>
    <row r="155" spans="1:17">
      <c r="A155" s="576">
        <v>2020</v>
      </c>
      <c r="B155" s="576">
        <v>8</v>
      </c>
      <c r="C155" s="577"/>
      <c r="D155" s="577"/>
      <c r="E155" s="577"/>
      <c r="F155" s="577">
        <f t="shared" si="6"/>
        <v>1652.8545646602799</v>
      </c>
      <c r="G155" s="577">
        <f t="shared" si="6"/>
        <v>1968.8752932921859</v>
      </c>
      <c r="H155" s="578"/>
      <c r="I155" s="576"/>
      <c r="J155" s="576"/>
      <c r="K155" s="579">
        <f t="shared" si="7"/>
        <v>21.831481211843879</v>
      </c>
      <c r="L155" s="579">
        <f>+L20</f>
        <v>34.549470685316606</v>
      </c>
      <c r="M155" s="572">
        <f t="shared" si="8"/>
        <v>2009</v>
      </c>
      <c r="N155" s="572">
        <f t="shared" si="8"/>
        <v>5</v>
      </c>
      <c r="O155" s="575"/>
      <c r="P155" s="580">
        <v>44074</v>
      </c>
      <c r="Q155" s="573">
        <f t="shared" si="4"/>
        <v>1968.8752932921859</v>
      </c>
    </row>
    <row r="156" spans="1:17">
      <c r="A156" s="576">
        <v>2020</v>
      </c>
      <c r="B156" s="576">
        <v>9</v>
      </c>
      <c r="C156" s="577"/>
      <c r="D156" s="577"/>
      <c r="E156" s="577"/>
      <c r="F156" s="577">
        <f t="shared" si="6"/>
        <v>1752.4403839688819</v>
      </c>
      <c r="G156" s="577">
        <f t="shared" si="6"/>
        <v>1741.349142867336</v>
      </c>
      <c r="H156" s="578"/>
      <c r="I156" s="576"/>
      <c r="J156" s="576"/>
      <c r="K156" s="579">
        <f t="shared" si="7"/>
        <v>6.0250805750154086</v>
      </c>
      <c r="L156" s="579">
        <f t="shared" si="7"/>
        <v>-11.556148385833012</v>
      </c>
      <c r="M156" s="572">
        <f t="shared" si="8"/>
        <v>2009</v>
      </c>
      <c r="N156" s="572">
        <f t="shared" si="8"/>
        <v>6</v>
      </c>
      <c r="O156" s="575"/>
      <c r="P156" s="580">
        <v>44104</v>
      </c>
      <c r="Q156" s="573">
        <f t="shared" si="4"/>
        <v>1741.349142867336</v>
      </c>
    </row>
    <row r="157" spans="1:17">
      <c r="A157" s="576">
        <v>2020</v>
      </c>
      <c r="B157" s="576">
        <v>10</v>
      </c>
      <c r="C157" s="577"/>
      <c r="D157" s="577"/>
      <c r="E157" s="577"/>
      <c r="F157" s="577">
        <f t="shared" si="6"/>
        <v>1603.9558130567059</v>
      </c>
      <c r="G157" s="577">
        <f t="shared" si="6"/>
        <v>1725.3530756286532</v>
      </c>
      <c r="H157" s="578"/>
      <c r="I157" s="576"/>
      <c r="J157" s="576"/>
      <c r="K157" s="579">
        <f t="shared" si="7"/>
        <v>-8.473016957980164</v>
      </c>
      <c r="L157" s="579">
        <f t="shared" si="7"/>
        <v>-0.91860195321562799</v>
      </c>
      <c r="M157" s="572">
        <f t="shared" si="8"/>
        <v>2009</v>
      </c>
      <c r="N157" s="572">
        <f t="shared" si="8"/>
        <v>7</v>
      </c>
      <c r="O157" s="575"/>
      <c r="P157" s="580">
        <v>44135</v>
      </c>
      <c r="Q157" s="573">
        <f t="shared" si="4"/>
        <v>1725.3530756286532</v>
      </c>
    </row>
    <row r="158" spans="1:17">
      <c r="A158" s="576">
        <v>2020</v>
      </c>
      <c r="B158" s="576">
        <v>11</v>
      </c>
      <c r="C158" s="577"/>
      <c r="D158" s="577"/>
      <c r="E158" s="577"/>
      <c r="F158" s="577">
        <f t="shared" si="6"/>
        <v>1712.8102540414222</v>
      </c>
      <c r="G158" s="577">
        <f t="shared" si="6"/>
        <v>1844.8001724373726</v>
      </c>
      <c r="H158" s="578"/>
      <c r="I158" s="576"/>
      <c r="J158" s="576"/>
      <c r="K158" s="579">
        <f t="shared" si="7"/>
        <v>6.7866234280649707</v>
      </c>
      <c r="L158" s="579">
        <f t="shared" si="7"/>
        <v>6.9230523593089686</v>
      </c>
      <c r="M158" s="572">
        <f t="shared" si="8"/>
        <v>2009</v>
      </c>
      <c r="N158" s="572">
        <f t="shared" si="8"/>
        <v>8</v>
      </c>
      <c r="O158" s="575"/>
      <c r="P158" s="580">
        <v>44165</v>
      </c>
      <c r="Q158" s="573">
        <f t="shared" si="4"/>
        <v>1844.8001724373726</v>
      </c>
    </row>
    <row r="159" spans="1:17">
      <c r="A159" s="576">
        <v>2020</v>
      </c>
      <c r="B159" s="576">
        <v>12</v>
      </c>
      <c r="C159" s="577"/>
      <c r="D159" s="577"/>
      <c r="E159" s="577"/>
      <c r="F159" s="577">
        <f t="shared" si="6"/>
        <v>1884.1192385244974</v>
      </c>
      <c r="G159" s="577">
        <f>+(L159+100)/100*G158</f>
        <v>2017.7450233979678</v>
      </c>
      <c r="H159" s="578"/>
      <c r="I159" s="576"/>
      <c r="J159" s="576"/>
      <c r="K159" s="579">
        <f t="shared" si="7"/>
        <v>10.001632351211526</v>
      </c>
      <c r="L159" s="579">
        <f t="shared" si="7"/>
        <v>9.3747200127425288</v>
      </c>
      <c r="M159" s="572">
        <f t="shared" si="8"/>
        <v>2009</v>
      </c>
      <c r="N159" s="572">
        <f t="shared" si="8"/>
        <v>9</v>
      </c>
      <c r="O159" s="575"/>
      <c r="P159" s="580">
        <v>44196</v>
      </c>
      <c r="Q159" s="573">
        <f t="shared" si="4"/>
        <v>2017.7450233979678</v>
      </c>
    </row>
    <row r="160" spans="1:17">
      <c r="K160" s="575"/>
      <c r="O160" s="575"/>
      <c r="P160" s="575"/>
    </row>
    <row r="161" spans="15:16">
      <c r="O161" s="575"/>
      <c r="P161" s="575"/>
    </row>
    <row r="162" spans="15:16">
      <c r="O162" s="575"/>
      <c r="P162" s="575"/>
    </row>
    <row r="163" spans="15:16">
      <c r="O163" s="575"/>
      <c r="P163" s="575"/>
    </row>
    <row r="164" spans="15:16">
      <c r="O164" s="575"/>
      <c r="P164" s="575"/>
    </row>
    <row r="165" spans="15:16">
      <c r="O165" s="575"/>
      <c r="P165" s="575"/>
    </row>
    <row r="166" spans="15:16">
      <c r="O166" s="575"/>
      <c r="P166" s="575"/>
    </row>
    <row r="167" spans="15:16">
      <c r="O167" s="575"/>
      <c r="P167" s="575"/>
    </row>
    <row r="168" spans="15:16">
      <c r="O168" s="575"/>
      <c r="P168" s="575"/>
    </row>
    <row r="169" spans="15:16">
      <c r="O169" s="575"/>
      <c r="P169" s="575"/>
    </row>
    <row r="170" spans="15:16">
      <c r="O170" s="575"/>
      <c r="P170" s="575"/>
    </row>
    <row r="171" spans="15:16">
      <c r="O171" s="575"/>
      <c r="P171" s="575"/>
    </row>
    <row r="172" spans="15:16">
      <c r="O172" s="575"/>
      <c r="P172" s="575"/>
    </row>
    <row r="173" spans="15:16">
      <c r="O173" s="575"/>
      <c r="P173" s="575"/>
    </row>
    <row r="174" spans="15:16">
      <c r="O174" s="575"/>
      <c r="P174" s="575"/>
    </row>
    <row r="175" spans="15:16">
      <c r="O175" s="575"/>
      <c r="P175" s="575"/>
    </row>
    <row r="176" spans="15:16">
      <c r="O176" s="575"/>
      <c r="P176" s="575"/>
    </row>
    <row r="177" spans="15:16">
      <c r="O177" s="575"/>
      <c r="P177" s="575"/>
    </row>
    <row r="178" spans="15:16">
      <c r="O178" s="575"/>
      <c r="P178" s="575"/>
    </row>
    <row r="179" spans="15:16">
      <c r="O179" s="575"/>
      <c r="P179" s="575"/>
    </row>
    <row r="180" spans="15:16">
      <c r="O180" s="575"/>
      <c r="P180" s="575"/>
    </row>
    <row r="181" spans="15:16">
      <c r="O181" s="575"/>
      <c r="P181" s="575"/>
    </row>
    <row r="182" spans="15:16">
      <c r="O182" s="575"/>
      <c r="P182" s="575"/>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vt:i4>
      </vt:variant>
    </vt:vector>
  </HeadingPairs>
  <TitlesOfParts>
    <vt:vector size="20" baseType="lpstr">
      <vt:lpstr>sazetak</vt:lpstr>
      <vt:lpstr>bdp</vt:lpstr>
      <vt:lpstr>nezaposlenost</vt:lpstr>
      <vt:lpstr>place</vt:lpstr>
      <vt:lpstr>vanjski_sektor</vt:lpstr>
      <vt:lpstr>krediti</vt:lpstr>
      <vt:lpstr>inflacija</vt:lpstr>
      <vt:lpstr>nekretnine</vt:lpstr>
      <vt:lpstr>javne_financije</vt:lpstr>
      <vt:lpstr>prinos</vt:lpstr>
      <vt:lpstr>kstope</vt:lpstr>
      <vt:lpstr>tecaj</vt:lpstr>
      <vt:lpstr>dionice</vt:lpstr>
      <vt:lpstr>goods</vt:lpstr>
      <vt:lpstr>international_reserves</vt:lpstr>
      <vt:lpstr>javni_deficit</vt:lpstr>
      <vt:lpstr>javni_dug</vt:lpstr>
      <vt:lpstr>primary_income</vt:lpstr>
      <vt:lpstr>secondary_income</vt:lpstr>
      <vt:lpstr>services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bambas</dc:creator>
  <cp:lastModifiedBy>bambas</cp:lastModifiedBy>
  <dcterms:created xsi:type="dcterms:W3CDTF">2015-06-05T18:19:34Z</dcterms:created>
  <dcterms:modified xsi:type="dcterms:W3CDTF">2020-05-14T12:03:56Z</dcterms:modified>
</cp:coreProperties>
</file>