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19080" windowHeight="11475"/>
  </bookViews>
  <sheets>
    <sheet name="Installation" sheetId="1" r:id="rId1"/>
    <sheet name="Help" sheetId="2" r:id="rId2"/>
    <sheet name="Info" sheetId="3" r:id="rId3"/>
    <sheet name="Bullet velocity" sheetId="4" r:id="rId4"/>
    <sheet name="Units" sheetId="8" r:id="rId5"/>
    <sheet name="Bullet range" sheetId="5" r:id="rId6"/>
    <sheet name="Flight times" sheetId="6" r:id="rId7"/>
    <sheet name="The great cross check" sheetId="7" r:id="rId8"/>
    <sheet name="Drop and Elevation" sheetId="9" r:id="rId9"/>
    <sheet name="Trajectory height" sheetId="10" r:id="rId10"/>
    <sheet name="Cross wind deflection" sheetId="11" r:id="rId11"/>
    <sheet name="Weather" sheetId="12" r:id="rId12"/>
    <sheet name="Drag functions" sheetId="13" r:id="rId13"/>
    <sheet name="Interpolation" sheetId="14" r:id="rId14"/>
    <sheet name="Making tables" sheetId="17" r:id="rId15"/>
    <sheet name="G7 check" sheetId="16" r:id="rId16"/>
    <sheet name="Random numbers" sheetId="19" r:id="rId17"/>
    <sheet name="Check range changed" sheetId="20" r:id="rId18"/>
    <sheet name="Custom drag tables" sheetId="21" r:id="rId19"/>
  </sheets>
  <definedNames>
    <definedName name="_c" localSheetId="9">'Trajectory height'!$C$13</definedName>
    <definedName name="_c1_G1" localSheetId="12">'Drag functions'!$E$146</definedName>
    <definedName name="_c2_G1" localSheetId="12">'Drag functions'!$F$146</definedName>
    <definedName name="_e" comment="_e" localSheetId="9">'Trajectory height'!$C$108</definedName>
    <definedName name="_seed1" localSheetId="16">'Random numbers'!$B$20</definedName>
    <definedName name="_vs" localSheetId="18">'Custom drag tables'!$C$3</definedName>
    <definedName name="bc">'Custom drag tables'!$E$70</definedName>
    <definedName name="c_" localSheetId="3">'Bullet velocity'!$C$23</definedName>
    <definedName name="c_" localSheetId="10">'Cross wind deflection'!$F$26</definedName>
    <definedName name="c_" localSheetId="16">'Random numbers'!$Q$94</definedName>
    <definedName name="c_" localSheetId="7">'The great cross check'!$C$10</definedName>
    <definedName name="c_" localSheetId="9">'Trajectory height'!$C$13</definedName>
    <definedName name="cG7_" localSheetId="12">'Drag functions'!$G$146</definedName>
    <definedName name="dt" localSheetId="18">'Custom drag tables'!$H$16:$N$51</definedName>
    <definedName name="gi" localSheetId="13">Interpolation!$C$128:$C$141</definedName>
    <definedName name="h" localSheetId="9">'Trajectory height'!$C$11</definedName>
    <definedName name="height_big" localSheetId="13">Interpolation!$C$43:$C$58</definedName>
    <definedName name="height_last" localSheetId="13">Interpolation!$C$87:$C$91</definedName>
    <definedName name="height_small" localSheetId="13">Interpolation!$C$43:$C$49</definedName>
    <definedName name="mtf" localSheetId="12">'Drag functions'!$D$176</definedName>
    <definedName name="mtf" localSheetId="13">Interpolation!#REF!</definedName>
    <definedName name="n150w" localSheetId="13">Interpolation!$D$18:$G$18</definedName>
    <definedName name="n550w" localSheetId="13">Interpolation!$D$19:$H$19</definedName>
    <definedName name="range_big" localSheetId="13">Interpolation!$B$43:$B$58</definedName>
    <definedName name="range_last" localSheetId="13">Interpolation!$B$87:$B$91</definedName>
    <definedName name="s" localSheetId="12">'Drag functions'!$D$198</definedName>
    <definedName name="s" localSheetId="9">'Trajectory height'!$C$10</definedName>
    <definedName name="s_" localSheetId="16">'Random numbers'!$Q$95</definedName>
    <definedName name="s_unit" localSheetId="9">'Trajectory height'!$D$10</definedName>
    <definedName name="scope_height" localSheetId="17">'Check range changed'!$C$17</definedName>
    <definedName name="Sierra_52_MK" localSheetId="14">'Making tables'!$C$3</definedName>
    <definedName name="Sierra_55_FMJBT" localSheetId="14">'Making tables'!$C$4</definedName>
    <definedName name="Sierra_69_MK" localSheetId="14">'Making tables'!$C$5</definedName>
    <definedName name="Sierra_77_MK" localSheetId="14">'Making tables'!$C$6</definedName>
    <definedName name="solver_adj" localSheetId="12" hidden="1">'Drag functions'!$F$146</definedName>
    <definedName name="solver_adj" localSheetId="9" hidden="1">'Trajectory height'!$J$62</definedName>
    <definedName name="solver_cvg" localSheetId="12" hidden="1">0.0001</definedName>
    <definedName name="solver_cvg" localSheetId="9" hidden="1">0.0001</definedName>
    <definedName name="solver_drv" localSheetId="12" hidden="1">1</definedName>
    <definedName name="solver_drv" localSheetId="9" hidden="1">1</definedName>
    <definedName name="solver_est" localSheetId="12" hidden="1">1</definedName>
    <definedName name="solver_est" localSheetId="9" hidden="1">1</definedName>
    <definedName name="solver_itr" localSheetId="12" hidden="1">100</definedName>
    <definedName name="solver_itr" localSheetId="9" hidden="1">100</definedName>
    <definedName name="solver_lin" localSheetId="12" hidden="1">2</definedName>
    <definedName name="solver_lin" localSheetId="9" hidden="1">2</definedName>
    <definedName name="solver_neg" localSheetId="12" hidden="1">2</definedName>
    <definedName name="solver_neg" localSheetId="9" hidden="1">2</definedName>
    <definedName name="solver_num" localSheetId="12" hidden="1">0</definedName>
    <definedName name="solver_num" localSheetId="9" hidden="1">0</definedName>
    <definedName name="solver_nwt" localSheetId="12" hidden="1">1</definedName>
    <definedName name="solver_nwt" localSheetId="9" hidden="1">1</definedName>
    <definedName name="solver_opt" localSheetId="12" hidden="1">'Drag functions'!$H$145</definedName>
    <definedName name="solver_opt" localSheetId="9" hidden="1">'Trajectory height'!$J$63</definedName>
    <definedName name="solver_pre" localSheetId="12" hidden="1">0.000001</definedName>
    <definedName name="solver_pre" localSheetId="9" hidden="1">0.000001</definedName>
    <definedName name="solver_scl" localSheetId="12" hidden="1">2</definedName>
    <definedName name="solver_scl" localSheetId="9" hidden="1">2</definedName>
    <definedName name="solver_sho" localSheetId="12" hidden="1">2</definedName>
    <definedName name="solver_sho" localSheetId="9" hidden="1">2</definedName>
    <definedName name="solver_tim" localSheetId="12" hidden="1">100</definedName>
    <definedName name="solver_tim" localSheetId="9" hidden="1">100</definedName>
    <definedName name="solver_tol" localSheetId="12" hidden="1">0.05</definedName>
    <definedName name="solver_tol" localSheetId="9" hidden="1">0.05</definedName>
    <definedName name="solver_typ" localSheetId="12" hidden="1">2</definedName>
    <definedName name="solver_typ" localSheetId="9" hidden="1">3</definedName>
    <definedName name="solver_val" localSheetId="12" hidden="1">0</definedName>
    <definedName name="solver_val" localSheetId="9" hidden="1">0</definedName>
    <definedName name="std">Weather!$H$3</definedName>
    <definedName name="stdad">Weather!$L$3</definedName>
    <definedName name="v" localSheetId="5">'Bullet range'!$D$13</definedName>
    <definedName name="v0" localSheetId="5">'Bullet range'!$D$12</definedName>
    <definedName name="v0" localSheetId="3">'Bullet velocity'!$D$23</definedName>
    <definedName name="v0" localSheetId="17">'Check range changed'!$C$15</definedName>
    <definedName name="v0" localSheetId="10">'Cross wind deflection'!$C$26</definedName>
    <definedName name="v0" localSheetId="18">'Custom drag tables'!$C$68</definedName>
    <definedName name="v0" localSheetId="12">'Drag functions'!$C$144</definedName>
    <definedName name="v0" localSheetId="7">'The great cross check'!$C$9</definedName>
    <definedName name="v0" localSheetId="9">'Trajectory height'!$C$9</definedName>
    <definedName name="velo" localSheetId="13">Interpolation!$D$14:$H$14</definedName>
    <definedName name="vw_" localSheetId="12">'Drag functions'!$C$221:$C$228</definedName>
    <definedName name="x_" localSheetId="12">'Drag functions'!$B$221:$B$228</definedName>
    <definedName name="x100_" localSheetId="5">'Bullet range'!$D$45</definedName>
    <definedName name="x250_" localSheetId="5">'Bullet range'!$D$35</definedName>
    <definedName name="xi" localSheetId="13">Interpolation!$B$128:$B$142</definedName>
    <definedName name="xw__m" localSheetId="10">'Cross wind deflection'!$B$54:$B$61</definedName>
    <definedName name="xw_2" localSheetId="10">'Cross wind deflection'!$B$81:$B$87</definedName>
    <definedName name="xw_m" localSheetId="10">'Cross wind deflection'!$B$28:$B$34</definedName>
    <definedName name="yw__beaufort" localSheetId="10">'Cross wind deflection'!$C$54:$C$61</definedName>
    <definedName name="yw_2" localSheetId="10">'Cross wind deflection'!$C$81:$C$87</definedName>
    <definedName name="yw_beaufort" localSheetId="10">'Cross wind deflection'!$C$28:$C$34</definedName>
    <definedName name="zero" localSheetId="17">'Check range changed'!$C$16</definedName>
    <definedName name="zx" localSheetId="12">'Drag functions'!$D$199</definedName>
    <definedName name="zx" localSheetId="9">'Trajectory height'!$C$12</definedName>
    <definedName name="zx2_" localSheetId="12">'Drag functions'!$I$199</definedName>
  </definedNames>
  <calcPr calcId="145621"/>
  <webPublishing allowPng="1" codePage="1252"/>
</workbook>
</file>

<file path=xl/calcChain.xml><?xml version="1.0" encoding="utf-8"?>
<calcChain xmlns="http://schemas.openxmlformats.org/spreadsheetml/2006/main">
  <c r="F80" i="20" l="1"/>
  <c r="D80" i="20"/>
  <c r="C189" i="21"/>
  <c r="I94"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95" i="21"/>
  <c r="H17" i="16"/>
  <c r="D207" i="2"/>
  <c r="D223" i="2"/>
  <c r="D239" i="2"/>
  <c r="D255" i="2"/>
  <c r="D271" i="2"/>
  <c r="D287" i="2"/>
  <c r="D198" i="2"/>
  <c r="D214" i="2"/>
  <c r="D230" i="2"/>
  <c r="D246" i="2"/>
  <c r="D262" i="2"/>
  <c r="D278" i="2"/>
  <c r="D294" i="2"/>
  <c r="D29" i="2"/>
  <c r="D45" i="2"/>
  <c r="D61" i="2"/>
  <c r="D77" i="2"/>
  <c r="D93" i="2"/>
  <c r="D109" i="2"/>
  <c r="D125" i="2"/>
  <c r="D141" i="2"/>
  <c r="D157" i="2"/>
  <c r="D173" i="2"/>
  <c r="D26" i="2"/>
  <c r="D42" i="2"/>
  <c r="D58" i="2"/>
  <c r="D74" i="2"/>
  <c r="D90" i="2"/>
  <c r="D106" i="2"/>
  <c r="D122" i="2"/>
  <c r="D138" i="2"/>
  <c r="D154" i="2"/>
  <c r="D170" i="2"/>
  <c r="D209" i="2"/>
  <c r="D225" i="2"/>
  <c r="D241" i="2"/>
  <c r="D257" i="2"/>
  <c r="D273" i="2"/>
  <c r="D289" i="2"/>
  <c r="D200" i="2"/>
  <c r="D216" i="2"/>
  <c r="D232" i="2"/>
  <c r="D248" i="2"/>
  <c r="D264" i="2"/>
  <c r="D280" i="2"/>
  <c r="D296" i="2"/>
  <c r="D31" i="2"/>
  <c r="D47" i="2"/>
  <c r="D63" i="2"/>
  <c r="D79" i="2"/>
  <c r="D111" i="2"/>
  <c r="D127" i="2"/>
  <c r="D143" i="2"/>
  <c r="D159" i="2"/>
  <c r="D28" i="2"/>
  <c r="D44" i="2"/>
  <c r="D60" i="2"/>
  <c r="D92" i="2"/>
  <c r="D108" i="2"/>
  <c r="D140" i="2"/>
  <c r="D172" i="2"/>
  <c r="D211" i="2"/>
  <c r="D259" i="2"/>
  <c r="D218" i="2"/>
  <c r="D266" i="2"/>
  <c r="D17" i="2"/>
  <c r="D81" i="2"/>
  <c r="D113" i="2"/>
  <c r="D161" i="2"/>
  <c r="D62" i="2"/>
  <c r="D126" i="2"/>
  <c r="D174" i="2"/>
  <c r="D213" i="2"/>
  <c r="D261" i="2"/>
  <c r="D277" i="2"/>
  <c r="D220" i="2"/>
  <c r="D268" i="2"/>
  <c r="D35" i="2"/>
  <c r="D83" i="2"/>
  <c r="D115" i="2"/>
  <c r="D147" i="2"/>
  <c r="D48" i="2"/>
  <c r="D80" i="2"/>
  <c r="D128" i="2"/>
  <c r="D199" i="2"/>
  <c r="D215" i="2"/>
  <c r="D231" i="2"/>
  <c r="D247" i="2"/>
  <c r="D263" i="2"/>
  <c r="D279" i="2"/>
  <c r="D295" i="2"/>
  <c r="D206" i="2"/>
  <c r="D222" i="2"/>
  <c r="D238" i="2"/>
  <c r="D254" i="2"/>
  <c r="D270" i="2"/>
  <c r="D286" i="2"/>
  <c r="D21" i="2"/>
  <c r="D37" i="2"/>
  <c r="D53" i="2"/>
  <c r="D69" i="2"/>
  <c r="D85" i="2"/>
  <c r="D101" i="2"/>
  <c r="D117" i="2"/>
  <c r="D133" i="2"/>
  <c r="D149" i="2"/>
  <c r="D165" i="2"/>
  <c r="D18" i="2"/>
  <c r="D34" i="2"/>
  <c r="D50" i="2"/>
  <c r="D66" i="2"/>
  <c r="D82" i="2"/>
  <c r="D98" i="2"/>
  <c r="D114" i="2"/>
  <c r="D130" i="2"/>
  <c r="D146" i="2"/>
  <c r="D162" i="2"/>
  <c r="D178" i="2"/>
  <c r="F114" i="21"/>
  <c r="D201" i="2"/>
  <c r="D217" i="2"/>
  <c r="D233" i="2"/>
  <c r="D249" i="2"/>
  <c r="D265" i="2"/>
  <c r="D281" i="2"/>
  <c r="D297" i="2"/>
  <c r="D208" i="2"/>
  <c r="D224" i="2"/>
  <c r="D240" i="2"/>
  <c r="D256" i="2"/>
  <c r="D272" i="2"/>
  <c r="D288" i="2"/>
  <c r="D23" i="2"/>
  <c r="D39" i="2"/>
  <c r="D55" i="2"/>
  <c r="D71" i="2"/>
  <c r="D87" i="2"/>
  <c r="D103" i="2"/>
  <c r="D119" i="2"/>
  <c r="D135" i="2"/>
  <c r="D151" i="2"/>
  <c r="D167" i="2"/>
  <c r="D20" i="2"/>
  <c r="D36" i="2"/>
  <c r="D52" i="2"/>
  <c r="D68" i="2"/>
  <c r="D84" i="2"/>
  <c r="D100" i="2"/>
  <c r="D116" i="2"/>
  <c r="D132" i="2"/>
  <c r="D148" i="2"/>
  <c r="D164" i="2"/>
  <c r="F112" i="21"/>
  <c r="E112" i="21"/>
  <c r="D227" i="2"/>
  <c r="D275" i="2"/>
  <c r="D202" i="2"/>
  <c r="D234" i="2"/>
  <c r="D282" i="2"/>
  <c r="D65" i="2"/>
  <c r="D129" i="2"/>
  <c r="D30" i="2"/>
  <c r="D78" i="2"/>
  <c r="D142" i="2"/>
  <c r="D197" i="2"/>
  <c r="D245" i="2"/>
  <c r="D293" i="2"/>
  <c r="D236" i="2"/>
  <c r="D19" i="2"/>
  <c r="D51" i="2"/>
  <c r="D99" i="2"/>
  <c r="D163" i="2"/>
  <c r="D64" i="2"/>
  <c r="D112" i="2"/>
  <c r="D176" i="2"/>
  <c r="D203" i="2"/>
  <c r="D219" i="2"/>
  <c r="D235" i="2"/>
  <c r="D251" i="2"/>
  <c r="D267" i="2"/>
  <c r="D283" i="2"/>
  <c r="D194" i="2"/>
  <c r="D210" i="2"/>
  <c r="D226" i="2"/>
  <c r="D242" i="2"/>
  <c r="D258" i="2"/>
  <c r="D274" i="2"/>
  <c r="D290" i="2"/>
  <c r="D25" i="2"/>
  <c r="D41" i="2"/>
  <c r="D57" i="2"/>
  <c r="D73" i="2"/>
  <c r="D89" i="2"/>
  <c r="D105" i="2"/>
  <c r="D121" i="2"/>
  <c r="D137" i="2"/>
  <c r="D153" i="2"/>
  <c r="D169" i="2"/>
  <c r="D22" i="2"/>
  <c r="D38" i="2"/>
  <c r="D54" i="2"/>
  <c r="D70" i="2"/>
  <c r="D86" i="2"/>
  <c r="D102" i="2"/>
  <c r="D118" i="2"/>
  <c r="D134" i="2"/>
  <c r="D150" i="2"/>
  <c r="D166" i="2"/>
  <c r="D195" i="2"/>
  <c r="D291" i="2"/>
  <c r="D250" i="2"/>
  <c r="D33" i="2"/>
  <c r="D97" i="2"/>
  <c r="D145" i="2"/>
  <c r="D46" i="2"/>
  <c r="D110" i="2"/>
  <c r="D252" i="2"/>
  <c r="D179" i="2"/>
  <c r="D144" i="2"/>
  <c r="E217" i="21"/>
  <c r="E118" i="21"/>
  <c r="D205" i="2"/>
  <c r="D221" i="2"/>
  <c r="D237" i="2"/>
  <c r="D253" i="2"/>
  <c r="D269" i="2"/>
  <c r="D285" i="2"/>
  <c r="D196" i="2"/>
  <c r="D212" i="2"/>
  <c r="D228" i="2"/>
  <c r="D244" i="2"/>
  <c r="D260" i="2"/>
  <c r="D276" i="2"/>
  <c r="D292" i="2"/>
  <c r="D27" i="2"/>
  <c r="D43" i="2"/>
  <c r="D59" i="2"/>
  <c r="D75" i="2"/>
  <c r="D91" i="2"/>
  <c r="D107" i="2"/>
  <c r="D123" i="2"/>
  <c r="D139" i="2"/>
  <c r="D155" i="2"/>
  <c r="D171" i="2"/>
  <c r="D24" i="2"/>
  <c r="D40" i="2"/>
  <c r="D56" i="2"/>
  <c r="D72" i="2"/>
  <c r="D88" i="2"/>
  <c r="D104" i="2"/>
  <c r="D120" i="2"/>
  <c r="D136" i="2"/>
  <c r="D152" i="2"/>
  <c r="D168" i="2"/>
  <c r="H91" i="21"/>
  <c r="D95" i="2"/>
  <c r="D175" i="2"/>
  <c r="D76" i="2"/>
  <c r="D124" i="2"/>
  <c r="D156" i="2"/>
  <c r="D215" i="21"/>
  <c r="D190" i="21"/>
  <c r="F120" i="21"/>
  <c r="D243" i="2"/>
  <c r="D49" i="2"/>
  <c r="D177" i="2"/>
  <c r="D94" i="2"/>
  <c r="D158" i="2"/>
  <c r="E218" i="21"/>
  <c r="F118" i="21"/>
  <c r="D229" i="2"/>
  <c r="D204" i="2"/>
  <c r="D284" i="2"/>
  <c r="D67" i="2"/>
  <c r="D131" i="2"/>
  <c r="D32" i="2"/>
  <c r="D96" i="2"/>
  <c r="D160" i="2"/>
  <c r="D192" i="21"/>
  <c r="D216" i="21"/>
  <c r="D200" i="21"/>
  <c r="D211" i="21"/>
  <c r="D195" i="21"/>
  <c r="D201" i="21"/>
  <c r="D198" i="21"/>
  <c r="D209" i="21"/>
  <c r="D193" i="21"/>
  <c r="D208" i="21"/>
  <c r="D217" i="21"/>
  <c r="D214" i="21"/>
  <c r="D212" i="21"/>
  <c r="D196" i="21"/>
  <c r="D207" i="21"/>
  <c r="D191" i="21"/>
  <c r="D210" i="21"/>
  <c r="D194" i="21"/>
  <c r="D205" i="21"/>
  <c r="D203" i="21"/>
  <c r="D206" i="21"/>
  <c r="E120" i="21"/>
  <c r="D204" i="21"/>
  <c r="D199" i="21"/>
  <c r="E114" i="21"/>
  <c r="D218" i="21"/>
  <c r="D202" i="21"/>
  <c r="D213" i="21"/>
  <c r="D197" i="21"/>
  <c r="F79" i="20" l="1"/>
  <c r="D79" i="20"/>
  <c r="F78" i="20"/>
  <c r="D78" i="20"/>
  <c r="F77" i="20"/>
  <c r="D77" i="20"/>
  <c r="L64" i="21"/>
  <c r="H16" i="21"/>
  <c r="H74" i="21"/>
  <c r="D81" i="21"/>
  <c r="D73" i="21"/>
  <c r="H82" i="21"/>
  <c r="L61" i="21"/>
  <c r="F74" i="21"/>
  <c r="H76" i="21"/>
  <c r="D77" i="21"/>
  <c r="D75" i="21"/>
  <c r="D84" i="21"/>
  <c r="D76" i="21"/>
  <c r="D78" i="21"/>
  <c r="D82" i="21"/>
  <c r="F76" i="21"/>
  <c r="F81" i="21"/>
  <c r="F75" i="21"/>
  <c r="B62" i="21"/>
  <c r="C50" i="21"/>
  <c r="F73" i="21"/>
  <c r="B64" i="21"/>
  <c r="F77" i="21"/>
  <c r="B51" i="21"/>
  <c r="D83" i="21"/>
  <c r="F83" i="21"/>
  <c r="D79" i="21"/>
  <c r="H81" i="21"/>
  <c r="F82" i="21"/>
  <c r="C62" i="21"/>
  <c r="B50" i="21"/>
  <c r="D74" i="21"/>
  <c r="H80" i="21"/>
  <c r="H84" i="21"/>
  <c r="H75" i="21"/>
  <c r="H79" i="21"/>
  <c r="H78" i="21"/>
  <c r="C64" i="21"/>
  <c r="B60" i="21"/>
  <c r="H83" i="21"/>
  <c r="F80" i="21"/>
  <c r="H77" i="21"/>
  <c r="D80" i="21"/>
  <c r="D17" i="21"/>
  <c r="F78" i="21"/>
  <c r="F79" i="21"/>
  <c r="F84" i="21"/>
  <c r="C51" i="21"/>
  <c r="H73" i="21"/>
  <c r="C60" i="21"/>
  <c r="C201" i="21"/>
  <c r="C198" i="21"/>
  <c r="C209" i="21"/>
  <c r="C193" i="21"/>
  <c r="C194" i="21"/>
  <c r="C214" i="21"/>
  <c r="C217" i="21"/>
  <c r="C208" i="21"/>
  <c r="C213" i="21"/>
  <c r="C202" i="21"/>
  <c r="C199" i="21"/>
  <c r="C207" i="21"/>
  <c r="C192" i="21"/>
  <c r="C205" i="21"/>
  <c r="C206" i="21"/>
  <c r="C191" i="21"/>
  <c r="C212" i="21"/>
  <c r="C203" i="21"/>
  <c r="C204" i="21"/>
  <c r="C210" i="21"/>
  <c r="C211" i="21"/>
  <c r="C218" i="21"/>
  <c r="C200" i="21"/>
  <c r="C197" i="21"/>
  <c r="C216" i="21"/>
  <c r="C190" i="21"/>
  <c r="C195" i="21"/>
  <c r="C196" i="21"/>
  <c r="C215" i="21"/>
  <c r="G80" i="20" l="1"/>
  <c r="G77" i="20"/>
  <c r="G121" i="19"/>
  <c r="G120" i="19"/>
  <c r="G119" i="19"/>
  <c r="B23" i="19"/>
  <c r="L63" i="21"/>
  <c r="L62" i="21"/>
  <c r="N15" i="2"/>
  <c r="F134" i="19"/>
  <c r="G78" i="20" l="1"/>
  <c r="G79" i="20"/>
  <c r="B20" i="8"/>
  <c r="C20" i="8"/>
  <c r="B25" i="19"/>
  <c r="F91" i="20" l="1"/>
  <c r="H86" i="20"/>
  <c r="H88" i="20"/>
  <c r="H89" i="20"/>
  <c r="F53" i="20"/>
  <c r="F54" i="20"/>
  <c r="B67" i="4"/>
  <c r="D54" i="20" s="1"/>
  <c r="B66" i="4"/>
  <c r="D53" i="20" s="1"/>
  <c r="F56" i="20"/>
  <c r="F55" i="20"/>
  <c r="B91" i="8"/>
  <c r="D56" i="20" s="1"/>
  <c r="B90" i="8"/>
  <c r="D55" i="20" s="1"/>
  <c r="B55" i="5"/>
  <c r="D58" i="20" s="1"/>
  <c r="F57" i="20"/>
  <c r="F58" i="20"/>
  <c r="B54" i="5"/>
  <c r="D57" i="20" s="1"/>
  <c r="C16" i="6"/>
  <c r="F59" i="20" s="1"/>
  <c r="B16" i="6"/>
  <c r="D59" i="20" s="1"/>
  <c r="C17" i="6"/>
  <c r="F60" i="20" s="1"/>
  <c r="B17" i="6"/>
  <c r="D60" i="20" s="1"/>
  <c r="F61" i="20"/>
  <c r="B25" i="7"/>
  <c r="D61" i="20" s="1"/>
  <c r="F62" i="20"/>
  <c r="F63" i="20"/>
  <c r="B96" i="9"/>
  <c r="D63" i="20" s="1"/>
  <c r="B95" i="9"/>
  <c r="D62" i="20" s="1"/>
  <c r="F64" i="20"/>
  <c r="F65" i="20"/>
  <c r="B152" i="10"/>
  <c r="D65" i="20" s="1"/>
  <c r="B151" i="10"/>
  <c r="D64" i="20" s="1"/>
  <c r="F66" i="20"/>
  <c r="B106" i="11"/>
  <c r="D66" i="20" s="1"/>
  <c r="F68" i="20"/>
  <c r="F67" i="20"/>
  <c r="B118" i="12"/>
  <c r="D67" i="20" s="1"/>
  <c r="B119" i="12"/>
  <c r="D68" i="20" s="1"/>
  <c r="F69" i="20"/>
  <c r="C412" i="13"/>
  <c r="D69" i="20" s="1"/>
  <c r="F70" i="20"/>
  <c r="B164" i="14"/>
  <c r="D70" i="20" s="1"/>
  <c r="F72" i="20"/>
  <c r="F86" i="20" s="1"/>
  <c r="F71" i="20"/>
  <c r="L18" i="17"/>
  <c r="D71" i="20" s="1"/>
  <c r="H34" i="16"/>
  <c r="D72" i="20" s="1"/>
  <c r="D86" i="20" s="1"/>
  <c r="F76" i="20"/>
  <c r="F90" i="20" s="1"/>
  <c r="F73" i="20"/>
  <c r="F87" i="20" s="1"/>
  <c r="F74" i="20"/>
  <c r="F88" i="20" s="1"/>
  <c r="F75" i="20"/>
  <c r="F89" i="20" s="1"/>
  <c r="E119" i="19"/>
  <c r="D73" i="20" s="1"/>
  <c r="D87" i="20" s="1"/>
  <c r="E120" i="19"/>
  <c r="D74" i="20" s="1"/>
  <c r="D88" i="20" s="1"/>
  <c r="E121" i="19"/>
  <c r="D75" i="20" s="1"/>
  <c r="D89" i="20" s="1"/>
  <c r="D76" i="20"/>
  <c r="D90" i="20" s="1"/>
  <c r="B51" i="20"/>
  <c r="E106" i="12"/>
  <c r="B100" i="12"/>
  <c r="L274" i="13"/>
  <c r="I101" i="12"/>
  <c r="B69" i="12"/>
  <c r="B105" i="12"/>
  <c r="C130" i="13"/>
  <c r="L325" i="13"/>
  <c r="D27" i="12"/>
  <c r="J102" i="12"/>
  <c r="L265" i="13"/>
  <c r="L292" i="13"/>
  <c r="B80" i="12"/>
  <c r="D102" i="12"/>
  <c r="L317" i="13"/>
  <c r="I109" i="12"/>
  <c r="L305" i="13"/>
  <c r="L276" i="13"/>
  <c r="M110" i="12"/>
  <c r="K100" i="12"/>
  <c r="J111" i="12"/>
  <c r="C131" i="13"/>
  <c r="L269" i="13"/>
  <c r="L107" i="12"/>
  <c r="N109" i="12"/>
  <c r="H106" i="12"/>
  <c r="E9" i="20"/>
  <c r="L286" i="13"/>
  <c r="L289" i="13"/>
  <c r="M109" i="12"/>
  <c r="J104" i="12"/>
  <c r="F105" i="12"/>
  <c r="L329" i="13"/>
  <c r="C20" i="20"/>
  <c r="E30" i="20"/>
  <c r="E15" i="9"/>
  <c r="M111" i="12"/>
  <c r="B70" i="12"/>
  <c r="B20" i="12"/>
  <c r="L288" i="13"/>
  <c r="B77" i="12"/>
  <c r="F104" i="12"/>
  <c r="G104" i="12"/>
  <c r="E108" i="12"/>
  <c r="I102" i="12"/>
  <c r="L301" i="13"/>
  <c r="B87" i="12"/>
  <c r="K109" i="12"/>
  <c r="L104" i="12"/>
  <c r="M100" i="12"/>
  <c r="E104" i="12"/>
  <c r="L308" i="13"/>
  <c r="F100" i="12"/>
  <c r="L323" i="13"/>
  <c r="L103" i="12"/>
  <c r="H111" i="12"/>
  <c r="D111" i="12"/>
  <c r="L271" i="13"/>
  <c r="M105" i="12"/>
  <c r="F110" i="12"/>
  <c r="G102" i="12"/>
  <c r="L283" i="13"/>
  <c r="E101" i="12"/>
  <c r="B92" i="12"/>
  <c r="J109" i="12"/>
  <c r="B104" i="12"/>
  <c r="L278" i="13"/>
  <c r="L294" i="13"/>
  <c r="D110" i="12"/>
  <c r="J101" i="12"/>
  <c r="E109" i="12"/>
  <c r="L290" i="13"/>
  <c r="F107" i="12"/>
  <c r="L273" i="13"/>
  <c r="L326" i="13"/>
  <c r="K110" i="12"/>
  <c r="L259" i="13"/>
  <c r="D109" i="12"/>
  <c r="N101" i="12"/>
  <c r="B102" i="12"/>
  <c r="M102" i="12"/>
  <c r="I105" i="12"/>
  <c r="M108" i="12"/>
  <c r="B85" i="12"/>
  <c r="M107" i="12"/>
  <c r="B81" i="12"/>
  <c r="I107" i="12"/>
  <c r="M104" i="12"/>
  <c r="L263" i="13"/>
  <c r="L318" i="13"/>
  <c r="G100" i="12"/>
  <c r="L284" i="13"/>
  <c r="G106" i="12"/>
  <c r="L277" i="13"/>
  <c r="L303" i="13"/>
  <c r="B73" i="12"/>
  <c r="L105" i="12"/>
  <c r="C19" i="20"/>
  <c r="E28" i="20"/>
  <c r="E29" i="20"/>
  <c r="F103" i="12"/>
  <c r="E110" i="12"/>
  <c r="J110" i="12"/>
  <c r="L281" i="13"/>
  <c r="L264" i="13"/>
  <c r="L295" i="13"/>
  <c r="B15" i="12"/>
  <c r="L258" i="13"/>
  <c r="I103" i="12"/>
  <c r="L270" i="13"/>
  <c r="B84" i="12"/>
  <c r="B76" i="12"/>
  <c r="B88" i="12"/>
  <c r="L327" i="13"/>
  <c r="L100" i="12"/>
  <c r="F101" i="12"/>
  <c r="D106" i="12"/>
  <c r="B74" i="12"/>
  <c r="D103" i="12"/>
  <c r="L280" i="13"/>
  <c r="K101" i="12"/>
  <c r="B93" i="12"/>
  <c r="C132" i="13"/>
  <c r="L293" i="13"/>
  <c r="N108" i="12"/>
  <c r="D26" i="12"/>
  <c r="H110" i="12"/>
  <c r="L298" i="13"/>
  <c r="J108" i="12"/>
  <c r="N100" i="12"/>
  <c r="L260" i="13"/>
  <c r="G103" i="12"/>
  <c r="L272" i="13"/>
  <c r="C23" i="20"/>
  <c r="G9" i="20"/>
  <c r="H22" i="20"/>
  <c r="E111" i="12"/>
  <c r="L110" i="12"/>
  <c r="I104" i="12"/>
  <c r="B34" i="19"/>
  <c r="F106" i="12"/>
  <c r="L315" i="13"/>
  <c r="L268" i="13"/>
  <c r="J107" i="12"/>
  <c r="K25" i="12"/>
  <c r="L311" i="13"/>
  <c r="N111" i="12"/>
  <c r="D17" i="12"/>
  <c r="I110" i="12"/>
  <c r="D105" i="12"/>
  <c r="J106" i="12"/>
  <c r="L101" i="12"/>
  <c r="I100" i="12"/>
  <c r="L307" i="13"/>
  <c r="L312" i="13"/>
  <c r="B82" i="12"/>
  <c r="L25" i="12"/>
  <c r="L319" i="13"/>
  <c r="B71" i="12"/>
  <c r="N106" i="12"/>
  <c r="D20" i="12"/>
  <c r="D101" i="12"/>
  <c r="K105" i="12"/>
  <c r="L299" i="13"/>
  <c r="K107" i="12"/>
  <c r="L109" i="12"/>
  <c r="J103" i="12"/>
  <c r="N107" i="12"/>
  <c r="L324" i="13"/>
  <c r="D104" i="12"/>
  <c r="F102" i="12"/>
  <c r="H105" i="12"/>
  <c r="I108" i="12"/>
  <c r="B89" i="12"/>
  <c r="G111" i="12"/>
  <c r="N104" i="12"/>
  <c r="L306" i="13"/>
  <c r="B79" i="12"/>
  <c r="N110" i="12"/>
  <c r="L304" i="13"/>
  <c r="L287" i="13"/>
  <c r="K103" i="12"/>
  <c r="F111" i="12"/>
  <c r="E100" i="12"/>
  <c r="G26" i="12"/>
  <c r="L275" i="13"/>
  <c r="L261" i="13"/>
  <c r="L313" i="13"/>
  <c r="B107" i="12"/>
  <c r="B106" i="12"/>
  <c r="L300" i="13"/>
  <c r="D100" i="12"/>
  <c r="B109" i="12"/>
  <c r="L267" i="13"/>
  <c r="C21" i="20"/>
  <c r="H17" i="20"/>
  <c r="E22" i="9"/>
  <c r="H109" i="12"/>
  <c r="B103" i="12"/>
  <c r="E107" i="12"/>
  <c r="H104" i="12"/>
  <c r="K108" i="12"/>
  <c r="L111" i="12"/>
  <c r="M25" i="12"/>
  <c r="L316" i="13"/>
  <c r="L297" i="13"/>
  <c r="L106" i="12"/>
  <c r="B45" i="9"/>
  <c r="F25" i="12"/>
  <c r="L322" i="13"/>
  <c r="L310" i="13"/>
  <c r="D107" i="12"/>
  <c r="L309" i="13"/>
  <c r="B111" i="12"/>
  <c r="B83" i="12"/>
  <c r="B91" i="12"/>
  <c r="K102" i="12"/>
  <c r="C22" i="20"/>
  <c r="C28" i="20" s="1"/>
  <c r="H20" i="20"/>
  <c r="I111" i="12"/>
  <c r="L285" i="13"/>
  <c r="B101" i="12"/>
  <c r="F108" i="12"/>
  <c r="G109" i="12"/>
  <c r="M103" i="12"/>
  <c r="L108" i="12"/>
  <c r="H102" i="12"/>
  <c r="E103" i="12"/>
  <c r="K104" i="12"/>
  <c r="H101" i="12"/>
  <c r="H19" i="20"/>
  <c r="D15" i="12"/>
  <c r="G105" i="12"/>
  <c r="C129" i="13"/>
  <c r="L321" i="13"/>
  <c r="D108" i="12"/>
  <c r="K106" i="12"/>
  <c r="B110" i="12"/>
  <c r="L328" i="13"/>
  <c r="G27" i="12"/>
  <c r="L320" i="13"/>
  <c r="L291" i="13"/>
  <c r="L314" i="13"/>
  <c r="B17" i="12"/>
  <c r="H18" i="20"/>
  <c r="M106" i="12"/>
  <c r="B72" i="12"/>
  <c r="N103" i="12"/>
  <c r="E105" i="12"/>
  <c r="L266" i="13"/>
  <c r="B86" i="12"/>
  <c r="H100" i="12"/>
  <c r="K111" i="12"/>
  <c r="H103" i="12"/>
  <c r="G107" i="12"/>
  <c r="E102" i="12"/>
  <c r="B108" i="12"/>
  <c r="L302" i="13"/>
  <c r="H21" i="20"/>
  <c r="G19" i="20"/>
  <c r="N105" i="12"/>
  <c r="I106" i="12"/>
  <c r="J105" i="12"/>
  <c r="C3" i="20"/>
  <c r="L282" i="13"/>
  <c r="L262" i="13"/>
  <c r="L296" i="13"/>
  <c r="H108" i="12"/>
  <c r="J100" i="12"/>
  <c r="B90" i="12"/>
  <c r="G108" i="12"/>
  <c r="E25" i="12"/>
  <c r="G16" i="20"/>
  <c r="L279" i="13"/>
  <c r="B78" i="12"/>
  <c r="G110" i="12"/>
  <c r="N102" i="12"/>
  <c r="G101" i="12"/>
  <c r="H107" i="12"/>
  <c r="L102" i="12"/>
  <c r="I25" i="12"/>
  <c r="M101" i="12"/>
  <c r="F109" i="12"/>
  <c r="B75" i="12"/>
  <c r="H16" i="20"/>
  <c r="G20" i="20"/>
  <c r="G18" i="20"/>
  <c r="G21" i="20"/>
  <c r="C29" i="20"/>
  <c r="Q25" i="12" l="1"/>
  <c r="K27" i="12"/>
  <c r="M27" i="12"/>
  <c r="L26" i="12"/>
  <c r="L27" i="12"/>
  <c r="M26" i="12"/>
  <c r="I27" i="12"/>
  <c r="D119" i="12"/>
  <c r="G22" i="20"/>
  <c r="E26" i="12"/>
  <c r="G17" i="20"/>
  <c r="D118" i="12"/>
  <c r="E27" i="12"/>
  <c r="K26" i="12"/>
  <c r="I26" i="12"/>
  <c r="F26" i="12"/>
  <c r="F27" i="12"/>
  <c r="G67" i="20" l="1"/>
  <c r="G68" i="20"/>
  <c r="Q26" i="12"/>
  <c r="Q27" i="12"/>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00" i="19"/>
  <c r="M270" i="13"/>
  <c r="M307" i="13"/>
  <c r="M283" i="13"/>
  <c r="M276" i="13"/>
  <c r="M265" i="13"/>
  <c r="M313" i="13"/>
  <c r="C59" i="8"/>
  <c r="M298" i="13"/>
  <c r="M299" i="13"/>
  <c r="M305" i="13"/>
  <c r="M321" i="13"/>
  <c r="M267" i="13"/>
  <c r="C55" i="8"/>
  <c r="M286" i="13"/>
  <c r="M287" i="13"/>
  <c r="M329" i="13"/>
  <c r="M258" i="13"/>
  <c r="M266" i="13"/>
  <c r="C54" i="8"/>
  <c r="M274" i="13"/>
  <c r="C64" i="8"/>
  <c r="M269" i="13"/>
  <c r="M304" i="13"/>
  <c r="M290" i="13"/>
  <c r="M260" i="13"/>
  <c r="M282" i="13"/>
  <c r="M268" i="13"/>
  <c r="C63" i="8"/>
  <c r="M316" i="13"/>
  <c r="M312" i="13"/>
  <c r="M327" i="13"/>
  <c r="M279" i="13"/>
  <c r="C3" i="12"/>
  <c r="C51" i="8"/>
  <c r="M314" i="13"/>
  <c r="C52" i="8"/>
  <c r="M292" i="13"/>
  <c r="M315" i="13"/>
  <c r="M259" i="13"/>
  <c r="M303" i="13"/>
  <c r="M323" i="13"/>
  <c r="C58" i="8"/>
  <c r="M324" i="13"/>
  <c r="M263" i="13"/>
  <c r="C49" i="8"/>
  <c r="M317" i="13"/>
  <c r="M271" i="13"/>
  <c r="M308" i="13"/>
  <c r="M306" i="13"/>
  <c r="M297" i="13"/>
  <c r="D55" i="4"/>
  <c r="M293" i="13"/>
  <c r="M262" i="13"/>
  <c r="M288" i="13"/>
  <c r="M301" i="13"/>
  <c r="M261" i="13"/>
  <c r="F24" i="16"/>
  <c r="M294" i="13"/>
  <c r="M318" i="13"/>
  <c r="M310" i="13"/>
  <c r="M273" i="13"/>
  <c r="F22" i="16"/>
  <c r="C61" i="8"/>
  <c r="M319" i="13"/>
  <c r="M300" i="13"/>
  <c r="M278" i="13"/>
  <c r="M326" i="13"/>
  <c r="M291" i="13"/>
  <c r="M295" i="13"/>
  <c r="M272" i="13"/>
  <c r="M311" i="13"/>
  <c r="M285" i="13"/>
  <c r="M284" i="13"/>
  <c r="M281" i="13"/>
  <c r="C53" i="8"/>
  <c r="M320" i="13"/>
  <c r="M322" i="13"/>
  <c r="M275" i="13"/>
  <c r="M264" i="13"/>
  <c r="M289" i="13"/>
  <c r="C60" i="8"/>
  <c r="M325" i="13"/>
  <c r="M296" i="13"/>
  <c r="M280" i="13"/>
  <c r="C57" i="8"/>
  <c r="M302" i="13"/>
  <c r="M328" i="13"/>
  <c r="F23" i="16"/>
  <c r="C50" i="8"/>
  <c r="C56" i="8"/>
  <c r="C62" i="8"/>
  <c r="M277" i="13"/>
  <c r="M309" i="13"/>
  <c r="E142" i="14" l="1"/>
  <c r="C142" i="14"/>
  <c r="C141" i="14"/>
  <c r="C133" i="14"/>
  <c r="C135" i="14"/>
  <c r="C136" i="14"/>
  <c r="C137" i="14"/>
  <c r="C138" i="14"/>
  <c r="C139" i="14"/>
  <c r="C140" i="14"/>
  <c r="E129" i="14"/>
  <c r="E130" i="14"/>
  <c r="E131" i="14"/>
  <c r="E132" i="14"/>
  <c r="E133" i="14"/>
  <c r="E134" i="14"/>
  <c r="E136" i="14"/>
  <c r="E137" i="14"/>
  <c r="E138" i="14"/>
  <c r="E139" i="14"/>
  <c r="E140" i="14"/>
  <c r="E141" i="14"/>
  <c r="E128" i="14"/>
  <c r="C129" i="14"/>
  <c r="C130" i="14"/>
  <c r="C131" i="14"/>
  <c r="C132" i="14"/>
  <c r="C134" i="14"/>
  <c r="C128" i="14"/>
  <c r="I210" i="13"/>
  <c r="C111" i="10"/>
  <c r="B111" i="10"/>
  <c r="B128" i="10"/>
  <c r="B129" i="10"/>
  <c r="B130" i="10"/>
  <c r="B131" i="10"/>
  <c r="B132" i="10"/>
  <c r="B133" i="10"/>
  <c r="B134" i="10"/>
  <c r="B135" i="10"/>
  <c r="B136" i="10"/>
  <c r="B137" i="10"/>
  <c r="B138" i="10"/>
  <c r="B139" i="10"/>
  <c r="B140" i="10"/>
  <c r="B141" i="10"/>
  <c r="B142" i="10"/>
  <c r="B143" i="10"/>
  <c r="B144" i="10"/>
  <c r="D18" i="3"/>
  <c r="C68" i="8"/>
  <c r="D17" i="3"/>
  <c r="B83" i="8"/>
  <c r="D83" i="8"/>
  <c r="D25" i="3"/>
  <c r="D21" i="3"/>
  <c r="B79" i="8"/>
  <c r="D74" i="8"/>
  <c r="D13" i="3"/>
  <c r="D78" i="8"/>
  <c r="D16" i="3"/>
  <c r="D97" i="19"/>
  <c r="B74" i="8"/>
  <c r="D96" i="19"/>
  <c r="B86" i="8"/>
  <c r="C90" i="19"/>
  <c r="D22" i="3"/>
  <c r="D19" i="3"/>
  <c r="D20" i="3"/>
  <c r="D79" i="8"/>
  <c r="D24" i="3"/>
  <c r="B78" i="8"/>
  <c r="D23" i="3"/>
  <c r="D86" i="8"/>
  <c r="B82" i="8"/>
  <c r="B75" i="8"/>
  <c r="D14" i="3"/>
  <c r="D15" i="3"/>
  <c r="D10" i="3"/>
  <c r="D82" i="8"/>
  <c r="D75" i="8"/>
  <c r="C148" i="13" l="1"/>
  <c r="B49" i="10"/>
  <c r="B46" i="9" l="1"/>
  <c r="H48" i="17"/>
  <c r="G268" i="13"/>
  <c r="D35" i="5"/>
  <c r="L83" i="12"/>
  <c r="I284" i="13"/>
  <c r="D72" i="12"/>
  <c r="H19" i="16"/>
  <c r="E297" i="13"/>
  <c r="C2" i="5"/>
  <c r="D87" i="12"/>
  <c r="N301" i="13"/>
  <c r="G25" i="5"/>
  <c r="G290" i="13"/>
  <c r="F25" i="4"/>
  <c r="H62" i="17"/>
  <c r="E86" i="12"/>
  <c r="O75" i="12"/>
  <c r="N302" i="13"/>
  <c r="I51" i="17"/>
  <c r="F23" i="4"/>
  <c r="O78" i="12"/>
  <c r="Q70" i="12"/>
  <c r="O88" i="12"/>
  <c r="H282" i="13"/>
  <c r="L93" i="12"/>
  <c r="E284" i="13"/>
  <c r="C90" i="14"/>
  <c r="G162" i="13"/>
  <c r="D91" i="12"/>
  <c r="F20" i="17"/>
  <c r="E259" i="13"/>
  <c r="I56" i="17"/>
  <c r="N93" i="12"/>
  <c r="G295" i="13"/>
  <c r="I64" i="17"/>
  <c r="J74" i="12"/>
  <c r="O291" i="13"/>
  <c r="F318" i="13"/>
  <c r="K79" i="12"/>
  <c r="N314" i="13"/>
  <c r="O279" i="13"/>
  <c r="J15" i="17"/>
  <c r="K301" i="13"/>
  <c r="B32" i="14"/>
  <c r="F23" i="17"/>
  <c r="J63" i="17"/>
  <c r="F294" i="13"/>
  <c r="G141" i="14"/>
  <c r="G305" i="13"/>
  <c r="C85" i="14"/>
  <c r="F172" i="13"/>
  <c r="G23" i="17"/>
  <c r="N289" i="13"/>
  <c r="J52" i="17"/>
  <c r="J62" i="17"/>
  <c r="K91" i="12"/>
  <c r="H58" i="17"/>
  <c r="J92" i="12"/>
  <c r="O296" i="13"/>
  <c r="H297" i="13"/>
  <c r="D30" i="11"/>
  <c r="M142" i="14"/>
  <c r="G300" i="13"/>
  <c r="F310" i="13"/>
  <c r="F26" i="4"/>
  <c r="D85" i="11"/>
  <c r="H258" i="13"/>
  <c r="F302" i="13"/>
  <c r="B8" i="11"/>
  <c r="K70" i="12"/>
  <c r="J31" i="17"/>
  <c r="J307" i="13"/>
  <c r="L87" i="12"/>
  <c r="H35" i="17"/>
  <c r="N70" i="12"/>
  <c r="G319" i="13"/>
  <c r="O327" i="13"/>
  <c r="P85" i="12"/>
  <c r="E79" i="12"/>
  <c r="B111" i="13"/>
  <c r="J13" i="17"/>
  <c r="G16" i="5"/>
  <c r="C87" i="14"/>
  <c r="N300" i="13"/>
  <c r="J303" i="13"/>
  <c r="L80" i="12"/>
  <c r="I63" i="17"/>
  <c r="G75" i="12"/>
  <c r="K87" i="12"/>
  <c r="B58" i="9"/>
  <c r="F80" i="12"/>
  <c r="N292" i="13"/>
  <c r="O315" i="13"/>
  <c r="I29" i="17"/>
  <c r="E71" i="12"/>
  <c r="G327" i="13"/>
  <c r="F261" i="13"/>
  <c r="G132" i="14"/>
  <c r="J87" i="12"/>
  <c r="K265" i="13"/>
  <c r="E80" i="12"/>
  <c r="C120" i="13"/>
  <c r="H78" i="12"/>
  <c r="B15" i="11"/>
  <c r="K90" i="12"/>
  <c r="I79" i="12"/>
  <c r="G142" i="14"/>
  <c r="H283" i="13"/>
  <c r="G48" i="17"/>
  <c r="D12" i="3"/>
  <c r="I138" i="14"/>
  <c r="M86" i="12"/>
  <c r="K303" i="13"/>
  <c r="N271" i="13"/>
  <c r="P91" i="12"/>
  <c r="J64" i="17"/>
  <c r="I24" i="17"/>
  <c r="E202" i="13"/>
  <c r="H326" i="13"/>
  <c r="G79" i="12"/>
  <c r="F295" i="13"/>
  <c r="N269" i="13"/>
  <c r="O311" i="13"/>
  <c r="C79" i="10"/>
  <c r="K270" i="13"/>
  <c r="I262" i="13"/>
  <c r="I289" i="13"/>
  <c r="J309" i="13"/>
  <c r="F43" i="17"/>
  <c r="I13" i="17"/>
  <c r="Q73" i="12"/>
  <c r="D82" i="12"/>
  <c r="E92" i="12"/>
  <c r="I303" i="13"/>
  <c r="F53" i="17"/>
  <c r="C54" i="14"/>
  <c r="E306" i="13"/>
  <c r="E160" i="13"/>
  <c r="C22" i="10"/>
  <c r="E82" i="12"/>
  <c r="I309" i="13"/>
  <c r="N275" i="13"/>
  <c r="I283" i="13"/>
  <c r="N89" i="12"/>
  <c r="O310" i="13"/>
  <c r="I288" i="13"/>
  <c r="H74" i="12"/>
  <c r="K323" i="13"/>
  <c r="G164" i="13"/>
  <c r="C63" i="10"/>
  <c r="E311" i="13"/>
  <c r="H327" i="13"/>
  <c r="H303" i="13"/>
  <c r="F148" i="13"/>
  <c r="F13" i="17"/>
  <c r="M89" i="12"/>
  <c r="O314" i="13"/>
  <c r="K314" i="13"/>
  <c r="N294" i="13"/>
  <c r="K80" i="12"/>
  <c r="F135" i="14"/>
  <c r="I279" i="13"/>
  <c r="C43" i="14"/>
  <c r="L91" i="12"/>
  <c r="K77" i="12"/>
  <c r="E283" i="13"/>
  <c r="M87" i="12"/>
  <c r="H24" i="17"/>
  <c r="D7" i="3"/>
  <c r="J276" i="13"/>
  <c r="D224" i="13"/>
  <c r="G156" i="13"/>
  <c r="P77" i="12"/>
  <c r="N283" i="13"/>
  <c r="O292" i="13"/>
  <c r="F304" i="13"/>
  <c r="E273" i="13"/>
  <c r="H138" i="14"/>
  <c r="E269" i="13"/>
  <c r="N309" i="13"/>
  <c r="Q89" i="12"/>
  <c r="F223" i="13"/>
  <c r="E150" i="13"/>
  <c r="F142" i="14"/>
  <c r="C84" i="9"/>
  <c r="N279" i="13"/>
  <c r="H314" i="13"/>
  <c r="I130" i="14"/>
  <c r="J319" i="13"/>
  <c r="K281" i="13"/>
  <c r="E28" i="17"/>
  <c r="H323" i="13"/>
  <c r="H133" i="14"/>
  <c r="J201" i="13"/>
  <c r="C92" i="10"/>
  <c r="I87" i="12"/>
  <c r="Q78" i="12"/>
  <c r="F227" i="13"/>
  <c r="G47" i="17"/>
  <c r="O264" i="13"/>
  <c r="C37" i="8"/>
  <c r="F327" i="13"/>
  <c r="Q71" i="12"/>
  <c r="G329" i="13"/>
  <c r="K304" i="13"/>
  <c r="K309" i="13"/>
  <c r="F259" i="13"/>
  <c r="H64" i="17"/>
  <c r="C93" i="10"/>
  <c r="D201" i="13"/>
  <c r="I295" i="13"/>
  <c r="C72" i="10"/>
  <c r="I321" i="13"/>
  <c r="G160" i="13"/>
  <c r="F300" i="13"/>
  <c r="F46" i="17"/>
  <c r="N69" i="12"/>
  <c r="J71" i="12"/>
  <c r="H294" i="13"/>
  <c r="H93" i="12"/>
  <c r="K279" i="13"/>
  <c r="I136" i="14"/>
  <c r="F166" i="13"/>
  <c r="I260" i="13"/>
  <c r="E149" i="13"/>
  <c r="N71" i="12"/>
  <c r="E16" i="17"/>
  <c r="B21" i="9"/>
  <c r="C34" i="10"/>
  <c r="E20" i="17"/>
  <c r="J287" i="13"/>
  <c r="G135" i="14"/>
  <c r="I318" i="13"/>
  <c r="J51" i="17"/>
  <c r="J16" i="17"/>
  <c r="K316" i="13"/>
  <c r="H278" i="13"/>
  <c r="E294" i="13"/>
  <c r="I54" i="17"/>
  <c r="J258" i="13"/>
  <c r="G24" i="17"/>
  <c r="I76" i="12"/>
  <c r="M80" i="12"/>
  <c r="F151" i="13"/>
  <c r="B11" i="9"/>
  <c r="H287" i="13"/>
  <c r="D58" i="11"/>
  <c r="E305" i="13"/>
  <c r="F271" i="13"/>
  <c r="O304" i="13"/>
  <c r="G72" i="12"/>
  <c r="H306" i="13"/>
  <c r="C73" i="9"/>
  <c r="N313" i="13"/>
  <c r="G258" i="13"/>
  <c r="I61" i="17"/>
  <c r="H55" i="17"/>
  <c r="M141" i="14"/>
  <c r="G82" i="12"/>
  <c r="J318" i="13"/>
  <c r="P90" i="12"/>
  <c r="R74" i="12"/>
  <c r="E307" i="13"/>
  <c r="P88" i="12"/>
  <c r="I302" i="13"/>
  <c r="H18" i="16"/>
  <c r="G283" i="13"/>
  <c r="L70" i="12"/>
  <c r="C39" i="3"/>
  <c r="F312" i="13"/>
  <c r="O93" i="12"/>
  <c r="E156" i="13"/>
  <c r="G128" i="14"/>
  <c r="G93" i="12"/>
  <c r="C97" i="14"/>
  <c r="C36" i="10"/>
  <c r="D226" i="13"/>
  <c r="I91" i="12"/>
  <c r="H36" i="17"/>
  <c r="D80" i="12"/>
  <c r="N263" i="13"/>
  <c r="E76" i="12"/>
  <c r="H53" i="17"/>
  <c r="D88" i="12"/>
  <c r="Q77" i="12"/>
  <c r="F17" i="17"/>
  <c r="C38" i="10"/>
  <c r="F62" i="17"/>
  <c r="O295" i="13"/>
  <c r="C30" i="8"/>
  <c r="G83" i="12"/>
  <c r="I291" i="13"/>
  <c r="H73" i="12"/>
  <c r="J267" i="13"/>
  <c r="C78" i="10"/>
  <c r="J78" i="12"/>
  <c r="J280" i="13"/>
  <c r="E85" i="12"/>
  <c r="G310" i="13"/>
  <c r="C65" i="10"/>
  <c r="C33" i="10"/>
  <c r="I274" i="13"/>
  <c r="D31" i="11"/>
  <c r="M84" i="12"/>
  <c r="I75" i="12"/>
  <c r="O321" i="13"/>
  <c r="D86" i="12"/>
  <c r="I298" i="13"/>
  <c r="F18" i="16"/>
  <c r="J59" i="17"/>
  <c r="C75" i="10"/>
  <c r="F154" i="13"/>
  <c r="G49" i="17"/>
  <c r="H286" i="13"/>
  <c r="I294" i="13"/>
  <c r="J260" i="13"/>
  <c r="G19" i="5"/>
  <c r="C119" i="13"/>
  <c r="I296" i="13"/>
  <c r="J14" i="17"/>
  <c r="D148" i="13"/>
  <c r="O320" i="13"/>
  <c r="K295" i="13"/>
  <c r="D8" i="3"/>
  <c r="G272" i="13"/>
  <c r="H296" i="13"/>
  <c r="I292" i="13"/>
  <c r="L81" i="12"/>
  <c r="N328" i="13"/>
  <c r="I264" i="13"/>
  <c r="L71" i="12"/>
  <c r="N268" i="13"/>
  <c r="F328" i="13"/>
  <c r="H51" i="17"/>
  <c r="G149" i="13"/>
  <c r="F321" i="13"/>
  <c r="H75" i="12"/>
  <c r="R69" i="12"/>
  <c r="J268" i="13"/>
  <c r="N299" i="13"/>
  <c r="D104" i="13"/>
  <c r="C80" i="14"/>
  <c r="E325" i="13"/>
  <c r="C93" i="14"/>
  <c r="C248" i="13"/>
  <c r="E225" i="13"/>
  <c r="H135" i="14"/>
  <c r="C127" i="13"/>
  <c r="I310" i="13"/>
  <c r="K264" i="13"/>
  <c r="Q92" i="12"/>
  <c r="I50" i="17"/>
  <c r="F21" i="16"/>
  <c r="O317" i="13"/>
  <c r="H57" i="17"/>
  <c r="F73" i="12"/>
  <c r="F55" i="17"/>
  <c r="O300" i="13"/>
  <c r="C78" i="14"/>
  <c r="G64" i="17"/>
  <c r="G260" i="13"/>
  <c r="J45" i="17"/>
  <c r="I320" i="13"/>
  <c r="E162" i="13"/>
  <c r="N285" i="13"/>
  <c r="E267" i="13"/>
  <c r="F160" i="13"/>
  <c r="I36" i="17"/>
  <c r="O258" i="13"/>
  <c r="C80" i="10"/>
  <c r="F260" i="13"/>
  <c r="C94" i="14"/>
  <c r="Q91" i="12"/>
  <c r="M75" i="12"/>
  <c r="F156" i="13"/>
  <c r="G153" i="13"/>
  <c r="C2" i="4"/>
  <c r="F301" i="13"/>
  <c r="J279" i="13"/>
  <c r="D79" i="12"/>
  <c r="K74" i="12"/>
  <c r="F61" i="17"/>
  <c r="F309" i="13"/>
  <c r="C201" i="13"/>
  <c r="C118" i="13"/>
  <c r="R86" i="12"/>
  <c r="G167" i="13"/>
  <c r="C18" i="7"/>
  <c r="F314" i="13"/>
  <c r="F279" i="13"/>
  <c r="R81" i="12"/>
  <c r="K327" i="13"/>
  <c r="G259" i="13"/>
  <c r="F276" i="13"/>
  <c r="I77" i="12"/>
  <c r="K280" i="13"/>
  <c r="K277" i="13"/>
  <c r="I322" i="13"/>
  <c r="G25" i="17"/>
  <c r="F130" i="14"/>
  <c r="G16" i="17"/>
  <c r="F18" i="17"/>
  <c r="J80" i="12"/>
  <c r="Q87" i="12"/>
  <c r="E266" i="13"/>
  <c r="F165" i="13"/>
  <c r="O273" i="13"/>
  <c r="B7" i="9"/>
  <c r="N312" i="13"/>
  <c r="I314" i="13"/>
  <c r="R83" i="12"/>
  <c r="P75" i="12"/>
  <c r="G166" i="13"/>
  <c r="J77" i="12"/>
  <c r="D87" i="11"/>
  <c r="G316" i="13"/>
  <c r="H137" i="14"/>
  <c r="D193" i="2"/>
  <c r="L69" i="12"/>
  <c r="B22" i="14"/>
  <c r="F266" i="13"/>
  <c r="N267" i="13"/>
  <c r="I33" i="17"/>
  <c r="I313" i="13"/>
  <c r="D16" i="2"/>
  <c r="G297" i="13"/>
  <c r="R89" i="12"/>
  <c r="F305" i="13"/>
  <c r="E50" i="17"/>
  <c r="I140" i="14"/>
  <c r="H79" i="12"/>
  <c r="C79" i="14"/>
  <c r="H299" i="13"/>
  <c r="F72" i="12"/>
  <c r="L85" i="12"/>
  <c r="E291" i="13"/>
  <c r="C10" i="6"/>
  <c r="E90" i="12"/>
  <c r="C13" i="7"/>
  <c r="C50" i="4"/>
  <c r="F225" i="13"/>
  <c r="O73" i="12"/>
  <c r="F138" i="14"/>
  <c r="J263" i="13"/>
  <c r="H289" i="13"/>
  <c r="E26" i="17"/>
  <c r="F316" i="13"/>
  <c r="G85" i="12"/>
  <c r="I308" i="13"/>
  <c r="H302" i="13"/>
  <c r="I263" i="13"/>
  <c r="C56" i="14"/>
  <c r="O76" i="12"/>
  <c r="D202" i="13"/>
  <c r="G88" i="12"/>
  <c r="E72" i="12"/>
  <c r="H315" i="13"/>
  <c r="H20" i="17"/>
  <c r="C7" i="5"/>
  <c r="C37" i="10"/>
  <c r="C8" i="6"/>
  <c r="E60" i="17"/>
  <c r="C83" i="10"/>
  <c r="J75" i="12"/>
  <c r="D83" i="12"/>
  <c r="K269" i="13"/>
  <c r="K287" i="13"/>
  <c r="F75" i="12"/>
  <c r="F88" i="12"/>
  <c r="K326" i="13"/>
  <c r="H45" i="17"/>
  <c r="O305" i="13"/>
  <c r="C92" i="14"/>
  <c r="R71" i="12"/>
  <c r="O318" i="13"/>
  <c r="H88" i="12"/>
  <c r="C99" i="14"/>
  <c r="M133" i="14"/>
  <c r="G51" i="17"/>
  <c r="J327" i="13"/>
  <c r="B113" i="13"/>
  <c r="H277" i="13"/>
  <c r="Q82" i="12"/>
  <c r="G131" i="14"/>
  <c r="K284" i="13"/>
  <c r="C89" i="10"/>
  <c r="Q90" i="12"/>
  <c r="O316" i="13"/>
  <c r="H288" i="13"/>
  <c r="C90" i="10"/>
  <c r="F158" i="13"/>
  <c r="C55" i="14"/>
  <c r="F82" i="12"/>
  <c r="J24" i="17"/>
  <c r="C108" i="10"/>
  <c r="O84" i="12"/>
  <c r="L89" i="12"/>
  <c r="N295" i="13"/>
  <c r="H47" i="17"/>
  <c r="Q74" i="12"/>
  <c r="H271" i="13"/>
  <c r="D86" i="11"/>
  <c r="J25" i="17"/>
  <c r="H21" i="16"/>
  <c r="I326" i="13"/>
  <c r="H290" i="13"/>
  <c r="G309" i="13"/>
  <c r="G27" i="17"/>
  <c r="F30" i="4"/>
  <c r="C95" i="10"/>
  <c r="F70" i="12"/>
  <c r="I57" i="17"/>
  <c r="O328" i="13"/>
  <c r="O313" i="13"/>
  <c r="H320" i="13"/>
  <c r="J20" i="17"/>
  <c r="L72" i="12"/>
  <c r="E226" i="13"/>
  <c r="J317" i="13"/>
  <c r="G306" i="13"/>
  <c r="C58" i="14"/>
  <c r="N297" i="13"/>
  <c r="F292" i="13"/>
  <c r="I27" i="17"/>
  <c r="C77" i="10"/>
  <c r="F15" i="17"/>
  <c r="C48" i="14"/>
  <c r="J63" i="10"/>
  <c r="G18" i="17"/>
  <c r="J90" i="12"/>
  <c r="G43" i="17"/>
  <c r="G63" i="17"/>
  <c r="I128" i="14"/>
  <c r="G92" i="12"/>
  <c r="E302" i="13"/>
  <c r="G58" i="17"/>
  <c r="F285" i="13"/>
  <c r="C2" i="11"/>
  <c r="C126" i="10"/>
  <c r="H90" i="12"/>
  <c r="G325" i="13"/>
  <c r="O312" i="13"/>
  <c r="O261" i="13"/>
  <c r="F171" i="13"/>
  <c r="H263" i="13"/>
  <c r="J82" i="12"/>
  <c r="N75" i="12"/>
  <c r="I324" i="13"/>
  <c r="H18" i="17"/>
  <c r="F79" i="12"/>
  <c r="E151" i="13"/>
  <c r="H128" i="14"/>
  <c r="O326" i="13"/>
  <c r="D116" i="10"/>
  <c r="C49" i="14"/>
  <c r="C81" i="10"/>
  <c r="M90" i="12"/>
  <c r="E59" i="17"/>
  <c r="E321" i="13"/>
  <c r="E88" i="12"/>
  <c r="E53" i="17"/>
  <c r="K288" i="13"/>
  <c r="J278" i="13"/>
  <c r="D134" i="10"/>
  <c r="K92" i="12"/>
  <c r="G158" i="13"/>
  <c r="G30" i="17"/>
  <c r="N81" i="12"/>
  <c r="E153" i="13"/>
  <c r="H30" i="17"/>
  <c r="O303" i="13"/>
  <c r="C3" i="10"/>
  <c r="F315" i="13"/>
  <c r="H21" i="17"/>
  <c r="I53" i="17"/>
  <c r="J302" i="13"/>
  <c r="C140" i="10"/>
  <c r="N310" i="13"/>
  <c r="E52" i="17"/>
  <c r="G13" i="5"/>
  <c r="G271" i="13"/>
  <c r="C31" i="8"/>
  <c r="K329" i="13"/>
  <c r="F32" i="4"/>
  <c r="H261" i="13"/>
  <c r="P84" i="12"/>
  <c r="O81" i="12"/>
  <c r="D15" i="2"/>
  <c r="C36" i="8"/>
  <c r="D84" i="11"/>
  <c r="J34" i="17"/>
  <c r="D117" i="10"/>
  <c r="J83" i="12"/>
  <c r="I86" i="12"/>
  <c r="I73" i="12"/>
  <c r="H13" i="17"/>
  <c r="H85" i="12"/>
  <c r="H264" i="13"/>
  <c r="F81" i="12"/>
  <c r="N88" i="12"/>
  <c r="C83" i="9"/>
  <c r="I259" i="13"/>
  <c r="E63" i="17"/>
  <c r="K312" i="13"/>
  <c r="I297" i="13"/>
  <c r="J282" i="13"/>
  <c r="H134" i="14"/>
  <c r="O268" i="13"/>
  <c r="C86" i="10"/>
  <c r="C44" i="8"/>
  <c r="G133" i="14"/>
  <c r="K275" i="13"/>
  <c r="F91" i="12"/>
  <c r="E31" i="17"/>
  <c r="I43" i="17"/>
  <c r="J293" i="13"/>
  <c r="G274" i="13"/>
  <c r="C35" i="10"/>
  <c r="J328" i="13"/>
  <c r="L75" i="12"/>
  <c r="N306" i="13"/>
  <c r="J262" i="13"/>
  <c r="K311" i="13"/>
  <c r="E290" i="13"/>
  <c r="C30" i="10"/>
  <c r="C46" i="14"/>
  <c r="J42" i="17"/>
  <c r="C76" i="10"/>
  <c r="K289" i="13"/>
  <c r="K285" i="13"/>
  <c r="G151" i="13"/>
  <c r="J272" i="13"/>
  <c r="C43" i="8"/>
  <c r="J47" i="17"/>
  <c r="N261" i="13"/>
  <c r="N262" i="13"/>
  <c r="H56" i="17"/>
  <c r="F268" i="13"/>
  <c r="R80" i="12"/>
  <c r="H89" i="12"/>
  <c r="O282" i="13"/>
  <c r="B57" i="9"/>
  <c r="F93" i="12"/>
  <c r="E286" i="13"/>
  <c r="E295" i="13"/>
  <c r="F28" i="17"/>
  <c r="J54" i="17"/>
  <c r="F153" i="13"/>
  <c r="H298" i="13"/>
  <c r="P81" i="12"/>
  <c r="N318" i="13"/>
  <c r="J18" i="17"/>
  <c r="I266" i="13"/>
  <c r="G73" i="12"/>
  <c r="E293" i="13"/>
  <c r="P86" i="12"/>
  <c r="G265" i="13"/>
  <c r="D127" i="10"/>
  <c r="G55" i="17"/>
  <c r="J286" i="13"/>
  <c r="C117" i="10"/>
  <c r="O286" i="13"/>
  <c r="M79" i="12"/>
  <c r="E58" i="17"/>
  <c r="G317" i="13"/>
  <c r="O274" i="13"/>
  <c r="G172" i="13"/>
  <c r="F51" i="17"/>
  <c r="N259" i="13"/>
  <c r="D74" i="12"/>
  <c r="E304" i="13"/>
  <c r="O280" i="13"/>
  <c r="J284" i="13"/>
  <c r="F35" i="17"/>
  <c r="L86" i="12"/>
  <c r="G315" i="13"/>
  <c r="O87" i="12"/>
  <c r="E44" i="17"/>
  <c r="H27" i="17"/>
  <c r="F297" i="13"/>
  <c r="F64" i="17"/>
  <c r="O325" i="13"/>
  <c r="G279" i="13"/>
  <c r="K259" i="13"/>
  <c r="I48" i="17"/>
  <c r="N323" i="13"/>
  <c r="H23" i="16"/>
  <c r="C2" i="6"/>
  <c r="H280" i="13"/>
  <c r="F89" i="12"/>
  <c r="H309" i="13"/>
  <c r="C124" i="13"/>
  <c r="K266" i="13"/>
  <c r="O319" i="13"/>
  <c r="P79" i="12"/>
  <c r="N273" i="13"/>
  <c r="F303" i="13"/>
  <c r="K293" i="13"/>
  <c r="F25" i="17"/>
  <c r="C51" i="14"/>
  <c r="H136" i="14"/>
  <c r="O69" i="12"/>
  <c r="G31" i="17"/>
  <c r="F278" i="13"/>
  <c r="J23" i="17"/>
  <c r="F50" i="17"/>
  <c r="F224" i="13"/>
  <c r="E277" i="13"/>
  <c r="C29" i="8"/>
  <c r="G159" i="13"/>
  <c r="E224" i="13"/>
  <c r="J44" i="17"/>
  <c r="G87" i="12"/>
  <c r="J292" i="13"/>
  <c r="O260" i="13"/>
  <c r="N264" i="13"/>
  <c r="E168" i="13"/>
  <c r="E281" i="13"/>
  <c r="K322" i="13"/>
  <c r="G24" i="5"/>
  <c r="M77" i="12"/>
  <c r="C85" i="10"/>
  <c r="F90" i="12"/>
  <c r="F129" i="14"/>
  <c r="C44" i="14"/>
  <c r="E223" i="13"/>
  <c r="I141" i="14"/>
  <c r="E285" i="13"/>
  <c r="D138" i="10"/>
  <c r="C82" i="14"/>
  <c r="F17" i="16"/>
  <c r="F136" i="14"/>
  <c r="D126" i="10"/>
  <c r="O89" i="12"/>
  <c r="G286" i="13"/>
  <c r="F34" i="4"/>
  <c r="H31" i="17"/>
  <c r="F307" i="13"/>
  <c r="D61" i="11"/>
  <c r="M139" i="14"/>
  <c r="M82" i="12"/>
  <c r="M81" i="12"/>
  <c r="I52" i="17"/>
  <c r="C132" i="10"/>
  <c r="G77" i="12"/>
  <c r="I137" i="14"/>
  <c r="F262" i="13"/>
  <c r="J88" i="12"/>
  <c r="H321" i="13"/>
  <c r="F270" i="13"/>
  <c r="C72" i="9"/>
  <c r="D132" i="10"/>
  <c r="C82" i="10"/>
  <c r="G304" i="13"/>
  <c r="K85" i="12"/>
  <c r="P73" i="12"/>
  <c r="I142" i="14"/>
  <c r="P89" i="12"/>
  <c r="G74" i="12"/>
  <c r="J295" i="13"/>
  <c r="C112" i="10"/>
  <c r="R76" i="12"/>
  <c r="F163" i="13"/>
  <c r="M132" i="14"/>
  <c r="K294" i="13"/>
  <c r="Q72" i="12"/>
  <c r="E30" i="17"/>
  <c r="E328" i="13"/>
  <c r="I132" i="14"/>
  <c r="C24" i="10"/>
  <c r="E170" i="13"/>
  <c r="H130" i="14"/>
  <c r="C126" i="13"/>
  <c r="I26" i="17"/>
  <c r="F265" i="13"/>
  <c r="I90" i="12"/>
  <c r="F267" i="13"/>
  <c r="E163" i="13"/>
  <c r="E148" i="13"/>
  <c r="F319" i="13"/>
  <c r="N326" i="13"/>
  <c r="B22" i="8"/>
  <c r="I58" i="17"/>
  <c r="K262" i="13"/>
  <c r="J296" i="13"/>
  <c r="F326" i="13"/>
  <c r="B59" i="9"/>
  <c r="F19" i="17"/>
  <c r="G59" i="17"/>
  <c r="G148" i="13"/>
  <c r="K75" i="12"/>
  <c r="F58" i="17"/>
  <c r="O74" i="12"/>
  <c r="O298" i="13"/>
  <c r="E270" i="13"/>
  <c r="F29" i="17"/>
  <c r="R90" i="12"/>
  <c r="D192" i="2"/>
  <c r="N87" i="12"/>
  <c r="F228" i="13"/>
  <c r="H324" i="13"/>
  <c r="K317" i="13"/>
  <c r="C138" i="10"/>
  <c r="N308" i="13"/>
  <c r="G129" i="14"/>
  <c r="K83" i="12"/>
  <c r="G312" i="13"/>
  <c r="L82" i="12"/>
  <c r="F37" i="4"/>
  <c r="N311" i="13"/>
  <c r="O306" i="13"/>
  <c r="H43" i="17"/>
  <c r="G20" i="17"/>
  <c r="I139" i="14"/>
  <c r="K261" i="13"/>
  <c r="K267" i="13"/>
  <c r="K273" i="13"/>
  <c r="F161" i="13"/>
  <c r="F69" i="12"/>
  <c r="B16" i="8"/>
  <c r="F128" i="14"/>
  <c r="K324" i="13"/>
  <c r="G284" i="13"/>
  <c r="O270" i="13"/>
  <c r="E261" i="13"/>
  <c r="J298" i="13"/>
  <c r="G19" i="17"/>
  <c r="G280" i="13"/>
  <c r="I133" i="14"/>
  <c r="F221" i="13"/>
  <c r="G15" i="17"/>
  <c r="G14" i="5"/>
  <c r="H46" i="17"/>
  <c r="I74" i="12"/>
  <c r="D57" i="11"/>
  <c r="O275" i="13"/>
  <c r="N73" i="12"/>
  <c r="E21" i="17"/>
  <c r="F56" i="17"/>
  <c r="F273" i="13"/>
  <c r="E201" i="13"/>
  <c r="J43" i="17"/>
  <c r="D82" i="11"/>
  <c r="G34" i="17"/>
  <c r="C45" i="14"/>
  <c r="H319" i="13"/>
  <c r="F168" i="13"/>
  <c r="C66" i="10"/>
  <c r="N80" i="12"/>
  <c r="M74" i="12"/>
  <c r="E158" i="13"/>
  <c r="O278" i="13"/>
  <c r="O259" i="13"/>
  <c r="H325" i="13"/>
  <c r="D81" i="11"/>
  <c r="G84" i="12"/>
  <c r="I88" i="12"/>
  <c r="D34" i="11"/>
  <c r="G307" i="13"/>
  <c r="N77" i="12"/>
  <c r="C91" i="14"/>
  <c r="I258" i="13"/>
  <c r="E47" i="17"/>
  <c r="I286" i="13"/>
  <c r="C77" i="14"/>
  <c r="C69" i="10"/>
  <c r="H201" i="13"/>
  <c r="N286" i="13"/>
  <c r="G44" i="17"/>
  <c r="E164" i="13"/>
  <c r="F324" i="13"/>
  <c r="L84" i="12"/>
  <c r="O294" i="13"/>
  <c r="G266" i="13"/>
  <c r="F133" i="14"/>
  <c r="E227" i="13"/>
  <c r="E274" i="13"/>
  <c r="D75" i="12"/>
  <c r="H24" i="16"/>
  <c r="G62" i="17"/>
  <c r="F222" i="13"/>
  <c r="I31" i="17"/>
  <c r="E17" i="17"/>
  <c r="K82" i="12"/>
  <c r="F134" i="14"/>
  <c r="O70" i="12"/>
  <c r="Q81" i="12"/>
  <c r="K283" i="13"/>
  <c r="M88" i="12"/>
  <c r="D28" i="11"/>
  <c r="R73" i="12"/>
  <c r="H69" i="12"/>
  <c r="O290" i="13"/>
  <c r="E278" i="13"/>
  <c r="G270" i="13"/>
  <c r="F280" i="13"/>
  <c r="N321" i="13"/>
  <c r="C88" i="14"/>
  <c r="J270" i="13"/>
  <c r="I315" i="13"/>
  <c r="K81" i="12"/>
  <c r="M91" i="12"/>
  <c r="I299" i="13"/>
  <c r="B23" i="8"/>
  <c r="G35" i="17"/>
  <c r="I55" i="17"/>
  <c r="C32" i="10"/>
  <c r="E22" i="17"/>
  <c r="H92" i="12"/>
  <c r="E51" i="17"/>
  <c r="C121" i="13"/>
  <c r="F92" i="12"/>
  <c r="F35" i="4"/>
  <c r="L76" i="12"/>
  <c r="C47" i="8"/>
  <c r="I78" i="12"/>
  <c r="F320" i="13"/>
  <c r="I35" i="17"/>
  <c r="H50" i="17"/>
  <c r="E167" i="13"/>
  <c r="G150" i="13"/>
  <c r="I85" i="12"/>
  <c r="M137" i="14"/>
  <c r="O272" i="13"/>
  <c r="F47" i="17"/>
  <c r="G298" i="13"/>
  <c r="H26" i="17"/>
  <c r="D78" i="12"/>
  <c r="H301" i="13"/>
  <c r="G294" i="13"/>
  <c r="K86" i="12"/>
  <c r="H52" i="17"/>
  <c r="F159" i="13"/>
  <c r="E49" i="17"/>
  <c r="G140" i="14"/>
  <c r="F36" i="17"/>
  <c r="G324" i="13"/>
  <c r="H272" i="13"/>
  <c r="C53" i="14"/>
  <c r="P70" i="12"/>
  <c r="G287" i="13"/>
  <c r="C47" i="14"/>
  <c r="L90" i="12"/>
  <c r="E289" i="13"/>
  <c r="C86" i="14"/>
  <c r="J325" i="13"/>
  <c r="G308" i="13"/>
  <c r="H22" i="16"/>
  <c r="O266" i="13"/>
  <c r="G136" i="14"/>
  <c r="N266" i="13"/>
  <c r="O322" i="13"/>
  <c r="D227" i="13"/>
  <c r="E14" i="17"/>
  <c r="H312" i="13"/>
  <c r="F32" i="17"/>
  <c r="H71" i="12"/>
  <c r="I20" i="17"/>
  <c r="H268" i="13"/>
  <c r="G22" i="17"/>
  <c r="H42" i="17"/>
  <c r="J291" i="13"/>
  <c r="H82" i="12"/>
  <c r="O267" i="13"/>
  <c r="G278" i="13"/>
  <c r="E303" i="13"/>
  <c r="E268" i="13"/>
  <c r="I83" i="12"/>
  <c r="C41" i="8"/>
  <c r="H313" i="13"/>
  <c r="G21" i="17"/>
  <c r="J315" i="13"/>
  <c r="I72" i="12"/>
  <c r="M76" i="12"/>
  <c r="H275" i="13"/>
  <c r="E265" i="13"/>
  <c r="F296" i="13"/>
  <c r="G21" i="5"/>
  <c r="F275" i="13"/>
  <c r="J324" i="13"/>
  <c r="O83" i="12"/>
  <c r="G262" i="13"/>
  <c r="C143" i="10"/>
  <c r="H17" i="17"/>
  <c r="K325" i="13"/>
  <c r="F85" i="12"/>
  <c r="M128" i="14"/>
  <c r="H142" i="14"/>
  <c r="D60" i="11"/>
  <c r="D143" i="10"/>
  <c r="I282" i="13"/>
  <c r="C134" i="10"/>
  <c r="D76" i="12"/>
  <c r="R85" i="12"/>
  <c r="O297" i="13"/>
  <c r="L73" i="12"/>
  <c r="I280" i="13"/>
  <c r="J89" i="12"/>
  <c r="C67" i="10"/>
  <c r="H49" i="17"/>
  <c r="N92" i="12"/>
  <c r="G296" i="13"/>
  <c r="Q86" i="12"/>
  <c r="O90" i="12"/>
  <c r="D129" i="10"/>
  <c r="D221" i="13"/>
  <c r="H311" i="13"/>
  <c r="H276" i="13"/>
  <c r="G263" i="13"/>
  <c r="G323" i="13"/>
  <c r="N85" i="12"/>
  <c r="O269" i="13"/>
  <c r="H307" i="13"/>
  <c r="Q85" i="12"/>
  <c r="J265" i="13"/>
  <c r="G155" i="13"/>
  <c r="O72" i="12"/>
  <c r="N296" i="13"/>
  <c r="K297" i="13"/>
  <c r="H25" i="17"/>
  <c r="H279" i="13"/>
  <c r="N287" i="13"/>
  <c r="F34" i="17"/>
  <c r="G311" i="13"/>
  <c r="H86" i="12"/>
  <c r="E33" i="17"/>
  <c r="E317" i="13"/>
  <c r="G90" i="12"/>
  <c r="F284" i="13"/>
  <c r="I135" i="14"/>
  <c r="I92" i="12"/>
  <c r="J322" i="13"/>
  <c r="E19" i="17"/>
  <c r="F157" i="13"/>
  <c r="I269" i="13"/>
  <c r="G161" i="13"/>
  <c r="C6" i="6"/>
  <c r="C57" i="14"/>
  <c r="H305" i="13"/>
  <c r="E172" i="13"/>
  <c r="J128" i="14"/>
  <c r="C35" i="19"/>
  <c r="C36" i="19"/>
  <c r="D64" i="14"/>
  <c r="D22" i="8"/>
  <c r="D52" i="10"/>
  <c r="M39" i="3"/>
  <c r="D132" i="14"/>
  <c r="O36" i="19"/>
  <c r="I17" i="16"/>
  <c r="E54" i="11"/>
  <c r="E104" i="13"/>
  <c r="K13" i="17"/>
  <c r="J130" i="14"/>
  <c r="L63" i="10"/>
  <c r="J85" i="12"/>
  <c r="E24" i="17"/>
  <c r="F170" i="13"/>
  <c r="O302" i="13"/>
  <c r="E271" i="13"/>
  <c r="J22" i="17"/>
  <c r="E32" i="17"/>
  <c r="O288" i="13"/>
  <c r="O92" i="12"/>
  <c r="C29" i="10"/>
  <c r="E65" i="17"/>
  <c r="C104" i="10"/>
  <c r="J308" i="13"/>
  <c r="E308" i="13"/>
  <c r="I80" i="12"/>
  <c r="E155" i="13"/>
  <c r="E13" i="17"/>
  <c r="I300" i="13"/>
  <c r="J300" i="13"/>
  <c r="J277" i="13"/>
  <c r="F44" i="17"/>
  <c r="H285" i="13"/>
  <c r="H262" i="13"/>
  <c r="I278" i="13"/>
  <c r="P76" i="12"/>
  <c r="G22" i="5"/>
  <c r="H322" i="13"/>
  <c r="M85" i="12"/>
  <c r="J48" i="17"/>
  <c r="G53" i="17"/>
  <c r="I46" i="17"/>
  <c r="R77" i="12"/>
  <c r="N276" i="13"/>
  <c r="J310" i="13"/>
  <c r="J73" i="12"/>
  <c r="G292" i="13"/>
  <c r="C35" i="8"/>
  <c r="I281" i="13"/>
  <c r="Q93" i="12"/>
  <c r="Q83" i="12"/>
  <c r="G165" i="13"/>
  <c r="Q88" i="12"/>
  <c r="G20" i="5"/>
  <c r="I202" i="13"/>
  <c r="P72" i="12"/>
  <c r="G291" i="13"/>
  <c r="D73" i="12"/>
  <c r="O309" i="13"/>
  <c r="I60" i="17"/>
  <c r="J288" i="13"/>
  <c r="G50" i="17"/>
  <c r="F91" i="8"/>
  <c r="C27" i="10"/>
  <c r="N303" i="13"/>
  <c r="E300" i="13"/>
  <c r="O80" i="12"/>
  <c r="D32" i="11"/>
  <c r="K76" i="12"/>
  <c r="D29" i="11"/>
  <c r="J76" i="12"/>
  <c r="D228" i="13"/>
  <c r="G57" i="17"/>
  <c r="O299" i="13"/>
  <c r="O293" i="13"/>
  <c r="F274" i="13"/>
  <c r="H317" i="13"/>
  <c r="E93" i="12"/>
  <c r="K276" i="13"/>
  <c r="G52" i="17"/>
  <c r="I19" i="17"/>
  <c r="N76" i="12"/>
  <c r="F60" i="17"/>
  <c r="C202" i="13"/>
  <c r="F131" i="14"/>
  <c r="C64" i="10"/>
  <c r="G157" i="13"/>
  <c r="O285" i="13"/>
  <c r="I81" i="12"/>
  <c r="K84" i="12"/>
  <c r="H77" i="12"/>
  <c r="E64" i="17"/>
  <c r="F27" i="17"/>
  <c r="H141" i="14"/>
  <c r="C28" i="8"/>
  <c r="B12" i="8"/>
  <c r="M92" i="12"/>
  <c r="K263" i="13"/>
  <c r="M71" i="12"/>
  <c r="N274" i="13"/>
  <c r="D112" i="10"/>
  <c r="K308" i="13"/>
  <c r="C128" i="10"/>
  <c r="I319" i="13"/>
  <c r="G134" i="14"/>
  <c r="O262" i="13"/>
  <c r="B115" i="13"/>
  <c r="H293" i="13"/>
  <c r="I273" i="13"/>
  <c r="E55" i="17"/>
  <c r="I311" i="13"/>
  <c r="F31" i="17"/>
  <c r="C32" i="8"/>
  <c r="H60" i="17"/>
  <c r="H139" i="14"/>
  <c r="N79" i="12"/>
  <c r="D105" i="13"/>
  <c r="N282" i="13"/>
  <c r="C55" i="19"/>
  <c r="O323" i="13"/>
  <c r="G276" i="13"/>
  <c r="C81" i="14"/>
  <c r="F48" i="17"/>
  <c r="E89" i="12"/>
  <c r="C87" i="10"/>
  <c r="I287" i="13"/>
  <c r="D71" i="12"/>
  <c r="E75" i="12"/>
  <c r="I304" i="13"/>
  <c r="K318" i="13"/>
  <c r="H308" i="13"/>
  <c r="C18" i="10"/>
  <c r="F164" i="13"/>
  <c r="I16" i="17"/>
  <c r="F277" i="13"/>
  <c r="C58" i="12"/>
  <c r="M78" i="12"/>
  <c r="F84" i="12"/>
  <c r="J21" i="17"/>
  <c r="D125" i="10"/>
  <c r="N270" i="13"/>
  <c r="I84" i="12"/>
  <c r="C120" i="10"/>
  <c r="B52" i="10"/>
  <c r="I267" i="13"/>
  <c r="C122" i="13"/>
  <c r="E221" i="13"/>
  <c r="M83" i="12"/>
  <c r="N265" i="13"/>
  <c r="F308" i="13"/>
  <c r="C51" i="9"/>
  <c r="J72" i="12"/>
  <c r="L78" i="12"/>
  <c r="G152" i="13"/>
  <c r="I301" i="13"/>
  <c r="H281" i="13"/>
  <c r="O85" i="12"/>
  <c r="H15" i="17"/>
  <c r="I47" i="17"/>
  <c r="P83" i="12"/>
  <c r="F141" i="14"/>
  <c r="D130" i="10"/>
  <c r="O307" i="13"/>
  <c r="C19" i="10"/>
  <c r="E288" i="13"/>
  <c r="C38" i="8"/>
  <c r="F140" i="14"/>
  <c r="E74" i="12"/>
  <c r="K72" i="12"/>
  <c r="P74" i="12"/>
  <c r="G275" i="13"/>
  <c r="E35" i="17"/>
  <c r="O79" i="12"/>
  <c r="E152" i="13"/>
  <c r="F57" i="17"/>
  <c r="F49" i="17"/>
  <c r="F78" i="12"/>
  <c r="G45" i="17"/>
  <c r="C95" i="14"/>
  <c r="J93" i="12"/>
  <c r="F87" i="12"/>
  <c r="C135" i="10"/>
  <c r="H20" i="16"/>
  <c r="M72" i="12"/>
  <c r="H265" i="13"/>
  <c r="R78" i="12"/>
  <c r="N329" i="13"/>
  <c r="L74" i="12"/>
  <c r="F86" i="12"/>
  <c r="N272" i="13"/>
  <c r="F293" i="13"/>
  <c r="G29" i="17"/>
  <c r="M130" i="14"/>
  <c r="F311" i="13"/>
  <c r="F167" i="13"/>
  <c r="K299" i="13"/>
  <c r="K282" i="13"/>
  <c r="N320" i="13"/>
  <c r="J19" i="17"/>
  <c r="H91" i="12"/>
  <c r="P93" i="12"/>
  <c r="C123" i="13"/>
  <c r="J81" i="12"/>
  <c r="O277" i="13"/>
  <c r="G326" i="13"/>
  <c r="H44" i="17"/>
  <c r="B44" i="10"/>
  <c r="J312" i="13"/>
  <c r="I21" i="17"/>
  <c r="C76" i="14"/>
  <c r="G17" i="5"/>
  <c r="E318" i="13"/>
  <c r="G80" i="12"/>
  <c r="R93" i="12"/>
  <c r="I22" i="17"/>
  <c r="N280" i="13"/>
  <c r="E83" i="12"/>
  <c r="E42" i="17"/>
  <c r="C128" i="13"/>
  <c r="G15" i="5"/>
  <c r="J283" i="13"/>
  <c r="E287" i="13"/>
  <c r="G54" i="17"/>
  <c r="B2" i="14"/>
  <c r="J46" i="17"/>
  <c r="J70" i="12"/>
  <c r="K315" i="13"/>
  <c r="J306" i="13"/>
  <c r="E313" i="13"/>
  <c r="F24" i="4"/>
  <c r="H14" i="17"/>
  <c r="I261" i="13"/>
  <c r="K292" i="13"/>
  <c r="E171" i="13"/>
  <c r="G264" i="13"/>
  <c r="K258" i="13"/>
  <c r="I325" i="13"/>
  <c r="Q76" i="12"/>
  <c r="H131" i="14"/>
  <c r="F329" i="13"/>
  <c r="F59" i="17"/>
  <c r="H259" i="13"/>
  <c r="K89" i="12"/>
  <c r="R70" i="12"/>
  <c r="J60" i="17"/>
  <c r="F83" i="12"/>
  <c r="F22" i="17"/>
  <c r="F42" i="17"/>
  <c r="J55" i="17"/>
  <c r="C6" i="2"/>
  <c r="E280" i="13"/>
  <c r="D106" i="13"/>
  <c r="I312" i="13"/>
  <c r="E275" i="13"/>
  <c r="D137" i="10"/>
  <c r="G46" i="17"/>
  <c r="D144" i="10"/>
  <c r="K78" i="12"/>
  <c r="E73" i="12"/>
  <c r="G302" i="13"/>
  <c r="G18" i="5"/>
  <c r="F45" i="17"/>
  <c r="J264" i="13"/>
  <c r="C137" i="10"/>
  <c r="H84" i="12"/>
  <c r="D6" i="3"/>
  <c r="C98" i="14"/>
  <c r="C116" i="10"/>
  <c r="C25" i="10"/>
  <c r="C115" i="10"/>
  <c r="H310" i="13"/>
  <c r="J53" i="17"/>
  <c r="J57" i="17"/>
  <c r="N307" i="13"/>
  <c r="F16" i="17"/>
  <c r="F269" i="13"/>
  <c r="G69" i="12"/>
  <c r="I25" i="17"/>
  <c r="F71" i="12"/>
  <c r="O287" i="13"/>
  <c r="J323" i="13"/>
  <c r="E312" i="13"/>
  <c r="J289" i="13"/>
  <c r="G282" i="13"/>
  <c r="C113" i="10"/>
  <c r="M69" i="12"/>
  <c r="J321" i="13"/>
  <c r="J273" i="13"/>
  <c r="J35" i="17"/>
  <c r="I15" i="17"/>
  <c r="B30" i="14"/>
  <c r="O281" i="13"/>
  <c r="C133" i="10"/>
  <c r="H292" i="13"/>
  <c r="H33" i="17"/>
  <c r="C52" i="14"/>
  <c r="D114" i="10"/>
  <c r="F63" i="17"/>
  <c r="C89" i="14"/>
  <c r="I307" i="13"/>
  <c r="P92" i="12"/>
  <c r="E276" i="13"/>
  <c r="M70" i="12"/>
  <c r="J329" i="13"/>
  <c r="E323" i="13"/>
  <c r="I328" i="13"/>
  <c r="N324" i="13"/>
  <c r="O91" i="12"/>
  <c r="C130" i="10"/>
  <c r="E301" i="13"/>
  <c r="N86" i="12"/>
  <c r="D69" i="12"/>
  <c r="D33" i="11"/>
  <c r="E45" i="17"/>
  <c r="G137" i="14"/>
  <c r="G320" i="13"/>
  <c r="H29" i="17"/>
  <c r="I93" i="12"/>
  <c r="K302" i="13"/>
  <c r="J299" i="13"/>
  <c r="E282" i="13"/>
  <c r="E222" i="13"/>
  <c r="N325" i="13"/>
  <c r="E36" i="17"/>
  <c r="H295" i="13"/>
  <c r="F150" i="13"/>
  <c r="C48" i="8"/>
  <c r="J285" i="13"/>
  <c r="P71" i="12"/>
  <c r="F226" i="13"/>
  <c r="J132" i="14"/>
  <c r="D111" i="13"/>
  <c r="D108" i="10"/>
  <c r="O41" i="19"/>
  <c r="C41" i="19"/>
  <c r="E21" i="9"/>
  <c r="J129" i="14"/>
  <c r="C47" i="3"/>
  <c r="D137" i="14"/>
  <c r="D61" i="19"/>
  <c r="C175" i="13"/>
  <c r="D139" i="14"/>
  <c r="C45" i="19"/>
  <c r="D128" i="14"/>
  <c r="F46" i="5"/>
  <c r="J304" i="13"/>
  <c r="H140" i="14"/>
  <c r="H28" i="17"/>
  <c r="L88" i="12"/>
  <c r="J297" i="13"/>
  <c r="H83" i="12"/>
  <c r="R75" i="12"/>
  <c r="C125" i="13"/>
  <c r="F30" i="17"/>
  <c r="D77" i="12"/>
  <c r="F19" i="16"/>
  <c r="J202" i="13"/>
  <c r="I275" i="13"/>
  <c r="B27" i="14"/>
  <c r="E292" i="13"/>
  <c r="E324" i="13"/>
  <c r="K319" i="13"/>
  <c r="H129" i="14"/>
  <c r="E260" i="13"/>
  <c r="M136" i="14"/>
  <c r="D81" i="12"/>
  <c r="E61" i="14"/>
  <c r="H16" i="17"/>
  <c r="G81" i="12"/>
  <c r="H63" i="17"/>
  <c r="J32" i="17"/>
  <c r="J320" i="13"/>
  <c r="E61" i="17"/>
  <c r="G17" i="17"/>
  <c r="D92" i="12"/>
  <c r="K313" i="13"/>
  <c r="G313" i="13"/>
  <c r="G168" i="13"/>
  <c r="P69" i="12"/>
  <c r="G61" i="17"/>
  <c r="H59" i="17"/>
  <c r="D142" i="10"/>
  <c r="C50" i="14"/>
  <c r="I34" i="17"/>
  <c r="F162" i="13"/>
  <c r="Q80" i="12"/>
  <c r="E87" i="12"/>
  <c r="J266" i="13"/>
  <c r="I65" i="17"/>
  <c r="H61" i="17"/>
  <c r="N288" i="13"/>
  <c r="H87" i="12"/>
  <c r="N82" i="12"/>
  <c r="N84" i="12"/>
  <c r="M135" i="14"/>
  <c r="E69" i="12"/>
  <c r="E298" i="13"/>
  <c r="E316" i="13"/>
  <c r="C20" i="10"/>
  <c r="G154" i="13"/>
  <c r="M73" i="12"/>
  <c r="E157" i="13"/>
  <c r="D131" i="14"/>
  <c r="D72" i="9"/>
  <c r="J135" i="14"/>
  <c r="D142" i="14"/>
  <c r="D62" i="19"/>
  <c r="E45" i="9"/>
  <c r="C38" i="19"/>
  <c r="F45" i="5"/>
  <c r="F27" i="4"/>
  <c r="F258" i="13"/>
  <c r="L79" i="12"/>
  <c r="D139" i="10"/>
  <c r="K286" i="13"/>
  <c r="I28" i="17"/>
  <c r="E169" i="13"/>
  <c r="I44" i="17"/>
  <c r="J56" i="17"/>
  <c r="P78" i="12"/>
  <c r="C33" i="8"/>
  <c r="J316" i="13"/>
  <c r="J271" i="13"/>
  <c r="E29" i="17"/>
  <c r="H80" i="12"/>
  <c r="N290" i="13"/>
  <c r="F76" i="12"/>
  <c r="E310" i="13"/>
  <c r="E272" i="13"/>
  <c r="F77" i="12"/>
  <c r="G289" i="13"/>
  <c r="E264" i="13"/>
  <c r="D138" i="14"/>
  <c r="D74" i="9"/>
  <c r="N128" i="14"/>
  <c r="C37" i="19"/>
  <c r="I30" i="17"/>
  <c r="C28" i="10"/>
  <c r="F28" i="4"/>
  <c r="J301" i="13"/>
  <c r="I270" i="13"/>
  <c r="O271" i="13"/>
  <c r="C57" i="12"/>
  <c r="D119" i="10"/>
  <c r="G91" i="12"/>
  <c r="C21" i="10"/>
  <c r="C141" i="10"/>
  <c r="C122" i="10"/>
  <c r="K271" i="13"/>
  <c r="E161" i="13"/>
  <c r="O86" i="12"/>
  <c r="D223" i="13"/>
  <c r="F33" i="4"/>
  <c r="C39" i="8"/>
  <c r="I317" i="13"/>
  <c r="C57" i="19"/>
  <c r="D136" i="14"/>
  <c r="D8" i="11"/>
  <c r="F6" i="6"/>
  <c r="G42" i="17"/>
  <c r="J65" i="17"/>
  <c r="R92" i="12"/>
  <c r="E18" i="17"/>
  <c r="B7" i="8"/>
  <c r="G163" i="13"/>
  <c r="F24" i="17"/>
  <c r="G301" i="13"/>
  <c r="J17" i="17"/>
  <c r="I277" i="13"/>
  <c r="G138" i="14"/>
  <c r="J269" i="13"/>
  <c r="D121" i="10"/>
  <c r="E43" i="17"/>
  <c r="D118" i="10"/>
  <c r="Q69" i="12"/>
  <c r="G281" i="13"/>
  <c r="N322" i="13"/>
  <c r="N327" i="13"/>
  <c r="C83" i="14"/>
  <c r="E76" i="14"/>
  <c r="C50" i="19"/>
  <c r="E58" i="12"/>
  <c r="D73" i="9"/>
  <c r="G210" i="13"/>
  <c r="D83" i="11"/>
  <c r="G56" i="17"/>
  <c r="I305" i="13"/>
  <c r="J29" i="17"/>
  <c r="I268" i="13"/>
  <c r="K73" i="12"/>
  <c r="I32" i="17"/>
  <c r="N260" i="13"/>
  <c r="F299" i="13"/>
  <c r="F272" i="13"/>
  <c r="G277" i="13"/>
  <c r="H328" i="13"/>
  <c r="E296" i="13"/>
  <c r="J27" i="17"/>
  <c r="R82" i="12"/>
  <c r="G267" i="13"/>
  <c r="K93" i="12"/>
  <c r="D225" i="13"/>
  <c r="N83" i="12"/>
  <c r="I69" i="12"/>
  <c r="E84" i="12"/>
  <c r="R72" i="12"/>
  <c r="R88" i="12"/>
  <c r="C45" i="8"/>
  <c r="C131" i="10"/>
  <c r="D45" i="5"/>
  <c r="H267" i="13"/>
  <c r="I18" i="17"/>
  <c r="E154" i="13"/>
  <c r="J281" i="13"/>
  <c r="E62" i="17"/>
  <c r="G33" i="17"/>
  <c r="E70" i="12"/>
  <c r="K260" i="13"/>
  <c r="F298" i="13"/>
  <c r="F139" i="14"/>
  <c r="Q75" i="12"/>
  <c r="G36" i="17"/>
  <c r="D123" i="10"/>
  <c r="G26" i="5"/>
  <c r="E25" i="17"/>
  <c r="H318" i="13"/>
  <c r="N78" i="12"/>
  <c r="Q79" i="12"/>
  <c r="M131" i="14"/>
  <c r="F263" i="13"/>
  <c r="C96" i="14"/>
  <c r="J79" i="12"/>
  <c r="H54" i="17"/>
  <c r="C123" i="10"/>
  <c r="H300" i="13"/>
  <c r="F287" i="13"/>
  <c r="F289" i="13"/>
  <c r="F36" i="4"/>
  <c r="M138" i="14"/>
  <c r="M93" i="12"/>
  <c r="G288" i="13"/>
  <c r="E57" i="9"/>
  <c r="D23" i="8"/>
  <c r="E7" i="5"/>
  <c r="E106" i="13"/>
  <c r="C25" i="19"/>
  <c r="E14" i="9"/>
  <c r="C23" i="19"/>
  <c r="C179" i="13"/>
  <c r="D32" i="14"/>
  <c r="O39" i="19"/>
  <c r="J131" i="14"/>
  <c r="G78" i="12"/>
  <c r="O289" i="13"/>
  <c r="J58" i="17"/>
  <c r="O283" i="13"/>
  <c r="R87" i="12"/>
  <c r="F288" i="13"/>
  <c r="J26" i="17"/>
  <c r="J61" i="17"/>
  <c r="D58" i="4"/>
  <c r="P80" i="12"/>
  <c r="K320" i="13"/>
  <c r="C73" i="10"/>
  <c r="N284" i="13"/>
  <c r="C88" i="10"/>
  <c r="C91" i="10"/>
  <c r="F149" i="13"/>
  <c r="K296" i="13"/>
  <c r="N74" i="12"/>
  <c r="E319" i="13"/>
  <c r="G28" i="17"/>
  <c r="K300" i="13"/>
  <c r="H22" i="17"/>
  <c r="D59" i="11"/>
  <c r="E279" i="13"/>
  <c r="F54" i="17"/>
  <c r="E81" i="12"/>
  <c r="C71" i="10"/>
  <c r="D128" i="10"/>
  <c r="D54" i="11"/>
  <c r="C34" i="8"/>
  <c r="B22" i="9"/>
  <c r="J50" i="17"/>
  <c r="J294" i="13"/>
  <c r="E165" i="13"/>
  <c r="N72" i="12"/>
  <c r="F322" i="13"/>
  <c r="H284" i="13"/>
  <c r="C42" i="8"/>
  <c r="K310" i="13"/>
  <c r="F52" i="17"/>
  <c r="M129" i="14"/>
  <c r="C125" i="10"/>
  <c r="I316" i="13"/>
  <c r="K69" i="12"/>
  <c r="E263" i="13"/>
  <c r="J84" i="12"/>
  <c r="F325" i="13"/>
  <c r="N304" i="13"/>
  <c r="F282" i="13"/>
  <c r="I271" i="13"/>
  <c r="F74" i="12"/>
  <c r="R79" i="12"/>
  <c r="E329" i="13"/>
  <c r="I201" i="13"/>
  <c r="J49" i="17"/>
  <c r="C68" i="10"/>
  <c r="H70" i="12"/>
  <c r="D130" i="14"/>
  <c r="O35" i="19"/>
  <c r="C40" i="19"/>
  <c r="D85" i="9"/>
  <c r="D141" i="14"/>
  <c r="D140" i="14"/>
  <c r="F94" i="14"/>
  <c r="K32" i="3"/>
  <c r="M42" i="3"/>
  <c r="B14" i="11"/>
  <c r="E105" i="13"/>
  <c r="I276" i="13"/>
  <c r="J69" i="12"/>
  <c r="K274" i="13"/>
  <c r="E322" i="13"/>
  <c r="I131" i="14"/>
  <c r="J36" i="17"/>
  <c r="H34" i="17"/>
  <c r="G299" i="13"/>
  <c r="D115" i="10"/>
  <c r="O308" i="13"/>
  <c r="J313" i="13"/>
  <c r="C13" i="19"/>
  <c r="G293" i="13"/>
  <c r="O324" i="13"/>
  <c r="E315" i="13"/>
  <c r="J28" i="17"/>
  <c r="G26" i="17"/>
  <c r="E228" i="13"/>
  <c r="D135" i="10"/>
  <c r="J275" i="13"/>
  <c r="K71" i="12"/>
  <c r="O263" i="13"/>
  <c r="O82" i="12"/>
  <c r="F264" i="13"/>
  <c r="C74" i="10"/>
  <c r="K291" i="13"/>
  <c r="J326" i="13"/>
  <c r="C46" i="12"/>
  <c r="N90" i="12"/>
  <c r="H266" i="13"/>
  <c r="D56" i="11"/>
  <c r="H132" i="14"/>
  <c r="J261" i="13"/>
  <c r="N319" i="13"/>
  <c r="G321" i="13"/>
  <c r="G13" i="17"/>
  <c r="K268" i="13"/>
  <c r="N315" i="13"/>
  <c r="K278" i="13"/>
  <c r="E34" i="17"/>
  <c r="N291" i="13"/>
  <c r="G314" i="13"/>
  <c r="K298" i="13"/>
  <c r="H304" i="13"/>
  <c r="H202" i="13"/>
  <c r="F33" i="17"/>
  <c r="F323" i="13"/>
  <c r="J86" i="12"/>
  <c r="H65" i="17"/>
  <c r="N258" i="13"/>
  <c r="N298" i="13"/>
  <c r="D55" i="11"/>
  <c r="I327" i="13"/>
  <c r="H274" i="13"/>
  <c r="G23" i="5"/>
  <c r="J290" i="13"/>
  <c r="C39" i="19"/>
  <c r="D44" i="10"/>
  <c r="D67" i="14"/>
  <c r="D134" i="14"/>
  <c r="D30" i="14"/>
  <c r="D129" i="14"/>
  <c r="D19" i="10"/>
  <c r="E11" i="9"/>
  <c r="F38" i="5"/>
  <c r="D83" i="9"/>
  <c r="O40" i="19"/>
  <c r="E20" i="9"/>
  <c r="G86" i="12"/>
  <c r="D16" i="8"/>
  <c r="O37" i="19"/>
  <c r="D22" i="14"/>
  <c r="E57" i="12"/>
  <c r="D49" i="10"/>
  <c r="C48" i="19"/>
  <c r="K42" i="17"/>
  <c r="E117" i="10"/>
  <c r="C59" i="19"/>
  <c r="D78" i="9"/>
  <c r="C46" i="19"/>
  <c r="I49" i="17"/>
  <c r="F137" i="14"/>
  <c r="K88" i="12"/>
  <c r="H273" i="13"/>
  <c r="C84" i="10"/>
  <c r="H316" i="13"/>
  <c r="M140" i="14"/>
  <c r="R84" i="12"/>
  <c r="F291" i="13"/>
  <c r="E46" i="17"/>
  <c r="F290" i="13"/>
  <c r="K307" i="13"/>
  <c r="F283" i="13"/>
  <c r="I17" i="17"/>
  <c r="F20" i="16"/>
  <c r="G171" i="13"/>
  <c r="D222" i="13"/>
  <c r="L92" i="12"/>
  <c r="F132" i="14"/>
  <c r="J121" i="13"/>
  <c r="C34" i="19"/>
  <c r="D65" i="14"/>
  <c r="I70" i="12"/>
  <c r="Q84" i="12"/>
  <c r="O301" i="13"/>
  <c r="F14" i="17"/>
  <c r="C119" i="10"/>
  <c r="D70" i="12"/>
  <c r="H270" i="13"/>
  <c r="F155" i="13"/>
  <c r="I293" i="13"/>
  <c r="G318" i="13"/>
  <c r="J311" i="13"/>
  <c r="J314" i="13"/>
  <c r="D90" i="12"/>
  <c r="G328" i="13"/>
  <c r="C94" i="10"/>
  <c r="G89" i="12"/>
  <c r="O71" i="12"/>
  <c r="N293" i="13"/>
  <c r="I272" i="13"/>
  <c r="K290" i="13"/>
  <c r="I329" i="13"/>
  <c r="N278" i="13"/>
  <c r="D133" i="10"/>
  <c r="D113" i="13"/>
  <c r="D64" i="10"/>
  <c r="C49" i="19"/>
  <c r="D190" i="2"/>
  <c r="G71" i="12"/>
  <c r="O276" i="13"/>
  <c r="I323" i="13"/>
  <c r="G60" i="17"/>
  <c r="C40" i="8"/>
  <c r="G170" i="13"/>
  <c r="F26" i="17"/>
  <c r="E15" i="17"/>
  <c r="C129" i="10"/>
  <c r="E54" i="17"/>
  <c r="I285" i="13"/>
  <c r="I71" i="12"/>
  <c r="D140" i="10"/>
  <c r="F21" i="17"/>
  <c r="C139" i="10"/>
  <c r="G14" i="17"/>
  <c r="K272" i="13"/>
  <c r="R91" i="12"/>
  <c r="G139" i="14"/>
  <c r="I62" i="17"/>
  <c r="D135" i="14"/>
  <c r="F35" i="5"/>
  <c r="F10" i="6"/>
  <c r="C26" i="10"/>
  <c r="O284" i="13"/>
  <c r="G70" i="12"/>
  <c r="E314" i="13"/>
  <c r="O329" i="13"/>
  <c r="N281" i="13"/>
  <c r="E166" i="13"/>
  <c r="I290" i="13"/>
  <c r="G269" i="13"/>
  <c r="K306" i="13"/>
  <c r="G261" i="13"/>
  <c r="C114" i="10"/>
  <c r="E320" i="13"/>
  <c r="E23" i="17"/>
  <c r="E299" i="13"/>
  <c r="H81" i="12"/>
  <c r="G32" i="17"/>
  <c r="K328" i="13"/>
  <c r="C124" i="10"/>
  <c r="G169" i="13"/>
  <c r="E48" i="17"/>
  <c r="H291" i="13"/>
  <c r="J30" i="17"/>
  <c r="H32" i="17"/>
  <c r="H269" i="13"/>
  <c r="G303" i="13"/>
  <c r="C31" i="10"/>
  <c r="F281" i="13"/>
  <c r="I59" i="17"/>
  <c r="J305" i="13"/>
  <c r="D122" i="10"/>
  <c r="O265" i="13"/>
  <c r="D136" i="10"/>
  <c r="H76" i="12"/>
  <c r="G76" i="12"/>
  <c r="H72" i="12"/>
  <c r="I82" i="12"/>
  <c r="E262" i="13"/>
  <c r="D89" i="12"/>
  <c r="D85" i="12"/>
  <c r="E77" i="12"/>
  <c r="I129" i="14"/>
  <c r="F38" i="4"/>
  <c r="F31" i="4"/>
  <c r="E159" i="13"/>
  <c r="C46" i="8"/>
  <c r="H19" i="17"/>
  <c r="F169" i="13"/>
  <c r="O77" i="12"/>
  <c r="J259" i="13"/>
  <c r="P87" i="12"/>
  <c r="F286" i="13"/>
  <c r="C48" i="4"/>
  <c r="G322" i="13"/>
  <c r="N305" i="13"/>
  <c r="D133" i="14"/>
  <c r="E28" i="11"/>
  <c r="C47" i="19"/>
  <c r="E43" i="14"/>
  <c r="O38" i="19"/>
  <c r="J91" i="12"/>
  <c r="G130" i="14"/>
  <c r="C84" i="14"/>
  <c r="J274" i="13"/>
  <c r="I306" i="13"/>
  <c r="E326" i="13"/>
  <c r="E327" i="13"/>
  <c r="F313" i="13"/>
  <c r="I45" i="17"/>
  <c r="F152" i="13"/>
  <c r="I23" i="17"/>
  <c r="D84" i="12"/>
  <c r="F65" i="17"/>
  <c r="G285" i="13"/>
  <c r="E91" i="12"/>
  <c r="N91" i="12"/>
  <c r="E118" i="10"/>
  <c r="E46" i="9"/>
  <c r="C44" i="19"/>
  <c r="O34" i="19"/>
  <c r="E258" i="13"/>
  <c r="I265" i="13"/>
  <c r="G273" i="13"/>
  <c r="E78" i="12"/>
  <c r="H23" i="17"/>
  <c r="D93" i="12"/>
  <c r="C23" i="10"/>
  <c r="M134" i="14"/>
  <c r="H329" i="13"/>
  <c r="E309" i="13"/>
  <c r="I134" i="14"/>
  <c r="E57" i="17"/>
  <c r="J33" i="17"/>
  <c r="L77" i="12"/>
  <c r="F306" i="13"/>
  <c r="D84" i="9"/>
  <c r="D27" i="14"/>
  <c r="E58" i="9"/>
  <c r="P82" i="12"/>
  <c r="E56" i="17"/>
  <c r="C70" i="10"/>
  <c r="F317" i="13"/>
  <c r="I14" i="17"/>
  <c r="K321" i="13"/>
  <c r="F29" i="4"/>
  <c r="K305" i="13"/>
  <c r="N277" i="13"/>
  <c r="N317" i="13"/>
  <c r="I89" i="12"/>
  <c r="E27" i="17"/>
  <c r="G65" i="17"/>
  <c r="I42" i="17"/>
  <c r="H260" i="13"/>
  <c r="N316" i="13"/>
  <c r="D120" i="10"/>
  <c r="F26" i="16"/>
  <c r="D115" i="13"/>
  <c r="E59" i="9"/>
  <c r="C32" i="3"/>
  <c r="B35" i="19"/>
  <c r="D206" i="13"/>
  <c r="J204" i="13"/>
  <c r="C205" i="13"/>
  <c r="D204" i="13"/>
  <c r="D18" i="7"/>
  <c r="D54" i="5"/>
  <c r="E152" i="10"/>
  <c r="D97" i="14"/>
  <c r="C206" i="13"/>
  <c r="D95" i="14"/>
  <c r="F90" i="8"/>
  <c r="D164" i="14"/>
  <c r="C127" i="10"/>
  <c r="I206" i="13"/>
  <c r="I205" i="13"/>
  <c r="L34" i="16"/>
  <c r="J206" i="13"/>
  <c r="D13" i="7"/>
  <c r="N18" i="17"/>
  <c r="E206" i="13"/>
  <c r="C42" i="3"/>
  <c r="D16" i="6"/>
  <c r="D66" i="4"/>
  <c r="D131" i="10"/>
  <c r="D113" i="10"/>
  <c r="D46" i="5"/>
  <c r="E106" i="11"/>
  <c r="E204" i="13"/>
  <c r="D67" i="4"/>
  <c r="B64" i="14"/>
  <c r="C204" i="13"/>
  <c r="D38" i="5"/>
  <c r="D124" i="10"/>
  <c r="B65" i="14"/>
  <c r="I204" i="13"/>
  <c r="D99" i="14"/>
  <c r="H204" i="13"/>
  <c r="J205" i="13"/>
  <c r="D17" i="6"/>
  <c r="D94" i="14"/>
  <c r="D92" i="14"/>
  <c r="H206" i="13"/>
  <c r="E205" i="13"/>
  <c r="D98" i="14"/>
  <c r="D96" i="14"/>
  <c r="D205" i="13"/>
  <c r="D93" i="14"/>
  <c r="H205" i="13"/>
  <c r="E412" i="13"/>
  <c r="E151" i="10"/>
  <c r="B15" i="9"/>
  <c r="C136" i="10"/>
  <c r="C144" i="10"/>
  <c r="D141" i="10"/>
  <c r="C118" i="10"/>
  <c r="C121" i="10"/>
  <c r="C59" i="12" l="1"/>
  <c r="G56" i="20"/>
  <c r="C149" i="13"/>
  <c r="C74" i="9"/>
  <c r="B78" i="9" s="1"/>
  <c r="B14" i="9"/>
  <c r="B20" i="9" s="1"/>
  <c r="C85" i="9"/>
  <c r="G60" i="20"/>
  <c r="G65" i="20"/>
  <c r="G53" i="20"/>
  <c r="G72" i="20"/>
  <c r="G86" i="20" s="1"/>
  <c r="G69" i="20"/>
  <c r="G59" i="20"/>
  <c r="G54" i="20"/>
  <c r="G66" i="20"/>
  <c r="G57" i="20"/>
  <c r="G71" i="20"/>
  <c r="G55" i="20"/>
  <c r="G64" i="20"/>
  <c r="G70" i="20"/>
  <c r="C142" i="10"/>
  <c r="D149" i="13"/>
  <c r="E95" i="9"/>
  <c r="D55" i="5"/>
  <c r="E18" i="7"/>
  <c r="E13" i="7"/>
  <c r="B36" i="19"/>
  <c r="B67" i="14"/>
  <c r="C150" i="13" l="1"/>
  <c r="G58" i="20"/>
  <c r="G62" i="20"/>
  <c r="F13" i="7"/>
  <c r="F18" i="7"/>
  <c r="D150" i="13"/>
  <c r="B37" i="19"/>
  <c r="C151" i="13" l="1"/>
  <c r="D151" i="13"/>
  <c r="B38" i="19"/>
  <c r="G18" i="7"/>
  <c r="G13" i="7"/>
  <c r="C152" i="13" l="1"/>
  <c r="H13" i="7"/>
  <c r="D152" i="13"/>
  <c r="B39" i="19"/>
  <c r="H18" i="7"/>
  <c r="C153" i="13" l="1"/>
  <c r="B40" i="19"/>
  <c r="F25" i="7"/>
  <c r="D153" i="13"/>
  <c r="C154" i="13" l="1"/>
  <c r="G61" i="20"/>
  <c r="D154" i="13"/>
  <c r="B41" i="19"/>
  <c r="C155" i="13" l="1"/>
  <c r="D155" i="13"/>
  <c r="B44" i="19"/>
  <c r="C156" i="13" l="1"/>
  <c r="D156" i="13"/>
  <c r="B45" i="19"/>
  <c r="C157" i="13" l="1"/>
  <c r="D157" i="13"/>
  <c r="B46" i="19"/>
  <c r="C158" i="13" l="1"/>
  <c r="D158" i="13"/>
  <c r="B47" i="19"/>
  <c r="C159" i="13" l="1"/>
  <c r="D159" i="13"/>
  <c r="B48" i="19"/>
  <c r="C160" i="13" l="1"/>
  <c r="D160" i="13"/>
  <c r="B49" i="19"/>
  <c r="C161" i="13" l="1"/>
  <c r="B50" i="19"/>
  <c r="H119" i="19"/>
  <c r="D161" i="13"/>
  <c r="C162" i="13" l="1"/>
  <c r="G73" i="20"/>
  <c r="D162" i="13"/>
  <c r="N34" i="19"/>
  <c r="C163" i="13" l="1"/>
  <c r="D163" i="13"/>
  <c r="N35" i="19"/>
  <c r="C164" i="13" l="1"/>
  <c r="D164" i="13"/>
  <c r="N36" i="19"/>
  <c r="N37" i="19"/>
  <c r="C165" i="13" l="1"/>
  <c r="N38" i="19"/>
  <c r="D165" i="13"/>
  <c r="N39" i="19"/>
  <c r="C166" i="13" l="1"/>
  <c r="D166" i="13"/>
  <c r="N40" i="19"/>
  <c r="C167" i="13" l="1"/>
  <c r="D167" i="13"/>
  <c r="N41" i="19"/>
  <c r="C168" i="13" l="1"/>
  <c r="D168" i="13"/>
  <c r="B57" i="19"/>
  <c r="B59" i="19"/>
  <c r="C169" i="13" l="1"/>
  <c r="D169" i="13"/>
  <c r="B61" i="19"/>
  <c r="C170" i="13" l="1"/>
  <c r="D170" i="13"/>
  <c r="C171" i="13" l="1"/>
  <c r="D171" i="13"/>
  <c r="C30" i="20"/>
  <c r="G76" i="20"/>
  <c r="C61" i="19"/>
  <c r="C172" i="13" l="1"/>
  <c r="G90" i="20"/>
  <c r="E96" i="9"/>
  <c r="B62" i="19"/>
  <c r="G63" i="20" l="1"/>
  <c r="C62" i="19"/>
  <c r="B63" i="19" s="1"/>
  <c r="H90" i="20" l="1"/>
  <c r="C63" i="19"/>
  <c r="B64" i="19"/>
  <c r="C64" i="19"/>
  <c r="B65" i="19"/>
  <c r="H91" i="20"/>
  <c r="C65" i="19"/>
  <c r="B66" i="19" s="1"/>
  <c r="C66" i="19" s="1"/>
  <c r="B67" i="19" s="1"/>
  <c r="C67" i="19" s="1"/>
  <c r="B68" i="19" s="1"/>
  <c r="C68" i="19" s="1"/>
  <c r="B69" i="19" s="1"/>
  <c r="C69" i="19" s="1"/>
  <c r="B70" i="19" s="1"/>
  <c r="C70" i="19" s="1"/>
  <c r="B71" i="19" s="1"/>
  <c r="C71" i="19" s="1"/>
  <c r="B72" i="19" s="1"/>
  <c r="C72" i="19" s="1"/>
  <c r="B73" i="19" s="1"/>
  <c r="C73" i="19" s="1"/>
  <c r="B74" i="19" s="1"/>
  <c r="C74" i="19" s="1"/>
  <c r="B75" i="19" s="1"/>
  <c r="C75" i="19" s="1"/>
  <c r="B76" i="19" s="1"/>
  <c r="C76" i="19" s="1"/>
  <c r="B77" i="19" s="1"/>
  <c r="C77" i="19" s="1"/>
  <c r="B78" i="19" s="1"/>
  <c r="C78" i="19" s="1"/>
  <c r="B79" i="19" s="1"/>
  <c r="C79" i="19" s="1"/>
  <c r="B80" i="19" s="1"/>
  <c r="C80" i="19" s="1"/>
  <c r="B81" i="19" s="1"/>
  <c r="C81" i="19" s="1"/>
  <c r="B82" i="19" s="1"/>
  <c r="C82" i="19" s="1"/>
  <c r="B83" i="19" s="1"/>
  <c r="C83" i="19" s="1"/>
  <c r="B84" i="19" s="1"/>
  <c r="C84" i="19" s="1"/>
  <c r="B85" i="19" s="1"/>
  <c r="C85" i="19" s="1"/>
  <c r="B86" i="19" s="1"/>
  <c r="C86" i="19" s="1"/>
  <c r="B87" i="19" s="1"/>
  <c r="C87" i="19" s="1"/>
  <c r="B96" i="19" s="1"/>
  <c r="H120" i="19"/>
  <c r="G74" i="20" l="1"/>
  <c r="C96" i="19"/>
  <c r="G88" i="20" l="1"/>
  <c r="B97" i="19"/>
  <c r="C97" i="19" l="1"/>
  <c r="B98" i="19"/>
  <c r="C98" i="19"/>
  <c r="B99" i="19"/>
  <c r="C99" i="19"/>
  <c r="B100" i="19"/>
  <c r="C100" i="19"/>
  <c r="B101" i="19"/>
  <c r="C101" i="19"/>
  <c r="B102" i="19"/>
  <c r="C102" i="19"/>
  <c r="B103" i="19"/>
  <c r="C103" i="19"/>
  <c r="B104" i="19"/>
  <c r="C104" i="19"/>
  <c r="B105" i="19"/>
  <c r="C105" i="19"/>
  <c r="B106" i="19"/>
  <c r="C106" i="19"/>
  <c r="B107" i="19"/>
  <c r="C107" i="19"/>
  <c r="B108" i="19"/>
  <c r="C108" i="19"/>
  <c r="B109" i="19"/>
  <c r="C109" i="19"/>
  <c r="B110" i="19"/>
  <c r="C110" i="19"/>
  <c r="B111" i="19"/>
  <c r="C111" i="19"/>
  <c r="B112" i="19"/>
  <c r="C112" i="19"/>
  <c r="B113" i="19"/>
  <c r="C113" i="19"/>
  <c r="B114" i="19"/>
  <c r="C114" i="19"/>
  <c r="B115" i="19"/>
  <c r="C115" i="19"/>
  <c r="B116" i="19"/>
  <c r="C116" i="19"/>
  <c r="B117" i="19"/>
  <c r="C117" i="19"/>
  <c r="B118" i="19"/>
  <c r="C118" i="19"/>
  <c r="B119" i="19"/>
  <c r="C119" i="19"/>
  <c r="B120" i="19"/>
  <c r="C120" i="19"/>
  <c r="B121" i="19"/>
  <c r="C121" i="19"/>
  <c r="B122" i="19"/>
  <c r="C122" i="19"/>
  <c r="B123" i="19"/>
  <c r="C123" i="19"/>
  <c r="B124" i="19"/>
  <c r="C124" i="19"/>
  <c r="B125" i="19"/>
  <c r="C125" i="19"/>
  <c r="B126" i="19"/>
  <c r="C126" i="19"/>
  <c r="B127" i="19"/>
  <c r="C127" i="19"/>
  <c r="B128" i="19"/>
  <c r="C128" i="19"/>
  <c r="B129" i="19"/>
  <c r="C129" i="19"/>
  <c r="B130" i="19"/>
  <c r="C130" i="19"/>
  <c r="B131" i="19"/>
  <c r="C131" i="19"/>
  <c r="B132" i="19"/>
  <c r="C132" i="19"/>
  <c r="B133" i="19"/>
  <c r="C133" i="19"/>
  <c r="B134" i="19"/>
  <c r="C134" i="19"/>
  <c r="B135" i="19"/>
  <c r="C135" i="19"/>
  <c r="B136" i="19"/>
  <c r="C136" i="19"/>
  <c r="B137" i="19"/>
  <c r="C137" i="19"/>
  <c r="B138" i="19"/>
  <c r="C138" i="19"/>
  <c r="B139" i="19"/>
  <c r="C139" i="19"/>
  <c r="B140" i="19"/>
  <c r="C140" i="19"/>
  <c r="B141" i="19"/>
  <c r="C141" i="19"/>
  <c r="B142" i="19"/>
  <c r="C142" i="19"/>
  <c r="B143" i="19"/>
  <c r="C143" i="19"/>
  <c r="B144" i="19"/>
  <c r="C144" i="19"/>
  <c r="B145" i="19"/>
  <c r="C145" i="19"/>
  <c r="B146" i="19"/>
  <c r="C146" i="19"/>
  <c r="B147" i="19"/>
  <c r="C147" i="19"/>
  <c r="B148" i="19"/>
  <c r="C148" i="19"/>
  <c r="B149" i="19"/>
  <c r="C149" i="19"/>
  <c r="B150" i="19"/>
  <c r="C150" i="19"/>
  <c r="B151" i="19"/>
  <c r="C151" i="19"/>
  <c r="B152" i="19"/>
  <c r="C152" i="19"/>
  <c r="B153" i="19"/>
  <c r="C153" i="19"/>
  <c r="B154" i="19"/>
  <c r="C154" i="19"/>
  <c r="B155" i="19"/>
  <c r="C155" i="19"/>
  <c r="B156" i="19"/>
  <c r="C156" i="19"/>
  <c r="B157" i="19"/>
  <c r="C157" i="19"/>
  <c r="B158" i="19"/>
  <c r="C158" i="19"/>
  <c r="B159" i="19"/>
  <c r="C159" i="19"/>
  <c r="B160" i="19"/>
  <c r="C160" i="19"/>
  <c r="B161" i="19"/>
  <c r="C161" i="19"/>
  <c r="B162" i="19"/>
  <c r="C162" i="19"/>
  <c r="B163" i="19"/>
  <c r="C163" i="19"/>
  <c r="B164" i="19"/>
  <c r="C164" i="19"/>
  <c r="B165" i="19"/>
  <c r="C165" i="19"/>
  <c r="B166" i="19"/>
  <c r="C166" i="19"/>
  <c r="B167" i="19"/>
  <c r="C167" i="19"/>
  <c r="B168" i="19"/>
  <c r="C168" i="19"/>
  <c r="B169" i="19"/>
  <c r="C169" i="19"/>
  <c r="B170" i="19"/>
  <c r="C170" i="19"/>
  <c r="B171" i="19"/>
  <c r="C171" i="19"/>
  <c r="B172" i="19"/>
  <c r="C172" i="19"/>
  <c r="B173" i="19"/>
  <c r="C173" i="19"/>
  <c r="B174" i="19"/>
  <c r="C174" i="19"/>
  <c r="B175" i="19"/>
  <c r="C175" i="19"/>
  <c r="B176" i="19"/>
  <c r="C176" i="19"/>
  <c r="B177" i="19"/>
  <c r="C177" i="19"/>
  <c r="B178" i="19"/>
  <c r="C178" i="19"/>
  <c r="B179" i="19"/>
  <c r="C179" i="19"/>
  <c r="B180" i="19"/>
  <c r="C180" i="19"/>
  <c r="B181" i="19"/>
  <c r="C181" i="19"/>
  <c r="B182" i="19"/>
  <c r="C182" i="19"/>
  <c r="B183" i="19"/>
  <c r="C183" i="19"/>
  <c r="B184" i="19"/>
  <c r="C184" i="19"/>
  <c r="B185" i="19"/>
  <c r="C185" i="19"/>
  <c r="B186" i="19"/>
  <c r="C186" i="19"/>
  <c r="B187" i="19"/>
  <c r="C187" i="19"/>
  <c r="B188" i="19"/>
  <c r="C188" i="19"/>
  <c r="B189" i="19"/>
  <c r="C189" i="19"/>
  <c r="B190" i="19"/>
  <c r="C190" i="19"/>
  <c r="B191" i="19"/>
  <c r="C191" i="19"/>
  <c r="B192" i="19"/>
  <c r="C192" i="19"/>
  <c r="B193" i="19"/>
  <c r="C193" i="19"/>
  <c r="B194" i="19"/>
  <c r="C194" i="19"/>
  <c r="B195" i="19"/>
  <c r="C195" i="19"/>
  <c r="B196" i="19"/>
  <c r="C196" i="19"/>
  <c r="B197" i="19"/>
  <c r="C197" i="19"/>
  <c r="B198" i="19"/>
  <c r="C198" i="19"/>
  <c r="B199" i="19"/>
  <c r="C199" i="19"/>
  <c r="B200" i="19"/>
  <c r="C200" i="19"/>
  <c r="B201" i="19"/>
  <c r="C201" i="19"/>
  <c r="B202" i="19"/>
  <c r="C202" i="19"/>
  <c r="B203" i="19"/>
  <c r="C203" i="19"/>
  <c r="B204" i="19"/>
  <c r="C204" i="19"/>
  <c r="B205" i="19"/>
  <c r="C205" i="19"/>
  <c r="B206" i="19"/>
  <c r="C206" i="19"/>
  <c r="B207" i="19"/>
  <c r="C207" i="19"/>
  <c r="B208" i="19"/>
  <c r="C208" i="19"/>
  <c r="B209" i="19"/>
  <c r="C209" i="19"/>
  <c r="B210" i="19"/>
  <c r="C210" i="19"/>
  <c r="B211" i="19"/>
  <c r="C211" i="19"/>
  <c r="B212" i="19"/>
  <c r="C212" i="19"/>
  <c r="B213" i="19"/>
  <c r="C213" i="19"/>
  <c r="B214" i="19"/>
  <c r="C214" i="19"/>
  <c r="B215" i="19"/>
  <c r="C215" i="19"/>
  <c r="B216" i="19"/>
  <c r="C216" i="19"/>
  <c r="B217" i="19"/>
  <c r="C217" i="19"/>
  <c r="B218" i="19"/>
  <c r="C218" i="19"/>
  <c r="B219" i="19"/>
  <c r="C219" i="19"/>
  <c r="B220" i="19"/>
  <c r="C220" i="19"/>
  <c r="B221" i="19"/>
  <c r="C221" i="19"/>
  <c r="B222" i="19"/>
  <c r="C222" i="19"/>
  <c r="B223" i="19"/>
  <c r="C223" i="19"/>
  <c r="B224" i="19"/>
  <c r="C224" i="19"/>
  <c r="B225" i="19"/>
  <c r="C225" i="19"/>
  <c r="B226" i="19"/>
  <c r="C226" i="19"/>
  <c r="B227" i="19"/>
  <c r="C227" i="19"/>
  <c r="B228" i="19"/>
  <c r="C228" i="19"/>
  <c r="B229" i="19"/>
  <c r="C229" i="19"/>
  <c r="B230" i="19"/>
  <c r="C230" i="19"/>
  <c r="B231" i="19"/>
  <c r="C231" i="19"/>
  <c r="B232" i="19"/>
  <c r="C232" i="19"/>
  <c r="B233" i="19"/>
  <c r="C233" i="19"/>
  <c r="B234" i="19"/>
  <c r="C234" i="19"/>
  <c r="H121" i="19"/>
  <c r="E134" i="19"/>
  <c r="G75" i="20" l="1"/>
  <c r="G81" i="20"/>
  <c r="G89" i="20" l="1"/>
  <c r="G91" i="20"/>
</calcChain>
</file>

<file path=xl/sharedStrings.xml><?xml version="1.0" encoding="utf-8"?>
<sst xmlns="http://schemas.openxmlformats.org/spreadsheetml/2006/main" count="1217" uniqueCount="898">
  <si>
    <t>Ballistics for Excel - get started</t>
  </si>
  <si>
    <t>Checklist Excel</t>
  </si>
  <si>
    <t>Scope, workbook and sheet, of named cells</t>
  </si>
  <si>
    <t>The use of the Solver add-in that comes with Excel. However there will be a BfX worksheet that explains it use too!</t>
  </si>
  <si>
    <t>1.1</t>
  </si>
  <si>
    <t>1.2</t>
  </si>
  <si>
    <t xml:space="preserve">Bfx_Help2 informs about unit (e.g. meter to yard) conversions BfX supports </t>
  </si>
  <si>
    <t>BfX_Help2(integer)</t>
  </si>
  <si>
    <t>a</t>
  </si>
  <si>
    <t>One can automatically update the BfX_Info output by using the optional range parameter, e.g. =BfX_Info(8;B151:C153)</t>
  </si>
  <si>
    <t>BfX_Info(integer)</t>
  </si>
  <si>
    <t>BfX_Info(integer, range)</t>
  </si>
  <si>
    <t>BfX_Info(-2)</t>
  </si>
  <si>
    <t>BfX_IQ()</t>
  </si>
  <si>
    <t>BfX_IQ(range)</t>
  </si>
  <si>
    <t>info about the most recent computation, same output as BfX_Info(8):</t>
  </si>
  <si>
    <t>info about the most recent computation, same output as BfX_Info(8; range):</t>
  </si>
  <si>
    <t>Find out with BfX_Info what the problems are:</t>
  </si>
  <si>
    <t>Get help when typing</t>
  </si>
  <si>
    <t>or</t>
  </si>
  <si>
    <t>Bfx_Help2 also informs which drag functions can be used</t>
  </si>
  <si>
    <t>Other worksheets will elaborate on how to use these features</t>
  </si>
  <si>
    <t>and make an error, "a" is not a value</t>
  </si>
  <si>
    <t>BfX_Help(integer) - help on the use of BfX functions</t>
  </si>
  <si>
    <t>Informs about errors and successes of recent invokations of BfX Excel</t>
  </si>
  <si>
    <t>If in the range B151;C153 a value changes, BfX_Info(8, B151:C153) will be invoked by Excel and updated</t>
  </si>
  <si>
    <t>2.1</t>
  </si>
  <si>
    <t>2.2</t>
  </si>
  <si>
    <t>2.3</t>
  </si>
  <si>
    <t>3.1</t>
  </si>
  <si>
    <t>3.2</t>
  </si>
  <si>
    <t>3.3</t>
  </si>
  <si>
    <t>3.4</t>
  </si>
  <si>
    <t>3.5</t>
  </si>
  <si>
    <t>3.6</t>
  </si>
  <si>
    <t>4.1</t>
  </si>
  <si>
    <t>Simply spoken, that means that the elevation of the rifle should be less than 15  degrees</t>
  </si>
  <si>
    <t>v0</t>
  </si>
  <si>
    <t>distance [m]</t>
  </si>
  <si>
    <t>v [m/s]</t>
  </si>
  <si>
    <t>c</t>
  </si>
  <si>
    <t>4.2</t>
  </si>
  <si>
    <t>What is the maximum distance a bullet is accurate?</t>
  </si>
  <si>
    <t>If the bullet speed goes from above to below the velocity of sound the forces acting on the bullet introduce distortions on the path.</t>
  </si>
  <si>
    <t>For the bullet in the table, the maximum accurate distance is about 800m</t>
  </si>
  <si>
    <t>m/s</t>
  </si>
  <si>
    <t>lb/in2</t>
  </si>
  <si>
    <t>Metric units</t>
  </si>
  <si>
    <t>5.1</t>
  </si>
  <si>
    <t>x [m]</t>
  </si>
  <si>
    <t>c [lb/in^2]</t>
  </si>
  <si>
    <t>v</t>
  </si>
  <si>
    <t>[m/s]</t>
  </si>
  <si>
    <t>Answer: about 0,61</t>
  </si>
  <si>
    <t>5.2</t>
  </si>
  <si>
    <t>x100</t>
  </si>
  <si>
    <t>This exercise shows that BfX gives consistent results even if the bullet passes several velocity ranges (supersonic, sonic, subsonic)</t>
  </si>
  <si>
    <t>x250</t>
  </si>
  <si>
    <t>The 15 degrees limit</t>
  </si>
  <si>
    <t>5.3</t>
  </si>
  <si>
    <t>BfX accurate enough to about 15 degrees, do a calculation for that elevation and compare with numerical calculations.</t>
  </si>
  <si>
    <t>Bfx_Tv</t>
  </si>
  <si>
    <t>Bfx_Tx</t>
  </si>
  <si>
    <t>s</t>
  </si>
  <si>
    <t>BFX_Xv</t>
  </si>
  <si>
    <t>Check BfX_Xv with BfX_Vx</t>
  </si>
  <si>
    <t>We can use BfX_Xv and BfX_Vv in combination to cross check if BfX formulas work well.</t>
  </si>
  <si>
    <t>type a BfX function e.g. "=BfX_Xv(" and then press return, e.g.:</t>
  </si>
  <si>
    <t>type a BfX function e.g. "= BfX_Xv(" and then press ctrl-a</t>
  </si>
  <si>
    <t>BfX_Vx</t>
  </si>
  <si>
    <t>4.3</t>
  </si>
  <si>
    <t>BfX_Vt</t>
  </si>
  <si>
    <t>Bfx_Vt calculates the velocity [m/s]  at time t [s] for a bullet with ballistic coef c [lb/in^2]</t>
  </si>
  <si>
    <t>4.4</t>
  </si>
  <si>
    <t xml:space="preserve">WARNING!!!!! </t>
  </si>
  <si>
    <t>or distance</t>
  </si>
  <si>
    <t>m</t>
  </si>
  <si>
    <t>t=</t>
  </si>
  <si>
    <t>x=</t>
  </si>
  <si>
    <t>You can easily enter absurd values for t:</t>
  </si>
  <si>
    <t>In another worksheet we will learn to check how realistic inputs are</t>
  </si>
  <si>
    <t>Help</t>
  </si>
  <si>
    <t>Info on calculations and BfX</t>
  </si>
  <si>
    <t>Calculating horizontal bullet distances from velocity or time</t>
  </si>
  <si>
    <t>Calculating horizontal bullet velocities from distance or time</t>
  </si>
  <si>
    <t>Calculating the time a bullet slows down to certain velocity or reaches a given distance</t>
  </si>
  <si>
    <t>BfX_Xt</t>
  </si>
  <si>
    <t>BfX_Tx</t>
  </si>
  <si>
    <t>BfX_Tv</t>
  </si>
  <si>
    <t>Bfx_Vt</t>
  </si>
  <si>
    <t>Bfx_Xv</t>
  </si>
  <si>
    <t>Before introducing other BfX functions some of you are eager to know how BfX can convert units to or from the metric system.</t>
  </si>
  <si>
    <t>Convert the result of a BfX function to another unit</t>
  </si>
  <si>
    <t>the output of BfX_Vx is converted to foot/s</t>
  </si>
  <si>
    <t>fps</t>
  </si>
  <si>
    <t>Convert the input(s) of a BfX function to another unit</t>
  </si>
  <si>
    <t>check:</t>
  </si>
  <si>
    <t>this is a scatter graph</t>
  </si>
  <si>
    <t>7.1</t>
  </si>
  <si>
    <t>7.2</t>
  </si>
  <si>
    <t>7.3</t>
  </si>
  <si>
    <t>8.1</t>
  </si>
  <si>
    <t>8.2</t>
  </si>
  <si>
    <t>Cross checking several BfX_functions</t>
  </si>
  <si>
    <t>lb/in^2</t>
  </si>
  <si>
    <t>Definition of worksheet names</t>
  </si>
  <si>
    <t>9.1</t>
  </si>
  <si>
    <t>Output of one BfX function is the input of another one.</t>
  </si>
  <si>
    <t>Chaining</t>
  </si>
  <si>
    <t>BfX uses a lot more digits in its computation then shown,</t>
  </si>
  <si>
    <t>Cross checking gives faith in the accuracy of BfX and is a good exercise as well</t>
  </si>
  <si>
    <t>input time</t>
  </si>
  <si>
    <t>Available units are listed by BfX_Help2:</t>
  </si>
  <si>
    <t>etc</t>
  </si>
  <si>
    <t>There are many more units available than shown below, see for yourself</t>
  </si>
  <si>
    <t>Place the string specifying the input unit directly after the value BfX_Vx(740;"fps";300;0,5)   :</t>
  </si>
  <si>
    <t>9.2</t>
  </si>
  <si>
    <t>Chaining with unit conversion</t>
  </si>
  <si>
    <t>The drop of a bullet</t>
  </si>
  <si>
    <t>10.1</t>
  </si>
  <si>
    <t>10.2</t>
  </si>
  <si>
    <t>Calculate elevation</t>
  </si>
  <si>
    <t>BfX_E that calculates the elevation, takes that into account. This is how we do that:</t>
  </si>
  <si>
    <t>d=drop at zx.</t>
  </si>
  <si>
    <t>zx is the distance of the target</t>
  </si>
  <si>
    <t>x=0 is the end of the barrel</t>
  </si>
  <si>
    <t>s is the distance of the barrel below the line of sight, s is a positive number</t>
  </si>
  <si>
    <t>(for a rifle scope of 1/4 moa per click, the effect of s=3cm is less then a click)</t>
  </si>
  <si>
    <t>10.3</t>
  </si>
  <si>
    <t>BfX_E</t>
  </si>
  <si>
    <t>Excel displays a lot of decimals. However, compared to actual measurements, the real accuracy is limited.</t>
  </si>
  <si>
    <r>
      <t xml:space="preserve">In another worksheet an advance use of BfX_E is shown where we generate a </t>
    </r>
    <r>
      <rPr>
        <b/>
        <sz val="11"/>
        <color theme="1"/>
        <rFont val="Franklin Gothic Book"/>
        <family val="2"/>
        <scheme val="minor"/>
      </rPr>
      <t>calibrated</t>
    </r>
    <r>
      <rPr>
        <sz val="11"/>
        <color theme="1"/>
        <rFont val="Franklin Gothic Book"/>
        <family val="2"/>
        <scheme val="minor"/>
      </rPr>
      <t xml:space="preserve"> table of that tells how many clicks we have to give to hit a target at a certain distance</t>
    </r>
  </si>
  <si>
    <t>Trajectory height</t>
  </si>
  <si>
    <t>11.1</t>
  </si>
  <si>
    <t>of aim. The bullet starts s [m] lower than the line of sight (meaning that the scope is s [m] above the centre of the bore.</t>
  </si>
  <si>
    <t>h</t>
  </si>
  <si>
    <t>zx</t>
  </si>
  <si>
    <t>cm</t>
  </si>
  <si>
    <t>z [cm]</t>
  </si>
  <si>
    <t>note!</t>
  </si>
  <si>
    <t>11.2</t>
  </si>
  <si>
    <t>Sighting in your rifle at for 300m at a 50m range</t>
  </si>
  <si>
    <t xml:space="preserve">You will have a match at 300m, but you can train only at 50m. </t>
  </si>
  <si>
    <t>The properties for bullet and rifle are given above</t>
  </si>
  <si>
    <t>Turn your sights so that the bullet hits at the above height at 50m</t>
  </si>
  <si>
    <t>How far (in [cm]) above the point of aim at 50m should the bullet hit, that it will go through zero (point of aim at 300m?)</t>
  </si>
  <si>
    <t>Cross wind deflection</t>
  </si>
  <si>
    <t>BfX_Y</t>
  </si>
  <si>
    <t>12.1</t>
  </si>
  <si>
    <t>[m]</t>
  </si>
  <si>
    <t>where the crosswind vw [m/s] is known at one or more distances xw [m]</t>
  </si>
  <si>
    <t>The xw range should be larger or equal to zero and the values should increase</t>
  </si>
  <si>
    <t>xw</t>
  </si>
  <si>
    <t>Deflection at 250 [m] for a bullet with v0=750 [m/s] and c=0,5 [lb/in^2]</t>
  </si>
  <si>
    <t>vw</t>
  </si>
  <si>
    <t>and second x value, and so on. In the xw range above, the first interval has a cross wind of 3 [m/s] between x=0 and (100+30)/2=65 [m]</t>
  </si>
  <si>
    <t>The second interval starts at 65 [m], ends at 125 [m] and there the wind velocity is 4 [m/s]</t>
  </si>
  <si>
    <t>xw [m]</t>
  </si>
  <si>
    <t>c_</t>
  </si>
  <si>
    <t>yw [beaufort]</t>
  </si>
  <si>
    <t>It becomes quit handy to name the ranges. You do that by selecting the range and typing the name of the range in the name box</t>
  </si>
  <si>
    <t>y [cm]</t>
  </si>
  <si>
    <t>3.7</t>
  </si>
  <si>
    <t>BFX_Cell(Range)</t>
  </si>
  <si>
    <t>displays the formula of the left top cell in range. This volatile - that means if Excel does somewhere in the WHOLE</t>
  </si>
  <si>
    <t>workbook a calculation, BFX_Cell will be reinvoked</t>
  </si>
  <si>
    <t>Now for a non constant cross wind</t>
  </si>
  <si>
    <t>Although you should be familiar with Excel, the following is too crucial to ignore - if you are unfamiliar with the concepts look them up.</t>
  </si>
  <si>
    <t>With only one measurement/estimation known, BfX assumes that the cross wind is every where the same</t>
  </si>
  <si>
    <t>13.1</t>
  </si>
  <si>
    <t>BFX_C</t>
  </si>
  <si>
    <t>T [C]</t>
  </si>
  <si>
    <t>What is the difference in drop during summer and wintertime?</t>
  </si>
  <si>
    <t>summer</t>
  </si>
  <si>
    <t>winter</t>
  </si>
  <si>
    <t>difference</t>
  </si>
  <si>
    <t>Drag functions</t>
  </si>
  <si>
    <t>G1 BCs are reported for many bullets. In the case of big bore / high power rifles, if the drag function is not specified, the BC listed is a G1 one.</t>
  </si>
  <si>
    <t>Sometimes BCs are reported for various velocity ranges of the bullet. In that case, take the G1 BC of the highest velocity range as de bc for BfX</t>
  </si>
  <si>
    <t>14.1</t>
  </si>
  <si>
    <t>About drag functions</t>
  </si>
  <si>
    <t>14.2</t>
  </si>
  <si>
    <t>Which drag function to choose?</t>
  </si>
  <si>
    <t>Well, for there is not so much to choose from</t>
  </si>
  <si>
    <t>What is the velocity of a bullet with v0=740 [m/s] at 312 m?</t>
  </si>
  <si>
    <t>You might explicitly want to specify that Pejsa's drag function be used (which is default)</t>
  </si>
  <si>
    <t>Bryan Litz, author of the book "Applied Ballistics For Long Range Shooting, ISBN 978-0-615-27661-8"</t>
  </si>
  <si>
    <t>cG7</t>
  </si>
  <si>
    <t>Distance [m]</t>
  </si>
  <si>
    <t>V G7 [m/s]</t>
  </si>
  <si>
    <t>c2_G1</t>
  </si>
  <si>
    <t>c1_G1</t>
  </si>
  <si>
    <t>BC G1: 0,482</t>
  </si>
  <si>
    <t>Lits gives for a Sierra 180 gr Match King</t>
  </si>
  <si>
    <t>Bullet Name</t>
  </si>
  <si>
    <t>Diameter inches</t>
  </si>
  <si>
    <t>Weight grains</t>
  </si>
  <si>
    <t>Sectional Density</t>
  </si>
  <si>
    <t>Ballistic Coefficients</t>
  </si>
  <si>
    <t>.308 dia. 180 gr. HPBT MatchKing</t>
  </si>
  <si>
    <t>.308</t>
  </si>
  <si>
    <t>.271</t>
  </si>
  <si>
    <t>.475 @ 2800 fps and above</t>
  </si>
  <si>
    <t>.496 between 2800 and 2200 fps</t>
  </si>
  <si>
    <t>.494 between 2200 and 1600 fps</t>
  </si>
  <si>
    <t>.494 @ 1600 fps and below</t>
  </si>
  <si>
    <t>Sierra gives for the .308 dia. 180 gr. HPBT Matchking:</t>
  </si>
  <si>
    <t>14.3</t>
  </si>
  <si>
    <t>Conclusion</t>
  </si>
  <si>
    <t>G5</t>
  </si>
  <si>
    <t>G6</t>
  </si>
  <si>
    <t>G7</t>
  </si>
  <si>
    <t>G8</t>
  </si>
  <si>
    <t>Ingalls &amp; G1</t>
  </si>
  <si>
    <t>GS</t>
  </si>
  <si>
    <t>RA4</t>
  </si>
  <si>
    <t>GL</t>
  </si>
  <si>
    <t>Gc</t>
  </si>
  <si>
    <t>The drag of the bullet due to friction with air depends, amongst others, on its shape, different shapes require, in theory, other drag functions. BfX support few of them</t>
  </si>
  <si>
    <t>Shapes, http://www.frfrogspad.com/extbal.htm#models</t>
  </si>
  <si>
    <t>c1 variable</t>
  </si>
  <si>
    <t>V G1 [m/s]</t>
  </si>
  <si>
    <t>(mtf: meter to feet)</t>
  </si>
  <si>
    <t>mtf</t>
  </si>
  <si>
    <t>V GP [m/s]</t>
  </si>
  <si>
    <t>c Sierra</t>
  </si>
  <si>
    <t>With BfX it is easy to compare the effects of various drag functions</t>
  </si>
  <si>
    <t>In the table below another BC G1 is included, named _c2_G1_ with the value 0,505 lb/in^2</t>
  </si>
  <si>
    <t>BfX Pejsa's drag function reproduces with bc=0,505 almost exactly the values of the G7 drag function for speeds above the speed of sound (331 m/s)</t>
  </si>
  <si>
    <t>and</t>
  </si>
  <si>
    <t>BC G7: 0,247</t>
  </si>
  <si>
    <t>Sierras bc values are listed above</t>
  </si>
  <si>
    <t>all bc's in lb/in^2</t>
  </si>
  <si>
    <t xml:space="preserve">you were probably not even amazed. </t>
  </si>
  <si>
    <t>14.4</t>
  </si>
  <si>
    <t>14.5</t>
  </si>
  <si>
    <t>Comparing drag functions</t>
  </si>
  <si>
    <t>14.6</t>
  </si>
  <si>
    <t>Impact of a drag function on the point of impact</t>
  </si>
  <si>
    <t>A real problem for the shooter arises when he does not hit the target. In many cases he will not have any idea to adjust his sights.</t>
  </si>
  <si>
    <t>The aim of using ballistic programs is, amongst others, to calculate sight settings that will allow to hit the target as close as possible to the point of aim.</t>
  </si>
  <si>
    <t>G1</t>
  </si>
  <si>
    <t>GP</t>
  </si>
  <si>
    <t>Elevation [moa]</t>
  </si>
  <si>
    <t>Elevation [rad]</t>
  </si>
  <si>
    <t xml:space="preserve">assuming that the bc remains constant over the 100m </t>
  </si>
  <si>
    <t xml:space="preserve">Clearly any drag function works at 500 m, </t>
  </si>
  <si>
    <t>The  sight settings are unknown in situations where the match is at distances (500m) that are far beyond ones the shooter  trains (50m).</t>
  </si>
  <si>
    <t>Sight settings rely on the calculation of elevation and wind corrections.</t>
  </si>
  <si>
    <t xml:space="preserve">With the G1 elevation as input, the point of impact is calculated with the G1 AND the GP AND the G7 drag functions. </t>
  </si>
  <si>
    <t xml:space="preserve">We repeat this for elevations calculated with GP and G7. </t>
  </si>
  <si>
    <t>If for instance the actual path of the bullet is close to the G1 drag function, then the results for the POI with the other drag functions show which error one can make</t>
  </si>
  <si>
    <t xml:space="preserve">note that radians [rad] and [moa] are both units of angle. 360 degrees is 2*pi radians is 360*60 moa. </t>
  </si>
  <si>
    <t>[moa]</t>
  </si>
  <si>
    <t>In some matches only two sighters are allowed, in typical European big bore matches one is allowed to shoot ten.</t>
  </si>
  <si>
    <t>Krupp</t>
  </si>
  <si>
    <t>Ballistic coefficients</t>
  </si>
  <si>
    <t>The overwhelming majority of ballistic coefficients published are G1 ones. BfX supports the G1 drag function, however,</t>
  </si>
  <si>
    <t>has measured ballistic coefficients for many bullets used for long range shooting.</t>
  </si>
  <si>
    <t>Litz pleads for using G7 drag functions (and hence also G7 ballistic coefficients). The G7 is according to him much more appropriate than the G1 drag function</t>
  </si>
  <si>
    <t>The book presents numerous ballistic coefficient G7 and derived (from these) G1 BCs.</t>
  </si>
  <si>
    <t>It is a good idea to use these ballistic coefficients for calculations related to sport shooting.</t>
  </si>
  <si>
    <t>Suppose the ballistic coefficient listed in a table is 0,489 (lb/in^2)</t>
  </si>
  <si>
    <t>_c2_G1_  is chosen to minimize the difference with the G7 values, above the speed of sound (by using the Solver add-in, see another work sheet)</t>
  </si>
  <si>
    <t>Column  C: Note how the variable ballistic coefficient was programmed:</t>
  </si>
  <si>
    <t>and note, column D, that  the computation, accommodating the variable ballistic coefficient is adapted, interval</t>
  </si>
  <si>
    <t>The bottom line for sporting shooters is the point of impact on the target plane.</t>
  </si>
  <si>
    <t>For shooters who do not have the time and means to do any analysis, there is the following consideration</t>
  </si>
  <si>
    <t>Stick to the book would be the advice</t>
  </si>
  <si>
    <t>If you want to do measurements just as Brian Litz was doing - you will find that BfX and Excel is a great help. This subject is also covered in another worksheet</t>
  </si>
  <si>
    <t>If you record for instance point of impact in combination with sight settings, then you can proceed further, as is explained in another worksheet</t>
  </si>
  <si>
    <t>Without Excel (and BfX) it is a major programming effort to produce tables like the ones above. Here it was done on the fly,</t>
  </si>
  <si>
    <t xml:space="preserve">Take for instance the example of an elevation calculated with one drag function and the point of impact, based on this, </t>
  </si>
  <si>
    <t>with another drag function- where can you see this elsewhere?</t>
  </si>
  <si>
    <t>About Excel and BfX</t>
  </si>
  <si>
    <t>whilst at 1000m one is only at most 30 cm off. This is a few clicks, or in MoA:</t>
  </si>
  <si>
    <t>For most sport shooting purposes it does not matter so much which drag function one takes.</t>
  </si>
  <si>
    <t>Influence of drag function on wind deflection</t>
  </si>
  <si>
    <t>14.7</t>
  </si>
  <si>
    <t xml:space="preserve">In general, only small differences are expected from using G1, GP and G7 drag functions, as long as the bullet stays reasonably above the speed of sound. </t>
  </si>
  <si>
    <t>Target shooting with bullets that go downward through the sound barrier is usually avoided. Such bullets will be in accurate. (But how many sport shooters can test that?)</t>
  </si>
  <si>
    <t>vw [m/s]</t>
  </si>
  <si>
    <t>cross wind deflection [cm]</t>
  </si>
  <si>
    <t>If he seldom has the opportunity to shoot long distances?</t>
  </si>
  <si>
    <t>In the table below the elevations are calculated with the G1 drag function, Litz's G1 BC and with GP using the optimized (0,505) BC and the G7 drag function and bc</t>
  </si>
  <si>
    <t>y [moa]</t>
  </si>
  <si>
    <t>Use "moa" (or other unit for angle) to specify that we want to know the deflection angle - handy for adjusting your sights</t>
  </si>
  <si>
    <t>Sight corrections are ALMOST linear, use this fact if you have to compute it with your head!!!!</t>
  </si>
  <si>
    <t>First calculate the angle</t>
  </si>
  <si>
    <t>BfX can do this automatically:</t>
  </si>
  <si>
    <t>Now multiply with your (calibrated) value for moa per click and  you can set your sight</t>
  </si>
  <si>
    <t>How many clicks do you have to add to hit the target at 50m at the above distance above the point of aim?</t>
  </si>
  <si>
    <t>11.3</t>
  </si>
  <si>
    <t>Where is the bullet in your sight?</t>
  </si>
  <si>
    <t>Suppose you have a rifle scope. Through which range of angles the path of the bullet go?</t>
  </si>
  <si>
    <t>Note that strictly speaking the angle at zero distance is not defined. BFX sets it to 0</t>
  </si>
  <si>
    <t>Note that the angle at x=0 is not defined. BfX sets it to 0</t>
  </si>
  <si>
    <t>z [mildots]</t>
  </si>
  <si>
    <t xml:space="preserve">If the rifle scope is of the mildot type, then for a certain setting of the magnification, </t>
  </si>
  <si>
    <t>(see user manual) the distance between two mildots corresponds to 1 miliradian.</t>
  </si>
  <si>
    <t>z [m]</t>
  </si>
  <si>
    <t xml:space="preserve">Note that the bullet starts its path below the line of sight (at negative z, at minus scope height) </t>
  </si>
  <si>
    <t>The bullet crosses the line of sight for the first time at 4,9 meters, and the second time (of course) at 500m</t>
  </si>
  <si>
    <t>Interpolation</t>
  </si>
  <si>
    <t>Viht</t>
  </si>
  <si>
    <t>N150</t>
  </si>
  <si>
    <t>Powder</t>
  </si>
  <si>
    <t>/Velocity</t>
  </si>
  <si>
    <t>IMR-3031</t>
  </si>
  <si>
    <t>Benchmark</t>
  </si>
  <si>
    <t>N550</t>
  </si>
  <si>
    <t>15.1</t>
  </si>
  <si>
    <t>Sierra lists for its #2220 .308" 180 gr. HPBT MatchKing bullet the following data</t>
  </si>
  <si>
    <t>…</t>
  </si>
  <si>
    <t>gr</t>
  </si>
  <si>
    <t>What would be a reasonable estimate for the velocity of a 40.5 load of N550?</t>
  </si>
  <si>
    <t>What would be the N540 load to propel the bullet to 740 m/s?</t>
  </si>
  <si>
    <t>what is this velocity  in m/s?</t>
  </si>
  <si>
    <t>The figure shows that the interpoloation of load data involves rather linear functions</t>
  </si>
  <si>
    <t>15.2</t>
  </si>
  <si>
    <t>Non linear functions can exhibit maxima and minima, consider the following trajectory:</t>
  </si>
  <si>
    <t>We want to know where the bullet crosses for the first time the line of sight. That is why the table has so many entries at low x</t>
  </si>
  <si>
    <t>Now the use of bfx_I is as follows</t>
  </si>
  <si>
    <t>range [m]</t>
  </si>
  <si>
    <t>height [m]</t>
  </si>
  <si>
    <t>not monotonuous</t>
  </si>
  <si>
    <t>monotonuos, the excess points in range_big are not considered.</t>
  </si>
  <si>
    <t>15.3</t>
  </si>
  <si>
    <t>Extrapolation</t>
  </si>
  <si>
    <t>Extrapolated</t>
  </si>
  <si>
    <t>Extrapolating drop beyond 400m on basis of the range and heigth values from range [200 - 400]</t>
  </si>
  <si>
    <r>
      <t xml:space="preserve">BfX converts all inputs </t>
    </r>
    <r>
      <rPr>
        <u/>
        <sz val="11"/>
        <color theme="1"/>
        <rFont val="Franklin Gothic Book"/>
        <family val="2"/>
        <scheme val="minor"/>
      </rPr>
      <t>to</t>
    </r>
    <r>
      <rPr>
        <sz val="11"/>
        <color theme="1"/>
        <rFont val="Franklin Gothic Book"/>
        <family val="2"/>
        <scheme val="minor"/>
      </rPr>
      <t xml:space="preserve"> SI (metric units) and converts all outputs </t>
    </r>
    <r>
      <rPr>
        <u/>
        <sz val="11"/>
        <color theme="1"/>
        <rFont val="Franklin Gothic Book"/>
        <family val="2"/>
        <scheme val="minor"/>
      </rPr>
      <t>from</t>
    </r>
    <r>
      <rPr>
        <sz val="11"/>
        <color theme="1"/>
        <rFont val="Franklin Gothic Book"/>
        <family val="2"/>
        <scheme val="minor"/>
      </rPr>
      <t xml:space="preserve"> metric units</t>
    </r>
  </si>
  <si>
    <t>In BfX_I there is no check at all on units, you can even convert pressure to time!!!!</t>
  </si>
  <si>
    <t>What is that in grams?</t>
  </si>
  <si>
    <t>if we use the  column labeled "height" as xi and the one labeled with "range"  as gxi then using 0 for the value of x we find the first zero cross point</t>
  </si>
  <si>
    <t xml:space="preserve">The most recent invokation is listed at 8 </t>
  </si>
  <si>
    <t>Interpolation of non linear functions</t>
  </si>
  <si>
    <t>Velocity [m/s]</t>
  </si>
  <si>
    <t>Lapua 155 Scenar</t>
  </si>
  <si>
    <t>155 HBC BJD (AUSTRALIA)</t>
  </si>
  <si>
    <t>Sierra 155 Palma (2156)</t>
  </si>
  <si>
    <t>http://www.appliedballisticsllc.com/index_files/FULLBOREBulletUpdate.pdf</t>
  </si>
  <si>
    <t>Berger 155.5 VLD</t>
  </si>
  <si>
    <t>155 PMP (South Africa)</t>
  </si>
  <si>
    <t>Sierra 155 Palma (2155)</t>
  </si>
  <si>
    <t>Hornady 155 Amax</t>
  </si>
  <si>
    <t>G7 BC</t>
  </si>
  <si>
    <t>Wind deflection [inch]</t>
  </si>
  <si>
    <t>Retained Velocity [fps]</t>
  </si>
  <si>
    <t>10m mph crosswind</t>
  </si>
  <si>
    <t>at 1000 yds</t>
  </si>
  <si>
    <t>BfX</t>
  </si>
  <si>
    <t>Muzzle Velocity</t>
  </si>
  <si>
    <t>App. Ballis.</t>
  </si>
  <si>
    <t>cold air is more dense, the bullet travels a longer time and has more time to fall.</t>
  </si>
  <si>
    <t>Sierra 52 MK</t>
  </si>
  <si>
    <t>Sierra 55 FMJBT</t>
  </si>
  <si>
    <t>Sierra 69 MK</t>
  </si>
  <si>
    <t>Sierra 77 MK</t>
  </si>
  <si>
    <t>muzzle velocity [m/s]</t>
  </si>
  <si>
    <t>Wind [Bft]</t>
  </si>
  <si>
    <t>Bullet .223</t>
  </si>
  <si>
    <t>Wind deflection  .223  at 300 [m] in [MoA]</t>
  </si>
  <si>
    <t>Wind deflection  .223  at 300 [m] in [cm]</t>
  </si>
  <si>
    <t>Making Tables</t>
  </si>
  <si>
    <t>Clearly, Excel excels in making tables. Here a few useful ones are presented as an example</t>
  </si>
  <si>
    <t>calculates  the  drop of the bullet due to gravity. The essence of shooting is to compensate for this drop, by aiming above the target.</t>
  </si>
  <si>
    <t>How much moa (minutes of angle) is that?  A moa is 1/60 of a degree</t>
  </si>
  <si>
    <t>(here a basic math function "arc tangent" is used)</t>
  </si>
  <si>
    <t>The target is hit h [m] above the point at aim at zx [m].</t>
  </si>
  <si>
    <t>10.4</t>
  </si>
  <si>
    <t>Calculating sight settings for another distance</t>
  </si>
  <si>
    <t>A frequent issue in shooting is to set the sights of a weapon for another distance.</t>
  </si>
  <si>
    <t>Frequently, h=0 [m]</t>
  </si>
  <si>
    <t>Suppose one knows the sight setting at 100 [m] and we want to know the setting for 300 [m]</t>
  </si>
  <si>
    <t>How much clicks we have to give?</t>
  </si>
  <si>
    <r>
      <t xml:space="preserve">First calculate the </t>
    </r>
    <r>
      <rPr>
        <i/>
        <sz val="11"/>
        <color theme="1"/>
        <rFont val="Franklin Gothic Book"/>
        <family val="2"/>
        <scheme val="minor"/>
      </rPr>
      <t xml:space="preserve">difference </t>
    </r>
    <r>
      <rPr>
        <sz val="11"/>
        <color theme="1"/>
        <rFont val="Franklin Gothic Book"/>
        <family val="2"/>
        <scheme val="minor"/>
      </rPr>
      <t>in elevation</t>
    </r>
  </si>
  <si>
    <t>elevation [moa]</t>
  </si>
  <si>
    <t>So if we have a riflescope with 1/4 moa per click then we have to increase the elevation with</t>
  </si>
  <si>
    <t>clicks</t>
  </si>
  <si>
    <r>
      <t xml:space="preserve">We can also use the bullet drop as to </t>
    </r>
    <r>
      <rPr>
        <u/>
        <sz val="11"/>
        <color theme="1"/>
        <rFont val="Franklin Gothic Book"/>
        <family val="2"/>
        <scheme val="minor"/>
      </rPr>
      <t>estimate</t>
    </r>
    <r>
      <rPr>
        <sz val="11"/>
        <color theme="1"/>
        <rFont val="Franklin Gothic Book"/>
        <family val="2"/>
        <scheme val="minor"/>
      </rPr>
      <t xml:space="preserve"> the elevation difference:</t>
    </r>
  </si>
  <si>
    <t>The reason for that is that BfX_E takes care of the fact that the bullet starts its flight below the line of sight</t>
  </si>
  <si>
    <t>Which drag function, G1, GP (the default drag function "GPejsa") or the G7, currently advocated by Brian Litz, should a sport shooter choose?</t>
  </si>
  <si>
    <t>In many matches, despite the distance, the 10 or the V-bull is about 0,75 moa. One can train at 50m with a 0,75 moa target or at 500m with a 0,75 moa target</t>
  </si>
  <si>
    <t>Interpolation can be a tricky thing,apply cross checking and create  graphs as much as possible. This helps to build confidence in the result.</t>
  </si>
  <si>
    <t xml:space="preserve">Extrapolation is even trickier than interpolation. Extrapolation is finding a value outside a given a range. </t>
  </si>
  <si>
    <t>With BfX_I one can also extrapolate and in this example the results match rather well!</t>
  </si>
  <si>
    <t>this range is called velo</t>
  </si>
  <si>
    <t>this range is called n550w</t>
  </si>
  <si>
    <t>g</t>
  </si>
  <si>
    <t>Note that in the above calculation BfX_I is totally unware of any units</t>
  </si>
  <si>
    <t>height last</t>
  </si>
  <si>
    <t>Alternatively you may select the range and use the name manager to give it a range and set the scope to worksheet. By default it is set to workbook</t>
  </si>
  <si>
    <t>By default BfX uses the Pejsa drag function which is good enough for most sport shooting purposes. Use the G1 ballistic coefficient here</t>
  </si>
  <si>
    <t>The Pejsa drag function is to  be used in combination with the G1 ballistic coefficient</t>
  </si>
  <si>
    <t>most G1 bc's work  better with the BfX (default) Pejsa drag curve.</t>
  </si>
  <si>
    <t>Example for using another drag function</t>
  </si>
  <si>
    <t>BfX_Help2 lists the available drag functions</t>
  </si>
  <si>
    <t>P [Pascal]</t>
  </si>
  <si>
    <t>Specifying a drag function in BfX</t>
  </si>
  <si>
    <t>Point of impact [cm]</t>
  </si>
  <si>
    <t>BfX_Zx</t>
  </si>
  <si>
    <t>BfX_Zx computes the height of a bullet with muzzle velocity v0, at a distance x [m] along its the path to a target at zx [m] where it impacts h [m] from the point</t>
  </si>
  <si>
    <t>With  BfX_Zx we can check the outcome, calculate the path height at the above distance:</t>
  </si>
  <si>
    <t>11.4</t>
  </si>
  <si>
    <t>BfX_Ze</t>
  </si>
  <si>
    <t>BfX_Ze calculates the path of the bullet where its initial elevation is specified</t>
  </si>
  <si>
    <t>What is the initial elevation (in [rad]) for a bullet with the above specifications (v0,s,h,zx,c)?</t>
  </si>
  <si>
    <t>Reproduce  the trajectory and mildot readings with BfX_Ze</t>
  </si>
  <si>
    <t>_e [rad]</t>
  </si>
  <si>
    <t>16.1</t>
  </si>
  <si>
    <t>Checking BfX's G7 drag function</t>
  </si>
  <si>
    <t>18.1</t>
  </si>
  <si>
    <t xml:space="preserve">To see how well BfX handles G7 ballistic coefficients and its drag function a few checks against calculations done by Bryan Litz are made </t>
  </si>
  <si>
    <t>Checking wind deflection and velocities</t>
  </si>
  <si>
    <t>On</t>
  </si>
  <si>
    <t>the  data is published and used as a reference for our check</t>
  </si>
  <si>
    <t>Random numbers</t>
  </si>
  <si>
    <t>19.1</t>
  </si>
  <si>
    <t>What is a random number generator?</t>
  </si>
  <si>
    <t>A random number generator generates another number everytime the generator is invoked with the same (or none) arguments</t>
  </si>
  <si>
    <t>Excel contains native the random number generators RAND and RANDBETWEEN</t>
  </si>
  <si>
    <t>Some times this is an advantage. However, if one wants to use the Solver add-in there shouldn't be any volatile functions in the workbook</t>
  </si>
  <si>
    <t>For this reason BfX supplies two random number generators.</t>
  </si>
  <si>
    <t>19.2</t>
  </si>
  <si>
    <t>In another workbook one can learn that random number generators are handy if one wants to simulate the effects</t>
  </si>
  <si>
    <t>of all kinds of influences on the trajectory of the bullet</t>
  </si>
  <si>
    <t>BfX_Ran</t>
  </si>
  <si>
    <t>BfX_Ran is a pseudo random number generator. Depending on the value of the integer i (called the seed) BfX_Ran generates every time the same sequence</t>
  </si>
  <si>
    <t>_seed1</t>
  </si>
  <si>
    <t>19.3</t>
  </si>
  <si>
    <t xml:space="preserve">BfX_Ranb </t>
  </si>
  <si>
    <t xml:space="preserve"> b and t (for bottom and top, as in Excels RANDBETWEEN) are the lowest and highest of the numbers that are possible generated</t>
  </si>
  <si>
    <t>BfX_Ran accepts an output unit specification</t>
  </si>
  <si>
    <t>The distribution is uniform, every value occurs with the same frequency, if the generated set is large enough</t>
  </si>
  <si>
    <t>as long as the seed does not change</t>
  </si>
  <si>
    <t>Optionally &lt;r&gt; can be used to refer to an another cell with the single purpose to influence Excels execution order of cells</t>
  </si>
  <si>
    <t>The use of the &lt;r&gt; parameter is illustrated below.</t>
  </si>
  <si>
    <t>is changed</t>
  </si>
  <si>
    <t>This establishes an execution order</t>
  </si>
  <si>
    <t xml:space="preserve">In this way one can reproduce </t>
  </si>
  <si>
    <t>calculations, compare tables to left and right</t>
  </si>
  <si>
    <t>[lb/in^2]</t>
  </si>
  <si>
    <t>Calculate the deflection in [cm] for a constant cross wind, later for a non constant cross wind:</t>
  </si>
  <si>
    <t>The cross wind is known in Beaufort (default is [m]), we specify that with "bf". We want the output in c[m].</t>
  </si>
  <si>
    <t>[cm]</t>
  </si>
  <si>
    <t>Hence for, v0=740 [m/s] zx=600 [m]; s=3 [cm], h=0 [m],  c=0,5 [lb/in^2]</t>
  </si>
  <si>
    <t>Suppose zx=600 [m;] s=3 [cm]=0,03 [m], c=0,5 [lb/in^2]</t>
  </si>
  <si>
    <t>The moa is usually indicated on rifle scopes, a click on a rifle scope is usually close to 1/4 or 1/8 th [moa]</t>
  </si>
  <si>
    <t>[degrees]</t>
  </si>
  <si>
    <t>[radians]</t>
  </si>
  <si>
    <t>[s]</t>
  </si>
  <si>
    <t>[ms]</t>
  </si>
  <si>
    <t>[mi]</t>
  </si>
  <si>
    <t>[ft/s]</t>
  </si>
  <si>
    <t>[inch]</t>
  </si>
  <si>
    <t>How long does that bullet take to hit a target at 500 [m]?</t>
  </si>
  <si>
    <t>How long does it take before a typical 180 [g]r .308 bullet starting at 740 [m/s]  reaches the speed of sound?</t>
  </si>
  <si>
    <t>Here the elevation is close to 15 [degrees].</t>
  </si>
  <si>
    <t>A calculation that does not the flat fire approximation yields x100 = 3398 [m ]or a HORIZONTAL velocity at our x100  of 99,68 [m/s].</t>
  </si>
  <si>
    <t>The vertical velocity is at our x100  -73,44 [m/s]</t>
  </si>
  <si>
    <t>The elevation is close to 2 [degrees]</t>
  </si>
  <si>
    <t>Now do the same for a slow down of a 740 [m/s], c=0,5 [lb/in^2] bullet to 100 [m/s]</t>
  </si>
  <si>
    <t>If bullets go below the sound velocity they loose their accuracy. Hence the velocity should stay above 340 [m/s]. The speed of sound is 331 [m/s].</t>
  </si>
  <si>
    <t>[fps]</t>
  </si>
  <si>
    <t>[m] is 10000 [cm]</t>
  </si>
  <si>
    <t xml:space="preserve">Absolute references - e.g. $C$1 - are not changed by dragging formulas over multiple columns. </t>
  </si>
  <si>
    <t>Named cells and ranges - e.g. x for F1:F7 that contains a range of distances</t>
  </si>
  <si>
    <t>How to load and unload an add-in, in case you want to temporary disable BfX</t>
  </si>
  <si>
    <t>Note that the font of the cells is set to Courier New - not necessary at all and done only for a nice display</t>
  </si>
  <si>
    <t>Lets  calculate the velocity of a bullet at 350, 450, 550 meters. The bullet has a muzzle velocity of 750 m/s and a (G1) ballistic coefficient of 0,5 (lb/inch^2)</t>
  </si>
  <si>
    <t>BfX_V calculates the velocity of a bullet with velocity v0 at distance x. The bullet has a ballistic coefficient c</t>
  </si>
  <si>
    <t>ballistic coefficient c</t>
  </si>
  <si>
    <t>BfX uses by default the drag function of Arthur J Pejsa, that works with the ballistic coefficient c of the G1 tables</t>
  </si>
  <si>
    <t>If multiple G1 ballistic coefficients are listed use the one of the highest velocity range.</t>
  </si>
  <si>
    <t>BfX calculates in metric units - except for the ballistic coefficient.</t>
  </si>
  <si>
    <t>Later it is demonstrated how to change units - except (yet) for the ballistic coefficient.</t>
  </si>
  <si>
    <t>Flat fire</t>
  </si>
  <si>
    <t>As mentioned on the website, BfX uses the so called flat fire approximation</t>
  </si>
  <si>
    <t>Another consequence is that many properties of the bullet can be calculated easily and accurately</t>
  </si>
  <si>
    <t>It is  with BfX_V straightforward to make a graph of velocity loss for a bullet with a ballistic coefficient c=0,5 with a muzzle velocity v0=740 m/s</t>
  </si>
  <si>
    <t>Scatter plot of velocity vs. distance</t>
  </si>
  <si>
    <t>The table shows that BfX calculates also speeds for bullets travelling below the speed of sound, approximately 331 m/s</t>
  </si>
  <si>
    <t>The flat fire assumption does not hold here, and with these extreme distances one needs a unearthly high mountain to keep a bullet in the air</t>
  </si>
  <si>
    <t>Units</t>
  </si>
  <si>
    <t>Put the string specifying the output unit as the first string, e.g.  BfX_Vx("fps";740;300;0,5)    :</t>
  </si>
  <si>
    <t>output and muzzle velocity in fps, input of range in cm, ballistic coefficient according to G7 drag function</t>
  </si>
  <si>
    <t>Later we shall use more refined techniques to get a more precise answer</t>
  </si>
  <si>
    <t>Let us calculate how far a bullets with v0=740 [m/s] and c=0,5 [lb/in^2] travels to be decelerated to 250 [m/s]</t>
  </si>
  <si>
    <t>Lets calculate how far a bullets with v0=740 [m/s] and c=0,5 [lb/in^2] travels to be decelerated to 250 [m/s]</t>
  </si>
  <si>
    <t>Let us calculate the velocity of a bullet with muzzle speed 740 [m/s] and c=0,5[ lb/in^2] at x250</t>
  </si>
  <si>
    <t>BfX_Xv calculates the distance that a bullet with muzzle velocity v0 is decelerated to v</t>
  </si>
  <si>
    <t>Which ballistic coefficient do I need to shoot at 1000 [m] accurately?</t>
  </si>
  <si>
    <t>calculates the time it takes to decelerate the bullet from v0 [m/s] to v [m/s]. The bullet has a ballistic coefficient of c=0,482 [ln/in^2]</t>
  </si>
  <si>
    <t>Cross checks seem to match exactly. Occasionally there might be small round off errors</t>
  </si>
  <si>
    <t>Furthermore, v0=740 [m/s]  s=3 [cm], h=0 [m],  c=0,5 lb/in^2</t>
  </si>
  <si>
    <t>Rifles scopes and iron sights on military weapons change the elevation with 1/8, 1/4, 1/2 moa per click</t>
  </si>
  <si>
    <t>Note that there is a small deviation from the elevation difference obtained from BfX_E</t>
  </si>
  <si>
    <t>The bullet drop is the distance the bullet falls due to gravity.</t>
  </si>
  <si>
    <t>This fall is possibly compensated to a (small) upward velocity, because the bullet is shot slightly upward</t>
  </si>
  <si>
    <t>How much do we have to aim the barrel above a target at 600m, to hit it, if the bullet has a velocity of 740 m/s and a ballistic coefficient of 0,5 lb/in^2</t>
  </si>
  <si>
    <t>However, the above calculation neglects the height of the scope or iron sights (which are usually mounted above the rifle barrel)</t>
  </si>
  <si>
    <t>e=Degrees(atan2(zx ; s + BfX_D(v0;zx;c)))</t>
  </si>
  <si>
    <t xml:space="preserve">calculates the elevation for a bullet with muzzle velocity v0 [m/s], </t>
  </si>
  <si>
    <t xml:space="preserve">with the centre of the barrel end s [m] below the line of sight.  </t>
  </si>
  <si>
    <t>The ballistic coefficient is c [lb/in^2]</t>
  </si>
  <si>
    <t>the unit of s,  "cm", is specified in BfX_Zx here as a named range, for demo purposes.</t>
  </si>
  <si>
    <t xml:space="preserve">BfX_Y computes the wind deflection [m] of a bullet with muzzle velocity v0 [m/s] and ballistic coefficient c [lb/in^2] at a distance of x [m] </t>
  </si>
  <si>
    <t>xw and vw are ranges. The ranges can contain only one position, e.g. we know that the wind is 3 [m/s] at x = 1 [m]:</t>
  </si>
  <si>
    <t>Ranges can be rows or columns.</t>
  </si>
  <si>
    <t>If the range contains multiple values, BfX creates intervals of wind velocities. The first one starts at 0 and ends halfway between the first</t>
  </si>
  <si>
    <t>For all practical purposes, the ballistic coefficient changes not more than 5%</t>
  </si>
  <si>
    <t>I 'am shooting at 500m with a .308 740 [m/s] bullet with a b.c.=0,5 [lb/in^2] at sea level.</t>
  </si>
  <si>
    <t>Atmospheric corrections of the ballistic coefficient</t>
  </si>
  <si>
    <t>Input for a discussion of .223 bullet deflection as a function of cross wind, ballistic coefficient and muzzle velocity</t>
  </si>
  <si>
    <t>The Book of Bryan Litz advocates the use of G7 drag functions for calculations that involves bullets developed for long range shooting</t>
  </si>
  <si>
    <t>The book is indeed a great tool for sportsmen involved with this. Especially the consistent list of ballistic coefficients for popular bullets is a plus</t>
  </si>
  <si>
    <t>Berger 155.5 Full-bore</t>
  </si>
  <si>
    <t>In and output units may be given. This can be useful, on the other hand, it is error prone</t>
  </si>
  <si>
    <t>BfX_Info(-3)</t>
  </si>
  <si>
    <t>BfX_Help(-2), BfX_Help(-3), BfX_Info(-2), BfX_Info(-3) returns contact information (website, forum, email)</t>
  </si>
  <si>
    <t>Website</t>
  </si>
  <si>
    <t>www.bfxyz.nl</t>
  </si>
  <si>
    <t>BfX_info(-2) returns the email address for correspondence with the developer. No guarantee that your email will be answered (fast)!</t>
  </si>
  <si>
    <t>Bfx_info(-3) returns the address of the website and forum</t>
  </si>
  <si>
    <t>BfX does not convert the ballistic coefficient, but uses an entirely other drag table</t>
  </si>
  <si>
    <t>You can use BfX_C for all drag functions</t>
  </si>
  <si>
    <t>G2- Conical nose shape with radius</t>
  </si>
  <si>
    <t>A</t>
  </si>
  <si>
    <t>No picture</t>
  </si>
  <si>
    <t>Air rifle drag function</t>
  </si>
  <si>
    <t>14.8</t>
  </si>
  <si>
    <t>14.9</t>
  </si>
  <si>
    <t>Bfx</t>
  </si>
  <si>
    <t>see: http://www.hawkeoptics.com/chairgun/</t>
  </si>
  <si>
    <t>ChairgunPRo</t>
  </si>
  <si>
    <t>BfX supports the a drag function that produces results that are compatible with HawkeChairgunPro vs 1.04c</t>
  </si>
  <si>
    <t>Drop [in]</t>
  </si>
  <si>
    <t>Time [s]</t>
  </si>
  <si>
    <t>Velocity [ft/s]</t>
  </si>
  <si>
    <t>(if you see this information on a web page, click here to go back to the BfX Home page: )</t>
  </si>
  <si>
    <t>http://www.bfxyz.nl/</t>
  </si>
  <si>
    <t>BfX_I is able to interpolate and to extrapolate.</t>
  </si>
  <si>
    <t>Furthermore the quantity is larger or eqaul to the minimum and smaller or equal to the maximum x-value</t>
  </si>
  <si>
    <r>
      <rPr>
        <u/>
        <sz val="11"/>
        <color theme="1"/>
        <rFont val="Franklin Gothic Book"/>
        <family val="2"/>
        <scheme val="minor"/>
      </rPr>
      <t>Interpolation</t>
    </r>
    <r>
      <rPr>
        <sz val="11"/>
        <color theme="1"/>
        <rFont val="Franklin Gothic Book"/>
        <family val="2"/>
        <scheme val="minor"/>
      </rPr>
      <t xml:space="preserve"> is to estimate the value of a quantity like muzzle velocity from a given table,</t>
    </r>
  </si>
  <si>
    <t xml:space="preserve"> i.e. muzzle velocity (x-values) versus the amout of powder in a catridge (y-values).</t>
  </si>
  <si>
    <r>
      <t xml:space="preserve">If this is not the case then we </t>
    </r>
    <r>
      <rPr>
        <u/>
        <sz val="11"/>
        <color theme="1"/>
        <rFont val="Franklin Gothic Book"/>
        <family val="2"/>
        <scheme val="minor"/>
      </rPr>
      <t>extrapolate the value</t>
    </r>
  </si>
  <si>
    <t>Example</t>
  </si>
  <si>
    <t>Be careful stick to the max and min loads for your cartridges - do not extrapolate!</t>
  </si>
  <si>
    <t>15.4</t>
  </si>
  <si>
    <t>BfX inter/extrapolates the function value of x based on (currently) the function values of a maximum of 10 closest neighbours in the range &lt;xi&gt;</t>
  </si>
  <si>
    <t>BfX does not restrict the values in &lt;xi&gt; or if they are ordered, or if there are multiple entries for a given xi. In the latter case only the first function value is taken into account.</t>
  </si>
  <si>
    <t>BfX_I also accepts, as a last parameter called m, the text values I, A, N, T, where I is the default value</t>
  </si>
  <si>
    <t>I</t>
  </si>
  <si>
    <t>N</t>
  </si>
  <si>
    <t>T</t>
  </si>
  <si>
    <t>Output</t>
  </si>
  <si>
    <t>the interpolated value</t>
  </si>
  <si>
    <t>the accuracy of the interpolated value</t>
  </si>
  <si>
    <t>the number of &lt;xi&gt; points on which the interpolation is based</t>
  </si>
  <si>
    <t>the type of the result of the interpolation</t>
  </si>
  <si>
    <t>m selects the output. See the following table.</t>
  </si>
  <si>
    <t>The values of T and their meaning is as follows:</t>
  </si>
  <si>
    <t>interpolation, x matched an &lt;xi&gt; value and the corresponding &lt;gi&gt; value was returned</t>
  </si>
  <si>
    <t>extrapolation having less than the specified accuracy</t>
  </si>
  <si>
    <t>interpolation having less than the specified accuracy</t>
  </si>
  <si>
    <t>extrapolation having better than the specified accuracy</t>
  </si>
  <si>
    <t>interpolation having better than the specified accuracy</t>
  </si>
  <si>
    <t>meaning</t>
  </si>
  <si>
    <t>Input and outputs of BfX_I</t>
  </si>
  <si>
    <t>BfX_I  uses a default value of 1E-5 (0,00001) for the accuracy,  the user can specify another value</t>
  </si>
  <si>
    <t>xi</t>
  </si>
  <si>
    <t>gi</t>
  </si>
  <si>
    <t>x</t>
  </si>
  <si>
    <t>extrapolation x  is external to xi</t>
  </si>
  <si>
    <t>See BfX_help2 or below for the whole list</t>
  </si>
  <si>
    <t>(.22 LR)</t>
  </si>
  <si>
    <t>The excellence of the work (book) of Bryan Litz is that  ballistic coefficients are listed that have been measured in a way that is consistent with each other</t>
  </si>
  <si>
    <t>Now we can finally compare the trajectories of a Berger, Lapua and a Sierra bullet.</t>
  </si>
  <si>
    <t>14.10</t>
  </si>
  <si>
    <t>BfX_Cd</t>
  </si>
  <si>
    <t>Bfx_Cd retuns the drag coeficient (for standerd temperature and pressure)</t>
  </si>
  <si>
    <t>G2</t>
  </si>
  <si>
    <t>Graph below table</t>
  </si>
  <si>
    <t>The website  contains a forum. Have a look!</t>
  </si>
  <si>
    <t>n</t>
  </si>
  <si>
    <t>Default parameters can be omitted (in this case)</t>
  </si>
  <si>
    <t>5.4</t>
  </si>
  <si>
    <t>All BfX functions accept values in various units. In some cases it migth be handy to use BfX_U, see section 5.4</t>
  </si>
  <si>
    <t>BfX_U</t>
  </si>
  <si>
    <t xml:space="preserve">Mostly you do not need BfX_U as all other BfX functions support unit conversion (see above). </t>
  </si>
  <si>
    <t>To convert to BfX default system of units, the metric system</t>
  </si>
  <si>
    <t>to convert from the BfX default system of units to another one</t>
  </si>
  <si>
    <t>to convert from one system to another</t>
  </si>
  <si>
    <t>Weird conversions are also possible</t>
  </si>
  <si>
    <t>1,01 fps =0,37848 m/s. 0,37848 kg (the internal unit for mass) is then converted to 307,848 grams</t>
  </si>
  <si>
    <t>19.4</t>
  </si>
  <si>
    <t>BfX_Rang</t>
  </si>
  <si>
    <r>
      <t xml:space="preserve">generates values according to a Gaussian (also known as the </t>
    </r>
    <r>
      <rPr>
        <i/>
        <sz val="11"/>
        <color theme="1"/>
        <rFont val="Franklin Gothic Book"/>
        <family val="2"/>
        <scheme val="minor"/>
      </rPr>
      <t>normal</t>
    </r>
    <r>
      <rPr>
        <sz val="11"/>
        <color theme="1"/>
        <rFont val="Franklin Gothic Book"/>
        <family val="2"/>
        <scheme val="minor"/>
      </rPr>
      <t>) distribution centered at c and with standard deviation s (variance = s ^2).</t>
    </r>
  </si>
  <si>
    <t>s_</t>
  </si>
  <si>
    <t>Gaussian distribution</t>
  </si>
  <si>
    <t>Properties</t>
  </si>
  <si>
    <t>This is known as the 68-95-99.7 rule, or the empirical rule, or the 3-sigma rule</t>
  </si>
  <si>
    <t xml:space="preserve">About 68% of values drawn from a normal distribution are within (c_- s_) and (c_+ s_) </t>
  </si>
  <si>
    <t>about 95% of the values are within(c_- 2*s_) and (c_+ 2*s_), about 99.7% lie within(c_- 3*s_) and (c_+ 3*s_)</t>
  </si>
  <si>
    <t>Ballistic coefficients correspond to  specific drag functions. A G7 ballistic coefficient can not be used directly with a G1 drag functions</t>
  </si>
  <si>
    <t>Nevertheless, the function BfX_U  performs unit conversion</t>
  </si>
  <si>
    <t>How does that work?</t>
  </si>
  <si>
    <t>Increasing air density slows down the bullet faster. Lowering the ballisitic coefficient has the same effect.</t>
  </si>
  <si>
    <t>The following table shows characteristic values of BfX_C</t>
  </si>
  <si>
    <t>30 degrees C</t>
  </si>
  <si>
    <t>3 degrees C</t>
  </si>
  <si>
    <t>The drag of the bullet increases with air density which is proportional to P and  proportional to 1/Temperature (in Kelvin)</t>
  </si>
  <si>
    <t>GIM</t>
  </si>
  <si>
    <t>BfX also supports the Ingalls Mayevski drag funtion (abreviated GIM), that was the precurser of G1 - do not use it, unless you study history</t>
  </si>
  <si>
    <t>BfX operates at ICAO (International Civil Aviation Organization) and ISA (International Standard atmosphere)  Atmospheric conditions</t>
  </si>
  <si>
    <t>P=101324.6 Pascal, T=15C or P= 29.9245718 inchHg, T=59F, 0% Humidity</t>
  </si>
  <si>
    <t>Drag Function</t>
  </si>
  <si>
    <t>Use ballisitic coef:</t>
  </si>
  <si>
    <t>What is a drag coefficient? See below table</t>
  </si>
  <si>
    <t>G1 ballisitic coefficients are used for the G1 drag function, the Pejsa drag function GP and the Ingalls Mayevski drag function GIM.</t>
  </si>
  <si>
    <t>13.2</t>
  </si>
  <si>
    <t>BFX_AD</t>
  </si>
  <si>
    <t>Air density affects the rate with wich the bullet looses velocity (deacceleration). The higher the density, the larger the deacceleration.</t>
  </si>
  <si>
    <t>By adjusting the ballistic coefficient one can adjust the calculations to weather conditions, see BfX_X</t>
  </si>
  <si>
    <t>BFX_AD computes the air density. It is provided just because it can be handy, to check bfx_c, etc. In principle it is not needed for ballistic calculations</t>
  </si>
  <si>
    <t>Pressure</t>
  </si>
  <si>
    <t>Temperature C</t>
  </si>
  <si>
    <t>Humidity</t>
  </si>
  <si>
    <t>Pascal</t>
  </si>
  <si>
    <t>mmHg</t>
  </si>
  <si>
    <t>inHg</t>
  </si>
  <si>
    <t>C</t>
  </si>
  <si>
    <t>F</t>
  </si>
  <si>
    <t>K</t>
  </si>
  <si>
    <t>%</t>
  </si>
  <si>
    <t>kg/m3</t>
  </si>
  <si>
    <t>lb/ft3</t>
  </si>
  <si>
    <t>What is the air density on a hot, Dutch summer day?</t>
  </si>
  <si>
    <t>kg/m^3</t>
  </si>
  <si>
    <t>What is the air density on a hot, dry, summer day?</t>
  </si>
  <si>
    <t>What is the air density in the winter?</t>
  </si>
  <si>
    <t>(the density is higher, the bullet looses velocity faster. Air density decreases with increasing humidity,</t>
  </si>
  <si>
    <t xml:space="preserve"> "fH" indicates that humidity is specified as a fraction of 1, the maximum)</t>
  </si>
  <si>
    <t xml:space="preserve"> "%H" indicates that humidity is specified as the percentage of the maximum at that pressure and temperature)</t>
  </si>
  <si>
    <t>The following table lists typical circumstances for which ballistic tables are generated</t>
  </si>
  <si>
    <t>ICAO</t>
  </si>
  <si>
    <t>US Army Standard Metro</t>
  </si>
  <si>
    <t>Mayeveski Ingalls</t>
  </si>
  <si>
    <t>The last column lists the density correction for the ballistic coefficient. Multiply the ballistic coefficent with this number in order to obtain the effective coefficient.</t>
  </si>
  <si>
    <t>for ballistic coeficient</t>
  </si>
  <si>
    <t>Density correction</t>
  </si>
  <si>
    <t>BfX_C computes the correction automatically</t>
  </si>
  <si>
    <t>BfX uses ICAO conditions for its calculations.</t>
  </si>
  <si>
    <t>for the computation of the air density</t>
  </si>
  <si>
    <t>13.3</t>
  </si>
  <si>
    <t xml:space="preserve">Standard Atmospheres </t>
  </si>
  <si>
    <t>ICAO, US Army Standard Metro and Mayevski Ingalls have relevance for BfX and probably other ballistic software:</t>
  </si>
  <si>
    <t>Now surpassed by ICAO, once the default atmospheric conditions for ballistic software</t>
  </si>
  <si>
    <t>Mayevski Ingalls</t>
  </si>
  <si>
    <t xml:space="preserve">Mayevski and Ingalls calculations of drag, and their  specific atmospheric conditions listed above, where the basis of Pejsa's ones. </t>
  </si>
  <si>
    <t>BFX implements "Revised formula for the density of moist air (CIPM-2007), A Picard, R S Davis, M Glaser and K Fujii, Metrologia 45 (2008) 149–155"</t>
  </si>
  <si>
    <t>In BfX, Pejsa's drag functions have been reworked to ICAO conditions.</t>
  </si>
  <si>
    <t>the default conditions for BfX and most other ballistic programs</t>
  </si>
  <si>
    <t>Standard atmospheres reference a set of atmospheric conditions, http://en.wikipedia.org/wiki/International_Standard_Atmosphere</t>
  </si>
  <si>
    <t>In BfX (and other software) one adaptes to certain atmospheric conditions by  by modifying the ballistic coeficient</t>
  </si>
  <si>
    <t>BfX_C is the multiplication factor of a ballistic coefficient to correct it for other than default temperature,  pressure and humidity</t>
  </si>
  <si>
    <t>BfX_C</t>
  </si>
  <si>
    <t>Pressure, Humidity is ICAO standard (0.0)</t>
  </si>
  <si>
    <t>T [F]</t>
  </si>
  <si>
    <t xml:space="preserve">Humidity % </t>
  </si>
  <si>
    <t>(Pressure 101324.6 [Pa])</t>
  </si>
  <si>
    <t>At what distance a 740 [m/s] bullet nears the velocity of sound ( say 340 [m/s])?</t>
  </si>
  <si>
    <t>Note that the last two calculations used "moa" to instruct BfX_D to convert to an angle</t>
  </si>
  <si>
    <t>BfX_Ax can be used to calculate an angle from a distance and a heigth</t>
  </si>
  <si>
    <t xml:space="preserve">What is, more or less, the elevation? </t>
  </si>
  <si>
    <t>Create a column 0, 1, 2, 3, …, enter in the adjacent row =Bfx_Help(reference to the cell)</t>
  </si>
  <si>
    <t>To use BfX_Help2(): create a column with values from 0 … 90 (or so) and then refer to a cell with BfX_Help2(cell to the left)</t>
  </si>
  <si>
    <t>With BfX_Xv one can directly calculate this distance</t>
  </si>
  <si>
    <t>the input velocity was 740 [fps]</t>
  </si>
  <si>
    <t>Multiple in- and output units</t>
  </si>
  <si>
    <t>These two motions together are important ingredients in the determination of the bullet's path.</t>
  </si>
  <si>
    <t>20.1</t>
  </si>
  <si>
    <t>BfX_CRC</t>
  </si>
  <si>
    <t>BfX_CRC computes for a range of cells a, for all practical purposes, unique number n and returns it as a text BfXnCRC.</t>
  </si>
  <si>
    <t>CRC Check, check if a range of values has changed</t>
  </si>
  <si>
    <t>scope height</t>
  </si>
  <si>
    <t>height [cm]</t>
  </si>
  <si>
    <t>If any value changes, if the range it self changes, empty cells are changed,  another text is returned. Hence the text can be used and stored to check if the range has changed.</t>
  </si>
  <si>
    <t>20.2</t>
  </si>
  <si>
    <t>Use with BfX</t>
  </si>
  <si>
    <t>BfX_CRC is used to check if the drag tables that are supplied by the user have changed.</t>
  </si>
  <si>
    <t>See next worksheet</t>
  </si>
  <si>
    <t>i.e. BfX is prepended to the number n, CRC (from cyclic redundancy check) is appended</t>
  </si>
  <si>
    <t>option</t>
  </si>
  <si>
    <t>full check (default, the same as no option)</t>
  </si>
  <si>
    <t>only values (skip empty cells)</t>
  </si>
  <si>
    <t>only numbers</t>
  </si>
  <si>
    <t>only text</t>
  </si>
  <si>
    <t>only booleans</t>
  </si>
  <si>
    <t>result</t>
  </si>
  <si>
    <t>formula</t>
  </si>
  <si>
    <t>no option</t>
  </si>
  <si>
    <t>How can we check if both numbers and strings are changed?</t>
  </si>
  <si>
    <t>scope zero</t>
  </si>
  <si>
    <t>... And we can use it to see if BfX still produces the same results (e.g. After an update)</t>
  </si>
  <si>
    <t>Various versions of Excel</t>
  </si>
  <si>
    <t>BfX_CRC is made in such a way that it produces the same output for earlier versions of Excel and on 32 and 64 bit versions of Windows</t>
  </si>
  <si>
    <t>only empty cells</t>
  </si>
  <si>
    <t>akakakakakakakakakaakakakk</t>
  </si>
  <si>
    <t>20.3</t>
  </si>
  <si>
    <t>The great BfX check</t>
  </si>
  <si>
    <t>check numbers</t>
  </si>
  <si>
    <t>check text</t>
  </si>
  <si>
    <t>check the crc</t>
  </si>
  <si>
    <t>With BfX_CRC one can check  whole tables and BfX_CRC does that with the folowing options</t>
  </si>
  <si>
    <t>the computation of the crc itself is a rather non trivial action, involving bit wise shift and logical operations. The same holds for the theory behind the CRC concept.</t>
  </si>
  <si>
    <t>BfX_Y, BfX_Vx</t>
  </si>
  <si>
    <t>Bfx_I</t>
  </si>
  <si>
    <t>bfx_cd</t>
  </si>
  <si>
    <t>BfX_AD</t>
  </si>
  <si>
    <t>BfX_D</t>
  </si>
  <si>
    <t>various BfX functions</t>
  </si>
  <si>
    <t>BfX_Xv</t>
  </si>
  <si>
    <t>Conversions of in and output</t>
  </si>
  <si>
    <t>Current value</t>
  </si>
  <si>
    <t>Stored value</t>
  </si>
  <si>
    <t>BfX1182428557CRC</t>
  </si>
  <si>
    <t>BfX942455148CRC</t>
  </si>
  <si>
    <t>BfX2670207087CRC</t>
  </si>
  <si>
    <t>BfX3961002631CRC</t>
  </si>
  <si>
    <t>BfX2601861468CRC</t>
  </si>
  <si>
    <t>BfX3592799695CRC</t>
  </si>
  <si>
    <t>BfX2879822360CRC</t>
  </si>
  <si>
    <t>BfX1975209096CRC</t>
  </si>
  <si>
    <t>BfX2638404287CRC</t>
  </si>
  <si>
    <t>BfX2667924298CRC</t>
  </si>
  <si>
    <t>BfX3072912351CRC</t>
  </si>
  <si>
    <t>BfX393824420CRC</t>
  </si>
  <si>
    <t>BfX629774958CRC</t>
  </si>
  <si>
    <t>BfX3056829458CRC</t>
  </si>
  <si>
    <t>BfX1098056574CRC</t>
  </si>
  <si>
    <t>BfX745856043CRC</t>
  </si>
  <si>
    <t>BfX1540509983CRC</t>
  </si>
  <si>
    <t>Worksheetname</t>
  </si>
  <si>
    <t>Functions checked</t>
  </si>
  <si>
    <t>able to change</t>
  </si>
  <si>
    <t>this value is kept</t>
  </si>
  <si>
    <t>check of crc's</t>
  </si>
  <si>
    <t>errors are shown in read</t>
  </si>
  <si>
    <t>The table chows CRC's obtained from most if not all BfX functions that computed tables on various worksheets. On each of these worksheets one or more CRC are calculated</t>
  </si>
  <si>
    <t>and gathered below. Then the values are copied to the Stored value column. Conditional formating is used to highlight errors</t>
  </si>
  <si>
    <t>this is different</t>
  </si>
  <si>
    <t>Below it is illustrated how an error shows up if anything is wrong in "the great BfX check"</t>
  </si>
  <si>
    <t>The Great BfX Check</t>
  </si>
  <si>
    <t>740 [ft] to [meter], 1 [ft] =0,3048 [m]</t>
  </si>
  <si>
    <t>BfX130088071CRC</t>
  </si>
  <si>
    <t>from this</t>
  </si>
  <si>
    <t>They are volatile functions in Excel (just like BFX_Cell): everytime a calculation is done somewhere in a workbook, new values of RAND and RANDBETWEEN (and BfX_Cell) are generated</t>
  </si>
  <si>
    <t>They allow so see if the computations are changed since the last time they</t>
  </si>
  <si>
    <t>are done, e.g. If a new version of BfX calculates another value</t>
  </si>
  <si>
    <t>The BfX_CRC calculations are used somewhere else in this workbook</t>
  </si>
  <si>
    <t>Currently, everytime the seed is changed in any of the BfX_RAN functions the random number generator is reset - starting the same sequence of numbers</t>
  </si>
  <si>
    <t>This behaviour is non random. Seed change occurs when one uses multiple seeds. However, Excel determines which cell it wants to update, not neccesarily the one</t>
  </si>
  <si>
    <t>some times the BfX_Ran seem to produce another outcome</t>
  </si>
  <si>
    <t>This related on how Excel wants to update a worksheet.</t>
  </si>
  <si>
    <t>Pressing ctrl-alt-shift F9 (a few times) update the entire workbook and invoke the proper sequence of BfX_Ran calculations</t>
  </si>
  <si>
    <t>needed for non changing seed the  only way to avoid these situations is to use a single seed for tje entire sheet and the use of the &lt;r&gt; parameter</t>
  </si>
  <si>
    <t>define seed</t>
  </si>
  <si>
    <t>this resets the random number generator - just change the seed</t>
  </si>
  <si>
    <t>BfX3228690052CRC</t>
  </si>
  <si>
    <t>BfX3220376921CRC</t>
  </si>
  <si>
    <t>BfX573377704CRC</t>
  </si>
  <si>
    <t>The result of BfX_Ran is,  a number in the interval 0 and 1, inclusive the values 0 and 1 - unlies modified by an unit specifier as a first argument,</t>
  </si>
  <si>
    <t>this cell is linked to the another cell</t>
  </si>
  <si>
    <t>BfX_Ran is reset if the value of seed1 changes and changes back.</t>
  </si>
  <si>
    <t>The technique used to generate the same order of random numbers is</t>
  </si>
  <si>
    <t xml:space="preserve"> to link cells via the parameter &lt;r&gt; to the previous cells</t>
  </si>
  <si>
    <t>At the end (see further) one does an aditional call to one of the BfX_Ran functions</t>
  </si>
  <si>
    <t>This causes a reset of the random number generating sequence.</t>
  </si>
  <si>
    <t>See below.</t>
  </si>
  <si>
    <t>fails in windows XP Excel 2003:  cell G500, although equalling in all decimal places with the number generated in Excel 2010 windows 7, generates a CRC deviation</t>
  </si>
  <si>
    <t>6mm Lapua GB478 Scenar 6,8g ( 105gr )</t>
  </si>
  <si>
    <t>BfX DT</t>
  </si>
  <si>
    <t>QT1</t>
  </si>
  <si>
    <t xml:space="preserve">  v [m/s ]</t>
  </si>
  <si>
    <t xml:space="preserve">     drop [cm]</t>
  </si>
  <si>
    <t>CFM</t>
  </si>
  <si>
    <t xml:space="preserve"> 6mm Lapua GB542 Scenar-L 6.8g ( 105gr )</t>
  </si>
  <si>
    <t>Radar Data</t>
  </si>
  <si>
    <t xml:space="preserve"> </t>
  </si>
  <si>
    <t>QT</t>
  </si>
  <si>
    <t>Custom drag tables</t>
  </si>
  <si>
    <t>row</t>
  </si>
  <si>
    <t>col</t>
  </si>
  <si>
    <t>required</t>
  </si>
  <si>
    <t>K = not implemented</t>
  </si>
  <si>
    <t>G = not implemented</t>
  </si>
  <si>
    <t xml:space="preserve">FM =  C values first row </t>
  </si>
  <si>
    <t xml:space="preserve">MF =  mach numbers  first row </t>
  </si>
  <si>
    <t>6mm Lapua ...</t>
  </si>
  <si>
    <t>projectile name</t>
  </si>
  <si>
    <t>optional</t>
  </si>
  <si>
    <t>source of data</t>
  </si>
  <si>
    <t xml:space="preserve">      Machnumbers second row</t>
  </si>
  <si>
    <t xml:space="preserve">      C values second row</t>
  </si>
  <si>
    <t>to a projectile of 1 Lb (pound) and 1 inch diameter. BfX uses the</t>
  </si>
  <si>
    <t xml:space="preserve"> information in row 4 cols 3 and 4 to constuct the proper</t>
  </si>
  <si>
    <t xml:space="preserve">C =  drag function measured for </t>
  </si>
  <si>
    <t xml:space="preserve">the 6mm projectile but, folowing definition, </t>
  </si>
  <si>
    <t xml:space="preserve">normalized to one belonging </t>
  </si>
  <si>
    <t>the K and G drag functions</t>
  </si>
  <si>
    <t xml:space="preserve"> drag function. Later we will support </t>
  </si>
  <si>
    <t>e.g.</t>
  </si>
  <si>
    <t>tell that this is a bfx drag table</t>
  </si>
  <si>
    <t>version of the table. Later we will have version 2 of the table</t>
  </si>
  <si>
    <t>the subtable (green) has the Quick Target format, version 1</t>
  </si>
  <si>
    <t>start of table, dragvalue</t>
  </si>
  <si>
    <t>mach value (= velocity of projectile / sound velocity)</t>
  </si>
  <si>
    <t>...</t>
  </si>
  <si>
    <t>maximum table length is 140</t>
  </si>
  <si>
    <t>Construction of a drag table</t>
  </si>
  <si>
    <t>The free QuickTarget software can be downloaded from www.lapua.com. This sophisticated software comes with dragntables that one can open in a text editor.</t>
  </si>
  <si>
    <t>An example drag table is shown to the right and below is the format description. Take care, follow the description strictly.</t>
  </si>
  <si>
    <t>The dash dotted line is the range</t>
  </si>
  <si>
    <t>that BfX_CRC needs, together</t>
  </si>
  <si>
    <t>with the specification "od"</t>
  </si>
  <si>
    <t>including the BfC_CRC output is</t>
  </si>
  <si>
    <t>everything entered in pink area</t>
  </si>
  <si>
    <t>is ignored</t>
  </si>
  <si>
    <t>needed in BfX calculations</t>
  </si>
  <si>
    <t>Extra colums beyond column 6 are</t>
  </si>
  <si>
    <t>ignored</t>
  </si>
  <si>
    <t xml:space="preserve">The whole (three) colored range, </t>
  </si>
  <si>
    <t>changes if anything in the table changes. "od" is required</t>
  </si>
  <si>
    <t>Using dragtables</t>
  </si>
  <si>
    <t>Ballistic coeficient</t>
  </si>
  <si>
    <t>In most cases it is handier to use a named range, for example dt in the formula below</t>
  </si>
  <si>
    <t>Use Bfx_info() or BfX_IQ() if you get error messages</t>
  </si>
  <si>
    <t xml:space="preserve">Put the range of the drag table after the ballistic coeficient </t>
  </si>
  <si>
    <t>Comparision with QuickTarget</t>
  </si>
  <si>
    <t xml:space="preserve">  range  [m]</t>
  </si>
  <si>
    <t xml:space="preserve"> time [sec]</t>
  </si>
  <si>
    <t>Muzzle velocity</t>
  </si>
  <si>
    <t>For the Lapua QuickTarget dragfunctions use a ballistic coeficient of 1. Others are accepted, however calculated results are only meaningful to experts</t>
  </si>
  <si>
    <t>Corrections for air properties</t>
  </si>
  <si>
    <t xml:space="preserve">diameter of projectile </t>
  </si>
  <si>
    <t>length of projectile</t>
  </si>
  <si>
    <t xml:space="preserve"> i=imperial (lb and inch)</t>
  </si>
  <si>
    <t>m = metric units for mass, diameter and length of projectile [def],</t>
  </si>
  <si>
    <t>The table assumes ICAO sealevel conditions for the atmosphere.</t>
  </si>
  <si>
    <t>one can use BfX_U to convert the weight or length from imperial units to metric ones</t>
  </si>
  <si>
    <t xml:space="preserve">If you want to use thes drag tables with BfX you have to put them in an Excel spreadsheet exactly as specified below. </t>
  </si>
  <si>
    <t>source</t>
  </si>
  <si>
    <t>mass of projectile</t>
  </si>
  <si>
    <t>mass [Kg]</t>
  </si>
  <si>
    <t>diameter [m]</t>
  </si>
  <si>
    <t>length [m]</t>
  </si>
  <si>
    <t xml:space="preserve">Lapua has measured, and published, drag values as a function of speed for most of its bullets. Others manufacturers will follow. BfX is able to work with these as you can see below. </t>
  </si>
  <si>
    <t>The first drag table format to support by BfX is the Lapua / QuickTarget format.</t>
  </si>
  <si>
    <t>Others will follow.</t>
  </si>
  <si>
    <t>Custom Drag Tables</t>
  </si>
  <si>
    <t>Table</t>
  </si>
  <si>
    <t>Explanation</t>
  </si>
  <si>
    <t>Comp. QuickTarget</t>
  </si>
  <si>
    <t>BfX3048208047CRC</t>
  </si>
  <si>
    <t>BfX2297096548CRC</t>
  </si>
  <si>
    <t>BfX1943923048CRC</t>
  </si>
  <si>
    <t>BfX526257727CRC</t>
  </si>
  <si>
    <t>20.4</t>
  </si>
  <si>
    <t>mach</t>
  </si>
  <si>
    <t>V m/s</t>
  </si>
  <si>
    <t>Input of a  Gxxxx drag table</t>
  </si>
  <si>
    <t>The following shows how to handle a standard drag function</t>
  </si>
  <si>
    <t>CMF</t>
  </si>
  <si>
    <t>JBM site</t>
  </si>
  <si>
    <t>mass [Lb]</t>
  </si>
  <si>
    <t>diameter [in]</t>
  </si>
  <si>
    <t>length [in]</t>
  </si>
  <si>
    <t>Below the input table</t>
  </si>
  <si>
    <t>and here the BfX input &gt;&gt;&gt;&gt;&gt;&gt;&gt;&gt;&gt;&gt;&gt;&gt;&gt;&gt;&gt;&gt;&gt;&gt;&gt;&gt;&gt;&gt;&gt;&gt;&gt;</t>
  </si>
  <si>
    <t>Drop [m]</t>
  </si>
  <si>
    <t>Check the table based calculations for G5 with the internal G5 drag function</t>
  </si>
  <si>
    <t>v0 [m/s]</t>
  </si>
  <si>
    <t xml:space="preserve">Velocity [m/s] at x </t>
  </si>
  <si>
    <t>m stands for metric</t>
  </si>
  <si>
    <t>I stands for imperial</t>
  </si>
  <si>
    <t>These are drag funtions for a 1Lb projectile with diameter 1 inch.</t>
  </si>
  <si>
    <t>20.5</t>
  </si>
  <si>
    <t>Values and graphs of custom dragtables</t>
  </si>
  <si>
    <t>Velocity</t>
  </si>
  <si>
    <t>BfX_Cd works as expected</t>
  </si>
  <si>
    <t>G5 user supplied</t>
  </si>
  <si>
    <t>Input of Gxxxx</t>
  </si>
  <si>
    <t>BfX2934419824CRC</t>
  </si>
  <si>
    <t>BfX1225305616CRC</t>
  </si>
  <si>
    <t>BfX3088550714CRC</t>
  </si>
  <si>
    <t>BfX2763870955CRC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</si>
</sst>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000"/>
    <numFmt numFmtId="167" formatCode="0.000E+00"/>
    <numFmt numFmtId="168" formatCode="0.00000"/>
    <numFmt numFmtId="169" formatCode="0.000000"/>
    <numFmt numFmtId="170" formatCode="0.0000"/>
  </numFmts>
  <fonts count="15" x14ac:knownFonts="1">
    <font>
      <sz val="11"/>
      <color theme="1"/>
      <name val="Franklin Gothic Book"/>
      <family val="2"/>
      <scheme val="minor"/>
    </font>
    <font>
      <b/>
      <sz val="11"/>
      <color theme="1"/>
      <name val="Franklin Gothic Book"/>
      <family val="2"/>
      <scheme val="minor"/>
    </font>
    <font>
      <i/>
      <sz val="11"/>
      <color theme="1"/>
      <name val="Franklin Gothic Book"/>
      <family val="2"/>
      <scheme val="minor"/>
    </font>
    <font>
      <u/>
      <sz val="11"/>
      <color theme="1"/>
      <name val="Franklin Gothic Book"/>
      <family val="2"/>
      <scheme val="minor"/>
    </font>
    <font>
      <sz val="11"/>
      <color theme="1"/>
      <name val="Courier New"/>
      <family val="3"/>
    </font>
    <font>
      <b/>
      <sz val="11"/>
      <color theme="1"/>
      <name val="Courier New"/>
      <family val="3"/>
    </font>
    <font>
      <sz val="9"/>
      <color theme="1"/>
      <name val="Verdana"/>
      <family val="2"/>
    </font>
    <font>
      <b/>
      <sz val="9"/>
      <color rgb="FFFFFFFF"/>
      <name val="Verdana"/>
      <family val="2"/>
    </font>
    <font>
      <sz val="10"/>
      <color theme="1"/>
      <name val="Arial"/>
      <family val="2"/>
    </font>
    <font>
      <u/>
      <sz val="11"/>
      <color theme="10"/>
      <name val="Franklin Gothic Book"/>
      <family val="2"/>
    </font>
    <font>
      <sz val="11"/>
      <color indexed="8"/>
      <name val="Franklin Gothic Book"/>
      <family val="2"/>
    </font>
    <font>
      <sz val="11"/>
      <color indexed="8"/>
      <name val="Courier New"/>
      <family val="3"/>
    </font>
    <font>
      <sz val="11"/>
      <color rgb="FF006100"/>
      <name val="Franklin Gothic Book"/>
      <family val="2"/>
      <scheme val="minor"/>
    </font>
    <font>
      <sz val="11"/>
      <color rgb="FF9C0006"/>
      <name val="Franklin Gothic Book"/>
      <family val="2"/>
      <scheme val="minor"/>
    </font>
    <font>
      <sz val="11"/>
      <color rgb="FF9C6500"/>
      <name val="Franklin Gothic Book"/>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rgb="FF2C8A3C"/>
        <bgColor indexed="64"/>
      </patternFill>
    </fill>
    <fill>
      <patternFill patternType="solid">
        <fgColor rgb="FFD9FADE"/>
        <bgColor indexed="64"/>
      </patternFill>
    </fill>
    <fill>
      <patternFill patternType="solid">
        <fgColor theme="2" tint="-9.9948118533890809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DashDot">
        <color indexed="64"/>
      </left>
      <right/>
      <top style="mediumDashDot">
        <color indexed="64"/>
      </top>
      <bottom/>
      <diagonal/>
    </border>
    <border>
      <left/>
      <right/>
      <top style="mediumDashDot">
        <color indexed="64"/>
      </top>
      <bottom/>
      <diagonal/>
    </border>
    <border>
      <left/>
      <right style="mediumDashDot">
        <color indexed="64"/>
      </right>
      <top style="mediumDashDot">
        <color indexed="64"/>
      </top>
      <bottom/>
      <diagonal/>
    </border>
    <border>
      <left/>
      <right style="mediumDashDot">
        <color indexed="64"/>
      </right>
      <top/>
      <bottom/>
      <diagonal/>
    </border>
    <border>
      <left style="mediumDashDot">
        <color indexed="64"/>
      </left>
      <right/>
      <top style="thin">
        <color indexed="64"/>
      </top>
      <bottom/>
      <diagonal/>
    </border>
    <border>
      <left style="mediumDashDot">
        <color indexed="64"/>
      </left>
      <right/>
      <top/>
      <bottom/>
      <diagonal/>
    </border>
    <border>
      <left style="mediumDashDot">
        <color indexed="64"/>
      </left>
      <right/>
      <top/>
      <bottom style="mediumDashDot">
        <color indexed="64"/>
      </bottom>
      <diagonal/>
    </border>
    <border>
      <left/>
      <right style="thin">
        <color indexed="64"/>
      </right>
      <top/>
      <bottom style="mediumDashDot">
        <color indexed="64"/>
      </bottom>
      <diagonal/>
    </border>
    <border>
      <left/>
      <right/>
      <top/>
      <bottom style="mediumDashDot">
        <color indexed="64"/>
      </bottom>
      <diagonal/>
    </border>
    <border>
      <left/>
      <right style="mediumDashDot">
        <color indexed="64"/>
      </right>
      <top/>
      <bottom style="mediumDashDot">
        <color indexed="64"/>
      </bottom>
      <diagonal/>
    </border>
    <border>
      <left/>
      <right style="thin">
        <color indexed="64"/>
      </right>
      <top style="mediumDashDot">
        <color indexed="64"/>
      </top>
      <bottom/>
      <diagonal/>
    </border>
    <border>
      <left style="mediumDashDot">
        <color indexed="64"/>
      </left>
      <right/>
      <top/>
      <bottom style="thin">
        <color indexed="64"/>
      </bottom>
      <diagonal/>
    </border>
  </borders>
  <cellStyleXfs count="6">
    <xf numFmtId="0" fontId="0" fillId="0" borderId="0"/>
    <xf numFmtId="0" fontId="9" fillId="0" borderId="0" applyNumberFormat="0" applyFill="0" applyBorder="0" applyAlignment="0" applyProtection="0">
      <alignment vertical="top"/>
      <protection locked="0"/>
    </xf>
    <xf numFmtId="0" fontId="10" fillId="0" borderId="0"/>
    <xf numFmtId="0" fontId="12"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cellStyleXfs>
  <cellXfs count="353">
    <xf numFmtId="0" fontId="0" fillId="0" borderId="0" xfId="0"/>
    <xf numFmtId="0" fontId="2" fillId="0" borderId="0" xfId="0" applyFont="1"/>
    <xf numFmtId="0" fontId="1" fillId="0" borderId="0" xfId="0" applyFont="1"/>
    <xf numFmtId="0" fontId="3" fillId="0" borderId="0" xfId="0" applyFont="1"/>
    <xf numFmtId="0" fontId="0" fillId="2" borderId="0" xfId="0" applyFill="1"/>
    <xf numFmtId="0" fontId="4" fillId="2" borderId="0" xfId="0" applyFont="1" applyFill="1"/>
    <xf numFmtId="0" fontId="1" fillId="2" borderId="0" xfId="0" applyFont="1" applyFill="1"/>
    <xf numFmtId="0" fontId="4" fillId="2" borderId="0" xfId="0" applyFont="1" applyFill="1" applyAlignment="1">
      <alignment horizontal="right"/>
    </xf>
    <xf numFmtId="164" fontId="4" fillId="2" borderId="0" xfId="0" applyNumberFormat="1" applyFont="1" applyFill="1" applyAlignment="1">
      <alignment horizontal="right"/>
    </xf>
    <xf numFmtId="165" fontId="4" fillId="2" borderId="0" xfId="0" applyNumberFormat="1" applyFont="1" applyFill="1" applyAlignment="1">
      <alignment horizontal="right"/>
    </xf>
    <xf numFmtId="0" fontId="0" fillId="0" borderId="0" xfId="0" applyAlignment="1">
      <alignment wrapText="1"/>
    </xf>
    <xf numFmtId="0" fontId="4" fillId="2" borderId="0" xfId="0" applyFont="1" applyFill="1" applyAlignment="1">
      <alignment horizontal="right" wrapText="1"/>
    </xf>
    <xf numFmtId="0" fontId="0" fillId="0" borderId="0" xfId="0" applyAlignment="1">
      <alignment horizontal="left"/>
    </xf>
    <xf numFmtId="0" fontId="5" fillId="2" borderId="0" xfId="0" applyFont="1" applyFill="1" applyAlignment="1">
      <alignment horizontal="left"/>
    </xf>
    <xf numFmtId="0" fontId="4" fillId="2" borderId="0" xfId="0" applyFont="1" applyFill="1" applyAlignment="1">
      <alignment horizontal="left"/>
    </xf>
    <xf numFmtId="0" fontId="4" fillId="2" borderId="0" xfId="0" applyFont="1" applyFill="1" applyAlignment="1"/>
    <xf numFmtId="164" fontId="4" fillId="2" borderId="0" xfId="0" applyNumberFormat="1" applyFont="1" applyFill="1" applyAlignment="1"/>
    <xf numFmtId="0" fontId="0" fillId="2" borderId="0" xfId="0" applyFill="1" applyAlignment="1">
      <alignment horizontal="right"/>
    </xf>
    <xf numFmtId="0" fontId="5" fillId="2" borderId="0" xfId="0" applyFont="1" applyFill="1" applyAlignment="1"/>
    <xf numFmtId="2" fontId="4" fillId="2" borderId="0" xfId="0" applyNumberFormat="1" applyFont="1" applyFill="1" applyAlignment="1"/>
    <xf numFmtId="0" fontId="0" fillId="0" borderId="0" xfId="0" applyFont="1"/>
    <xf numFmtId="165" fontId="4" fillId="2" borderId="0" xfId="0" applyNumberFormat="1" applyFont="1" applyFill="1" applyAlignment="1"/>
    <xf numFmtId="0" fontId="0" fillId="0" borderId="0" xfId="0" applyAlignment="1">
      <alignment horizontal="right"/>
    </xf>
    <xf numFmtId="1" fontId="4" fillId="2" borderId="2" xfId="0" applyNumberFormat="1" applyFont="1" applyFill="1" applyBorder="1" applyAlignment="1"/>
    <xf numFmtId="165" fontId="4" fillId="2" borderId="6" xfId="0" applyNumberFormat="1" applyFont="1" applyFill="1" applyBorder="1" applyAlignment="1"/>
    <xf numFmtId="165" fontId="4" fillId="2" borderId="7" xfId="0" applyNumberFormat="1" applyFont="1" applyFill="1" applyBorder="1" applyAlignment="1"/>
    <xf numFmtId="1" fontId="4" fillId="2" borderId="4" xfId="0" applyNumberFormat="1" applyFont="1" applyFill="1" applyBorder="1" applyAlignment="1"/>
    <xf numFmtId="0" fontId="7" fillId="3" borderId="0" xfId="0" applyFont="1" applyFill="1" applyAlignment="1">
      <alignment wrapText="1"/>
    </xf>
    <xf numFmtId="0" fontId="6" fillId="4" borderId="0" xfId="0" applyFont="1" applyFill="1"/>
    <xf numFmtId="0" fontId="6" fillId="4" borderId="0" xfId="0" applyFont="1" applyFill="1" applyAlignment="1">
      <alignment wrapText="1"/>
    </xf>
    <xf numFmtId="0" fontId="0" fillId="0" borderId="0" xfId="0" applyAlignment="1">
      <alignment horizontal="center"/>
    </xf>
    <xf numFmtId="0" fontId="8" fillId="0" borderId="0" xfId="0" applyFont="1" applyAlignment="1">
      <alignment horizontal="left"/>
    </xf>
    <xf numFmtId="0" fontId="1" fillId="0" borderId="0" xfId="0" applyFont="1" applyAlignment="1">
      <alignment horizontal="left"/>
    </xf>
    <xf numFmtId="0" fontId="7" fillId="3" borderId="0" xfId="0" applyFont="1" applyFill="1" applyAlignment="1">
      <alignment horizontal="left" wrapText="1"/>
    </xf>
    <xf numFmtId="0" fontId="6" fillId="4" borderId="0" xfId="0" applyFont="1" applyFill="1" applyAlignment="1">
      <alignment horizontal="left" wrapText="1"/>
    </xf>
    <xf numFmtId="165" fontId="4" fillId="2" borderId="0" xfId="0" applyNumberFormat="1" applyFont="1" applyFill="1" applyAlignment="1">
      <alignment horizontal="left"/>
    </xf>
    <xf numFmtId="165" fontId="4" fillId="2" borderId="5" xfId="0" applyNumberFormat="1" applyFont="1" applyFill="1" applyBorder="1" applyAlignment="1">
      <alignment horizontal="left"/>
    </xf>
    <xf numFmtId="1" fontId="4" fillId="2" borderId="3" xfId="0" applyNumberFormat="1" applyFont="1" applyFill="1" applyBorder="1" applyAlignment="1">
      <alignment horizontal="left"/>
    </xf>
    <xf numFmtId="1" fontId="4" fillId="2" borderId="4" xfId="0" applyNumberFormat="1" applyFont="1" applyFill="1" applyBorder="1" applyAlignment="1">
      <alignment horizontal="left"/>
    </xf>
    <xf numFmtId="1" fontId="4" fillId="2" borderId="2" xfId="0" applyNumberFormat="1" applyFont="1" applyFill="1" applyBorder="1" applyAlignment="1">
      <alignment horizontal="left"/>
    </xf>
    <xf numFmtId="0" fontId="2" fillId="0" borderId="0" xfId="0" applyFont="1" applyAlignment="1">
      <alignment horizontal="left"/>
    </xf>
    <xf numFmtId="165" fontId="4" fillId="2" borderId="4" xfId="0" applyNumberFormat="1" applyFont="1" applyFill="1" applyBorder="1" applyAlignment="1"/>
    <xf numFmtId="165" fontId="4" fillId="2" borderId="2" xfId="0" applyNumberFormat="1" applyFont="1" applyFill="1" applyBorder="1" applyAlignment="1"/>
    <xf numFmtId="165" fontId="4" fillId="2" borderId="0" xfId="0" applyNumberFormat="1" applyFont="1" applyFill="1" applyBorder="1" applyAlignment="1"/>
    <xf numFmtId="1" fontId="0" fillId="0" borderId="0" xfId="0" applyNumberFormat="1"/>
    <xf numFmtId="165" fontId="4" fillId="2" borderId="3" xfId="0" applyNumberFormat="1" applyFont="1" applyFill="1" applyBorder="1" applyAlignment="1">
      <alignment horizontal="right"/>
    </xf>
    <xf numFmtId="165" fontId="4" fillId="2" borderId="9" xfId="0" applyNumberFormat="1" applyFont="1" applyFill="1" applyBorder="1" applyAlignment="1"/>
    <xf numFmtId="165" fontId="4" fillId="2" borderId="10" xfId="0" applyNumberFormat="1" applyFont="1" applyFill="1" applyBorder="1" applyAlignment="1"/>
    <xf numFmtId="165" fontId="4" fillId="2" borderId="3" xfId="0" applyNumberFormat="1" applyFont="1" applyFill="1" applyBorder="1" applyAlignment="1">
      <alignment horizontal="left"/>
    </xf>
    <xf numFmtId="165" fontId="4" fillId="2" borderId="2" xfId="0" applyNumberFormat="1" applyFont="1" applyFill="1" applyBorder="1" applyAlignment="1">
      <alignment horizontal="left"/>
    </xf>
    <xf numFmtId="165" fontId="4" fillId="2" borderId="1" xfId="0" applyNumberFormat="1" applyFont="1" applyFill="1" applyBorder="1" applyAlignment="1"/>
    <xf numFmtId="0" fontId="0" fillId="0" borderId="0" xfId="0" applyFont="1" applyAlignment="1">
      <alignment horizontal="left"/>
    </xf>
    <xf numFmtId="165" fontId="4" fillId="2" borderId="3" xfId="0" applyNumberFormat="1" applyFont="1" applyFill="1" applyBorder="1" applyAlignment="1"/>
    <xf numFmtId="2" fontId="4" fillId="2" borderId="0" xfId="0" applyNumberFormat="1" applyFont="1" applyFill="1" applyBorder="1" applyAlignment="1"/>
    <xf numFmtId="2" fontId="4" fillId="2" borderId="10" xfId="0" applyNumberFormat="1" applyFont="1" applyFill="1" applyBorder="1" applyAlignment="1"/>
    <xf numFmtId="1" fontId="4" fillId="2" borderId="0" xfId="0" applyNumberFormat="1" applyFont="1" applyFill="1" applyBorder="1" applyAlignment="1"/>
    <xf numFmtId="164" fontId="0" fillId="0" borderId="0" xfId="0" applyNumberFormat="1" applyFont="1"/>
    <xf numFmtId="165" fontId="4" fillId="2" borderId="8" xfId="0" applyNumberFormat="1" applyFont="1" applyFill="1" applyBorder="1" applyAlignment="1"/>
    <xf numFmtId="165" fontId="4" fillId="2" borderId="12" xfId="0" applyNumberFormat="1" applyFont="1" applyFill="1" applyBorder="1" applyAlignment="1"/>
    <xf numFmtId="165" fontId="4" fillId="2" borderId="11" xfId="0" applyNumberFormat="1" applyFont="1" applyFill="1" applyBorder="1" applyAlignment="1"/>
    <xf numFmtId="164" fontId="4" fillId="2" borderId="12" xfId="0" applyNumberFormat="1" applyFont="1" applyFill="1" applyBorder="1" applyAlignment="1"/>
    <xf numFmtId="164" fontId="4" fillId="2" borderId="0" xfId="0" applyNumberFormat="1" applyFont="1" applyFill="1" applyBorder="1" applyAlignment="1"/>
    <xf numFmtId="164" fontId="4" fillId="2" borderId="10" xfId="0" applyNumberFormat="1" applyFont="1" applyFill="1" applyBorder="1" applyAlignment="1"/>
    <xf numFmtId="164" fontId="4" fillId="2" borderId="4" xfId="0" applyNumberFormat="1" applyFont="1" applyFill="1" applyBorder="1" applyAlignment="1"/>
    <xf numFmtId="164" fontId="4" fillId="2" borderId="13" xfId="0" applyNumberFormat="1" applyFont="1" applyFill="1" applyBorder="1" applyAlignment="1"/>
    <xf numFmtId="164" fontId="4" fillId="2" borderId="14" xfId="0" applyNumberFormat="1" applyFont="1" applyFill="1" applyBorder="1" applyAlignment="1"/>
    <xf numFmtId="164" fontId="4" fillId="2" borderId="2" xfId="0" applyNumberFormat="1" applyFont="1" applyFill="1" applyBorder="1" applyAlignment="1"/>
    <xf numFmtId="165" fontId="4" fillId="2" borderId="0" xfId="0" applyNumberFormat="1" applyFont="1" applyFill="1" applyBorder="1" applyAlignment="1">
      <alignment horizontal="right"/>
    </xf>
    <xf numFmtId="0" fontId="1" fillId="0" borderId="0" xfId="0" applyFont="1" applyAlignment="1">
      <alignment horizontal="right"/>
    </xf>
    <xf numFmtId="164" fontId="4" fillId="2" borderId="0" xfId="0" applyNumberFormat="1" applyFont="1" applyFill="1" applyBorder="1" applyAlignment="1">
      <alignment horizontal="right"/>
    </xf>
    <xf numFmtId="164" fontId="4" fillId="2" borderId="9" xfId="0" applyNumberFormat="1" applyFont="1" applyFill="1" applyBorder="1" applyAlignment="1"/>
    <xf numFmtId="164" fontId="4" fillId="2" borderId="15" xfId="0" applyNumberFormat="1" applyFont="1" applyFill="1" applyBorder="1" applyAlignment="1"/>
    <xf numFmtId="164" fontId="4" fillId="2" borderId="5" xfId="0" applyNumberFormat="1" applyFont="1" applyFill="1" applyBorder="1" applyAlignment="1">
      <alignment horizontal="right"/>
    </xf>
    <xf numFmtId="164" fontId="4" fillId="2" borderId="6" xfId="0" applyNumberFormat="1" applyFont="1" applyFill="1" applyBorder="1" applyAlignment="1">
      <alignment horizontal="right"/>
    </xf>
    <xf numFmtId="164" fontId="4" fillId="2" borderId="5" xfId="0" applyNumberFormat="1" applyFont="1" applyFill="1" applyBorder="1" applyAlignment="1"/>
    <xf numFmtId="164" fontId="4" fillId="2" borderId="6" xfId="0" applyNumberFormat="1" applyFont="1" applyFill="1" applyBorder="1" applyAlignment="1"/>
    <xf numFmtId="164" fontId="4" fillId="2" borderId="7" xfId="0" applyNumberFormat="1" applyFont="1" applyFill="1" applyBorder="1" applyAlignment="1"/>
    <xf numFmtId="164" fontId="4" fillId="2" borderId="9" xfId="0" applyNumberFormat="1" applyFont="1" applyFill="1" applyBorder="1" applyAlignment="1">
      <alignment horizontal="right"/>
    </xf>
    <xf numFmtId="164" fontId="4" fillId="2" borderId="10" xfId="0" applyNumberFormat="1" applyFont="1" applyFill="1" applyBorder="1" applyAlignment="1">
      <alignment horizontal="right"/>
    </xf>
    <xf numFmtId="0" fontId="0" fillId="2" borderId="5" xfId="0" applyFill="1" applyBorder="1"/>
    <xf numFmtId="0" fontId="0" fillId="2" borderId="6" xfId="0" applyFill="1" applyBorder="1"/>
    <xf numFmtId="0" fontId="4" fillId="2" borderId="11"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xf numFmtId="0" fontId="4" fillId="2" borderId="2" xfId="0" applyFont="1" applyFill="1" applyBorder="1" applyAlignment="1"/>
    <xf numFmtId="2" fontId="4" fillId="2" borderId="4" xfId="0" applyNumberFormat="1" applyFont="1" applyFill="1" applyBorder="1" applyAlignment="1"/>
    <xf numFmtId="2" fontId="4" fillId="2" borderId="2" xfId="0" applyNumberFormat="1" applyFont="1" applyFill="1" applyBorder="1" applyAlignment="1"/>
    <xf numFmtId="0" fontId="0" fillId="0" borderId="10" xfId="0" applyBorder="1"/>
    <xf numFmtId="0" fontId="0" fillId="0" borderId="4" xfId="0" applyBorder="1" applyAlignment="1">
      <alignment horizontal="right"/>
    </xf>
    <xf numFmtId="0" fontId="0" fillId="0" borderId="2" xfId="0" applyBorder="1" applyAlignment="1">
      <alignment horizontal="right"/>
    </xf>
    <xf numFmtId="0" fontId="0" fillId="0" borderId="1" xfId="0" applyBorder="1" applyAlignment="1">
      <alignment horizontal="right"/>
    </xf>
    <xf numFmtId="0" fontId="0" fillId="0" borderId="0" xfId="0" applyFill="1" applyBorder="1" applyAlignment="1"/>
    <xf numFmtId="166" fontId="4" fillId="2" borderId="0" xfId="0" applyNumberFormat="1" applyFont="1" applyFill="1" applyBorder="1" applyAlignment="1"/>
    <xf numFmtId="0" fontId="0" fillId="0" borderId="0" xfId="0" applyFill="1" applyBorder="1" applyAlignment="1">
      <alignment horizontal="left"/>
    </xf>
    <xf numFmtId="164" fontId="4" fillId="2" borderId="16" xfId="0" applyNumberFormat="1" applyFont="1" applyFill="1" applyBorder="1" applyAlignment="1"/>
    <xf numFmtId="165" fontId="4" fillId="2" borderId="17" xfId="0" applyNumberFormat="1" applyFont="1" applyFill="1" applyBorder="1" applyAlignment="1"/>
    <xf numFmtId="164" fontId="4" fillId="2" borderId="18" xfId="0" applyNumberFormat="1" applyFont="1" applyFill="1" applyBorder="1" applyAlignment="1"/>
    <xf numFmtId="165" fontId="4" fillId="2" borderId="19" xfId="0" applyNumberFormat="1" applyFont="1" applyFill="1" applyBorder="1" applyAlignment="1"/>
    <xf numFmtId="164" fontId="4" fillId="2" borderId="20" xfId="0" applyNumberFormat="1" applyFont="1" applyFill="1" applyBorder="1" applyAlignment="1"/>
    <xf numFmtId="165" fontId="4" fillId="2" borderId="21" xfId="0" applyNumberFormat="1" applyFont="1" applyFill="1" applyBorder="1" applyAlignment="1"/>
    <xf numFmtId="165" fontId="4" fillId="2" borderId="22" xfId="0" applyNumberFormat="1" applyFont="1" applyFill="1" applyBorder="1" applyAlignment="1"/>
    <xf numFmtId="165" fontId="4" fillId="2" borderId="23" xfId="0" applyNumberFormat="1" applyFont="1" applyFill="1" applyBorder="1" applyAlignment="1"/>
    <xf numFmtId="165" fontId="4" fillId="2" borderId="24" xfId="0" applyNumberFormat="1" applyFont="1" applyFill="1" applyBorder="1" applyAlignment="1"/>
    <xf numFmtId="1" fontId="4" fillId="2" borderId="0" xfId="0" applyNumberFormat="1" applyFont="1" applyFill="1"/>
    <xf numFmtId="1" fontId="4" fillId="2" borderId="0" xfId="0" applyNumberFormat="1" applyFont="1" applyFill="1" applyAlignment="1">
      <alignment horizontal="right"/>
    </xf>
    <xf numFmtId="0" fontId="0" fillId="0" borderId="0" xfId="0"/>
    <xf numFmtId="0" fontId="0" fillId="0" borderId="16" xfId="0" applyBorder="1"/>
    <xf numFmtId="0" fontId="0" fillId="0" borderId="25" xfId="0" applyBorder="1"/>
    <xf numFmtId="0" fontId="0" fillId="0" borderId="17" xfId="0" applyBorder="1"/>
    <xf numFmtId="0" fontId="0" fillId="0" borderId="18" xfId="0" applyBorder="1"/>
    <xf numFmtId="0" fontId="0" fillId="0" borderId="0" xfId="0" applyBorder="1"/>
    <xf numFmtId="0" fontId="0" fillId="0" borderId="19" xfId="0" applyBorder="1"/>
    <xf numFmtId="164" fontId="0" fillId="0" borderId="0" xfId="0" applyNumberFormat="1" applyBorder="1"/>
    <xf numFmtId="164" fontId="4" fillId="2" borderId="19" xfId="0" applyNumberFormat="1" applyFont="1" applyFill="1" applyBorder="1" applyAlignment="1"/>
    <xf numFmtId="0" fontId="0" fillId="0" borderId="20" xfId="0" applyBorder="1"/>
    <xf numFmtId="0" fontId="0" fillId="0" borderId="26" xfId="0" applyBorder="1"/>
    <xf numFmtId="164" fontId="4" fillId="2" borderId="21" xfId="0" applyNumberFormat="1" applyFont="1" applyFill="1" applyBorder="1" applyAlignment="1"/>
    <xf numFmtId="0" fontId="0" fillId="0" borderId="21" xfId="0" applyBorder="1"/>
    <xf numFmtId="1" fontId="4" fillId="2" borderId="19" xfId="0" applyNumberFormat="1" applyFont="1" applyFill="1" applyBorder="1" applyAlignment="1"/>
    <xf numFmtId="1" fontId="4" fillId="2" borderId="21" xfId="0" applyNumberFormat="1" applyFont="1" applyFill="1" applyBorder="1" applyAlignment="1"/>
    <xf numFmtId="0" fontId="0" fillId="0" borderId="27" xfId="0" applyBorder="1"/>
    <xf numFmtId="0" fontId="0" fillId="0" borderId="25" xfId="0" applyBorder="1" applyAlignment="1">
      <alignment horizontal="center"/>
    </xf>
    <xf numFmtId="165" fontId="0" fillId="0" borderId="0" xfId="0" applyNumberFormat="1"/>
    <xf numFmtId="0" fontId="0" fillId="0" borderId="30" xfId="0" applyBorder="1"/>
    <xf numFmtId="0" fontId="0" fillId="0" borderId="31" xfId="0" applyBorder="1"/>
    <xf numFmtId="0" fontId="0" fillId="0" borderId="32" xfId="0" applyBorder="1"/>
    <xf numFmtId="165" fontId="0" fillId="0" borderId="31" xfId="0" applyNumberFormat="1" applyBorder="1"/>
    <xf numFmtId="165" fontId="0" fillId="0" borderId="32" xfId="0" applyNumberFormat="1" applyBorder="1"/>
    <xf numFmtId="164" fontId="0" fillId="0" borderId="31" xfId="0" applyNumberFormat="1" applyBorder="1"/>
    <xf numFmtId="164" fontId="0" fillId="0" borderId="32" xfId="0" applyNumberFormat="1" applyBorder="1"/>
    <xf numFmtId="0" fontId="0" fillId="0" borderId="16" xfId="0" applyBorder="1" applyAlignment="1">
      <alignment horizontal="center"/>
    </xf>
    <xf numFmtId="0" fontId="0" fillId="0" borderId="33" xfId="0" applyBorder="1"/>
    <xf numFmtId="1" fontId="0" fillId="0" borderId="31" xfId="0" applyNumberFormat="1" applyBorder="1"/>
    <xf numFmtId="1" fontId="0" fillId="0" borderId="32" xfId="0" applyNumberFormat="1" applyBorder="1"/>
    <xf numFmtId="0" fontId="0" fillId="5" borderId="31" xfId="0" applyFill="1" applyBorder="1"/>
    <xf numFmtId="165" fontId="0" fillId="5" borderId="31" xfId="0" applyNumberFormat="1" applyFill="1" applyBorder="1"/>
    <xf numFmtId="1" fontId="0" fillId="5" borderId="36" xfId="0" applyNumberFormat="1" applyFill="1" applyBorder="1"/>
    <xf numFmtId="1" fontId="0" fillId="5" borderId="31" xfId="0" applyNumberFormat="1" applyFill="1" applyBorder="1"/>
    <xf numFmtId="164" fontId="0" fillId="5" borderId="36" xfId="0" applyNumberFormat="1" applyFill="1" applyBorder="1"/>
    <xf numFmtId="164" fontId="0" fillId="5" borderId="31" xfId="0" applyNumberFormat="1" applyFill="1" applyBorder="1"/>
    <xf numFmtId="49" fontId="0" fillId="0" borderId="0" xfId="0" applyNumberFormat="1" applyAlignment="1">
      <alignment wrapText="1"/>
    </xf>
    <xf numFmtId="0" fontId="4" fillId="2" borderId="26" xfId="0" applyFont="1" applyFill="1" applyBorder="1" applyAlignment="1">
      <alignment horizontal="right"/>
    </xf>
    <xf numFmtId="1" fontId="4" fillId="2" borderId="0" xfId="0" applyNumberFormat="1" applyFont="1" applyFill="1" applyAlignment="1"/>
    <xf numFmtId="0" fontId="0" fillId="6" borderId="1" xfId="0" applyFill="1" applyBorder="1" applyAlignment="1">
      <alignment horizontal="right"/>
    </xf>
    <xf numFmtId="0" fontId="0" fillId="7" borderId="2" xfId="0" applyFill="1" applyBorder="1" applyAlignment="1">
      <alignment horizontal="right"/>
    </xf>
    <xf numFmtId="0" fontId="0" fillId="0" borderId="13" xfId="0" applyBorder="1"/>
    <xf numFmtId="0" fontId="0" fillId="7" borderId="0" xfId="0" applyFill="1" applyBorder="1" applyAlignment="1"/>
    <xf numFmtId="0" fontId="0" fillId="0" borderId="6" xfId="0" applyBorder="1"/>
    <xf numFmtId="0" fontId="0" fillId="6" borderId="0" xfId="0" applyFill="1" applyBorder="1" applyAlignment="1"/>
    <xf numFmtId="0" fontId="0" fillId="6" borderId="0" xfId="0" applyFill="1" applyBorder="1" applyAlignment="1">
      <alignment horizontal="right"/>
    </xf>
    <xf numFmtId="165" fontId="4" fillId="2" borderId="12" xfId="0" applyNumberFormat="1" applyFont="1" applyFill="1" applyBorder="1" applyAlignment="1">
      <alignment horizontal="right"/>
    </xf>
    <xf numFmtId="165" fontId="4" fillId="2" borderId="11" xfId="0" applyNumberFormat="1" applyFont="1" applyFill="1" applyBorder="1" applyAlignment="1">
      <alignment horizontal="right"/>
    </xf>
    <xf numFmtId="167" fontId="4" fillId="2" borderId="0" xfId="0" applyNumberFormat="1" applyFont="1" applyFill="1" applyAlignment="1"/>
    <xf numFmtId="0" fontId="9" fillId="0" borderId="0" xfId="1" applyAlignment="1" applyProtection="1"/>
    <xf numFmtId="168" fontId="4" fillId="2" borderId="0" xfId="0" applyNumberFormat="1" applyFont="1" applyFill="1" applyAlignment="1"/>
    <xf numFmtId="0" fontId="4" fillId="2" borderId="19" xfId="0" applyFont="1" applyFill="1" applyBorder="1" applyAlignment="1"/>
    <xf numFmtId="0" fontId="4" fillId="2" borderId="21" xfId="0" applyFont="1" applyFill="1" applyBorder="1" applyAlignment="1"/>
    <xf numFmtId="1" fontId="4" fillId="2" borderId="26" xfId="0" applyNumberFormat="1" applyFont="1" applyFill="1" applyBorder="1" applyAlignment="1"/>
    <xf numFmtId="165" fontId="4" fillId="2" borderId="16" xfId="0" applyNumberFormat="1" applyFont="1" applyFill="1" applyBorder="1" applyAlignment="1"/>
    <xf numFmtId="165" fontId="4" fillId="2" borderId="25" xfId="0" applyNumberFormat="1" applyFont="1" applyFill="1" applyBorder="1" applyAlignment="1"/>
    <xf numFmtId="165" fontId="4" fillId="2" borderId="18" xfId="0" applyNumberFormat="1" applyFont="1" applyFill="1" applyBorder="1" applyAlignment="1"/>
    <xf numFmtId="165" fontId="4" fillId="2" borderId="20" xfId="0" applyNumberFormat="1" applyFont="1" applyFill="1" applyBorder="1" applyAlignment="1"/>
    <xf numFmtId="165" fontId="4" fillId="2" borderId="26" xfId="0" applyNumberFormat="1" applyFont="1" applyFill="1" applyBorder="1" applyAlignment="1"/>
    <xf numFmtId="1" fontId="0" fillId="2" borderId="0" xfId="0" applyNumberFormat="1" applyFill="1"/>
    <xf numFmtId="2" fontId="0" fillId="2" borderId="0" xfId="0" applyNumberFormat="1" applyFill="1"/>
    <xf numFmtId="165" fontId="0" fillId="2" borderId="0" xfId="0" applyNumberFormat="1" applyFill="1"/>
    <xf numFmtId="0" fontId="0" fillId="8" borderId="0" xfId="0" applyFill="1"/>
    <xf numFmtId="0" fontId="0" fillId="0" borderId="27" xfId="0" applyBorder="1" applyAlignment="1">
      <alignment horizontal="right"/>
    </xf>
    <xf numFmtId="0" fontId="0" fillId="0" borderId="22" xfId="0" applyBorder="1" applyAlignment="1">
      <alignment horizontal="right"/>
    </xf>
    <xf numFmtId="0" fontId="0" fillId="0" borderId="23" xfId="0" applyBorder="1" applyAlignment="1">
      <alignment horizontal="right"/>
    </xf>
    <xf numFmtId="0" fontId="0" fillId="0" borderId="24" xfId="0" applyBorder="1" applyAlignment="1">
      <alignment horizontal="right"/>
    </xf>
    <xf numFmtId="165" fontId="4" fillId="8" borderId="23" xfId="0" applyNumberFormat="1" applyFont="1" applyFill="1" applyBorder="1" applyAlignment="1"/>
    <xf numFmtId="1" fontId="4" fillId="2" borderId="22" xfId="0" applyNumberFormat="1" applyFont="1" applyFill="1" applyBorder="1" applyAlignment="1"/>
    <xf numFmtId="1" fontId="4" fillId="2" borderId="23" xfId="0" applyNumberFormat="1" applyFont="1" applyFill="1" applyBorder="1" applyAlignment="1"/>
    <xf numFmtId="1" fontId="4" fillId="2" borderId="24" xfId="0" applyNumberFormat="1" applyFont="1" applyFill="1" applyBorder="1" applyAlignment="1"/>
    <xf numFmtId="11" fontId="4" fillId="2" borderId="22" xfId="0" applyNumberFormat="1" applyFont="1" applyFill="1" applyBorder="1" applyAlignment="1"/>
    <xf numFmtId="11" fontId="4" fillId="2" borderId="23" xfId="0" applyNumberFormat="1" applyFont="1" applyFill="1" applyBorder="1" applyAlignment="1"/>
    <xf numFmtId="11" fontId="4" fillId="2" borderId="24" xfId="0" applyNumberFormat="1" applyFont="1" applyFill="1" applyBorder="1" applyAlignment="1"/>
    <xf numFmtId="1" fontId="4" fillId="8" borderId="23" xfId="0" applyNumberFormat="1" applyFont="1" applyFill="1" applyBorder="1"/>
    <xf numFmtId="11" fontId="4" fillId="8" borderId="23" xfId="0" applyNumberFormat="1" applyFont="1" applyFill="1" applyBorder="1"/>
    <xf numFmtId="0" fontId="4" fillId="8" borderId="22" xfId="0" applyFont="1" applyFill="1" applyBorder="1"/>
    <xf numFmtId="168" fontId="0" fillId="9" borderId="19" xfId="0" applyNumberFormat="1" applyFill="1" applyBorder="1"/>
    <xf numFmtId="168" fontId="0" fillId="9" borderId="26" xfId="0" applyNumberFormat="1" applyFill="1" applyBorder="1"/>
    <xf numFmtId="168" fontId="0" fillId="9" borderId="21" xfId="0" applyNumberFormat="1" applyFill="1" applyBorder="1"/>
    <xf numFmtId="0" fontId="0" fillId="0" borderId="38" xfId="0" applyBorder="1" applyAlignment="1">
      <alignment horizontal="right"/>
    </xf>
    <xf numFmtId="0" fontId="0" fillId="0" borderId="23" xfId="0" applyBorder="1"/>
    <xf numFmtId="0" fontId="0" fillId="0" borderId="24" xfId="0" applyBorder="1"/>
    <xf numFmtId="168" fontId="0" fillId="9" borderId="23" xfId="0" applyNumberFormat="1" applyFill="1" applyBorder="1"/>
    <xf numFmtId="168" fontId="0" fillId="9" borderId="24" xfId="0" applyNumberFormat="1" applyFill="1" applyBorder="1"/>
    <xf numFmtId="168" fontId="4" fillId="8" borderId="0" xfId="0" applyNumberFormat="1" applyFont="1" applyFill="1" applyAlignment="1"/>
    <xf numFmtId="164" fontId="4" fillId="8" borderId="0" xfId="0" applyNumberFormat="1" applyFont="1" applyFill="1" applyAlignment="1"/>
    <xf numFmtId="2" fontId="4" fillId="8" borderId="10" xfId="0" applyNumberFormat="1" applyFont="1" applyFill="1" applyBorder="1" applyAlignment="1"/>
    <xf numFmtId="165" fontId="4" fillId="8" borderId="24" xfId="0" applyNumberFormat="1" applyFont="1" applyFill="1" applyBorder="1" applyAlignment="1"/>
    <xf numFmtId="1" fontId="0" fillId="8" borderId="36" xfId="0" applyNumberFormat="1" applyFill="1" applyBorder="1"/>
    <xf numFmtId="164" fontId="0" fillId="8" borderId="36" xfId="0" applyNumberFormat="1" applyFill="1" applyBorder="1"/>
    <xf numFmtId="1" fontId="4" fillId="8" borderId="22" xfId="0" applyNumberFormat="1" applyFont="1" applyFill="1" applyBorder="1" applyAlignment="1"/>
    <xf numFmtId="0" fontId="0" fillId="10" borderId="0" xfId="0" applyFill="1"/>
    <xf numFmtId="0" fontId="0" fillId="10" borderId="0" xfId="0" applyFill="1" applyAlignment="1">
      <alignment horizontal="left" vertical="center" indent="1"/>
    </xf>
    <xf numFmtId="0" fontId="0" fillId="10" borderId="16" xfId="0" applyFill="1" applyBorder="1"/>
    <xf numFmtId="0" fontId="0" fillId="10" borderId="25" xfId="0" applyFill="1" applyBorder="1"/>
    <xf numFmtId="0" fontId="0" fillId="10" borderId="17" xfId="0" applyFill="1" applyBorder="1"/>
    <xf numFmtId="0" fontId="0" fillId="10" borderId="18" xfId="0" applyFill="1" applyBorder="1"/>
    <xf numFmtId="0" fontId="0" fillId="10" borderId="0" xfId="0" applyFill="1" applyBorder="1"/>
    <xf numFmtId="0" fontId="0" fillId="10" borderId="19" xfId="0" applyFill="1" applyBorder="1"/>
    <xf numFmtId="0" fontId="0" fillId="10" borderId="20" xfId="0" applyFill="1" applyBorder="1"/>
    <xf numFmtId="0" fontId="0" fillId="10" borderId="26" xfId="0" applyFill="1" applyBorder="1"/>
    <xf numFmtId="0" fontId="0" fillId="10" borderId="21" xfId="0" applyFill="1" applyBorder="1"/>
    <xf numFmtId="0" fontId="0" fillId="10" borderId="0" xfId="0" applyFill="1" applyAlignment="1">
      <alignment horizontal="right"/>
    </xf>
    <xf numFmtId="168" fontId="5" fillId="2" borderId="0" xfId="0" applyNumberFormat="1" applyFont="1" applyFill="1" applyAlignment="1"/>
    <xf numFmtId="0" fontId="0" fillId="0" borderId="1" xfId="0" applyBorder="1"/>
    <xf numFmtId="0" fontId="0" fillId="0" borderId="7" xfId="0" applyBorder="1"/>
    <xf numFmtId="0" fontId="0" fillId="0" borderId="5" xfId="0" applyBorder="1"/>
    <xf numFmtId="0" fontId="0" fillId="0" borderId="37" xfId="0" applyBorder="1"/>
    <xf numFmtId="0" fontId="0" fillId="0" borderId="38" xfId="0" applyBorder="1"/>
    <xf numFmtId="0" fontId="5" fillId="2" borderId="16" xfId="0" applyFont="1" applyFill="1" applyBorder="1" applyAlignment="1"/>
    <xf numFmtId="0" fontId="5" fillId="2" borderId="25" xfId="0" applyFont="1" applyFill="1" applyBorder="1" applyAlignment="1"/>
    <xf numFmtId="0" fontId="5" fillId="2" borderId="17" xfId="0" applyFont="1" applyFill="1" applyBorder="1" applyAlignment="1"/>
    <xf numFmtId="0" fontId="5" fillId="2" borderId="18" xfId="0" applyFont="1" applyFill="1" applyBorder="1" applyAlignment="1"/>
    <xf numFmtId="0" fontId="5" fillId="2" borderId="0" xfId="0" applyFont="1" applyFill="1" applyBorder="1" applyAlignment="1"/>
    <xf numFmtId="0" fontId="5" fillId="2" borderId="19" xfId="0" applyFont="1" applyFill="1" applyBorder="1" applyAlignment="1"/>
    <xf numFmtId="2" fontId="5" fillId="2" borderId="0" xfId="0" applyNumberFormat="1" applyFont="1" applyFill="1" applyBorder="1" applyAlignment="1"/>
    <xf numFmtId="168" fontId="5" fillId="2" borderId="0" xfId="0" applyNumberFormat="1" applyFont="1" applyFill="1" applyBorder="1" applyAlignment="1"/>
    <xf numFmtId="0" fontId="5" fillId="2" borderId="20" xfId="0" applyFont="1" applyFill="1" applyBorder="1" applyAlignment="1"/>
    <xf numFmtId="0" fontId="5" fillId="2" borderId="26" xfId="0" applyFont="1" applyFill="1" applyBorder="1" applyAlignment="1"/>
    <xf numFmtId="2" fontId="5" fillId="2" borderId="26" xfId="0" applyNumberFormat="1" applyFont="1" applyFill="1" applyBorder="1" applyAlignment="1"/>
    <xf numFmtId="168" fontId="5" fillId="2" borderId="26" xfId="0" applyNumberFormat="1" applyFont="1" applyFill="1" applyBorder="1" applyAlignment="1"/>
    <xf numFmtId="0" fontId="5" fillId="2" borderId="21" xfId="0" applyFont="1" applyFill="1" applyBorder="1" applyAlignment="1"/>
    <xf numFmtId="164" fontId="5" fillId="2" borderId="18" xfId="0" applyNumberFormat="1" applyFont="1" applyFill="1" applyBorder="1" applyAlignment="1"/>
    <xf numFmtId="2" fontId="5" fillId="2" borderId="19" xfId="0" applyNumberFormat="1" applyFont="1" applyFill="1" applyBorder="1" applyAlignment="1"/>
    <xf numFmtId="164" fontId="5" fillId="2" borderId="20" xfId="0" applyNumberFormat="1" applyFont="1" applyFill="1" applyBorder="1" applyAlignment="1"/>
    <xf numFmtId="2" fontId="5" fillId="2" borderId="21" xfId="0" applyNumberFormat="1" applyFont="1" applyFill="1" applyBorder="1" applyAlignment="1"/>
    <xf numFmtId="2" fontId="5" fillId="2" borderId="18" xfId="0" applyNumberFormat="1" applyFont="1" applyFill="1" applyBorder="1" applyAlignment="1"/>
    <xf numFmtId="2" fontId="5" fillId="2" borderId="20" xfId="0" applyNumberFormat="1" applyFont="1" applyFill="1" applyBorder="1" applyAlignment="1"/>
    <xf numFmtId="169" fontId="5" fillId="2" borderId="19" xfId="0" applyNumberFormat="1" applyFont="1" applyFill="1" applyBorder="1" applyAlignment="1"/>
    <xf numFmtId="169" fontId="5" fillId="2" borderId="21" xfId="0" applyNumberFormat="1" applyFont="1" applyFill="1" applyBorder="1" applyAlignment="1"/>
    <xf numFmtId="164" fontId="5" fillId="2" borderId="16" xfId="0" applyNumberFormat="1" applyFont="1" applyFill="1" applyBorder="1" applyAlignment="1"/>
    <xf numFmtId="2" fontId="5" fillId="2" borderId="25" xfId="0" applyNumberFormat="1" applyFont="1" applyFill="1" applyBorder="1" applyAlignment="1"/>
    <xf numFmtId="2" fontId="5" fillId="2" borderId="17" xfId="0" applyNumberFormat="1" applyFont="1" applyFill="1" applyBorder="1" applyAlignment="1"/>
    <xf numFmtId="2" fontId="5" fillId="2" borderId="16" xfId="0" applyNumberFormat="1" applyFont="1" applyFill="1" applyBorder="1" applyAlignment="1"/>
    <xf numFmtId="168" fontId="5" fillId="2" borderId="25" xfId="0" applyNumberFormat="1" applyFont="1" applyFill="1" applyBorder="1" applyAlignment="1"/>
    <xf numFmtId="169" fontId="5" fillId="2" borderId="17" xfId="0" applyNumberFormat="1" applyFont="1" applyFill="1" applyBorder="1" applyAlignment="1"/>
    <xf numFmtId="1" fontId="0" fillId="0" borderId="18" xfId="0" applyNumberFormat="1" applyBorder="1"/>
    <xf numFmtId="1" fontId="0" fillId="0" borderId="20" xfId="0" applyNumberFormat="1" applyBorder="1"/>
    <xf numFmtId="0" fontId="0" fillId="0" borderId="39" xfId="0" applyBorder="1"/>
    <xf numFmtId="1" fontId="4" fillId="2" borderId="25" xfId="0" applyNumberFormat="1" applyFont="1" applyFill="1" applyBorder="1" applyAlignment="1"/>
    <xf numFmtId="165" fontId="4" fillId="2" borderId="27" xfId="0" applyNumberFormat="1" applyFont="1" applyFill="1" applyBorder="1" applyAlignment="1"/>
    <xf numFmtId="1" fontId="4" fillId="2" borderId="27" xfId="0" applyNumberFormat="1" applyFont="1" applyFill="1" applyBorder="1" applyAlignment="1"/>
    <xf numFmtId="0" fontId="0" fillId="11" borderId="16" xfId="0" applyFill="1" applyBorder="1"/>
    <xf numFmtId="0" fontId="0" fillId="11" borderId="25" xfId="0" applyFill="1" applyBorder="1"/>
    <xf numFmtId="0" fontId="0" fillId="11" borderId="17" xfId="0" applyFill="1" applyBorder="1"/>
    <xf numFmtId="165" fontId="11" fillId="8" borderId="19" xfId="2" applyNumberFormat="1" applyFont="1" applyFill="1" applyBorder="1" applyAlignment="1"/>
    <xf numFmtId="0" fontId="0" fillId="0" borderId="0" xfId="0" applyFill="1" applyBorder="1"/>
    <xf numFmtId="0" fontId="14" fillId="14" borderId="3" xfId="5" applyBorder="1"/>
    <xf numFmtId="0" fontId="13" fillId="13" borderId="0" xfId="4" applyBorder="1"/>
    <xf numFmtId="0" fontId="13" fillId="13" borderId="41" xfId="4" applyBorder="1"/>
    <xf numFmtId="0" fontId="13" fillId="13" borderId="42" xfId="4" applyBorder="1"/>
    <xf numFmtId="0" fontId="13" fillId="13" borderId="43" xfId="4" applyBorder="1"/>
    <xf numFmtId="0" fontId="12" fillId="12" borderId="45" xfId="3" applyBorder="1"/>
    <xf numFmtId="0" fontId="12" fillId="12" borderId="46" xfId="3" applyBorder="1"/>
    <xf numFmtId="0" fontId="13" fillId="13" borderId="48" xfId="4" applyBorder="1"/>
    <xf numFmtId="0" fontId="13" fillId="13" borderId="49" xfId="4" applyBorder="1"/>
    <xf numFmtId="170" fontId="4" fillId="2" borderId="0" xfId="0" applyNumberFormat="1" applyFont="1" applyFill="1" applyBorder="1" applyAlignment="1"/>
    <xf numFmtId="165" fontId="4" fillId="2" borderId="0" xfId="0" applyNumberFormat="1" applyFont="1" applyFill="1" applyBorder="1" applyAlignment="1">
      <alignment wrapText="1"/>
    </xf>
    <xf numFmtId="0" fontId="14" fillId="14" borderId="0" xfId="5" applyBorder="1"/>
    <xf numFmtId="0" fontId="12" fillId="12" borderId="0" xfId="3" applyBorder="1"/>
    <xf numFmtId="170" fontId="4" fillId="2" borderId="18" xfId="0" applyNumberFormat="1" applyFont="1" applyFill="1" applyBorder="1" applyAlignment="1"/>
    <xf numFmtId="170" fontId="4" fillId="2" borderId="20" xfId="0" applyNumberFormat="1" applyFont="1" applyFill="1" applyBorder="1" applyAlignment="1"/>
    <xf numFmtId="170" fontId="4" fillId="2" borderId="39" xfId="0" applyNumberFormat="1" applyFont="1" applyFill="1" applyBorder="1" applyAlignment="1"/>
    <xf numFmtId="170" fontId="4" fillId="2" borderId="37" xfId="0" applyNumberFormat="1" applyFont="1" applyFill="1" applyBorder="1" applyAlignment="1"/>
    <xf numFmtId="170" fontId="4" fillId="2" borderId="38" xfId="0" applyNumberFormat="1" applyFont="1" applyFill="1" applyBorder="1" applyAlignment="1"/>
    <xf numFmtId="170" fontId="4" fillId="2" borderId="37" xfId="0" applyNumberFormat="1" applyFont="1" applyFill="1" applyBorder="1" applyAlignment="1">
      <alignment horizontal="center"/>
    </xf>
    <xf numFmtId="170" fontId="4" fillId="2" borderId="23" xfId="0" applyNumberFormat="1" applyFont="1" applyFill="1" applyBorder="1" applyAlignment="1"/>
    <xf numFmtId="1" fontId="4" fillId="2" borderId="0" xfId="0" applyNumberFormat="1" applyFont="1" applyFill="1" applyBorder="1" applyAlignment="1">
      <alignment horizontal="left"/>
    </xf>
    <xf numFmtId="1" fontId="4" fillId="2" borderId="26" xfId="0" applyNumberFormat="1" applyFont="1" applyFill="1" applyBorder="1" applyAlignment="1">
      <alignment horizontal="left"/>
    </xf>
    <xf numFmtId="170" fontId="4" fillId="2" borderId="0" xfId="0" applyNumberFormat="1" applyFont="1" applyFill="1" applyBorder="1" applyAlignment="1">
      <alignment horizontal="right"/>
    </xf>
    <xf numFmtId="170" fontId="4" fillId="2" borderId="19" xfId="0" applyNumberFormat="1" applyFont="1" applyFill="1" applyBorder="1" applyAlignment="1">
      <alignment horizontal="right"/>
    </xf>
    <xf numFmtId="164" fontId="4" fillId="2" borderId="19" xfId="0" applyNumberFormat="1" applyFont="1" applyFill="1" applyBorder="1" applyAlignment="1">
      <alignment horizontal="right"/>
    </xf>
    <xf numFmtId="164" fontId="4" fillId="2" borderId="26" xfId="0" applyNumberFormat="1" applyFont="1" applyFill="1" applyBorder="1" applyAlignment="1">
      <alignment horizontal="right"/>
    </xf>
    <xf numFmtId="164" fontId="4" fillId="2" borderId="21" xfId="0" applyNumberFormat="1" applyFont="1" applyFill="1" applyBorder="1" applyAlignment="1">
      <alignment horizontal="right"/>
    </xf>
    <xf numFmtId="170" fontId="4" fillId="2" borderId="0" xfId="0" applyNumberFormat="1" applyFont="1" applyFill="1" applyBorder="1" applyAlignment="1">
      <alignment horizontal="left"/>
    </xf>
    <xf numFmtId="170" fontId="4" fillId="2" borderId="27" xfId="0" applyNumberFormat="1" applyFont="1" applyFill="1" applyBorder="1" applyAlignment="1"/>
    <xf numFmtId="170" fontId="4" fillId="2" borderId="37" xfId="0" applyNumberFormat="1" applyFont="1" applyFill="1" applyBorder="1" applyAlignment="1">
      <alignment horizontal="right"/>
    </xf>
    <xf numFmtId="170" fontId="4" fillId="2" borderId="38" xfId="0" applyNumberFormat="1" applyFont="1" applyFill="1" applyBorder="1" applyAlignment="1">
      <alignment horizontal="right"/>
    </xf>
    <xf numFmtId="170" fontId="4" fillId="2" borderId="19" xfId="0" applyNumberFormat="1" applyFont="1" applyFill="1" applyBorder="1" applyAlignment="1">
      <alignment horizontal="left"/>
    </xf>
    <xf numFmtId="170" fontId="4" fillId="2" borderId="21" xfId="0" applyNumberFormat="1" applyFont="1" applyFill="1" applyBorder="1" applyAlignment="1">
      <alignment horizontal="left"/>
    </xf>
    <xf numFmtId="170" fontId="4" fillId="2" borderId="18" xfId="0" applyNumberFormat="1" applyFont="1" applyFill="1" applyBorder="1" applyAlignment="1">
      <alignment horizontal="right"/>
    </xf>
    <xf numFmtId="0" fontId="0" fillId="0" borderId="0" xfId="0" applyAlignment="1"/>
    <xf numFmtId="0" fontId="14" fillId="14" borderId="0" xfId="5" applyBorder="1" applyAlignment="1">
      <alignment horizontal="right"/>
    </xf>
    <xf numFmtId="0" fontId="12" fillId="12" borderId="0" xfId="3" applyBorder="1" applyAlignment="1">
      <alignment horizontal="right"/>
    </xf>
    <xf numFmtId="0" fontId="13" fillId="13" borderId="0" xfId="4" applyBorder="1" applyAlignment="1">
      <alignment horizontal="right"/>
    </xf>
    <xf numFmtId="0" fontId="12" fillId="12" borderId="6" xfId="3" applyBorder="1" applyAlignment="1">
      <alignment horizontal="right"/>
    </xf>
    <xf numFmtId="0" fontId="12" fillId="12" borderId="7" xfId="3" applyBorder="1" applyAlignment="1">
      <alignment horizontal="right"/>
    </xf>
    <xf numFmtId="0" fontId="14" fillId="14" borderId="50" xfId="5" applyBorder="1" applyAlignment="1">
      <alignment horizontal="right"/>
    </xf>
    <xf numFmtId="0" fontId="14" fillId="14" borderId="10" xfId="5" applyBorder="1" applyAlignment="1">
      <alignment horizontal="right"/>
    </xf>
    <xf numFmtId="0" fontId="12" fillId="12" borderId="12" xfId="3" applyBorder="1" applyAlignment="1">
      <alignment horizontal="right" wrapText="1"/>
    </xf>
    <xf numFmtId="0" fontId="12" fillId="12" borderId="10" xfId="3" applyBorder="1" applyAlignment="1">
      <alignment horizontal="right"/>
    </xf>
    <xf numFmtId="0" fontId="12" fillId="12" borderId="47" xfId="3" applyBorder="1" applyAlignment="1">
      <alignment horizontal="right"/>
    </xf>
    <xf numFmtId="0" fontId="14" fillId="14" borderId="40" xfId="5" applyBorder="1" applyAlignment="1">
      <alignment horizontal="right"/>
    </xf>
    <xf numFmtId="0" fontId="14" fillId="14" borderId="51" xfId="5" applyBorder="1" applyAlignment="1">
      <alignment horizontal="right"/>
    </xf>
    <xf numFmtId="0" fontId="12" fillId="12" borderId="44" xfId="3" applyBorder="1" applyAlignment="1">
      <alignment horizontal="right"/>
    </xf>
    <xf numFmtId="0" fontId="12" fillId="12" borderId="0" xfId="3" applyBorder="1" applyAlignment="1">
      <alignment horizontal="right" wrapText="1"/>
    </xf>
    <xf numFmtId="0" fontId="14" fillId="14" borderId="18" xfId="5" applyBorder="1" applyAlignment="1">
      <alignment horizontal="right"/>
    </xf>
    <xf numFmtId="0" fontId="13" fillId="13" borderId="19" xfId="4" applyBorder="1"/>
    <xf numFmtId="0" fontId="13" fillId="13" borderId="19" xfId="4" applyBorder="1" applyAlignment="1">
      <alignment horizontal="right"/>
    </xf>
    <xf numFmtId="0" fontId="12" fillId="12" borderId="18" xfId="3" applyBorder="1" applyAlignment="1">
      <alignment horizontal="right"/>
    </xf>
    <xf numFmtId="0" fontId="12" fillId="12" borderId="19" xfId="3" applyBorder="1" applyAlignment="1">
      <alignment horizontal="right"/>
    </xf>
    <xf numFmtId="0" fontId="12" fillId="12" borderId="20" xfId="3" applyBorder="1" applyAlignment="1">
      <alignment horizontal="right"/>
    </xf>
    <xf numFmtId="0" fontId="12" fillId="12" borderId="26" xfId="3" applyBorder="1" applyAlignment="1">
      <alignment horizontal="right"/>
    </xf>
    <xf numFmtId="0" fontId="13" fillId="13" borderId="26" xfId="4" applyBorder="1"/>
    <xf numFmtId="0" fontId="13" fillId="13" borderId="21" xfId="4" applyBorder="1"/>
    <xf numFmtId="0" fontId="14" fillId="14" borderId="16" xfId="5" applyBorder="1" applyAlignment="1">
      <alignment horizontal="left"/>
    </xf>
    <xf numFmtId="0" fontId="14" fillId="14" borderId="25" xfId="5" applyBorder="1" applyAlignment="1">
      <alignment horizontal="right"/>
    </xf>
    <xf numFmtId="0" fontId="13" fillId="13" borderId="25" xfId="4" applyBorder="1"/>
    <xf numFmtId="0" fontId="13" fillId="13" borderId="17" xfId="4" applyBorder="1"/>
    <xf numFmtId="2" fontId="4" fillId="2" borderId="19" xfId="0" applyNumberFormat="1" applyFont="1" applyFill="1" applyBorder="1" applyAlignment="1">
      <alignment horizontal="left"/>
    </xf>
    <xf numFmtId="170" fontId="4" fillId="2" borderId="16" xfId="0" applyNumberFormat="1" applyFont="1" applyFill="1" applyBorder="1" applyAlignment="1">
      <alignment horizontal="right"/>
    </xf>
    <xf numFmtId="170" fontId="4" fillId="2" borderId="20" xfId="0" applyNumberFormat="1" applyFont="1" applyFill="1" applyBorder="1" applyAlignment="1">
      <alignment horizontal="right"/>
    </xf>
    <xf numFmtId="2" fontId="4" fillId="2" borderId="0" xfId="0" applyNumberFormat="1" applyFont="1" applyFill="1" applyBorder="1" applyAlignment="1">
      <alignment horizontal="left"/>
    </xf>
    <xf numFmtId="2" fontId="4" fillId="2" borderId="16" xfId="0" applyNumberFormat="1" applyFont="1" applyFill="1" applyBorder="1" applyAlignment="1">
      <alignment horizontal="right"/>
    </xf>
    <xf numFmtId="170" fontId="4" fillId="2" borderId="17" xfId="0" applyNumberFormat="1" applyFont="1" applyFill="1" applyBorder="1" applyAlignment="1">
      <alignment horizontal="left"/>
    </xf>
    <xf numFmtId="2" fontId="4" fillId="2" borderId="18" xfId="0" applyNumberFormat="1" applyFont="1" applyFill="1" applyBorder="1" applyAlignment="1">
      <alignment horizontal="right"/>
    </xf>
    <xf numFmtId="2" fontId="4" fillId="2" borderId="18" xfId="0" applyNumberFormat="1" applyFont="1" applyFill="1" applyBorder="1" applyAlignment="1">
      <alignment horizontal="left"/>
    </xf>
    <xf numFmtId="2" fontId="4" fillId="2" borderId="20" xfId="0" applyNumberFormat="1" applyFont="1" applyFill="1" applyBorder="1" applyAlignment="1">
      <alignment horizontal="right"/>
    </xf>
    <xf numFmtId="2" fontId="4" fillId="2" borderId="21" xfId="0" applyNumberFormat="1" applyFont="1" applyFill="1" applyBorder="1" applyAlignment="1">
      <alignment horizontal="left"/>
    </xf>
    <xf numFmtId="2" fontId="4" fillId="2" borderId="16" xfId="0" applyNumberFormat="1" applyFont="1" applyFill="1" applyBorder="1" applyAlignment="1">
      <alignment horizontal="left"/>
    </xf>
    <xf numFmtId="2" fontId="4" fillId="2" borderId="25" xfId="0" applyNumberFormat="1" applyFont="1" applyFill="1" applyBorder="1" applyAlignment="1">
      <alignment horizontal="left"/>
    </xf>
    <xf numFmtId="2" fontId="4" fillId="2" borderId="17" xfId="0" applyNumberFormat="1" applyFont="1" applyFill="1" applyBorder="1" applyAlignment="1">
      <alignment horizontal="left"/>
    </xf>
    <xf numFmtId="2" fontId="4" fillId="2" borderId="20" xfId="0" applyNumberFormat="1" applyFont="1" applyFill="1" applyBorder="1" applyAlignment="1">
      <alignment horizontal="left"/>
    </xf>
    <xf numFmtId="2" fontId="4" fillId="2" borderId="26" xfId="0" applyNumberFormat="1" applyFont="1" applyFill="1" applyBorder="1" applyAlignment="1">
      <alignment horizontal="left"/>
    </xf>
    <xf numFmtId="2" fontId="4" fillId="2" borderId="27" xfId="0" applyNumberFormat="1" applyFont="1" applyFill="1" applyBorder="1" applyAlignment="1">
      <alignment horizontal="left"/>
    </xf>
    <xf numFmtId="165" fontId="4" fillId="2" borderId="8" xfId="0" applyNumberFormat="1" applyFont="1" applyFill="1" applyBorder="1" applyAlignment="1">
      <alignment horizontal="center"/>
    </xf>
    <xf numFmtId="165" fontId="4" fillId="2" borderId="11" xfId="0" applyNumberFormat="1" applyFont="1" applyFill="1" applyBorder="1" applyAlignment="1">
      <alignment horizontal="center"/>
    </xf>
    <xf numFmtId="165" fontId="4" fillId="2" borderId="12" xfId="0" applyNumberFormat="1" applyFont="1" applyFill="1" applyBorder="1" applyAlignment="1">
      <alignment horizontal="center"/>
    </xf>
    <xf numFmtId="0" fontId="0" fillId="0" borderId="0" xfId="0" applyBorder="1"/>
    <xf numFmtId="0" fontId="0" fillId="0" borderId="19" xfId="0" applyBorder="1"/>
    <xf numFmtId="0" fontId="0" fillId="0" borderId="26" xfId="0" applyBorder="1"/>
    <xf numFmtId="0" fontId="0" fillId="0" borderId="21" xfId="0" applyBorder="1"/>
    <xf numFmtId="0" fontId="0" fillId="0" borderId="37" xfId="0" applyBorder="1"/>
    <xf numFmtId="0" fontId="0" fillId="0" borderId="38" xfId="0" applyBorder="1"/>
    <xf numFmtId="0" fontId="0" fillId="0" borderId="37" xfId="0" applyBorder="1" applyAlignment="1">
      <alignment horizontal="left"/>
    </xf>
    <xf numFmtId="0" fontId="0" fillId="0" borderId="38" xfId="0" applyBorder="1" applyAlignment="1">
      <alignment horizontal="left"/>
    </xf>
    <xf numFmtId="0" fontId="0" fillId="0" borderId="28" xfId="0" applyBorder="1" applyAlignment="1">
      <alignment horizontal="center"/>
    </xf>
    <xf numFmtId="0" fontId="0" fillId="0" borderId="29"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6" xfId="0" applyBorder="1" applyAlignment="1">
      <alignment horizontal="center"/>
    </xf>
    <xf numFmtId="0" fontId="0" fillId="0" borderId="21" xfId="0" applyBorder="1" applyAlignment="1">
      <alignment horizontal="center"/>
    </xf>
  </cellXfs>
  <cellStyles count="6">
    <cellStyle name="Bad" xfId="4" builtinId="27"/>
    <cellStyle name="Good" xfId="3" builtinId="26"/>
    <cellStyle name="Hyperlink" xfId="1" builtinId="8"/>
    <cellStyle name="Neutral" xfId="5" builtinId="28"/>
    <cellStyle name="Normal" xfId="0" builtinId="0"/>
    <cellStyle name="Normal_Check range changed" xfId="2"/>
  </cellStyles>
  <dxfs count="5">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F8E43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'Bullet velocity'!$F$22</c:f>
              <c:strCache>
                <c:ptCount val="1"/>
                <c:pt idx="0">
                  <c:v>v [m/s]</c:v>
                </c:pt>
              </c:strCache>
            </c:strRef>
          </c:tx>
          <c:xVal>
            <c:numRef>
              <c:f>'Bullet velocity'!$E$23:$E$38</c:f>
              <c:numCache>
                <c:formatCode>General</c:formatCode>
                <c:ptCount val="16"/>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numCache>
            </c:numRef>
          </c:xVal>
          <c:yVal>
            <c:numRef>
              <c:f>'Bullet velocity'!$F$23:$F$38</c:f>
              <c:numCache>
                <c:formatCode>0</c:formatCode>
                <c:ptCount val="16"/>
                <c:pt idx="0">
                  <c:v>740</c:v>
                </c:pt>
                <c:pt idx="1">
                  <c:v>681.61424024823043</c:v>
                </c:pt>
                <c:pt idx="2">
                  <c:v>625.62739825265612</c:v>
                </c:pt>
                <c:pt idx="3">
                  <c:v>572.03947401327719</c:v>
                </c:pt>
                <c:pt idx="4">
                  <c:v>520.85046753009351</c:v>
                </c:pt>
                <c:pt idx="5">
                  <c:v>472.06037880310544</c:v>
                </c:pt>
                <c:pt idx="6">
                  <c:v>425.66982891327359</c:v>
                </c:pt>
                <c:pt idx="7">
                  <c:v>382.84336652095004</c:v>
                </c:pt>
                <c:pt idx="8">
                  <c:v>346.01352056404073</c:v>
                </c:pt>
                <c:pt idx="9">
                  <c:v>319.57303768330524</c:v>
                </c:pt>
                <c:pt idx="10">
                  <c:v>299.71972971296611</c:v>
                </c:pt>
                <c:pt idx="11">
                  <c:v>284.03056882823711</c:v>
                </c:pt>
                <c:pt idx="12">
                  <c:v>271.12911419992258</c:v>
                </c:pt>
                <c:pt idx="13">
                  <c:v>259.26799385241389</c:v>
                </c:pt>
                <c:pt idx="14">
                  <c:v>247.92576346739867</c:v>
                </c:pt>
                <c:pt idx="15">
                  <c:v>237.07972309872613</c:v>
                </c:pt>
              </c:numCache>
            </c:numRef>
          </c:yVal>
          <c:smooth val="0"/>
        </c:ser>
        <c:dLbls>
          <c:showLegendKey val="0"/>
          <c:showVal val="0"/>
          <c:showCatName val="0"/>
          <c:showSerName val="0"/>
          <c:showPercent val="0"/>
          <c:showBubbleSize val="0"/>
        </c:dLbls>
        <c:axId val="207474688"/>
        <c:axId val="207476224"/>
      </c:scatterChart>
      <c:valAx>
        <c:axId val="207474688"/>
        <c:scaling>
          <c:orientation val="minMax"/>
        </c:scaling>
        <c:delete val="0"/>
        <c:axPos val="b"/>
        <c:numFmt formatCode="General" sourceLinked="1"/>
        <c:majorTickMark val="out"/>
        <c:minorTickMark val="none"/>
        <c:tickLblPos val="nextTo"/>
        <c:crossAx val="207476224"/>
        <c:crosses val="autoZero"/>
        <c:crossBetween val="midCat"/>
      </c:valAx>
      <c:valAx>
        <c:axId val="207476224"/>
        <c:scaling>
          <c:orientation val="minMax"/>
        </c:scaling>
        <c:delete val="0"/>
        <c:axPos val="l"/>
        <c:majorGridlines/>
        <c:numFmt formatCode="0" sourceLinked="1"/>
        <c:majorTickMark val="out"/>
        <c:minorTickMark val="none"/>
        <c:tickLblPos val="nextTo"/>
        <c:crossAx val="207474688"/>
        <c:crosses val="autoZero"/>
        <c:crossBetween val="midCat"/>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n150</c:v>
          </c:tx>
          <c:xVal>
            <c:numRef>
              <c:f>Interpolation!$D$14:$H$14</c:f>
              <c:numCache>
                <c:formatCode>General</c:formatCode>
                <c:ptCount val="5"/>
                <c:pt idx="0">
                  <c:v>2200</c:v>
                </c:pt>
                <c:pt idx="1">
                  <c:v>2300</c:v>
                </c:pt>
                <c:pt idx="2">
                  <c:v>2400</c:v>
                </c:pt>
                <c:pt idx="3">
                  <c:v>2500</c:v>
                </c:pt>
                <c:pt idx="4">
                  <c:v>2600</c:v>
                </c:pt>
              </c:numCache>
            </c:numRef>
          </c:xVal>
          <c:yVal>
            <c:numRef>
              <c:f>Interpolation!$D$18:$H$18</c:f>
              <c:numCache>
                <c:formatCode>General</c:formatCode>
                <c:ptCount val="5"/>
                <c:pt idx="0">
                  <c:v>35.5</c:v>
                </c:pt>
                <c:pt idx="1">
                  <c:v>37.6</c:v>
                </c:pt>
                <c:pt idx="2">
                  <c:v>39.700000000000003</c:v>
                </c:pt>
                <c:pt idx="3">
                  <c:v>41.8</c:v>
                </c:pt>
              </c:numCache>
            </c:numRef>
          </c:yVal>
          <c:smooth val="0"/>
        </c:ser>
        <c:ser>
          <c:idx val="1"/>
          <c:order val="1"/>
          <c:tx>
            <c:v>n550</c:v>
          </c:tx>
          <c:xVal>
            <c:numRef>
              <c:f>Interpolation!$D$14:$H$14</c:f>
              <c:numCache>
                <c:formatCode>General</c:formatCode>
                <c:ptCount val="5"/>
                <c:pt idx="0">
                  <c:v>2200</c:v>
                </c:pt>
                <c:pt idx="1">
                  <c:v>2300</c:v>
                </c:pt>
                <c:pt idx="2">
                  <c:v>2400</c:v>
                </c:pt>
                <c:pt idx="3">
                  <c:v>2500</c:v>
                </c:pt>
                <c:pt idx="4">
                  <c:v>2600</c:v>
                </c:pt>
              </c:numCache>
            </c:numRef>
          </c:xVal>
          <c:yVal>
            <c:numRef>
              <c:f>Interpolation!$D$19:$H$19</c:f>
              <c:numCache>
                <c:formatCode>General</c:formatCode>
                <c:ptCount val="5"/>
                <c:pt idx="0">
                  <c:v>38.299999999999997</c:v>
                </c:pt>
                <c:pt idx="1">
                  <c:v>40.1</c:v>
                </c:pt>
                <c:pt idx="2">
                  <c:v>41.9</c:v>
                </c:pt>
                <c:pt idx="3">
                  <c:v>43.7</c:v>
                </c:pt>
                <c:pt idx="4">
                  <c:v>45.5</c:v>
                </c:pt>
              </c:numCache>
            </c:numRef>
          </c:yVal>
          <c:smooth val="0"/>
        </c:ser>
        <c:dLbls>
          <c:showLegendKey val="0"/>
          <c:showVal val="0"/>
          <c:showCatName val="0"/>
          <c:showSerName val="0"/>
          <c:showPercent val="0"/>
          <c:showBubbleSize val="0"/>
        </c:dLbls>
        <c:axId val="208343040"/>
        <c:axId val="208344576"/>
      </c:scatterChart>
      <c:valAx>
        <c:axId val="208343040"/>
        <c:scaling>
          <c:orientation val="minMax"/>
        </c:scaling>
        <c:delete val="0"/>
        <c:axPos val="b"/>
        <c:numFmt formatCode="General" sourceLinked="1"/>
        <c:majorTickMark val="out"/>
        <c:minorTickMark val="none"/>
        <c:tickLblPos val="nextTo"/>
        <c:crossAx val="208344576"/>
        <c:crosses val="autoZero"/>
        <c:crossBetween val="midCat"/>
      </c:valAx>
      <c:valAx>
        <c:axId val="208344576"/>
        <c:scaling>
          <c:orientation val="minMax"/>
          <c:min val="30"/>
        </c:scaling>
        <c:delete val="0"/>
        <c:axPos val="l"/>
        <c:majorGridlines/>
        <c:numFmt formatCode="General" sourceLinked="1"/>
        <c:majorTickMark val="out"/>
        <c:minorTickMark val="none"/>
        <c:tickLblPos val="nextTo"/>
        <c:crossAx val="208343040"/>
        <c:crosses val="autoZero"/>
        <c:crossBetween val="midCat"/>
      </c:valAx>
    </c:plotArea>
    <c:legend>
      <c:legendPos val="r"/>
      <c:overlay val="0"/>
    </c:legend>
    <c:plotVisOnly val="1"/>
    <c:dispBlanksAs val="gap"/>
    <c:showDLblsOverMax val="0"/>
  </c:chart>
  <c:printSettings>
    <c:headerFooter/>
    <c:pageMargins b="0.75000000000001055" l="0.70000000000000062" r="0.70000000000000062" t="0.750000000000010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Interpolation!$C$42</c:f>
              <c:strCache>
                <c:ptCount val="1"/>
                <c:pt idx="0">
                  <c:v>height [m]</c:v>
                </c:pt>
              </c:strCache>
            </c:strRef>
          </c:tx>
          <c:xVal>
            <c:numRef>
              <c:f>Interpolation!$B$43:$B$58</c:f>
              <c:numCache>
                <c:formatCode>0.0</c:formatCode>
                <c:ptCount val="16"/>
                <c:pt idx="0">
                  <c:v>0</c:v>
                </c:pt>
                <c:pt idx="1">
                  <c:v>5</c:v>
                </c:pt>
                <c:pt idx="2">
                  <c:v>10</c:v>
                </c:pt>
                <c:pt idx="3">
                  <c:v>15</c:v>
                </c:pt>
                <c:pt idx="4">
                  <c:v>20</c:v>
                </c:pt>
                <c:pt idx="5">
                  <c:v>25</c:v>
                </c:pt>
                <c:pt idx="6">
                  <c:v>30</c:v>
                </c:pt>
                <c:pt idx="7">
                  <c:v>35</c:v>
                </c:pt>
                <c:pt idx="8">
                  <c:v>50</c:v>
                </c:pt>
                <c:pt idx="9">
                  <c:v>100</c:v>
                </c:pt>
                <c:pt idx="10">
                  <c:v>150</c:v>
                </c:pt>
                <c:pt idx="11">
                  <c:v>200</c:v>
                </c:pt>
                <c:pt idx="12">
                  <c:v>250</c:v>
                </c:pt>
                <c:pt idx="13">
                  <c:v>300</c:v>
                </c:pt>
                <c:pt idx="14">
                  <c:v>350</c:v>
                </c:pt>
                <c:pt idx="15">
                  <c:v>400</c:v>
                </c:pt>
              </c:numCache>
            </c:numRef>
          </c:xVal>
          <c:yVal>
            <c:numRef>
              <c:f>Interpolation!$C$43:$C$58</c:f>
              <c:numCache>
                <c:formatCode>0.000</c:formatCode>
                <c:ptCount val="16"/>
                <c:pt idx="0">
                  <c:v>-0.03</c:v>
                </c:pt>
                <c:pt idx="1">
                  <c:v>-7.137640872772414E-3</c:v>
                </c:pt>
                <c:pt idx="2">
                  <c:v>1.5273381524587168E-2</c:v>
                </c:pt>
                <c:pt idx="3">
                  <c:v>3.7229407222901328E-2</c:v>
                </c:pt>
                <c:pt idx="4">
                  <c:v>5.8726739078473894E-2</c:v>
                </c:pt>
                <c:pt idx="5">
                  <c:v>7.9761642319064852E-2</c:v>
                </c:pt>
                <c:pt idx="6">
                  <c:v>0.10033034408338054</c:v>
                </c:pt>
                <c:pt idx="7">
                  <c:v>0.1204290329539848</c:v>
                </c:pt>
                <c:pt idx="8">
                  <c:v>0.17786631968976732</c:v>
                </c:pt>
                <c:pt idx="9">
                  <c:v>0.33713342955626791</c:v>
                </c:pt>
                <c:pt idx="10">
                  <c:v>0.44359227581083582</c:v>
                </c:pt>
                <c:pt idx="11">
                  <c:v>0.49256806992933666</c:v>
                </c:pt>
                <c:pt idx="12">
                  <c:v>0.4788570511856256</c:v>
                </c:pt>
                <c:pt idx="13">
                  <c:v>0.39665300025045491</c:v>
                </c:pt>
                <c:pt idx="14">
                  <c:v>0.23946156060860749</c:v>
                </c:pt>
                <c:pt idx="15">
                  <c:v>2.7755575615628914E-17</c:v>
                </c:pt>
              </c:numCache>
            </c:numRef>
          </c:yVal>
          <c:smooth val="0"/>
        </c:ser>
        <c:dLbls>
          <c:showLegendKey val="0"/>
          <c:showVal val="0"/>
          <c:showCatName val="0"/>
          <c:showSerName val="0"/>
          <c:showPercent val="0"/>
          <c:showBubbleSize val="0"/>
        </c:dLbls>
        <c:axId val="206419072"/>
        <c:axId val="206420608"/>
      </c:scatterChart>
      <c:valAx>
        <c:axId val="206419072"/>
        <c:scaling>
          <c:orientation val="minMax"/>
        </c:scaling>
        <c:delete val="0"/>
        <c:axPos val="b"/>
        <c:numFmt formatCode="0.0" sourceLinked="1"/>
        <c:majorTickMark val="out"/>
        <c:minorTickMark val="none"/>
        <c:tickLblPos val="nextTo"/>
        <c:crossAx val="206420608"/>
        <c:crosses val="autoZero"/>
        <c:crossBetween val="midCat"/>
      </c:valAx>
      <c:valAx>
        <c:axId val="206420608"/>
        <c:scaling>
          <c:orientation val="minMax"/>
        </c:scaling>
        <c:delete val="0"/>
        <c:axPos val="l"/>
        <c:majorGridlines/>
        <c:numFmt formatCode="0.000" sourceLinked="1"/>
        <c:majorTickMark val="out"/>
        <c:minorTickMark val="none"/>
        <c:tickLblPos val="nextTo"/>
        <c:crossAx val="206419072"/>
        <c:crosses val="autoZero"/>
        <c:crossBetween val="midCat"/>
      </c:valAx>
    </c:plotArea>
    <c:legend>
      <c:legendPos val="r"/>
      <c:overlay val="0"/>
    </c:legend>
    <c:plotVisOnly val="1"/>
    <c:dispBlanksAs val="gap"/>
    <c:showDLblsOverMax val="0"/>
  </c:chart>
  <c:printSettings>
    <c:headerFooter/>
    <c:pageMargins b="0.75000000000001033" l="0.70000000000000062" r="0.70000000000000062" t="0.750000000000010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Interpolation!$C$75</c:f>
              <c:strCache>
                <c:ptCount val="1"/>
                <c:pt idx="0">
                  <c:v>height [m]</c:v>
                </c:pt>
              </c:strCache>
            </c:strRef>
          </c:tx>
          <c:xVal>
            <c:numRef>
              <c:f>Interpolation!$B$76:$B$99</c:f>
              <c:numCache>
                <c:formatCode>0.0</c:formatCode>
                <c:ptCount val="24"/>
                <c:pt idx="0">
                  <c:v>0</c:v>
                </c:pt>
                <c:pt idx="1">
                  <c:v>5</c:v>
                </c:pt>
                <c:pt idx="2">
                  <c:v>10</c:v>
                </c:pt>
                <c:pt idx="3">
                  <c:v>15</c:v>
                </c:pt>
                <c:pt idx="4">
                  <c:v>20</c:v>
                </c:pt>
                <c:pt idx="5">
                  <c:v>25</c:v>
                </c:pt>
                <c:pt idx="6">
                  <c:v>30</c:v>
                </c:pt>
                <c:pt idx="7">
                  <c:v>35</c:v>
                </c:pt>
                <c:pt idx="8">
                  <c:v>50</c:v>
                </c:pt>
                <c:pt idx="9">
                  <c:v>100</c:v>
                </c:pt>
                <c:pt idx="10">
                  <c:v>150</c:v>
                </c:pt>
                <c:pt idx="11">
                  <c:v>200</c:v>
                </c:pt>
                <c:pt idx="12">
                  <c:v>250</c:v>
                </c:pt>
                <c:pt idx="13">
                  <c:v>300</c:v>
                </c:pt>
                <c:pt idx="14">
                  <c:v>350</c:v>
                </c:pt>
                <c:pt idx="15">
                  <c:v>400</c:v>
                </c:pt>
                <c:pt idx="16">
                  <c:v>450</c:v>
                </c:pt>
                <c:pt idx="17">
                  <c:v>500</c:v>
                </c:pt>
                <c:pt idx="18">
                  <c:v>550</c:v>
                </c:pt>
                <c:pt idx="19">
                  <c:v>600</c:v>
                </c:pt>
                <c:pt idx="20">
                  <c:v>650</c:v>
                </c:pt>
                <c:pt idx="21">
                  <c:v>700</c:v>
                </c:pt>
                <c:pt idx="22">
                  <c:v>750</c:v>
                </c:pt>
                <c:pt idx="23">
                  <c:v>800</c:v>
                </c:pt>
              </c:numCache>
            </c:numRef>
          </c:xVal>
          <c:yVal>
            <c:numRef>
              <c:f>Interpolation!$C$76:$C$99</c:f>
              <c:numCache>
                <c:formatCode>0.000</c:formatCode>
                <c:ptCount val="24"/>
                <c:pt idx="0">
                  <c:v>-0.03</c:v>
                </c:pt>
                <c:pt idx="1">
                  <c:v>-7.137640872772414E-3</c:v>
                </c:pt>
                <c:pt idx="2">
                  <c:v>1.5273381524587168E-2</c:v>
                </c:pt>
                <c:pt idx="3">
                  <c:v>3.7229407222901328E-2</c:v>
                </c:pt>
                <c:pt idx="4">
                  <c:v>5.8726739078473894E-2</c:v>
                </c:pt>
                <c:pt idx="5">
                  <c:v>7.9761642319064852E-2</c:v>
                </c:pt>
                <c:pt idx="6">
                  <c:v>0.10033034408338054</c:v>
                </c:pt>
                <c:pt idx="7">
                  <c:v>0.1204290329539848</c:v>
                </c:pt>
                <c:pt idx="8">
                  <c:v>0.17786631968976732</c:v>
                </c:pt>
                <c:pt idx="9">
                  <c:v>0.33713342955626791</c:v>
                </c:pt>
                <c:pt idx="10">
                  <c:v>0.44359227581083582</c:v>
                </c:pt>
                <c:pt idx="11">
                  <c:v>0.49256806992933666</c:v>
                </c:pt>
                <c:pt idx="12">
                  <c:v>0.4788570511856256</c:v>
                </c:pt>
                <c:pt idx="13">
                  <c:v>0.39665300025045491</c:v>
                </c:pt>
                <c:pt idx="14">
                  <c:v>0.23946156060860749</c:v>
                </c:pt>
                <c:pt idx="15">
                  <c:v>2.7755575615628914E-17</c:v>
                </c:pt>
                <c:pt idx="16">
                  <c:v>-0.32992048607248203</c:v>
                </c:pt>
                <c:pt idx="17">
                  <c:v>-0.75953349214314092</c:v>
                </c:pt>
                <c:pt idx="18">
                  <c:v>-1.2992815448853106</c:v>
                </c:pt>
                <c:pt idx="19">
                  <c:v>-1.9610111377725812</c:v>
                </c:pt>
                <c:pt idx="20">
                  <c:v>-2.7581851030653755</c:v>
                </c:pt>
                <c:pt idx="21">
                  <c:v>-3.7059412507723777</c:v>
                </c:pt>
                <c:pt idx="22">
                  <c:v>-4.8211242860668717</c:v>
                </c:pt>
                <c:pt idx="23">
                  <c:v>-6.1222461989004868</c:v>
                </c:pt>
              </c:numCache>
            </c:numRef>
          </c:yVal>
          <c:smooth val="0"/>
        </c:ser>
        <c:ser>
          <c:idx val="1"/>
          <c:order val="1"/>
          <c:tx>
            <c:strRef>
              <c:f>Interpolation!$D$75</c:f>
              <c:strCache>
                <c:ptCount val="1"/>
                <c:pt idx="0">
                  <c:v>Extrapolated</c:v>
                </c:pt>
              </c:strCache>
            </c:strRef>
          </c:tx>
          <c:xVal>
            <c:numRef>
              <c:f>Interpolation!$B$76:$B$99</c:f>
              <c:numCache>
                <c:formatCode>0.0</c:formatCode>
                <c:ptCount val="24"/>
                <c:pt idx="0">
                  <c:v>0</c:v>
                </c:pt>
                <c:pt idx="1">
                  <c:v>5</c:v>
                </c:pt>
                <c:pt idx="2">
                  <c:v>10</c:v>
                </c:pt>
                <c:pt idx="3">
                  <c:v>15</c:v>
                </c:pt>
                <c:pt idx="4">
                  <c:v>20</c:v>
                </c:pt>
                <c:pt idx="5">
                  <c:v>25</c:v>
                </c:pt>
                <c:pt idx="6">
                  <c:v>30</c:v>
                </c:pt>
                <c:pt idx="7">
                  <c:v>35</c:v>
                </c:pt>
                <c:pt idx="8">
                  <c:v>50</c:v>
                </c:pt>
                <c:pt idx="9">
                  <c:v>100</c:v>
                </c:pt>
                <c:pt idx="10">
                  <c:v>150</c:v>
                </c:pt>
                <c:pt idx="11">
                  <c:v>200</c:v>
                </c:pt>
                <c:pt idx="12">
                  <c:v>250</c:v>
                </c:pt>
                <c:pt idx="13">
                  <c:v>300</c:v>
                </c:pt>
                <c:pt idx="14">
                  <c:v>350</c:v>
                </c:pt>
                <c:pt idx="15">
                  <c:v>400</c:v>
                </c:pt>
                <c:pt idx="16">
                  <c:v>450</c:v>
                </c:pt>
                <c:pt idx="17">
                  <c:v>500</c:v>
                </c:pt>
                <c:pt idx="18">
                  <c:v>550</c:v>
                </c:pt>
                <c:pt idx="19">
                  <c:v>600</c:v>
                </c:pt>
                <c:pt idx="20">
                  <c:v>650</c:v>
                </c:pt>
                <c:pt idx="21">
                  <c:v>700</c:v>
                </c:pt>
                <c:pt idx="22">
                  <c:v>750</c:v>
                </c:pt>
                <c:pt idx="23">
                  <c:v>800</c:v>
                </c:pt>
              </c:numCache>
            </c:numRef>
          </c:xVal>
          <c:yVal>
            <c:numRef>
              <c:f>Interpolation!$D$76:$D$99</c:f>
              <c:numCache>
                <c:formatCode>General</c:formatCode>
                <c:ptCount val="24"/>
                <c:pt idx="16" formatCode="0.000">
                  <c:v>-0.329802789580317</c:v>
                </c:pt>
                <c:pt idx="17" formatCode="0.000">
                  <c:v>-0.75880629188215931</c:v>
                </c:pt>
                <c:pt idx="18" formatCode="0.000">
                  <c:v>-1.2966583664002089</c:v>
                </c:pt>
                <c:pt idx="19" formatCode="0.000">
                  <c:v>-1.9537952483740142</c:v>
                </c:pt>
                <c:pt idx="20" formatCode="0.000">
                  <c:v>-2.7414415487879888</c:v>
                </c:pt>
                <c:pt idx="21" formatCode="0.000">
                  <c:v>-3.6716102543714135</c:v>
                </c:pt>
                <c:pt idx="22" formatCode="0.000">
                  <c:v>-4.7571027275984354</c:v>
                </c:pt>
                <c:pt idx="23" formatCode="0.000">
                  <c:v>-6.011508706688069</c:v>
                </c:pt>
              </c:numCache>
            </c:numRef>
          </c:yVal>
          <c:smooth val="0"/>
        </c:ser>
        <c:dLbls>
          <c:showLegendKey val="0"/>
          <c:showVal val="0"/>
          <c:showCatName val="0"/>
          <c:showSerName val="0"/>
          <c:showPercent val="0"/>
          <c:showBubbleSize val="0"/>
        </c:dLbls>
        <c:axId val="208388864"/>
        <c:axId val="208390400"/>
      </c:scatterChart>
      <c:valAx>
        <c:axId val="208388864"/>
        <c:scaling>
          <c:orientation val="minMax"/>
        </c:scaling>
        <c:delete val="0"/>
        <c:axPos val="b"/>
        <c:numFmt formatCode="0.0" sourceLinked="1"/>
        <c:majorTickMark val="out"/>
        <c:minorTickMark val="none"/>
        <c:tickLblPos val="nextTo"/>
        <c:crossAx val="208390400"/>
        <c:crosses val="autoZero"/>
        <c:crossBetween val="midCat"/>
      </c:valAx>
      <c:valAx>
        <c:axId val="208390400"/>
        <c:scaling>
          <c:orientation val="minMax"/>
        </c:scaling>
        <c:delete val="0"/>
        <c:axPos val="l"/>
        <c:majorGridlines/>
        <c:numFmt formatCode="0.000" sourceLinked="1"/>
        <c:majorTickMark val="out"/>
        <c:minorTickMark val="none"/>
        <c:tickLblPos val="nextTo"/>
        <c:crossAx val="208388864"/>
        <c:crosses val="autoZero"/>
        <c:crossBetween val="midCat"/>
      </c:valAx>
    </c:plotArea>
    <c:legend>
      <c:legendPos val="r"/>
      <c:overlay val="0"/>
    </c:legend>
    <c:plotVisOnly val="1"/>
    <c:dispBlanksAs val="gap"/>
    <c:showDLblsOverMax val="0"/>
  </c:chart>
  <c:printSettings>
    <c:headerFooter/>
    <c:pageMargins b="0.75000000000001021" l="0.70000000000000062" r="0.70000000000000062" t="0.7500000000000102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&lt;gi&gt;</c:v>
          </c:tx>
          <c:xVal>
            <c:numRef>
              <c:f>Interpolation!$B$128:$B$142</c:f>
              <c:numCache>
                <c:formatCode>0.000</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Interpolation!$C$128:$C$142</c:f>
              <c:numCache>
                <c:formatCode>0.000</c:formatCode>
                <c:ptCount val="15"/>
                <c:pt idx="0">
                  <c:v>0</c:v>
                </c:pt>
                <c:pt idx="1">
                  <c:v>0.3010299956639812</c:v>
                </c:pt>
                <c:pt idx="2">
                  <c:v>0.47712125471966244</c:v>
                </c:pt>
                <c:pt idx="3">
                  <c:v>0.6020599913279624</c:v>
                </c:pt>
                <c:pt idx="4">
                  <c:v>0.69897000433601886</c:v>
                </c:pt>
                <c:pt idx="5">
                  <c:v>0.77815125038364363</c:v>
                </c:pt>
                <c:pt idx="6">
                  <c:v>0.84509804001425681</c:v>
                </c:pt>
                <c:pt idx="7">
                  <c:v>1.9030899869919435</c:v>
                </c:pt>
                <c:pt idx="8">
                  <c:v>1.9542425094393248</c:v>
                </c:pt>
                <c:pt idx="9">
                  <c:v>2</c:v>
                </c:pt>
                <c:pt idx="10">
                  <c:v>2.0413926851582254</c:v>
                </c:pt>
                <c:pt idx="11">
                  <c:v>2.0791812460476251</c:v>
                </c:pt>
                <c:pt idx="12">
                  <c:v>2.1139433523068369</c:v>
                </c:pt>
                <c:pt idx="13">
                  <c:v>2.1461280356782382</c:v>
                </c:pt>
                <c:pt idx="14">
                  <c:v>2.1760912590556813</c:v>
                </c:pt>
              </c:numCache>
            </c:numRef>
          </c:yVal>
          <c:smooth val="0"/>
        </c:ser>
        <c:ser>
          <c:idx val="1"/>
          <c:order val="1"/>
          <c:tx>
            <c:v>Interpolated</c:v>
          </c:tx>
          <c:xVal>
            <c:numRef>
              <c:f>Interpolation!$E$128:$E$142</c:f>
              <c:numCache>
                <c:formatCode>0.000</c:formatCode>
                <c:ptCount val="15"/>
                <c:pt idx="0" formatCode="General">
                  <c:v>1.5</c:v>
                </c:pt>
                <c:pt idx="1">
                  <c:v>2.5</c:v>
                </c:pt>
                <c:pt idx="2">
                  <c:v>3.5</c:v>
                </c:pt>
                <c:pt idx="3">
                  <c:v>4.5</c:v>
                </c:pt>
                <c:pt idx="4">
                  <c:v>5.5</c:v>
                </c:pt>
                <c:pt idx="5">
                  <c:v>6.5</c:v>
                </c:pt>
                <c:pt idx="6">
                  <c:v>7.5</c:v>
                </c:pt>
                <c:pt idx="7">
                  <c:v>9</c:v>
                </c:pt>
                <c:pt idx="8">
                  <c:v>9.5</c:v>
                </c:pt>
                <c:pt idx="9">
                  <c:v>10.5</c:v>
                </c:pt>
                <c:pt idx="10">
                  <c:v>11.5</c:v>
                </c:pt>
                <c:pt idx="11">
                  <c:v>12.5</c:v>
                </c:pt>
                <c:pt idx="12">
                  <c:v>13.5</c:v>
                </c:pt>
                <c:pt idx="13">
                  <c:v>14.5</c:v>
                </c:pt>
                <c:pt idx="14">
                  <c:v>15.5</c:v>
                </c:pt>
              </c:numCache>
            </c:numRef>
          </c:xVal>
          <c:yVal>
            <c:numRef>
              <c:f>Interpolation!$F$128:$F$142</c:f>
              <c:numCache>
                <c:formatCode>0.000</c:formatCode>
                <c:ptCount val="15"/>
                <c:pt idx="0">
                  <c:v>0.17436917807476318</c:v>
                </c:pt>
                <c:pt idx="1">
                  <c:v>0.39824665751192606</c:v>
                </c:pt>
                <c:pt idx="2">
                  <c:v>0.54394107863101204</c:v>
                </c:pt>
                <c:pt idx="3">
                  <c:v>0.65316824542597363</c:v>
                </c:pt>
                <c:pt idx="4">
                  <c:v>0.74032069649053733</c:v>
                </c:pt>
                <c:pt idx="5">
                  <c:v>0.81315395225107667</c:v>
                </c:pt>
                <c:pt idx="6">
                  <c:v>1.3750611275271847</c:v>
                </c:pt>
                <c:pt idx="7">
                  <c:v>1.9542425094393248</c:v>
                </c:pt>
                <c:pt idx="8">
                  <c:v>1.9777312445502346</c:v>
                </c:pt>
                <c:pt idx="9">
                  <c:v>2.0211880832144118</c:v>
                </c:pt>
                <c:pt idx="10">
                  <c:v>2.0606970874521999</c:v>
                </c:pt>
                <c:pt idx="11">
                  <c:v>2.0969095265714124</c:v>
                </c:pt>
                <c:pt idx="12">
                  <c:v>2.130334832287438</c:v>
                </c:pt>
                <c:pt idx="13">
                  <c:v>2.1613651178768483</c:v>
                </c:pt>
                <c:pt idx="14">
                  <c:v>2.1902909572430489</c:v>
                </c:pt>
              </c:numCache>
            </c:numRef>
          </c:yVal>
          <c:smooth val="0"/>
        </c:ser>
        <c:dLbls>
          <c:showLegendKey val="0"/>
          <c:showVal val="0"/>
          <c:showCatName val="0"/>
          <c:showSerName val="0"/>
          <c:showPercent val="0"/>
          <c:showBubbleSize val="0"/>
        </c:dLbls>
        <c:axId val="208422400"/>
        <c:axId val="208423936"/>
      </c:scatterChart>
      <c:valAx>
        <c:axId val="208422400"/>
        <c:scaling>
          <c:orientation val="minMax"/>
        </c:scaling>
        <c:delete val="0"/>
        <c:axPos val="b"/>
        <c:numFmt formatCode="0.000" sourceLinked="1"/>
        <c:majorTickMark val="out"/>
        <c:minorTickMark val="none"/>
        <c:tickLblPos val="nextTo"/>
        <c:crossAx val="208423936"/>
        <c:crosses val="autoZero"/>
        <c:crossBetween val="midCat"/>
      </c:valAx>
      <c:valAx>
        <c:axId val="208423936"/>
        <c:scaling>
          <c:orientation val="minMax"/>
        </c:scaling>
        <c:delete val="0"/>
        <c:axPos val="l"/>
        <c:majorGridlines/>
        <c:numFmt formatCode="0.000" sourceLinked="1"/>
        <c:majorTickMark val="out"/>
        <c:minorTickMark val="none"/>
        <c:tickLblPos val="nextTo"/>
        <c:crossAx val="208422400"/>
        <c:crosses val="autoZero"/>
        <c:crossBetween val="midCat"/>
      </c:valAx>
    </c:plotArea>
    <c:legend>
      <c:legendPos val="r"/>
      <c:layout/>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30000">
              <a:noFill/>
            </a:ln>
          </c:spPr>
          <c:xVal>
            <c:numRef>
              <c:f>'Random numbers'!$B$61:$B$87</c:f>
              <c:numCache>
                <c:formatCode>0.00000</c:formatCode>
                <c:ptCount val="27"/>
                <c:pt idx="0">
                  <c:v>0.1651928143494743</c:v>
                </c:pt>
                <c:pt idx="1">
                  <c:v>-1.8286140097371801</c:v>
                </c:pt>
                <c:pt idx="2">
                  <c:v>1.3211320075954154</c:v>
                </c:pt>
                <c:pt idx="3">
                  <c:v>1.6955744644383834</c:v>
                </c:pt>
                <c:pt idx="4">
                  <c:v>-2.2871360833028183</c:v>
                </c:pt>
                <c:pt idx="5">
                  <c:v>2.047259206196121</c:v>
                </c:pt>
                <c:pt idx="6">
                  <c:v>2.869523580621351</c:v>
                </c:pt>
                <c:pt idx="7">
                  <c:v>-1.4191544648304477</c:v>
                </c:pt>
                <c:pt idx="8">
                  <c:v>-2.4930664523255701</c:v>
                </c:pt>
                <c:pt idx="9">
                  <c:v>0.33800391464913382</c:v>
                </c:pt>
                <c:pt idx="10">
                  <c:v>0.14623732472449502</c:v>
                </c:pt>
                <c:pt idx="11">
                  <c:v>-2.9661411177288137</c:v>
                </c:pt>
                <c:pt idx="12">
                  <c:v>0.98567383270377151</c:v>
                </c:pt>
                <c:pt idx="13">
                  <c:v>0.56049596461479023</c:v>
                </c:pt>
                <c:pt idx="14">
                  <c:v>-0.93404675320117914</c:v>
                </c:pt>
                <c:pt idx="15">
                  <c:v>0.7571863345236487</c:v>
                </c:pt>
                <c:pt idx="16">
                  <c:v>2.8002429697197497</c:v>
                </c:pt>
                <c:pt idx="17">
                  <c:v>-0.36364716416309761</c:v>
                </c:pt>
                <c:pt idx="18">
                  <c:v>2.5243562086309197</c:v>
                </c:pt>
                <c:pt idx="19">
                  <c:v>2.0504279958667304</c:v>
                </c:pt>
                <c:pt idx="20">
                  <c:v>2.5952422473568566</c:v>
                </c:pt>
                <c:pt idx="21">
                  <c:v>2.6962076438814888</c:v>
                </c:pt>
                <c:pt idx="22">
                  <c:v>-1.8800323644839303</c:v>
                </c:pt>
                <c:pt idx="23">
                  <c:v>-2.1682233068086729</c:v>
                </c:pt>
                <c:pt idx="24">
                  <c:v>-0.78158967843781912</c:v>
                </c:pt>
                <c:pt idx="25">
                  <c:v>-1.8850391839828899</c:v>
                </c:pt>
                <c:pt idx="26">
                  <c:v>1.7673050218185651</c:v>
                </c:pt>
              </c:numCache>
            </c:numRef>
          </c:xVal>
          <c:yVal>
            <c:numRef>
              <c:f>'Random numbers'!$C$61:$C$87</c:f>
              <c:numCache>
                <c:formatCode>0.00000</c:formatCode>
                <c:ptCount val="27"/>
                <c:pt idx="0">
                  <c:v>2.8478485252353938</c:v>
                </c:pt>
                <c:pt idx="1">
                  <c:v>0.92610280307151882</c:v>
                </c:pt>
                <c:pt idx="2">
                  <c:v>-1.4347904274321137</c:v>
                </c:pt>
                <c:pt idx="3">
                  <c:v>-1.8215423838285596</c:v>
                </c:pt>
                <c:pt idx="4">
                  <c:v>2.1687799098828764</c:v>
                </c:pt>
                <c:pt idx="5">
                  <c:v>-0.77564594935990083</c:v>
                </c:pt>
                <c:pt idx="6">
                  <c:v>-0.78698710859450216</c:v>
                </c:pt>
                <c:pt idx="7">
                  <c:v>0.25748255552199772</c:v>
                </c:pt>
                <c:pt idx="8">
                  <c:v>1.096791229698991</c:v>
                </c:pt>
                <c:pt idx="9">
                  <c:v>1.9372563648357186</c:v>
                </c:pt>
                <c:pt idx="10">
                  <c:v>-2.2116452742395096</c:v>
                </c:pt>
                <c:pt idx="11">
                  <c:v>-2.5343806393291755</c:v>
                </c:pt>
                <c:pt idx="12">
                  <c:v>2.0454467467603843</c:v>
                </c:pt>
                <c:pt idx="13">
                  <c:v>-1.6739637289834124</c:v>
                </c:pt>
                <c:pt idx="14">
                  <c:v>1.5174677252111648</c:v>
                </c:pt>
                <c:pt idx="15">
                  <c:v>-0.94186193215238445</c:v>
                </c:pt>
                <c:pt idx="16">
                  <c:v>-2.9414976267007873</c:v>
                </c:pt>
                <c:pt idx="17">
                  <c:v>-0.625753151631391</c:v>
                </c:pt>
                <c:pt idx="18">
                  <c:v>-1.7443197715897858</c:v>
                </c:pt>
                <c:pt idx="19">
                  <c:v>-0.19148874170880026</c:v>
                </c:pt>
                <c:pt idx="20">
                  <c:v>-0.81239759964225744</c:v>
                </c:pt>
                <c:pt idx="21">
                  <c:v>0.5703084491124164</c:v>
                </c:pt>
                <c:pt idx="22">
                  <c:v>2.4824043026851497</c:v>
                </c:pt>
                <c:pt idx="23">
                  <c:v>-1.6819362299707485E-2</c:v>
                </c:pt>
                <c:pt idx="24">
                  <c:v>-0.91186467509527347</c:v>
                </c:pt>
                <c:pt idx="25">
                  <c:v>-0.82145710285321272</c:v>
                </c:pt>
                <c:pt idx="26">
                  <c:v>2.2217327689802584</c:v>
                </c:pt>
              </c:numCache>
            </c:numRef>
          </c:yVal>
          <c:smooth val="0"/>
        </c:ser>
        <c:dLbls>
          <c:showLegendKey val="0"/>
          <c:showVal val="0"/>
          <c:showCatName val="0"/>
          <c:showSerName val="0"/>
          <c:showPercent val="0"/>
          <c:showBubbleSize val="0"/>
        </c:dLbls>
        <c:axId val="213607936"/>
        <c:axId val="213609472"/>
      </c:scatterChart>
      <c:valAx>
        <c:axId val="213607936"/>
        <c:scaling>
          <c:orientation val="minMax"/>
        </c:scaling>
        <c:delete val="0"/>
        <c:axPos val="b"/>
        <c:numFmt formatCode="0.0" sourceLinked="0"/>
        <c:majorTickMark val="out"/>
        <c:minorTickMark val="none"/>
        <c:tickLblPos val="nextTo"/>
        <c:crossAx val="213609472"/>
        <c:crosses val="autoZero"/>
        <c:crossBetween val="midCat"/>
      </c:valAx>
      <c:valAx>
        <c:axId val="213609472"/>
        <c:scaling>
          <c:orientation val="minMax"/>
        </c:scaling>
        <c:delete val="0"/>
        <c:axPos val="l"/>
        <c:majorGridlines/>
        <c:numFmt formatCode="0.0" sourceLinked="0"/>
        <c:majorTickMark val="out"/>
        <c:minorTickMark val="none"/>
        <c:tickLblPos val="nextTo"/>
        <c:crossAx val="213607936"/>
        <c:crosses val="autoZero"/>
        <c:crossBetween val="midCat"/>
      </c:valAx>
    </c:plotArea>
    <c:plotVisOnly val="1"/>
    <c:dispBlanksAs val="gap"/>
    <c:showDLblsOverMax val="0"/>
  </c:chart>
  <c:printSettings>
    <c:headerFooter/>
    <c:pageMargins b="0.75000000000000522" l="0.70000000000000062" r="0.70000000000000062" t="0.750000000000005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80446194225724E-2"/>
          <c:y val="2.6249999999999999E-2"/>
          <c:w val="0.89588910761154861"/>
          <c:h val="0.89814814814814814"/>
        </c:manualLayout>
      </c:layout>
      <c:scatterChart>
        <c:scatterStyle val="lineMarker"/>
        <c:varyColors val="0"/>
        <c:ser>
          <c:idx val="0"/>
          <c:order val="0"/>
          <c:spPr>
            <a:ln w="30000">
              <a:noFill/>
            </a:ln>
          </c:spPr>
          <c:xVal>
            <c:numRef>
              <c:f>'Random numbers'!$B$96:$B$234</c:f>
              <c:numCache>
                <c:formatCode>0.00000</c:formatCode>
                <c:ptCount val="139"/>
                <c:pt idx="0">
                  <c:v>1.5402771605970984</c:v>
                </c:pt>
                <c:pt idx="1">
                  <c:v>0.4560641689356566</c:v>
                </c:pt>
                <c:pt idx="2">
                  <c:v>0.90290362502050225</c:v>
                </c:pt>
                <c:pt idx="3">
                  <c:v>1.2221380151394148</c:v>
                </c:pt>
                <c:pt idx="4">
                  <c:v>0.51750775555090689</c:v>
                </c:pt>
                <c:pt idx="5">
                  <c:v>0.92103405993455834</c:v>
                </c:pt>
                <c:pt idx="6">
                  <c:v>0.96443168957820902</c:v>
                </c:pt>
                <c:pt idx="7">
                  <c:v>1.3080703737931487</c:v>
                </c:pt>
                <c:pt idx="8">
                  <c:v>0.91494366547906392</c:v>
                </c:pt>
                <c:pt idx="9">
                  <c:v>1.1483711111704755</c:v>
                </c:pt>
                <c:pt idx="10">
                  <c:v>0.86085438631960498</c:v>
                </c:pt>
                <c:pt idx="11">
                  <c:v>1.1705586444983629</c:v>
                </c:pt>
                <c:pt idx="12">
                  <c:v>0.18227808647376431</c:v>
                </c:pt>
                <c:pt idx="13">
                  <c:v>1.2138304862225962</c:v>
                </c:pt>
                <c:pt idx="14">
                  <c:v>0.80078276125732373</c:v>
                </c:pt>
                <c:pt idx="15">
                  <c:v>0.12704220021307489</c:v>
                </c:pt>
                <c:pt idx="16">
                  <c:v>0.12157527383453548</c:v>
                </c:pt>
                <c:pt idx="17">
                  <c:v>1.0576672481972884</c:v>
                </c:pt>
                <c:pt idx="18">
                  <c:v>1.7007648890606974</c:v>
                </c:pt>
                <c:pt idx="19">
                  <c:v>1.534418190488223</c:v>
                </c:pt>
                <c:pt idx="20">
                  <c:v>0.58640477261189483</c:v>
                </c:pt>
                <c:pt idx="21">
                  <c:v>1.1296838815625954</c:v>
                </c:pt>
                <c:pt idx="22">
                  <c:v>1.638755397088536</c:v>
                </c:pt>
                <c:pt idx="23">
                  <c:v>1.4970758619012954</c:v>
                </c:pt>
                <c:pt idx="24">
                  <c:v>2.1221205422473419</c:v>
                </c:pt>
                <c:pt idx="25">
                  <c:v>2.0791552674675255</c:v>
                </c:pt>
                <c:pt idx="26">
                  <c:v>0.42148304298088934</c:v>
                </c:pt>
                <c:pt idx="27">
                  <c:v>1.3936381417777479</c:v>
                </c:pt>
                <c:pt idx="28">
                  <c:v>1.333042203060594</c:v>
                </c:pt>
                <c:pt idx="29">
                  <c:v>1.2304511040520039</c:v>
                </c:pt>
                <c:pt idx="30">
                  <c:v>1.482860730374898</c:v>
                </c:pt>
                <c:pt idx="31">
                  <c:v>1.2055707225123351</c:v>
                </c:pt>
                <c:pt idx="32">
                  <c:v>-3.6844726427654795E-2</c:v>
                </c:pt>
                <c:pt idx="33">
                  <c:v>0.77695825737364554</c:v>
                </c:pt>
                <c:pt idx="34">
                  <c:v>0.55189167395045313</c:v>
                </c:pt>
                <c:pt idx="35">
                  <c:v>1.2382003702777906</c:v>
                </c:pt>
                <c:pt idx="36">
                  <c:v>0.45225912482763153</c:v>
                </c:pt>
                <c:pt idx="37">
                  <c:v>1.121667812373877</c:v>
                </c:pt>
                <c:pt idx="38">
                  <c:v>0.86780047879270317</c:v>
                </c:pt>
                <c:pt idx="39">
                  <c:v>1.2311660931983881</c:v>
                </c:pt>
                <c:pt idx="40">
                  <c:v>0.84494702654074549</c:v>
                </c:pt>
                <c:pt idx="41">
                  <c:v>1.0610259745877761</c:v>
                </c:pt>
                <c:pt idx="42">
                  <c:v>0.95823627802502287</c:v>
                </c:pt>
                <c:pt idx="43">
                  <c:v>0.94855496216298896</c:v>
                </c:pt>
                <c:pt idx="44">
                  <c:v>1.8373038705525229</c:v>
                </c:pt>
                <c:pt idx="45">
                  <c:v>0.74911523977041172</c:v>
                </c:pt>
                <c:pt idx="46">
                  <c:v>1.3993542621376354</c:v>
                </c:pt>
                <c:pt idx="47">
                  <c:v>1.3343927046131325</c:v>
                </c:pt>
                <c:pt idx="48">
                  <c:v>0.82155636647286778</c:v>
                </c:pt>
                <c:pt idx="49">
                  <c:v>1.9299017304857031</c:v>
                </c:pt>
                <c:pt idx="50">
                  <c:v>0.62179619460874136</c:v>
                </c:pt>
                <c:pt idx="51">
                  <c:v>1.4130824877445316</c:v>
                </c:pt>
                <c:pt idx="52">
                  <c:v>1.000817949185338</c:v>
                </c:pt>
                <c:pt idx="53">
                  <c:v>0.818698291158932</c:v>
                </c:pt>
                <c:pt idx="54">
                  <c:v>1.1539494877573917</c:v>
                </c:pt>
                <c:pt idx="55">
                  <c:v>1.1784624811677409</c:v>
                </c:pt>
                <c:pt idx="56">
                  <c:v>1.173756061162277</c:v>
                </c:pt>
                <c:pt idx="57">
                  <c:v>0.56864068740248719</c:v>
                </c:pt>
                <c:pt idx="58">
                  <c:v>0.54794697103741274</c:v>
                </c:pt>
                <c:pt idx="59">
                  <c:v>0.81228113170067795</c:v>
                </c:pt>
                <c:pt idx="60">
                  <c:v>2.0787098321781281</c:v>
                </c:pt>
                <c:pt idx="61">
                  <c:v>1.2097022161375972</c:v>
                </c:pt>
                <c:pt idx="62">
                  <c:v>0.51452459895855851</c:v>
                </c:pt>
                <c:pt idx="63">
                  <c:v>0.77549499361205276</c:v>
                </c:pt>
                <c:pt idx="64">
                  <c:v>1.0309931673181696</c:v>
                </c:pt>
                <c:pt idx="65">
                  <c:v>0.89529389652779656</c:v>
                </c:pt>
                <c:pt idx="66">
                  <c:v>0.52409881272448677</c:v>
                </c:pt>
                <c:pt idx="67">
                  <c:v>0.47148682537290432</c:v>
                </c:pt>
                <c:pt idx="68">
                  <c:v>0.51394491351999916</c:v>
                </c:pt>
                <c:pt idx="69">
                  <c:v>1.1108281838500007</c:v>
                </c:pt>
                <c:pt idx="70">
                  <c:v>0.75295117119163057</c:v>
                </c:pt>
                <c:pt idx="71">
                  <c:v>0.80815747864734355</c:v>
                </c:pt>
                <c:pt idx="72">
                  <c:v>1.222798452065978</c:v>
                </c:pt>
                <c:pt idx="73">
                  <c:v>0.39651292501867585</c:v>
                </c:pt>
                <c:pt idx="74">
                  <c:v>1.6221404463569962</c:v>
                </c:pt>
                <c:pt idx="75">
                  <c:v>1.5893729104635708</c:v>
                </c:pt>
                <c:pt idx="76">
                  <c:v>0.32765754273339587</c:v>
                </c:pt>
                <c:pt idx="77">
                  <c:v>1.1034828473589111</c:v>
                </c:pt>
                <c:pt idx="78">
                  <c:v>1.1618924446315253</c:v>
                </c:pt>
                <c:pt idx="79">
                  <c:v>0.73592495190350427</c:v>
                </c:pt>
                <c:pt idx="80">
                  <c:v>1.2026733360725164</c:v>
                </c:pt>
                <c:pt idx="81">
                  <c:v>0.97797271818341036</c:v>
                </c:pt>
                <c:pt idx="82">
                  <c:v>1.3680479271263</c:v>
                </c:pt>
                <c:pt idx="83">
                  <c:v>0.43915198427605251</c:v>
                </c:pt>
                <c:pt idx="84">
                  <c:v>1.4356967484195944</c:v>
                </c:pt>
                <c:pt idx="85">
                  <c:v>0.69704336828949032</c:v>
                </c:pt>
                <c:pt idx="86">
                  <c:v>1.2304108779016909</c:v>
                </c:pt>
                <c:pt idx="87">
                  <c:v>0.45374607212230211</c:v>
                </c:pt>
                <c:pt idx="88">
                  <c:v>1.0958557042982093</c:v>
                </c:pt>
                <c:pt idx="89">
                  <c:v>1.5581257074508175</c:v>
                </c:pt>
                <c:pt idx="90">
                  <c:v>1.4571837746671363</c:v>
                </c:pt>
                <c:pt idx="91">
                  <c:v>1.4500283464905874</c:v>
                </c:pt>
                <c:pt idx="92">
                  <c:v>0.65714228215095183</c:v>
                </c:pt>
                <c:pt idx="93">
                  <c:v>1.6952771860396671</c:v>
                </c:pt>
                <c:pt idx="94">
                  <c:v>1.3830665246078433</c:v>
                </c:pt>
                <c:pt idx="95">
                  <c:v>1.7064071869725379</c:v>
                </c:pt>
                <c:pt idx="96">
                  <c:v>0.2386284526993121</c:v>
                </c:pt>
                <c:pt idx="97">
                  <c:v>1.1455306145701396</c:v>
                </c:pt>
                <c:pt idx="98">
                  <c:v>1.1073727570724148</c:v>
                </c:pt>
                <c:pt idx="99">
                  <c:v>1.0826806645101588</c:v>
                </c:pt>
                <c:pt idx="100">
                  <c:v>0.48521743167313192</c:v>
                </c:pt>
                <c:pt idx="101">
                  <c:v>0.55301193859265485</c:v>
                </c:pt>
                <c:pt idx="102">
                  <c:v>0.62253135270963655</c:v>
                </c:pt>
                <c:pt idx="103">
                  <c:v>1.1058148080729446</c:v>
                </c:pt>
                <c:pt idx="104">
                  <c:v>0.63532211017686002</c:v>
                </c:pt>
                <c:pt idx="105">
                  <c:v>0.63509025742185532</c:v>
                </c:pt>
                <c:pt idx="106">
                  <c:v>1.0301253690920134</c:v>
                </c:pt>
                <c:pt idx="107">
                  <c:v>1.0303910777509193</c:v>
                </c:pt>
                <c:pt idx="108">
                  <c:v>1.037691461629628</c:v>
                </c:pt>
                <c:pt idx="109">
                  <c:v>1.380358756608413</c:v>
                </c:pt>
                <c:pt idx="110">
                  <c:v>0.69024931422673363</c:v>
                </c:pt>
                <c:pt idx="111">
                  <c:v>0.30609391171161437</c:v>
                </c:pt>
                <c:pt idx="112">
                  <c:v>1.2255289874099029</c:v>
                </c:pt>
                <c:pt idx="113">
                  <c:v>0.53855635121896794</c:v>
                </c:pt>
                <c:pt idx="114">
                  <c:v>0.703869686858698</c:v>
                </c:pt>
                <c:pt idx="115">
                  <c:v>1.349723186890996</c:v>
                </c:pt>
                <c:pt idx="116">
                  <c:v>1.3596533824130086</c:v>
                </c:pt>
                <c:pt idx="117">
                  <c:v>1.4064328899622041</c:v>
                </c:pt>
                <c:pt idx="118">
                  <c:v>1.2561171656139472</c:v>
                </c:pt>
                <c:pt idx="119">
                  <c:v>1.0024253001907897</c:v>
                </c:pt>
                <c:pt idx="120">
                  <c:v>0.56477789430990288</c:v>
                </c:pt>
                <c:pt idx="121">
                  <c:v>0.39334066570581427</c:v>
                </c:pt>
                <c:pt idx="122">
                  <c:v>1.2775598748767654</c:v>
                </c:pt>
                <c:pt idx="123">
                  <c:v>1.2901245374908026</c:v>
                </c:pt>
                <c:pt idx="124">
                  <c:v>1.4531849479426597</c:v>
                </c:pt>
                <c:pt idx="125">
                  <c:v>1.0919581332923745</c:v>
                </c:pt>
                <c:pt idx="126">
                  <c:v>1.2214346651969095</c:v>
                </c:pt>
                <c:pt idx="127">
                  <c:v>1.036944851753522</c:v>
                </c:pt>
                <c:pt idx="128">
                  <c:v>0.65248561921820158</c:v>
                </c:pt>
                <c:pt idx="129">
                  <c:v>0.93303174617072404</c:v>
                </c:pt>
                <c:pt idx="130">
                  <c:v>1.1087262935723938</c:v>
                </c:pt>
                <c:pt idx="131">
                  <c:v>1.5170183571793645</c:v>
                </c:pt>
                <c:pt idx="132">
                  <c:v>0.91890542440090961</c:v>
                </c:pt>
                <c:pt idx="133">
                  <c:v>1.6959465392157309</c:v>
                </c:pt>
                <c:pt idx="134">
                  <c:v>-1.9535281467143228E-2</c:v>
                </c:pt>
                <c:pt idx="135">
                  <c:v>1.2131414134551632</c:v>
                </c:pt>
                <c:pt idx="136">
                  <c:v>1.1244616194452304</c:v>
                </c:pt>
                <c:pt idx="137">
                  <c:v>0.98783055809043141</c:v>
                </c:pt>
                <c:pt idx="138">
                  <c:v>2.614569552851508</c:v>
                </c:pt>
              </c:numCache>
            </c:numRef>
          </c:xVal>
          <c:yVal>
            <c:numRef>
              <c:f>'Random numbers'!$C$96:$C$234</c:f>
              <c:numCache>
                <c:formatCode>0.00000</c:formatCode>
                <c:ptCount val="139"/>
                <c:pt idx="0">
                  <c:v>1.4400497198663764</c:v>
                </c:pt>
                <c:pt idx="1">
                  <c:v>1.1553778443847262</c:v>
                </c:pt>
                <c:pt idx="2">
                  <c:v>0.94573746457363894</c:v>
                </c:pt>
                <c:pt idx="3">
                  <c:v>6.237632712870278E-2</c:v>
                </c:pt>
                <c:pt idx="4">
                  <c:v>1.623685820173399</c:v>
                </c:pt>
                <c:pt idx="5">
                  <c:v>1.6891606260764318</c:v>
                </c:pt>
                <c:pt idx="6">
                  <c:v>0.49350342724786689</c:v>
                </c:pt>
                <c:pt idx="7">
                  <c:v>1.9034759076087444</c:v>
                </c:pt>
                <c:pt idx="8">
                  <c:v>1.0735522643834239</c:v>
                </c:pt>
                <c:pt idx="9">
                  <c:v>1.1856578607544437</c:v>
                </c:pt>
                <c:pt idx="10">
                  <c:v>0.8982357699187089</c:v>
                </c:pt>
                <c:pt idx="11">
                  <c:v>1.4041915283082496</c:v>
                </c:pt>
                <c:pt idx="12">
                  <c:v>1.8143940476734177</c:v>
                </c:pt>
                <c:pt idx="13">
                  <c:v>1.2860964893563875</c:v>
                </c:pt>
                <c:pt idx="14">
                  <c:v>1.064204818351242</c:v>
                </c:pt>
                <c:pt idx="15">
                  <c:v>0.12009856643157502</c:v>
                </c:pt>
                <c:pt idx="16">
                  <c:v>1.1293110975831073</c:v>
                </c:pt>
                <c:pt idx="17">
                  <c:v>0.74408714327590708</c:v>
                </c:pt>
                <c:pt idx="18">
                  <c:v>0.78575988434854871</c:v>
                </c:pt>
                <c:pt idx="19">
                  <c:v>0.59961109668938706</c:v>
                </c:pt>
                <c:pt idx="20">
                  <c:v>0.15390161428458571</c:v>
                </c:pt>
                <c:pt idx="21">
                  <c:v>1.1639032143084105</c:v>
                </c:pt>
                <c:pt idx="22">
                  <c:v>0.49369236349446988</c:v>
                </c:pt>
                <c:pt idx="23">
                  <c:v>1.1639229874508272</c:v>
                </c:pt>
                <c:pt idx="24">
                  <c:v>1.6247795723902017</c:v>
                </c:pt>
                <c:pt idx="25">
                  <c:v>1.13795868613244</c:v>
                </c:pt>
                <c:pt idx="26">
                  <c:v>1.341762693212778</c:v>
                </c:pt>
                <c:pt idx="27">
                  <c:v>0.72384841989815429</c:v>
                </c:pt>
                <c:pt idx="28">
                  <c:v>2.1125146157835877</c:v>
                </c:pt>
                <c:pt idx="29">
                  <c:v>0.41607889705711942</c:v>
                </c:pt>
                <c:pt idx="30">
                  <c:v>0.79793622270178455</c:v>
                </c:pt>
                <c:pt idx="31">
                  <c:v>0.71735721331028213</c:v>
                </c:pt>
                <c:pt idx="32">
                  <c:v>1.0461546785771274</c:v>
                </c:pt>
                <c:pt idx="33">
                  <c:v>1.4317150289266642</c:v>
                </c:pt>
                <c:pt idx="34">
                  <c:v>1.8086323763263952</c:v>
                </c:pt>
                <c:pt idx="35">
                  <c:v>1.2704427031032841</c:v>
                </c:pt>
                <c:pt idx="36">
                  <c:v>1.9761194677502192</c:v>
                </c:pt>
                <c:pt idx="37">
                  <c:v>0.91940127567374219</c:v>
                </c:pt>
                <c:pt idx="38">
                  <c:v>0.96524447807232949</c:v>
                </c:pt>
                <c:pt idx="39">
                  <c:v>0.44518554593557136</c:v>
                </c:pt>
                <c:pt idx="40">
                  <c:v>0.99488432309471175</c:v>
                </c:pt>
                <c:pt idx="41">
                  <c:v>1.2832650161076486</c:v>
                </c:pt>
                <c:pt idx="42">
                  <c:v>1.4813021201364003</c:v>
                </c:pt>
                <c:pt idx="43">
                  <c:v>0.36129160210520306</c:v>
                </c:pt>
                <c:pt idx="44">
                  <c:v>1.2197862382092945</c:v>
                </c:pt>
                <c:pt idx="45">
                  <c:v>1.6192846062172404</c:v>
                </c:pt>
                <c:pt idx="46">
                  <c:v>1.8602692130627734</c:v>
                </c:pt>
                <c:pt idx="47">
                  <c:v>0.83155132383842778</c:v>
                </c:pt>
                <c:pt idx="48">
                  <c:v>0.98046501772023387</c:v>
                </c:pt>
                <c:pt idx="49">
                  <c:v>0.28132521088265916</c:v>
                </c:pt>
                <c:pt idx="50">
                  <c:v>0.80020890706223646</c:v>
                </c:pt>
                <c:pt idx="51">
                  <c:v>1.427538168250476</c:v>
                </c:pt>
                <c:pt idx="52">
                  <c:v>0.63578329995176386</c:v>
                </c:pt>
                <c:pt idx="53">
                  <c:v>0.48532162338619145</c:v>
                </c:pt>
                <c:pt idx="54">
                  <c:v>0.75599471473973123</c:v>
                </c:pt>
                <c:pt idx="55">
                  <c:v>1.2895956137891846</c:v>
                </c:pt>
                <c:pt idx="56">
                  <c:v>1.3132273583470906</c:v>
                </c:pt>
                <c:pt idx="57">
                  <c:v>0.63679891304038438</c:v>
                </c:pt>
                <c:pt idx="58">
                  <c:v>0.5022546498808671</c:v>
                </c:pt>
                <c:pt idx="59">
                  <c:v>1.3266315977849601</c:v>
                </c:pt>
                <c:pt idx="60">
                  <c:v>0.69349616782122681</c:v>
                </c:pt>
                <c:pt idx="61">
                  <c:v>1.3628049803345479</c:v>
                </c:pt>
                <c:pt idx="62">
                  <c:v>1.4236776860020308</c:v>
                </c:pt>
                <c:pt idx="63">
                  <c:v>1.578725949297362</c:v>
                </c:pt>
                <c:pt idx="64">
                  <c:v>1.1637618360490913</c:v>
                </c:pt>
                <c:pt idx="65">
                  <c:v>1.1531929325203394</c:v>
                </c:pt>
                <c:pt idx="66">
                  <c:v>1.3197226487844538</c:v>
                </c:pt>
                <c:pt idx="67">
                  <c:v>0.54287080782066788</c:v>
                </c:pt>
                <c:pt idx="68">
                  <c:v>1.3193345294146184</c:v>
                </c:pt>
                <c:pt idx="69">
                  <c:v>0.93948049841902215</c:v>
                </c:pt>
                <c:pt idx="70">
                  <c:v>1.3180104296929223</c:v>
                </c:pt>
                <c:pt idx="71">
                  <c:v>1.5732377107658513</c:v>
                </c:pt>
                <c:pt idx="72">
                  <c:v>-0.25230832753058241</c:v>
                </c:pt>
                <c:pt idx="73">
                  <c:v>1.08365415038626</c:v>
                </c:pt>
                <c:pt idx="74">
                  <c:v>1.6137006009495121</c:v>
                </c:pt>
                <c:pt idx="75">
                  <c:v>1.5565394951395084</c:v>
                </c:pt>
                <c:pt idx="76">
                  <c:v>0.43234894644290867</c:v>
                </c:pt>
                <c:pt idx="77">
                  <c:v>1.6839394594272457</c:v>
                </c:pt>
                <c:pt idx="78">
                  <c:v>1.1896735222986141</c:v>
                </c:pt>
                <c:pt idx="79">
                  <c:v>1.0685456209044308</c:v>
                </c:pt>
                <c:pt idx="80">
                  <c:v>1.0299760443228241</c:v>
                </c:pt>
                <c:pt idx="81">
                  <c:v>0.3415937384920178</c:v>
                </c:pt>
                <c:pt idx="82">
                  <c:v>1.1997142658102589</c:v>
                </c:pt>
                <c:pt idx="83">
                  <c:v>0.67491100883924204</c:v>
                </c:pt>
                <c:pt idx="84">
                  <c:v>1.0053344306082779</c:v>
                </c:pt>
                <c:pt idx="85">
                  <c:v>0.79273825529793696</c:v>
                </c:pt>
                <c:pt idx="86">
                  <c:v>1.0807419850213318</c:v>
                </c:pt>
                <c:pt idx="87">
                  <c:v>1.2055917063740997</c:v>
                </c:pt>
                <c:pt idx="88">
                  <c:v>0.26947488083259108</c:v>
                </c:pt>
                <c:pt idx="89">
                  <c:v>0.18751183761924306</c:v>
                </c:pt>
                <c:pt idx="90">
                  <c:v>1.2186552132988941</c:v>
                </c:pt>
                <c:pt idx="91">
                  <c:v>1.1188948494659026</c:v>
                </c:pt>
                <c:pt idx="92">
                  <c:v>1.6372785383456567</c:v>
                </c:pt>
                <c:pt idx="93">
                  <c:v>0.92103002730780981</c:v>
                </c:pt>
                <c:pt idx="94">
                  <c:v>0.29692420277207265</c:v>
                </c:pt>
                <c:pt idx="95">
                  <c:v>0.96389848644935938</c:v>
                </c:pt>
                <c:pt idx="96">
                  <c:v>1.4053682974552197</c:v>
                </c:pt>
                <c:pt idx="97">
                  <c:v>1.0271265197142787</c:v>
                </c:pt>
                <c:pt idx="98">
                  <c:v>1.2413568692843797</c:v>
                </c:pt>
                <c:pt idx="99">
                  <c:v>0.63000137466704542</c:v>
                </c:pt>
                <c:pt idx="100">
                  <c:v>2.0347731774753832</c:v>
                </c:pt>
                <c:pt idx="101">
                  <c:v>1.0236624619047303</c:v>
                </c:pt>
                <c:pt idx="102">
                  <c:v>0.90567186845132897</c:v>
                </c:pt>
                <c:pt idx="103">
                  <c:v>0.3282842052467827</c:v>
                </c:pt>
                <c:pt idx="104">
                  <c:v>0.12787496324811931</c:v>
                </c:pt>
                <c:pt idx="105">
                  <c:v>0.60844460632848651</c:v>
                </c:pt>
                <c:pt idx="106">
                  <c:v>0.20589220458778801</c:v>
                </c:pt>
                <c:pt idx="107">
                  <c:v>2.4111423833321641</c:v>
                </c:pt>
                <c:pt idx="108">
                  <c:v>1.6809629524780818</c:v>
                </c:pt>
                <c:pt idx="109">
                  <c:v>1.9843261437454092</c:v>
                </c:pt>
                <c:pt idx="110">
                  <c:v>1.5488693657212123</c:v>
                </c:pt>
                <c:pt idx="111">
                  <c:v>0.66933972660203889</c:v>
                </c:pt>
                <c:pt idx="112">
                  <c:v>0.66013160642705193</c:v>
                </c:pt>
                <c:pt idx="113">
                  <c:v>1.2560903283897997</c:v>
                </c:pt>
                <c:pt idx="114">
                  <c:v>1.0090346590171184</c:v>
                </c:pt>
                <c:pt idx="115">
                  <c:v>1.2961528546400727</c:v>
                </c:pt>
                <c:pt idx="116">
                  <c:v>1.0248298386635328</c:v>
                </c:pt>
                <c:pt idx="117">
                  <c:v>0.77575621911691428</c:v>
                </c:pt>
                <c:pt idx="118">
                  <c:v>0.91934496558256118</c:v>
                </c:pt>
                <c:pt idx="119">
                  <c:v>0.39460329464511101</c:v>
                </c:pt>
                <c:pt idx="120">
                  <c:v>1.6555077493320005</c:v>
                </c:pt>
                <c:pt idx="121">
                  <c:v>0.62652292326710279</c:v>
                </c:pt>
                <c:pt idx="122">
                  <c:v>0.58237204690984701</c:v>
                </c:pt>
                <c:pt idx="123">
                  <c:v>0.31868417172662067</c:v>
                </c:pt>
                <c:pt idx="124">
                  <c:v>1.56624621980969</c:v>
                </c:pt>
                <c:pt idx="125">
                  <c:v>0.68253764083668056</c:v>
                </c:pt>
                <c:pt idx="126">
                  <c:v>1.4746469099714066</c:v>
                </c:pt>
                <c:pt idx="127">
                  <c:v>1.086816826389827</c:v>
                </c:pt>
                <c:pt idx="128">
                  <c:v>0.91635891723361773</c:v>
                </c:pt>
                <c:pt idx="129">
                  <c:v>1.7622621582733147</c:v>
                </c:pt>
                <c:pt idx="130">
                  <c:v>1.3922771896217663</c:v>
                </c:pt>
                <c:pt idx="131">
                  <c:v>0.55796113111031298</c:v>
                </c:pt>
                <c:pt idx="132">
                  <c:v>1.8994258825898696</c:v>
                </c:pt>
                <c:pt idx="133">
                  <c:v>1.8346744058268785</c:v>
                </c:pt>
                <c:pt idx="134">
                  <c:v>0.71085913705426718</c:v>
                </c:pt>
                <c:pt idx="135">
                  <c:v>0.66924172469164267</c:v>
                </c:pt>
                <c:pt idx="136">
                  <c:v>0.36518927788482758</c:v>
                </c:pt>
                <c:pt idx="137">
                  <c:v>1.1010819489837349</c:v>
                </c:pt>
                <c:pt idx="138">
                  <c:v>1.3290695453363166</c:v>
                </c:pt>
              </c:numCache>
            </c:numRef>
          </c:yVal>
          <c:smooth val="0"/>
        </c:ser>
        <c:dLbls>
          <c:showLegendKey val="0"/>
          <c:showVal val="0"/>
          <c:showCatName val="0"/>
          <c:showSerName val="0"/>
          <c:showPercent val="0"/>
          <c:showBubbleSize val="0"/>
        </c:dLbls>
        <c:axId val="213522688"/>
        <c:axId val="213536768"/>
      </c:scatterChart>
      <c:valAx>
        <c:axId val="213522688"/>
        <c:scaling>
          <c:orientation val="minMax"/>
          <c:max val="3"/>
          <c:min val="-2"/>
        </c:scaling>
        <c:delete val="0"/>
        <c:axPos val="b"/>
        <c:numFmt formatCode="0.0" sourceLinked="0"/>
        <c:majorTickMark val="out"/>
        <c:minorTickMark val="none"/>
        <c:tickLblPos val="nextTo"/>
        <c:crossAx val="213536768"/>
        <c:crosses val="autoZero"/>
        <c:crossBetween val="midCat"/>
      </c:valAx>
      <c:valAx>
        <c:axId val="213536768"/>
        <c:scaling>
          <c:orientation val="minMax"/>
          <c:max val="3"/>
          <c:min val="-2"/>
        </c:scaling>
        <c:delete val="0"/>
        <c:axPos val="l"/>
        <c:majorGridlines/>
        <c:numFmt formatCode="0.0" sourceLinked="0"/>
        <c:majorTickMark val="out"/>
        <c:minorTickMark val="none"/>
        <c:tickLblPos val="nextTo"/>
        <c:crossAx val="213522688"/>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xVal>
            <c:numRef>
              <c:f>'Random numbers'!$L$100:$L$124</c:f>
              <c:numCache>
                <c:formatCode>General</c:formatCode>
                <c:ptCount val="25"/>
                <c:pt idx="0">
                  <c:v>-2</c:v>
                </c:pt>
                <c:pt idx="1">
                  <c:v>-1.75</c:v>
                </c:pt>
                <c:pt idx="2">
                  <c:v>-1.5</c:v>
                </c:pt>
                <c:pt idx="3">
                  <c:v>-1.25</c:v>
                </c:pt>
                <c:pt idx="4">
                  <c:v>-1</c:v>
                </c:pt>
                <c:pt idx="5">
                  <c:v>-0.75</c:v>
                </c:pt>
                <c:pt idx="6">
                  <c:v>-0.5</c:v>
                </c:pt>
                <c:pt idx="7">
                  <c:v>-0.25</c:v>
                </c:pt>
                <c:pt idx="8">
                  <c:v>0</c:v>
                </c:pt>
                <c:pt idx="9">
                  <c:v>0.25</c:v>
                </c:pt>
                <c:pt idx="10">
                  <c:v>0.5</c:v>
                </c:pt>
                <c:pt idx="11">
                  <c:v>0.75</c:v>
                </c:pt>
                <c:pt idx="12">
                  <c:v>1</c:v>
                </c:pt>
                <c:pt idx="13">
                  <c:v>1.25</c:v>
                </c:pt>
                <c:pt idx="14">
                  <c:v>1.5</c:v>
                </c:pt>
                <c:pt idx="15">
                  <c:v>1.75</c:v>
                </c:pt>
                <c:pt idx="16">
                  <c:v>2</c:v>
                </c:pt>
                <c:pt idx="17">
                  <c:v>2.25</c:v>
                </c:pt>
                <c:pt idx="18">
                  <c:v>2.5</c:v>
                </c:pt>
                <c:pt idx="19">
                  <c:v>2.75</c:v>
                </c:pt>
                <c:pt idx="20">
                  <c:v>3</c:v>
                </c:pt>
                <c:pt idx="21">
                  <c:v>3.25</c:v>
                </c:pt>
                <c:pt idx="22">
                  <c:v>3.5</c:v>
                </c:pt>
                <c:pt idx="23">
                  <c:v>3.75</c:v>
                </c:pt>
                <c:pt idx="24">
                  <c:v>4</c:v>
                </c:pt>
              </c:numCache>
            </c:numRef>
          </c:xVal>
          <c:yVal>
            <c:numRef>
              <c:f>'Random numbers'!$M$100:$M$124</c:f>
              <c:numCache>
                <c:formatCode>General</c:formatCode>
                <c:ptCount val="25"/>
                <c:pt idx="0">
                  <c:v>1.476654096191069E-16</c:v>
                </c:pt>
                <c:pt idx="1">
                  <c:v>4.6395092549584704E-14</c:v>
                </c:pt>
                <c:pt idx="2">
                  <c:v>8.8413396619671432E-12</c:v>
                </c:pt>
                <c:pt idx="3">
                  <c:v>1.0219199190903195E-9</c:v>
                </c:pt>
                <c:pt idx="4">
                  <c:v>7.1642117313120739E-8</c:v>
                </c:pt>
                <c:pt idx="5">
                  <c:v>3.0463003449293242E-6</c:v>
                </c:pt>
                <c:pt idx="6">
                  <c:v>7.8565121385589762E-5</c:v>
                </c:pt>
                <c:pt idx="7">
                  <c:v>1.2289652727713403E-3</c:v>
                </c:pt>
                <c:pt idx="8">
                  <c:v>1.1660097860112774E-2</c:v>
                </c:pt>
                <c:pt idx="9">
                  <c:v>6.7099230348293668E-2</c:v>
                </c:pt>
                <c:pt idx="10">
                  <c:v>0.23419932609727667</c:v>
                </c:pt>
                <c:pt idx="11">
                  <c:v>0.49579997723861191</c:v>
                </c:pt>
                <c:pt idx="12">
                  <c:v>0.63661977236758138</c:v>
                </c:pt>
                <c:pt idx="13">
                  <c:v>0.49579997723861191</c:v>
                </c:pt>
                <c:pt idx="14">
                  <c:v>0.23419932609727667</c:v>
                </c:pt>
                <c:pt idx="15">
                  <c:v>6.7099230348293668E-2</c:v>
                </c:pt>
                <c:pt idx="16">
                  <c:v>1.1660097860112774E-2</c:v>
                </c:pt>
                <c:pt idx="17">
                  <c:v>1.2289652727713403E-3</c:v>
                </c:pt>
                <c:pt idx="18">
                  <c:v>7.8565121385589762E-5</c:v>
                </c:pt>
                <c:pt idx="19">
                  <c:v>3.0463003449293242E-6</c:v>
                </c:pt>
                <c:pt idx="20">
                  <c:v>7.1642117313120739E-8</c:v>
                </c:pt>
                <c:pt idx="21">
                  <c:v>1.0219199190903195E-9</c:v>
                </c:pt>
                <c:pt idx="22">
                  <c:v>8.8413396619671432E-12</c:v>
                </c:pt>
                <c:pt idx="23">
                  <c:v>4.6395092549584704E-14</c:v>
                </c:pt>
                <c:pt idx="24">
                  <c:v>1.476654096191069E-16</c:v>
                </c:pt>
              </c:numCache>
            </c:numRef>
          </c:yVal>
          <c:smooth val="1"/>
        </c:ser>
        <c:dLbls>
          <c:showLegendKey val="0"/>
          <c:showVal val="0"/>
          <c:showCatName val="0"/>
          <c:showSerName val="0"/>
          <c:showPercent val="0"/>
          <c:showBubbleSize val="0"/>
        </c:dLbls>
        <c:axId val="213548032"/>
        <c:axId val="213562112"/>
      </c:scatterChart>
      <c:valAx>
        <c:axId val="213548032"/>
        <c:scaling>
          <c:orientation val="minMax"/>
          <c:max val="4"/>
          <c:min val="-2"/>
        </c:scaling>
        <c:delete val="0"/>
        <c:axPos val="b"/>
        <c:numFmt formatCode="General" sourceLinked="1"/>
        <c:majorTickMark val="out"/>
        <c:minorTickMark val="none"/>
        <c:tickLblPos val="nextTo"/>
        <c:crossAx val="213562112"/>
        <c:crosses val="autoZero"/>
        <c:crossBetween val="midCat"/>
      </c:valAx>
      <c:valAx>
        <c:axId val="213562112"/>
        <c:scaling>
          <c:orientation val="minMax"/>
        </c:scaling>
        <c:delete val="0"/>
        <c:axPos val="l"/>
        <c:majorGridlines/>
        <c:numFmt formatCode="General" sourceLinked="1"/>
        <c:majorTickMark val="out"/>
        <c:minorTickMark val="none"/>
        <c:tickLblPos val="nextTo"/>
        <c:crossAx val="213548032"/>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'Custom drag tables'!$C$189</c:f>
              <c:strCache>
                <c:ptCount val="1"/>
                <c:pt idx="0">
                  <c:v> 6mm Lapua GB542 Scenar-L 6.8g ( 105gr )</c:v>
                </c:pt>
              </c:strCache>
            </c:strRef>
          </c:tx>
          <c:marker>
            <c:symbol val="none"/>
          </c:marker>
          <c:xVal>
            <c:numRef>
              <c:f>'Custom drag tables'!$B$190:$B$218</c:f>
              <c:numCache>
                <c:formatCode>0.00</c:formatCode>
                <c:ptCount val="29"/>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400</c:v>
                </c:pt>
                <c:pt idx="20">
                  <c:v>500</c:v>
                </c:pt>
                <c:pt idx="21">
                  <c:v>600</c:v>
                </c:pt>
                <c:pt idx="22">
                  <c:v>700</c:v>
                </c:pt>
                <c:pt idx="23">
                  <c:v>800</c:v>
                </c:pt>
                <c:pt idx="24">
                  <c:v>900</c:v>
                </c:pt>
                <c:pt idx="25">
                  <c:v>1000</c:v>
                </c:pt>
                <c:pt idx="26">
                  <c:v>1100</c:v>
                </c:pt>
                <c:pt idx="27">
                  <c:v>1200</c:v>
                </c:pt>
                <c:pt idx="28">
                  <c:v>1300</c:v>
                </c:pt>
              </c:numCache>
            </c:numRef>
          </c:xVal>
          <c:yVal>
            <c:numRef>
              <c:f>'Custom drag tables'!$C$190:$C$218</c:f>
              <c:numCache>
                <c:formatCode>0.00</c:formatCode>
                <c:ptCount val="29"/>
                <c:pt idx="0">
                  <c:v>0.2</c:v>
                </c:pt>
                <c:pt idx="1">
                  <c:v>0.2</c:v>
                </c:pt>
                <c:pt idx="2">
                  <c:v>0.2</c:v>
                </c:pt>
                <c:pt idx="3">
                  <c:v>0.2</c:v>
                </c:pt>
                <c:pt idx="4">
                  <c:v>0.2</c:v>
                </c:pt>
                <c:pt idx="5">
                  <c:v>0.2</c:v>
                </c:pt>
                <c:pt idx="6">
                  <c:v>0.2</c:v>
                </c:pt>
                <c:pt idx="7">
                  <c:v>0.19974698642531488</c:v>
                </c:pt>
                <c:pt idx="8">
                  <c:v>0.19854926855094582</c:v>
                </c:pt>
                <c:pt idx="9">
                  <c:v>0.19706911060234261</c:v>
                </c:pt>
                <c:pt idx="10">
                  <c:v>0.19533805459733744</c:v>
                </c:pt>
                <c:pt idx="11">
                  <c:v>0.19157928260575138</c:v>
                </c:pt>
                <c:pt idx="12">
                  <c:v>0.18630789366150283</c:v>
                </c:pt>
                <c:pt idx="13">
                  <c:v>0.1691408330956212</c:v>
                </c:pt>
                <c:pt idx="14">
                  <c:v>0.15817228820997523</c:v>
                </c:pt>
                <c:pt idx="15">
                  <c:v>0.153</c:v>
                </c:pt>
                <c:pt idx="16">
                  <c:v>0.17005760646208554</c:v>
                </c:pt>
                <c:pt idx="17">
                  <c:v>0.32251628828633899</c:v>
                </c:pt>
                <c:pt idx="18">
                  <c:v>0.35258309796183129</c:v>
                </c:pt>
                <c:pt idx="19">
                  <c:v>0.3619706489671905</c:v>
                </c:pt>
                <c:pt idx="20">
                  <c:v>0.34578796891766445</c:v>
                </c:pt>
                <c:pt idx="21">
                  <c:v>0.33073455635115362</c:v>
                </c:pt>
                <c:pt idx="22">
                  <c:v>0.31450136699706271</c:v>
                </c:pt>
                <c:pt idx="23">
                  <c:v>0.2932685636830013</c:v>
                </c:pt>
                <c:pt idx="24">
                  <c:v>0.27502447950828424</c:v>
                </c:pt>
                <c:pt idx="25">
                  <c:v>0.25733656757820939</c:v>
                </c:pt>
                <c:pt idx="26">
                  <c:v>0.24470571237318653</c:v>
                </c:pt>
                <c:pt idx="27">
                  <c:v>0.23429740050408393</c:v>
                </c:pt>
                <c:pt idx="28">
                  <c:v>0.22511407369638486</c:v>
                </c:pt>
              </c:numCache>
            </c:numRef>
          </c:yVal>
          <c:smooth val="0"/>
        </c:ser>
        <c:ser>
          <c:idx val="1"/>
          <c:order val="1"/>
          <c:tx>
            <c:strRef>
              <c:f>'Custom drag tables'!$D$189</c:f>
              <c:strCache>
                <c:ptCount val="1"/>
                <c:pt idx="0">
                  <c:v>G5 user supplied</c:v>
                </c:pt>
              </c:strCache>
            </c:strRef>
          </c:tx>
          <c:marker>
            <c:symbol val="none"/>
          </c:marker>
          <c:xVal>
            <c:numRef>
              <c:f>'Custom drag tables'!$B$190:$B$218</c:f>
              <c:numCache>
                <c:formatCode>0.00</c:formatCode>
                <c:ptCount val="29"/>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400</c:v>
                </c:pt>
                <c:pt idx="20">
                  <c:v>500</c:v>
                </c:pt>
                <c:pt idx="21">
                  <c:v>600</c:v>
                </c:pt>
                <c:pt idx="22">
                  <c:v>700</c:v>
                </c:pt>
                <c:pt idx="23">
                  <c:v>800</c:v>
                </c:pt>
                <c:pt idx="24">
                  <c:v>900</c:v>
                </c:pt>
                <c:pt idx="25">
                  <c:v>1000</c:v>
                </c:pt>
                <c:pt idx="26">
                  <c:v>1100</c:v>
                </c:pt>
                <c:pt idx="27">
                  <c:v>1200</c:v>
                </c:pt>
                <c:pt idx="28">
                  <c:v>1300</c:v>
                </c:pt>
              </c:numCache>
            </c:numRef>
          </c:xVal>
          <c:yVal>
            <c:numRef>
              <c:f>'Custom drag tables'!$D$190:$D$218</c:f>
              <c:numCache>
                <c:formatCode>0.00</c:formatCode>
                <c:ptCount val="29"/>
                <c:pt idx="0">
                  <c:v>0.17100000000000004</c:v>
                </c:pt>
                <c:pt idx="1">
                  <c:v>0.17208622231773799</c:v>
                </c:pt>
                <c:pt idx="2">
                  <c:v>0.172899149657323</c:v>
                </c:pt>
                <c:pt idx="3">
                  <c:v>0.17331234353109948</c:v>
                </c:pt>
                <c:pt idx="4">
                  <c:v>0.17311016253387793</c:v>
                </c:pt>
                <c:pt idx="5">
                  <c:v>0.17193572170552116</c:v>
                </c:pt>
                <c:pt idx="6">
                  <c:v>0.1694417847685763</c:v>
                </c:pt>
                <c:pt idx="7">
                  <c:v>0.16605498159311599</c:v>
                </c:pt>
                <c:pt idx="8">
                  <c:v>0.16227615226956099</c:v>
                </c:pt>
                <c:pt idx="9">
                  <c:v>0.15810487401285808</c:v>
                </c:pt>
                <c:pt idx="10">
                  <c:v>0.15377157550599793</c:v>
                </c:pt>
                <c:pt idx="11">
                  <c:v>0.14991444035670143</c:v>
                </c:pt>
                <c:pt idx="12">
                  <c:v>0.14651361564107582</c:v>
                </c:pt>
                <c:pt idx="13">
                  <c:v>0.14666902006950733</c:v>
                </c:pt>
                <c:pt idx="14">
                  <c:v>0.15216616416193465</c:v>
                </c:pt>
                <c:pt idx="15">
                  <c:v>0.17088641540924049</c:v>
                </c:pt>
                <c:pt idx="16">
                  <c:v>0.22673701716261455</c:v>
                </c:pt>
                <c:pt idx="17">
                  <c:v>0.33604059174342477</c:v>
                </c:pt>
                <c:pt idx="18">
                  <c:v>0.40682373469970134</c:v>
                </c:pt>
                <c:pt idx="19">
                  <c:v>0.43128497616036016</c:v>
                </c:pt>
                <c:pt idx="20">
                  <c:v>0.43951459634047585</c:v>
                </c:pt>
                <c:pt idx="21">
                  <c:v>0.41657019731394729</c:v>
                </c:pt>
                <c:pt idx="22">
                  <c:v>0.37915875462700765</c:v>
                </c:pt>
                <c:pt idx="23">
                  <c:v>0.34801888851542045</c:v>
                </c:pt>
                <c:pt idx="24">
                  <c:v>0.32385398063764792</c:v>
                </c:pt>
                <c:pt idx="25">
                  <c:v>0.30359698468722285</c:v>
                </c:pt>
                <c:pt idx="26">
                  <c:v>0.28721818259980353</c:v>
                </c:pt>
                <c:pt idx="27">
                  <c:v>0.27337754297646061</c:v>
                </c:pt>
                <c:pt idx="28">
                  <c:v>0.26166268440056256</c:v>
                </c:pt>
              </c:numCache>
            </c:numRef>
          </c:yVal>
          <c:smooth val="0"/>
        </c:ser>
        <c:dLbls>
          <c:showLegendKey val="0"/>
          <c:showVal val="0"/>
          <c:showCatName val="0"/>
          <c:showSerName val="0"/>
          <c:showPercent val="0"/>
          <c:showBubbleSize val="0"/>
        </c:dLbls>
        <c:axId val="214005632"/>
        <c:axId val="214007168"/>
      </c:scatterChart>
      <c:valAx>
        <c:axId val="214005632"/>
        <c:scaling>
          <c:orientation val="minMax"/>
        </c:scaling>
        <c:delete val="0"/>
        <c:axPos val="b"/>
        <c:numFmt formatCode="0.00" sourceLinked="1"/>
        <c:majorTickMark val="out"/>
        <c:minorTickMark val="none"/>
        <c:tickLblPos val="nextTo"/>
        <c:crossAx val="214007168"/>
        <c:crosses val="autoZero"/>
        <c:crossBetween val="midCat"/>
      </c:valAx>
      <c:valAx>
        <c:axId val="214007168"/>
        <c:scaling>
          <c:orientation val="minMax"/>
        </c:scaling>
        <c:delete val="0"/>
        <c:axPos val="l"/>
        <c:majorGridlines/>
        <c:numFmt formatCode="0.00" sourceLinked="1"/>
        <c:majorTickMark val="out"/>
        <c:minorTickMark val="none"/>
        <c:tickLblPos val="nextTo"/>
        <c:crossAx val="2140056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aseline="0"/>
              <a:t>Distance a v0=740 [m/s] bullet travels to reach speed of sound</a:t>
            </a:r>
          </a:p>
        </c:rich>
      </c:tx>
      <c:overlay val="0"/>
    </c:title>
    <c:autoTitleDeleted val="0"/>
    <c:plotArea>
      <c:layout/>
      <c:scatterChart>
        <c:scatterStyle val="lineMarker"/>
        <c:varyColors val="0"/>
        <c:ser>
          <c:idx val="0"/>
          <c:order val="0"/>
          <c:tx>
            <c:strRef>
              <c:f>'Bullet range'!$G$12</c:f>
              <c:strCache>
                <c:ptCount val="1"/>
                <c:pt idx="0">
                  <c:v>x [m]</c:v>
                </c:pt>
              </c:strCache>
            </c:strRef>
          </c:tx>
          <c:xVal>
            <c:numRef>
              <c:f>'Bullet range'!$F$13:$F$26</c:f>
              <c:numCache>
                <c:formatCode>0.000</c:formatCode>
                <c:ptCount val="14"/>
                <c:pt idx="0">
                  <c:v>0.3</c:v>
                </c:pt>
                <c:pt idx="1">
                  <c:v>0.32500000000000001</c:v>
                </c:pt>
                <c:pt idx="2">
                  <c:v>0.35</c:v>
                </c:pt>
                <c:pt idx="3">
                  <c:v>0.375</c:v>
                </c:pt>
                <c:pt idx="4">
                  <c:v>0.4</c:v>
                </c:pt>
                <c:pt idx="5">
                  <c:v>0.42499999999999999</c:v>
                </c:pt>
                <c:pt idx="6">
                  <c:v>0.45</c:v>
                </c:pt>
                <c:pt idx="7">
                  <c:v>0.47499999999999998</c:v>
                </c:pt>
                <c:pt idx="8">
                  <c:v>0.5</c:v>
                </c:pt>
                <c:pt idx="9">
                  <c:v>0.52500000000000002</c:v>
                </c:pt>
                <c:pt idx="10">
                  <c:v>0.55000000000000004</c:v>
                </c:pt>
                <c:pt idx="11">
                  <c:v>0.57499999999999996</c:v>
                </c:pt>
                <c:pt idx="12">
                  <c:v>0.6</c:v>
                </c:pt>
                <c:pt idx="13">
                  <c:v>0.625</c:v>
                </c:pt>
              </c:numCache>
            </c:numRef>
          </c:xVal>
          <c:yVal>
            <c:numRef>
              <c:f>'Bullet range'!$G$13:$G$26</c:f>
              <c:numCache>
                <c:formatCode>0.0</c:formatCode>
                <c:ptCount val="14"/>
                <c:pt idx="0">
                  <c:v>492.03159786662212</c:v>
                </c:pt>
                <c:pt idx="1">
                  <c:v>533.03423102217403</c:v>
                </c:pt>
                <c:pt idx="2">
                  <c:v>574.03686417772587</c:v>
                </c:pt>
                <c:pt idx="3">
                  <c:v>615.03949733327784</c:v>
                </c:pt>
                <c:pt idx="4">
                  <c:v>656.04213048882968</c:v>
                </c:pt>
                <c:pt idx="5">
                  <c:v>697.04476364438142</c:v>
                </c:pt>
                <c:pt idx="6">
                  <c:v>738.04739679993338</c:v>
                </c:pt>
                <c:pt idx="7">
                  <c:v>779.05002995548512</c:v>
                </c:pt>
                <c:pt idx="8">
                  <c:v>820.05266311103696</c:v>
                </c:pt>
                <c:pt idx="9">
                  <c:v>861.05529626658881</c:v>
                </c:pt>
                <c:pt idx="10">
                  <c:v>902.05792942214077</c:v>
                </c:pt>
                <c:pt idx="11">
                  <c:v>943.06056257769262</c:v>
                </c:pt>
                <c:pt idx="12">
                  <c:v>984.06319573324424</c:v>
                </c:pt>
                <c:pt idx="13">
                  <c:v>1025.0658288887962</c:v>
                </c:pt>
              </c:numCache>
            </c:numRef>
          </c:yVal>
          <c:smooth val="0"/>
        </c:ser>
        <c:dLbls>
          <c:showLegendKey val="0"/>
          <c:showVal val="0"/>
          <c:showCatName val="0"/>
          <c:showSerName val="0"/>
          <c:showPercent val="0"/>
          <c:showBubbleSize val="0"/>
        </c:dLbls>
        <c:axId val="208283904"/>
        <c:axId val="208286080"/>
      </c:scatterChart>
      <c:valAx>
        <c:axId val="208283904"/>
        <c:scaling>
          <c:orientation val="minMax"/>
        </c:scaling>
        <c:delete val="0"/>
        <c:axPos val="b"/>
        <c:title>
          <c:tx>
            <c:rich>
              <a:bodyPr/>
              <a:lstStyle/>
              <a:p>
                <a:pPr>
                  <a:defRPr/>
                </a:pPr>
                <a:r>
                  <a:rPr lang="nl-NL"/>
                  <a:t>g1</a:t>
                </a:r>
                <a:r>
                  <a:rPr lang="nl-NL" baseline="0"/>
                  <a:t> ballistic coeficient</a:t>
                </a:r>
                <a:endParaRPr lang="nl-NL"/>
              </a:p>
            </c:rich>
          </c:tx>
          <c:overlay val="0"/>
        </c:title>
        <c:numFmt formatCode="0.000" sourceLinked="1"/>
        <c:majorTickMark val="none"/>
        <c:minorTickMark val="none"/>
        <c:tickLblPos val="nextTo"/>
        <c:crossAx val="208286080"/>
        <c:crosses val="autoZero"/>
        <c:crossBetween val="midCat"/>
      </c:valAx>
      <c:valAx>
        <c:axId val="208286080"/>
        <c:scaling>
          <c:orientation val="minMax"/>
        </c:scaling>
        <c:delete val="0"/>
        <c:axPos val="l"/>
        <c:majorGridlines/>
        <c:title>
          <c:tx>
            <c:rich>
              <a:bodyPr/>
              <a:lstStyle/>
              <a:p>
                <a:pPr>
                  <a:defRPr/>
                </a:pPr>
                <a:r>
                  <a:rPr lang="nl-NL"/>
                  <a:t>Distance</a:t>
                </a:r>
              </a:p>
            </c:rich>
          </c:tx>
          <c:overlay val="0"/>
        </c:title>
        <c:numFmt formatCode="0.0" sourceLinked="1"/>
        <c:majorTickMark val="none"/>
        <c:minorTickMark val="none"/>
        <c:tickLblPos val="nextTo"/>
        <c:crossAx val="208283904"/>
        <c:crosses val="autoZero"/>
        <c:crossBetween val="midCat"/>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'Trajectory height'!$C$17</c:f>
              <c:strCache>
                <c:ptCount val="1"/>
                <c:pt idx="0">
                  <c:v>z [cm]</c:v>
                </c:pt>
              </c:strCache>
            </c:strRef>
          </c:tx>
          <c:xVal>
            <c:numRef>
              <c:f>'Trajectory height'!$B$18:$B$38</c:f>
              <c:numCache>
                <c:formatCode>General</c:formatCode>
                <c:ptCount val="21"/>
                <c:pt idx="0">
                  <c:v>0</c:v>
                </c:pt>
                <c:pt idx="1">
                  <c:v>25</c:v>
                </c:pt>
                <c:pt idx="2">
                  <c:v>50</c:v>
                </c:pt>
                <c:pt idx="3">
                  <c:v>75</c:v>
                </c:pt>
                <c:pt idx="4">
                  <c:v>100</c:v>
                </c:pt>
                <c:pt idx="5">
                  <c:v>125</c:v>
                </c:pt>
                <c:pt idx="6">
                  <c:v>150</c:v>
                </c:pt>
                <c:pt idx="7">
                  <c:v>175</c:v>
                </c:pt>
                <c:pt idx="8">
                  <c:v>200</c:v>
                </c:pt>
                <c:pt idx="9">
                  <c:v>225</c:v>
                </c:pt>
                <c:pt idx="10">
                  <c:v>250</c:v>
                </c:pt>
                <c:pt idx="11">
                  <c:v>275</c:v>
                </c:pt>
                <c:pt idx="12">
                  <c:v>300</c:v>
                </c:pt>
                <c:pt idx="13">
                  <c:v>325</c:v>
                </c:pt>
                <c:pt idx="14">
                  <c:v>350</c:v>
                </c:pt>
                <c:pt idx="15">
                  <c:v>375</c:v>
                </c:pt>
                <c:pt idx="16">
                  <c:v>400</c:v>
                </c:pt>
                <c:pt idx="17">
                  <c:v>425</c:v>
                </c:pt>
                <c:pt idx="18">
                  <c:v>450</c:v>
                </c:pt>
                <c:pt idx="19">
                  <c:v>475</c:v>
                </c:pt>
                <c:pt idx="20">
                  <c:v>500</c:v>
                </c:pt>
              </c:numCache>
            </c:numRef>
          </c:xVal>
          <c:yVal>
            <c:numRef>
              <c:f>'Trajectory height'!$C$18:$C$38</c:f>
              <c:numCache>
                <c:formatCode>0.0</c:formatCode>
                <c:ptCount val="21"/>
                <c:pt idx="0">
                  <c:v>-3</c:v>
                </c:pt>
                <c:pt idx="1">
                  <c:v>11.773831692622192</c:v>
                </c:pt>
                <c:pt idx="2">
                  <c:v>25.381966890408147</c:v>
                </c:pt>
                <c:pt idx="3">
                  <c:v>37.775762832754268</c:v>
                </c:pt>
                <c:pt idx="4">
                  <c:v>48.904012798489603</c:v>
                </c:pt>
                <c:pt idx="5">
                  <c:v>58.712782203879961</c:v>
                </c:pt>
                <c:pt idx="6">
                  <c:v>67.145232345377792</c:v>
                </c:pt>
                <c:pt idx="7">
                  <c:v>74.141430711127938</c:v>
                </c:pt>
                <c:pt idx="8">
                  <c:v>79.638146678659311</c:v>
                </c:pt>
                <c:pt idx="9">
                  <c:v>83.568631297753996</c:v>
                </c:pt>
                <c:pt idx="10">
                  <c:v>85.862379725719592</c:v>
                </c:pt>
                <c:pt idx="11">
                  <c:v>86.444874735529922</c:v>
                </c:pt>
                <c:pt idx="12">
                  <c:v>85.237309553633935</c:v>
                </c:pt>
                <c:pt idx="13">
                  <c:v>82.156288101522023</c:v>
                </c:pt>
                <c:pt idx="14">
                  <c:v>77.113500510880598</c:v>
                </c:pt>
                <c:pt idx="15">
                  <c:v>70.015371553569182</c:v>
                </c:pt>
                <c:pt idx="16">
                  <c:v>60.762679371451277</c:v>
                </c:pt>
                <c:pt idx="17">
                  <c:v>49.250141603637339</c:v>
                </c:pt>
                <c:pt idx="18">
                  <c:v>35.365965685634457</c:v>
                </c:pt>
                <c:pt idx="19">
                  <c:v>18.99135973143802</c:v>
                </c:pt>
                <c:pt idx="20">
                  <c:v>-1.9428902930940239E-14</c:v>
                </c:pt>
              </c:numCache>
            </c:numRef>
          </c:yVal>
          <c:smooth val="0"/>
        </c:ser>
        <c:dLbls>
          <c:showLegendKey val="0"/>
          <c:showVal val="0"/>
          <c:showCatName val="0"/>
          <c:showSerName val="0"/>
          <c:showPercent val="0"/>
          <c:showBubbleSize val="0"/>
        </c:dLbls>
        <c:axId val="208089088"/>
        <c:axId val="208090624"/>
      </c:scatterChart>
      <c:valAx>
        <c:axId val="208089088"/>
        <c:scaling>
          <c:orientation val="minMax"/>
        </c:scaling>
        <c:delete val="0"/>
        <c:axPos val="b"/>
        <c:numFmt formatCode="General" sourceLinked="1"/>
        <c:majorTickMark val="out"/>
        <c:minorTickMark val="none"/>
        <c:tickLblPos val="nextTo"/>
        <c:crossAx val="208090624"/>
        <c:crosses val="autoZero"/>
        <c:crossBetween val="midCat"/>
      </c:valAx>
      <c:valAx>
        <c:axId val="208090624"/>
        <c:scaling>
          <c:orientation val="minMax"/>
        </c:scaling>
        <c:delete val="0"/>
        <c:axPos val="l"/>
        <c:majorGridlines/>
        <c:numFmt formatCode="0.0" sourceLinked="1"/>
        <c:majorTickMark val="out"/>
        <c:minorTickMark val="none"/>
        <c:tickLblPos val="nextTo"/>
        <c:crossAx val="208089088"/>
        <c:crosses val="autoZero"/>
        <c:crossBetween val="midCat"/>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'Trajectory height'!$C$62</c:f>
              <c:strCache>
                <c:ptCount val="1"/>
                <c:pt idx="0">
                  <c:v>z [mildots]</c:v>
                </c:pt>
              </c:strCache>
            </c:strRef>
          </c:tx>
          <c:xVal>
            <c:numRef>
              <c:f>'Trajectory height'!$B$63:$B$95</c:f>
              <c:numCache>
                <c:formatCode>General</c:formatCode>
                <c:ptCount val="33"/>
                <c:pt idx="0">
                  <c:v>0</c:v>
                </c:pt>
                <c:pt idx="1">
                  <c:v>2</c:v>
                </c:pt>
                <c:pt idx="2">
                  <c:v>3</c:v>
                </c:pt>
                <c:pt idx="3">
                  <c:v>4</c:v>
                </c:pt>
                <c:pt idx="4">
                  <c:v>5</c:v>
                </c:pt>
                <c:pt idx="5">
                  <c:v>6</c:v>
                </c:pt>
                <c:pt idx="6">
                  <c:v>7</c:v>
                </c:pt>
                <c:pt idx="7">
                  <c:v>8</c:v>
                </c:pt>
                <c:pt idx="8">
                  <c:v>9</c:v>
                </c:pt>
                <c:pt idx="9">
                  <c:v>10</c:v>
                </c:pt>
                <c:pt idx="10">
                  <c:v>15</c:v>
                </c:pt>
                <c:pt idx="11">
                  <c:v>17</c:v>
                </c:pt>
                <c:pt idx="12">
                  <c:v>20</c:v>
                </c:pt>
                <c:pt idx="13">
                  <c:v>25</c:v>
                </c:pt>
                <c:pt idx="14">
                  <c:v>50</c:v>
                </c:pt>
                <c:pt idx="15">
                  <c:v>75</c:v>
                </c:pt>
                <c:pt idx="16">
                  <c:v>100</c:v>
                </c:pt>
                <c:pt idx="17">
                  <c:v>125</c:v>
                </c:pt>
                <c:pt idx="18">
                  <c:v>150</c:v>
                </c:pt>
                <c:pt idx="19">
                  <c:v>175</c:v>
                </c:pt>
                <c:pt idx="20">
                  <c:v>200</c:v>
                </c:pt>
                <c:pt idx="21">
                  <c:v>225</c:v>
                </c:pt>
                <c:pt idx="22">
                  <c:v>250</c:v>
                </c:pt>
                <c:pt idx="23">
                  <c:v>275</c:v>
                </c:pt>
                <c:pt idx="24">
                  <c:v>300</c:v>
                </c:pt>
                <c:pt idx="25">
                  <c:v>325</c:v>
                </c:pt>
                <c:pt idx="26">
                  <c:v>350</c:v>
                </c:pt>
                <c:pt idx="27">
                  <c:v>375</c:v>
                </c:pt>
                <c:pt idx="28">
                  <c:v>400</c:v>
                </c:pt>
                <c:pt idx="29">
                  <c:v>425</c:v>
                </c:pt>
                <c:pt idx="30">
                  <c:v>450</c:v>
                </c:pt>
                <c:pt idx="31">
                  <c:v>475</c:v>
                </c:pt>
                <c:pt idx="32">
                  <c:v>500</c:v>
                </c:pt>
              </c:numCache>
            </c:numRef>
          </c:xVal>
          <c:yVal>
            <c:numRef>
              <c:f>'Trajectory height'!$C$63:$C$95</c:f>
              <c:numCache>
                <c:formatCode>0.0</c:formatCode>
                <c:ptCount val="33"/>
                <c:pt idx="0">
                  <c:v>0</c:v>
                </c:pt>
                <c:pt idx="1">
                  <c:v>-8.8812638229231098</c:v>
                </c:pt>
                <c:pt idx="2">
                  <c:v>-3.8904559992565315</c:v>
                </c:pt>
                <c:pt idx="3">
                  <c:v>-1.399462659508097</c:v>
                </c:pt>
                <c:pt idx="4">
                  <c:v>9.1538809476119629E-2</c:v>
                </c:pt>
                <c:pt idx="5">
                  <c:v>1.0825310834920874</c:v>
                </c:pt>
                <c:pt idx="6">
                  <c:v>1.7877983116306455</c:v>
                </c:pt>
                <c:pt idx="7">
                  <c:v>2.314483649432276</c:v>
                </c:pt>
                <c:pt idx="8">
                  <c:v>2.7221112751477365</c:v>
                </c:pt>
                <c:pt idx="9">
                  <c:v>3.0463957126576231</c:v>
                </c:pt>
                <c:pt idx="10">
                  <c:v>4.0010061162410873</c:v>
                </c:pt>
                <c:pt idx="11">
                  <c:v>4.2180767634893854</c:v>
                </c:pt>
                <c:pt idx="12">
                  <c:v>4.455374457711275</c:v>
                </c:pt>
                <c:pt idx="13">
                  <c:v>4.7094978588413401</c:v>
                </c:pt>
                <c:pt idx="14">
                  <c:v>5.0763497729263758</c:v>
                </c:pt>
                <c:pt idx="15">
                  <c:v>5.0367257856966319</c:v>
                </c:pt>
                <c:pt idx="16">
                  <c:v>4.890362294089158</c:v>
                </c:pt>
                <c:pt idx="17">
                  <c:v>4.6969880348305946</c:v>
                </c:pt>
                <c:pt idx="18">
                  <c:v>4.4763189248081821</c:v>
                </c:pt>
                <c:pt idx="19">
                  <c:v>4.2366278355449243</c:v>
                </c:pt>
                <c:pt idx="20">
                  <c:v>3.9818862889750934</c:v>
                </c:pt>
                <c:pt idx="21">
                  <c:v>3.7141443122069098</c:v>
                </c:pt>
                <c:pt idx="22">
                  <c:v>3.4344816849672357</c:v>
                </c:pt>
                <c:pt idx="23">
                  <c:v>3.1434396366767117</c:v>
                </c:pt>
                <c:pt idx="24">
                  <c:v>2.8412360063549711</c:v>
                </c:pt>
                <c:pt idx="25">
                  <c:v>2.5278804031890068</c:v>
                </c:pt>
                <c:pt idx="26">
                  <c:v>2.2032393066978493</c:v>
                </c:pt>
                <c:pt idx="27">
                  <c:v>1.8670744052390014</c:v>
                </c:pt>
                <c:pt idx="28">
                  <c:v>1.5190658158395496</c:v>
                </c:pt>
                <c:pt idx="29">
                  <c:v>1.1588263425407861</c:v>
                </c:pt>
                <c:pt idx="30">
                  <c:v>0.78591018676254265</c:v>
                </c:pt>
                <c:pt idx="31">
                  <c:v>0.39981807830498101</c:v>
                </c:pt>
                <c:pt idx="32">
                  <c:v>-3.8857805861880479E-16</c:v>
                </c:pt>
              </c:numCache>
            </c:numRef>
          </c:yVal>
          <c:smooth val="0"/>
        </c:ser>
        <c:dLbls>
          <c:showLegendKey val="0"/>
          <c:showVal val="0"/>
          <c:showCatName val="0"/>
          <c:showSerName val="0"/>
          <c:showPercent val="0"/>
          <c:showBubbleSize val="0"/>
        </c:dLbls>
        <c:axId val="208122624"/>
        <c:axId val="208124160"/>
      </c:scatterChart>
      <c:valAx>
        <c:axId val="208122624"/>
        <c:scaling>
          <c:orientation val="minMax"/>
        </c:scaling>
        <c:delete val="0"/>
        <c:axPos val="b"/>
        <c:numFmt formatCode="General" sourceLinked="1"/>
        <c:majorTickMark val="out"/>
        <c:minorTickMark val="none"/>
        <c:tickLblPos val="nextTo"/>
        <c:crossAx val="208124160"/>
        <c:crosses val="autoZero"/>
        <c:crossBetween val="midCat"/>
      </c:valAx>
      <c:valAx>
        <c:axId val="208124160"/>
        <c:scaling>
          <c:orientation val="minMax"/>
          <c:max val="6"/>
          <c:min val="-6"/>
        </c:scaling>
        <c:delete val="0"/>
        <c:axPos val="l"/>
        <c:majorGridlines/>
        <c:numFmt formatCode="0.0" sourceLinked="1"/>
        <c:majorTickMark val="out"/>
        <c:minorTickMark val="none"/>
        <c:tickLblPos val="nextTo"/>
        <c:crossAx val="208122624"/>
        <c:crosses val="autoZero"/>
        <c:crossBetween val="midCat"/>
        <c:majorUnit val="1"/>
        <c:minorUnit val="0.5"/>
      </c:valAx>
    </c:plotArea>
    <c:legend>
      <c:legendPos val="r"/>
      <c:overlay val="0"/>
    </c:legend>
    <c:plotVisOnly val="1"/>
    <c:dispBlanksAs val="gap"/>
    <c:showDLblsOverMax val="0"/>
  </c:chart>
  <c:printSettings>
    <c:headerFooter/>
    <c:pageMargins b="0.7500000000000121" l="0.70000000000000062" r="0.70000000000000062" t="0.750000000000012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'Cross wind deflection'!$C$27</c:f>
              <c:strCache>
                <c:ptCount val="1"/>
                <c:pt idx="0">
                  <c:v>yw [beaufort]</c:v>
                </c:pt>
              </c:strCache>
            </c:strRef>
          </c:tx>
          <c:xVal>
            <c:numRef>
              <c:f>'Cross wind deflection'!$B$28:$B$34</c:f>
              <c:numCache>
                <c:formatCode>General</c:formatCode>
                <c:ptCount val="7"/>
                <c:pt idx="0">
                  <c:v>0</c:v>
                </c:pt>
                <c:pt idx="1">
                  <c:v>50</c:v>
                </c:pt>
                <c:pt idx="2">
                  <c:v>100</c:v>
                </c:pt>
                <c:pt idx="3">
                  <c:v>150</c:v>
                </c:pt>
                <c:pt idx="4">
                  <c:v>200</c:v>
                </c:pt>
                <c:pt idx="5">
                  <c:v>250</c:v>
                </c:pt>
                <c:pt idx="6">
                  <c:v>300</c:v>
                </c:pt>
              </c:numCache>
            </c:numRef>
          </c:xVal>
          <c:yVal>
            <c:numRef>
              <c:f>'Cross wind deflection'!$C$28:$C$34</c:f>
              <c:numCache>
                <c:formatCode>General</c:formatCode>
                <c:ptCount val="7"/>
                <c:pt idx="0">
                  <c:v>2</c:v>
                </c:pt>
                <c:pt idx="1">
                  <c:v>2</c:v>
                </c:pt>
                <c:pt idx="2">
                  <c:v>2</c:v>
                </c:pt>
                <c:pt idx="3">
                  <c:v>2</c:v>
                </c:pt>
                <c:pt idx="4">
                  <c:v>2</c:v>
                </c:pt>
                <c:pt idx="5">
                  <c:v>2</c:v>
                </c:pt>
                <c:pt idx="6">
                  <c:v>2</c:v>
                </c:pt>
              </c:numCache>
            </c:numRef>
          </c:yVal>
          <c:smooth val="0"/>
        </c:ser>
        <c:ser>
          <c:idx val="1"/>
          <c:order val="1"/>
          <c:tx>
            <c:strRef>
              <c:f>'Cross wind deflection'!$D$27</c:f>
              <c:strCache>
                <c:ptCount val="1"/>
                <c:pt idx="0">
                  <c:v>y [cm]</c:v>
                </c:pt>
              </c:strCache>
            </c:strRef>
          </c:tx>
          <c:xVal>
            <c:numRef>
              <c:f>'Cross wind deflection'!$B$28:$B$34</c:f>
              <c:numCache>
                <c:formatCode>General</c:formatCode>
                <c:ptCount val="7"/>
                <c:pt idx="0">
                  <c:v>0</c:v>
                </c:pt>
                <c:pt idx="1">
                  <c:v>50</c:v>
                </c:pt>
                <c:pt idx="2">
                  <c:v>100</c:v>
                </c:pt>
                <c:pt idx="3">
                  <c:v>150</c:v>
                </c:pt>
                <c:pt idx="4">
                  <c:v>200</c:v>
                </c:pt>
                <c:pt idx="5">
                  <c:v>250</c:v>
                </c:pt>
                <c:pt idx="6">
                  <c:v>300</c:v>
                </c:pt>
              </c:numCache>
            </c:numRef>
          </c:xVal>
          <c:yVal>
            <c:numRef>
              <c:f>'Cross wind deflection'!$D$28:$D$34</c:f>
              <c:numCache>
                <c:formatCode>0.00</c:formatCode>
                <c:ptCount val="7"/>
                <c:pt idx="0">
                  <c:v>0</c:v>
                </c:pt>
                <c:pt idx="1">
                  <c:v>0.32822222331431422</c:v>
                </c:pt>
                <c:pt idx="2">
                  <c:v>1.3404261917875935</c:v>
                </c:pt>
                <c:pt idx="3">
                  <c:v>3.0805726619530636</c:v>
                </c:pt>
                <c:pt idx="4">
                  <c:v>5.5964721175423353</c:v>
                </c:pt>
                <c:pt idx="5">
                  <c:v>8.9402156118349403</c:v>
                </c:pt>
                <c:pt idx="6">
                  <c:v>13.168664796058593</c:v>
                </c:pt>
              </c:numCache>
            </c:numRef>
          </c:yVal>
          <c:smooth val="0"/>
        </c:ser>
        <c:dLbls>
          <c:showLegendKey val="0"/>
          <c:showVal val="0"/>
          <c:showCatName val="0"/>
          <c:showSerName val="0"/>
          <c:showPercent val="0"/>
          <c:showBubbleSize val="0"/>
        </c:dLbls>
        <c:axId val="208999168"/>
        <c:axId val="209000704"/>
      </c:scatterChart>
      <c:valAx>
        <c:axId val="208999168"/>
        <c:scaling>
          <c:orientation val="minMax"/>
        </c:scaling>
        <c:delete val="0"/>
        <c:axPos val="b"/>
        <c:numFmt formatCode="General" sourceLinked="1"/>
        <c:majorTickMark val="out"/>
        <c:minorTickMark val="none"/>
        <c:tickLblPos val="nextTo"/>
        <c:crossAx val="209000704"/>
        <c:crosses val="autoZero"/>
        <c:crossBetween val="midCat"/>
      </c:valAx>
      <c:valAx>
        <c:axId val="209000704"/>
        <c:scaling>
          <c:orientation val="minMax"/>
        </c:scaling>
        <c:delete val="0"/>
        <c:axPos val="l"/>
        <c:majorGridlines/>
        <c:numFmt formatCode="General" sourceLinked="1"/>
        <c:majorTickMark val="out"/>
        <c:minorTickMark val="none"/>
        <c:tickLblPos val="nextTo"/>
        <c:crossAx val="208999168"/>
        <c:crosses val="autoZero"/>
        <c:crossBetween val="midCat"/>
      </c:valAx>
    </c:plotArea>
    <c:legend>
      <c:legendPos val="r"/>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'Cross wind deflection'!$C$80</c:f>
              <c:strCache>
                <c:ptCount val="1"/>
                <c:pt idx="0">
                  <c:v>yw [beaufort]</c:v>
                </c:pt>
              </c:strCache>
            </c:strRef>
          </c:tx>
          <c:xVal>
            <c:numRef>
              <c:f>'Cross wind deflection'!$B$81:$B$87</c:f>
              <c:numCache>
                <c:formatCode>General</c:formatCode>
                <c:ptCount val="7"/>
                <c:pt idx="0">
                  <c:v>0</c:v>
                </c:pt>
                <c:pt idx="1">
                  <c:v>50</c:v>
                </c:pt>
                <c:pt idx="2">
                  <c:v>100</c:v>
                </c:pt>
                <c:pt idx="3">
                  <c:v>150</c:v>
                </c:pt>
                <c:pt idx="4">
                  <c:v>200</c:v>
                </c:pt>
                <c:pt idx="5">
                  <c:v>250</c:v>
                </c:pt>
                <c:pt idx="6">
                  <c:v>300</c:v>
                </c:pt>
              </c:numCache>
            </c:numRef>
          </c:xVal>
          <c:yVal>
            <c:numRef>
              <c:f>'Cross wind deflection'!$C$81:$C$87</c:f>
              <c:numCache>
                <c:formatCode>General</c:formatCode>
                <c:ptCount val="7"/>
                <c:pt idx="0">
                  <c:v>2</c:v>
                </c:pt>
                <c:pt idx="1">
                  <c:v>1.8</c:v>
                </c:pt>
                <c:pt idx="2">
                  <c:v>0</c:v>
                </c:pt>
                <c:pt idx="3">
                  <c:v>-2</c:v>
                </c:pt>
                <c:pt idx="4">
                  <c:v>-2</c:v>
                </c:pt>
                <c:pt idx="5">
                  <c:v>-2</c:v>
                </c:pt>
                <c:pt idx="6">
                  <c:v>-2</c:v>
                </c:pt>
              </c:numCache>
            </c:numRef>
          </c:yVal>
          <c:smooth val="0"/>
        </c:ser>
        <c:ser>
          <c:idx val="1"/>
          <c:order val="1"/>
          <c:tx>
            <c:strRef>
              <c:f>'Cross wind deflection'!$D$80</c:f>
              <c:strCache>
                <c:ptCount val="1"/>
                <c:pt idx="0">
                  <c:v>y [cm]</c:v>
                </c:pt>
              </c:strCache>
            </c:strRef>
          </c:tx>
          <c:xVal>
            <c:numRef>
              <c:f>'Cross wind deflection'!$B$81:$B$87</c:f>
              <c:numCache>
                <c:formatCode>General</c:formatCode>
                <c:ptCount val="7"/>
                <c:pt idx="0">
                  <c:v>0</c:v>
                </c:pt>
                <c:pt idx="1">
                  <c:v>50</c:v>
                </c:pt>
                <c:pt idx="2">
                  <c:v>100</c:v>
                </c:pt>
                <c:pt idx="3">
                  <c:v>150</c:v>
                </c:pt>
                <c:pt idx="4">
                  <c:v>200</c:v>
                </c:pt>
                <c:pt idx="5">
                  <c:v>250</c:v>
                </c:pt>
                <c:pt idx="6">
                  <c:v>300</c:v>
                </c:pt>
              </c:numCache>
            </c:numRef>
          </c:xVal>
          <c:yVal>
            <c:numRef>
              <c:f>'Cross wind deflection'!$D$81:$D$87</c:f>
              <c:numCache>
                <c:formatCode>0.00</c:formatCode>
                <c:ptCount val="7"/>
                <c:pt idx="0">
                  <c:v>0</c:v>
                </c:pt>
                <c:pt idx="1">
                  <c:v>0.31598176719438281</c:v>
                </c:pt>
                <c:pt idx="2">
                  <c:v>1.1518981446253314</c:v>
                </c:pt>
                <c:pt idx="3">
                  <c:v>1.9674243992327669</c:v>
                </c:pt>
                <c:pt idx="4">
                  <c:v>2.1000885822070678</c:v>
                </c:pt>
                <c:pt idx="5">
                  <c:v>1.4049087264780349</c:v>
                </c:pt>
                <c:pt idx="6">
                  <c:v>-0.17497681918204103</c:v>
                </c:pt>
              </c:numCache>
            </c:numRef>
          </c:yVal>
          <c:smooth val="0"/>
        </c:ser>
        <c:dLbls>
          <c:showLegendKey val="0"/>
          <c:showVal val="0"/>
          <c:showCatName val="0"/>
          <c:showSerName val="0"/>
          <c:showPercent val="0"/>
          <c:showBubbleSize val="0"/>
        </c:dLbls>
        <c:axId val="209009664"/>
        <c:axId val="209044224"/>
      </c:scatterChart>
      <c:valAx>
        <c:axId val="209009664"/>
        <c:scaling>
          <c:orientation val="minMax"/>
        </c:scaling>
        <c:delete val="0"/>
        <c:axPos val="b"/>
        <c:numFmt formatCode="General" sourceLinked="1"/>
        <c:majorTickMark val="out"/>
        <c:minorTickMark val="none"/>
        <c:tickLblPos val="nextTo"/>
        <c:crossAx val="209044224"/>
        <c:crosses val="autoZero"/>
        <c:crossBetween val="midCat"/>
      </c:valAx>
      <c:valAx>
        <c:axId val="209044224"/>
        <c:scaling>
          <c:orientation val="minMax"/>
        </c:scaling>
        <c:delete val="0"/>
        <c:axPos val="l"/>
        <c:majorGridlines/>
        <c:numFmt formatCode="General" sourceLinked="1"/>
        <c:majorTickMark val="out"/>
        <c:minorTickMark val="none"/>
        <c:tickLblPos val="nextTo"/>
        <c:crossAx val="209009664"/>
        <c:crosses val="autoZero"/>
        <c:crossBetween val="midCat"/>
      </c:valAx>
    </c:plotArea>
    <c:legend>
      <c:legendPos val="r"/>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'Cross wind deflection'!$C$53</c:f>
              <c:strCache>
                <c:ptCount val="1"/>
                <c:pt idx="0">
                  <c:v>yw [beaufort]</c:v>
                </c:pt>
              </c:strCache>
            </c:strRef>
          </c:tx>
          <c:xVal>
            <c:numRef>
              <c:f>'Cross wind deflection'!$B$54:$B$61</c:f>
              <c:numCache>
                <c:formatCode>General</c:formatCode>
                <c:ptCount val="8"/>
                <c:pt idx="0">
                  <c:v>0</c:v>
                </c:pt>
                <c:pt idx="1">
                  <c:v>50</c:v>
                </c:pt>
                <c:pt idx="2">
                  <c:v>100</c:v>
                </c:pt>
                <c:pt idx="3">
                  <c:v>150</c:v>
                </c:pt>
                <c:pt idx="4">
                  <c:v>200</c:v>
                </c:pt>
                <c:pt idx="5">
                  <c:v>250</c:v>
                </c:pt>
                <c:pt idx="6">
                  <c:v>300</c:v>
                </c:pt>
                <c:pt idx="7">
                  <c:v>600</c:v>
                </c:pt>
              </c:numCache>
            </c:numRef>
          </c:xVal>
          <c:yVal>
            <c:numRef>
              <c:f>'Cross wind deflection'!$C$54:$C$61</c:f>
              <c:numCache>
                <c:formatCode>General</c:formatCode>
                <c:ptCount val="8"/>
                <c:pt idx="0">
                  <c:v>2</c:v>
                </c:pt>
                <c:pt idx="1">
                  <c:v>2</c:v>
                </c:pt>
                <c:pt idx="2">
                  <c:v>2</c:v>
                </c:pt>
                <c:pt idx="3">
                  <c:v>2</c:v>
                </c:pt>
                <c:pt idx="4">
                  <c:v>2</c:v>
                </c:pt>
                <c:pt idx="5">
                  <c:v>2</c:v>
                </c:pt>
                <c:pt idx="6">
                  <c:v>2</c:v>
                </c:pt>
                <c:pt idx="7">
                  <c:v>2</c:v>
                </c:pt>
              </c:numCache>
            </c:numRef>
          </c:yVal>
          <c:smooth val="0"/>
        </c:ser>
        <c:ser>
          <c:idx val="1"/>
          <c:order val="1"/>
          <c:tx>
            <c:strRef>
              <c:f>'Cross wind deflection'!$D$53</c:f>
              <c:strCache>
                <c:ptCount val="1"/>
                <c:pt idx="0">
                  <c:v>y [moa]</c:v>
                </c:pt>
              </c:strCache>
            </c:strRef>
          </c:tx>
          <c:xVal>
            <c:numRef>
              <c:f>'Cross wind deflection'!$B$54:$B$61</c:f>
              <c:numCache>
                <c:formatCode>General</c:formatCode>
                <c:ptCount val="8"/>
                <c:pt idx="0">
                  <c:v>0</c:v>
                </c:pt>
                <c:pt idx="1">
                  <c:v>50</c:v>
                </c:pt>
                <c:pt idx="2">
                  <c:v>100</c:v>
                </c:pt>
                <c:pt idx="3">
                  <c:v>150</c:v>
                </c:pt>
                <c:pt idx="4">
                  <c:v>200</c:v>
                </c:pt>
                <c:pt idx="5">
                  <c:v>250</c:v>
                </c:pt>
                <c:pt idx="6">
                  <c:v>300</c:v>
                </c:pt>
                <c:pt idx="7">
                  <c:v>600</c:v>
                </c:pt>
              </c:numCache>
            </c:numRef>
          </c:xVal>
          <c:yVal>
            <c:numRef>
              <c:f>'Cross wind deflection'!$D$54:$D$61</c:f>
              <c:numCache>
                <c:formatCode>0.00</c:formatCode>
                <c:ptCount val="8"/>
                <c:pt idx="0">
                  <c:v>0</c:v>
                </c:pt>
                <c:pt idx="1">
                  <c:v>0.22566897733557703</c:v>
                </c:pt>
                <c:pt idx="2">
                  <c:v>0.46080457846951167</c:v>
                </c:pt>
                <c:pt idx="3">
                  <c:v>0.70601523812719158</c:v>
                </c:pt>
                <c:pt idx="4">
                  <c:v>0.96196267238582966</c:v>
                </c:pt>
                <c:pt idx="5">
                  <c:v>1.2293678415828055</c:v>
                </c:pt>
                <c:pt idx="6">
                  <c:v>1.5090177323531826</c:v>
                </c:pt>
                <c:pt idx="7">
                  <c:v>3.4986547987878751</c:v>
                </c:pt>
              </c:numCache>
            </c:numRef>
          </c:yVal>
          <c:smooth val="0"/>
        </c:ser>
        <c:dLbls>
          <c:showLegendKey val="0"/>
          <c:showVal val="0"/>
          <c:showCatName val="0"/>
          <c:showSerName val="0"/>
          <c:showPercent val="0"/>
          <c:showBubbleSize val="0"/>
        </c:dLbls>
        <c:axId val="209134720"/>
        <c:axId val="209136256"/>
      </c:scatterChart>
      <c:valAx>
        <c:axId val="209134720"/>
        <c:scaling>
          <c:orientation val="minMax"/>
        </c:scaling>
        <c:delete val="0"/>
        <c:axPos val="b"/>
        <c:numFmt formatCode="General" sourceLinked="1"/>
        <c:majorTickMark val="out"/>
        <c:minorTickMark val="none"/>
        <c:tickLblPos val="nextTo"/>
        <c:crossAx val="209136256"/>
        <c:crosses val="autoZero"/>
        <c:crossBetween val="midCat"/>
      </c:valAx>
      <c:valAx>
        <c:axId val="209136256"/>
        <c:scaling>
          <c:orientation val="minMax"/>
        </c:scaling>
        <c:delete val="0"/>
        <c:axPos val="l"/>
        <c:majorGridlines/>
        <c:numFmt formatCode="General" sourceLinked="1"/>
        <c:majorTickMark val="out"/>
        <c:minorTickMark val="none"/>
        <c:tickLblPos val="nextTo"/>
        <c:crossAx val="209134720"/>
        <c:crosses val="autoZero"/>
        <c:crossBetween val="midCat"/>
      </c:valAx>
    </c:plotArea>
    <c:legend>
      <c:legendPos val="r"/>
      <c:layout/>
      <c:overlay val="0"/>
    </c:legend>
    <c:plotVisOnly val="1"/>
    <c:dispBlanksAs val="gap"/>
    <c:showDLblsOverMax val="0"/>
  </c:chart>
  <c:printSettings>
    <c:headerFooter/>
    <c:pageMargins b="0.75000000000001232" l="0.70000000000000062" r="0.70000000000000062" t="0.7500000000000123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'Drag functions'!$D$147</c:f>
              <c:strCache>
                <c:ptCount val="1"/>
                <c:pt idx="0">
                  <c:v>V G1 [m/s]</c:v>
                </c:pt>
              </c:strCache>
            </c:strRef>
          </c:tx>
          <c:marker>
            <c:symbol val="none"/>
          </c:marker>
          <c:xVal>
            <c:numRef>
              <c:f>'Drag functions'!$B$148:$B$172</c:f>
              <c:numCache>
                <c:formatCode>0</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xVal>
          <c:yVal>
            <c:numRef>
              <c:f>'Drag functions'!$D$148:$D$172</c:f>
              <c:numCache>
                <c:formatCode>0</c:formatCode>
                <c:ptCount val="25"/>
                <c:pt idx="0">
                  <c:v>740</c:v>
                </c:pt>
                <c:pt idx="1">
                  <c:v>682.8881159356805</c:v>
                </c:pt>
                <c:pt idx="2">
                  <c:v>628.33428037439296</c:v>
                </c:pt>
                <c:pt idx="3">
                  <c:v>576.25322423042292</c:v>
                </c:pt>
                <c:pt idx="4">
                  <c:v>527.00266555902977</c:v>
                </c:pt>
                <c:pt idx="5">
                  <c:v>481.07820635513417</c:v>
                </c:pt>
                <c:pt idx="6">
                  <c:v>438.93186550061114</c:v>
                </c:pt>
                <c:pt idx="7">
                  <c:v>401.29365020387127</c:v>
                </c:pt>
                <c:pt idx="8">
                  <c:v>369.02455437699871</c:v>
                </c:pt>
                <c:pt idx="9">
                  <c:v>342.59170569447861</c:v>
                </c:pt>
                <c:pt idx="10">
                  <c:v>322.29199200450563</c:v>
                </c:pt>
                <c:pt idx="11">
                  <c:v>306.11490579736272</c:v>
                </c:pt>
                <c:pt idx="12">
                  <c:v>292.78645852948233</c:v>
                </c:pt>
                <c:pt idx="13">
                  <c:v>281.50628067158567</c:v>
                </c:pt>
                <c:pt idx="14">
                  <c:v>271.44278264165075</c:v>
                </c:pt>
                <c:pt idx="15">
                  <c:v>262.28083156781952</c:v>
                </c:pt>
                <c:pt idx="16">
                  <c:v>253.89624961842142</c:v>
                </c:pt>
                <c:pt idx="17">
                  <c:v>246.14920395800732</c:v>
                </c:pt>
                <c:pt idx="18">
                  <c:v>238.78434546854754</c:v>
                </c:pt>
                <c:pt idx="19">
                  <c:v>231.75132318884687</c:v>
                </c:pt>
                <c:pt idx="20">
                  <c:v>225.03031738154866</c:v>
                </c:pt>
                <c:pt idx="21">
                  <c:v>218.60297405395633</c:v>
                </c:pt>
                <c:pt idx="22">
                  <c:v>212.45227633079034</c:v>
                </c:pt>
                <c:pt idx="23">
                  <c:v>206.55807677635323</c:v>
                </c:pt>
              </c:numCache>
            </c:numRef>
          </c:yVal>
          <c:smooth val="0"/>
        </c:ser>
        <c:ser>
          <c:idx val="1"/>
          <c:order val="1"/>
          <c:tx>
            <c:strRef>
              <c:f>'Drag functions'!$E$147</c:f>
              <c:strCache>
                <c:ptCount val="1"/>
                <c:pt idx="0">
                  <c:v>V G1 [m/s]</c:v>
                </c:pt>
              </c:strCache>
            </c:strRef>
          </c:tx>
          <c:marker>
            <c:symbol val="none"/>
          </c:marker>
          <c:xVal>
            <c:numRef>
              <c:f>'Drag functions'!$B$148:$B$172</c:f>
              <c:numCache>
                <c:formatCode>0</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xVal>
          <c:yVal>
            <c:numRef>
              <c:f>'Drag functions'!$E$148:$E$172</c:f>
              <c:numCache>
                <c:formatCode>0</c:formatCode>
                <c:ptCount val="25"/>
                <c:pt idx="0">
                  <c:v>740</c:v>
                </c:pt>
                <c:pt idx="1">
                  <c:v>681.2676160345718</c:v>
                </c:pt>
                <c:pt idx="2">
                  <c:v>625.24367093230319</c:v>
                </c:pt>
                <c:pt idx="3">
                  <c:v>572.06954477360284</c:v>
                </c:pt>
                <c:pt idx="4">
                  <c:v>521.89102947796891</c:v>
                </c:pt>
                <c:pt idx="5">
                  <c:v>475.26596711770833</c:v>
                </c:pt>
                <c:pt idx="6">
                  <c:v>432.7014933774031</c:v>
                </c:pt>
                <c:pt idx="7">
                  <c:v>394.96186838064227</c:v>
                </c:pt>
                <c:pt idx="8">
                  <c:v>363.02196639081041</c:v>
                </c:pt>
                <c:pt idx="9">
                  <c:v>337.4159946076918</c:v>
                </c:pt>
                <c:pt idx="10">
                  <c:v>317.80335280042476</c:v>
                </c:pt>
                <c:pt idx="11">
                  <c:v>302.10923583149321</c:v>
                </c:pt>
                <c:pt idx="12">
                  <c:v>289.13982348352965</c:v>
                </c:pt>
                <c:pt idx="13">
                  <c:v>278.05936278576809</c:v>
                </c:pt>
                <c:pt idx="14">
                  <c:v>268.07908115201144</c:v>
                </c:pt>
                <c:pt idx="15">
                  <c:v>258.99628897265683</c:v>
                </c:pt>
                <c:pt idx="16">
                  <c:v>250.68692239043008</c:v>
                </c:pt>
                <c:pt idx="17">
                  <c:v>242.93070095913689</c:v>
                </c:pt>
                <c:pt idx="18">
                  <c:v>235.53596754799329</c:v>
                </c:pt>
                <c:pt idx="19">
                  <c:v>228.48010805719355</c:v>
                </c:pt>
                <c:pt idx="20">
                  <c:v>221.74254206364776</c:v>
                </c:pt>
                <c:pt idx="21">
                  <c:v>215.30423634272293</c:v>
                </c:pt>
                <c:pt idx="22">
                  <c:v>209.14756687921141</c:v>
                </c:pt>
                <c:pt idx="23">
                  <c:v>203.22194443831665</c:v>
                </c:pt>
                <c:pt idx="24">
                  <c:v>197.46361446467122</c:v>
                </c:pt>
              </c:numCache>
            </c:numRef>
          </c:yVal>
          <c:smooth val="0"/>
        </c:ser>
        <c:ser>
          <c:idx val="2"/>
          <c:order val="2"/>
          <c:tx>
            <c:strRef>
              <c:f>'Drag functions'!$F$147</c:f>
              <c:strCache>
                <c:ptCount val="1"/>
                <c:pt idx="0">
                  <c:v>V GP [m/s]</c:v>
                </c:pt>
              </c:strCache>
            </c:strRef>
          </c:tx>
          <c:marker>
            <c:symbol val="none"/>
          </c:marker>
          <c:xVal>
            <c:numRef>
              <c:f>'Drag functions'!$B$148:$B$172</c:f>
              <c:numCache>
                <c:formatCode>0</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xVal>
          <c:yVal>
            <c:numRef>
              <c:f>'Drag functions'!$F$148:$F$172</c:f>
              <c:numCache>
                <c:formatCode>0</c:formatCode>
                <c:ptCount val="25"/>
                <c:pt idx="0">
                  <c:v>740</c:v>
                </c:pt>
                <c:pt idx="1">
                  <c:v>682.16488483822695</c:v>
                </c:pt>
                <c:pt idx="2">
                  <c:v>626.68272092447353</c:v>
                </c:pt>
                <c:pt idx="3">
                  <c:v>573.55350825873927</c:v>
                </c:pt>
                <c:pt idx="4">
                  <c:v>522.77724684102441</c:v>
                </c:pt>
                <c:pt idx="5">
                  <c:v>474.35393667132905</c:v>
                </c:pt>
                <c:pt idx="6">
                  <c:v>428.28357774965286</c:v>
                </c:pt>
                <c:pt idx="7">
                  <c:v>385.58889039908138</c:v>
                </c:pt>
                <c:pt idx="8">
                  <c:v>348.4394187745155</c:v>
                </c:pt>
                <c:pt idx="9">
                  <c:v>321.55565312961329</c:v>
                </c:pt>
                <c:pt idx="10">
                  <c:v>301.42238200651707</c:v>
                </c:pt>
                <c:pt idx="11">
                  <c:v>285.53995902457825</c:v>
                </c:pt>
                <c:pt idx="12">
                  <c:v>272.53386310342449</c:v>
                </c:pt>
                <c:pt idx="13">
                  <c:v>260.72354394821207</c:v>
                </c:pt>
                <c:pt idx="14">
                  <c:v>249.42502775560996</c:v>
                </c:pt>
                <c:pt idx="15">
                  <c:v>238.61613542367405</c:v>
                </c:pt>
                <c:pt idx="16">
                  <c:v>228.27564898706737</c:v>
                </c:pt>
                <c:pt idx="17">
                  <c:v>218.38326996597891</c:v>
                </c:pt>
                <c:pt idx="18">
                  <c:v>208.91957952000172</c:v>
                </c:pt>
                <c:pt idx="19">
                  <c:v>199.86600032875222</c:v>
                </c:pt>
                <c:pt idx="20">
                  <c:v>191.20476012440162</c:v>
                </c:pt>
                <c:pt idx="21">
                  <c:v>182.91885680453396</c:v>
                </c:pt>
                <c:pt idx="22">
                  <c:v>174.99202505684647</c:v>
                </c:pt>
                <c:pt idx="23">
                  <c:v>167.40870443017636</c:v>
                </c:pt>
                <c:pt idx="24">
                  <c:v>160.15400878917742</c:v>
                </c:pt>
              </c:numCache>
            </c:numRef>
          </c:yVal>
          <c:smooth val="0"/>
        </c:ser>
        <c:ser>
          <c:idx val="3"/>
          <c:order val="3"/>
          <c:tx>
            <c:strRef>
              <c:f>'Drag functions'!$G$147</c:f>
              <c:strCache>
                <c:ptCount val="1"/>
                <c:pt idx="0">
                  <c:v>V G7 [m/s]</c:v>
                </c:pt>
              </c:strCache>
            </c:strRef>
          </c:tx>
          <c:marker>
            <c:symbol val="none"/>
          </c:marker>
          <c:xVal>
            <c:numRef>
              <c:f>'Drag functions'!$B$148:$B$172</c:f>
              <c:numCache>
                <c:formatCode>0</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xVal>
          <c:yVal>
            <c:numRef>
              <c:f>'Drag functions'!$G$148:$G$172</c:f>
              <c:numCache>
                <c:formatCode>0</c:formatCode>
                <c:ptCount val="25"/>
                <c:pt idx="0">
                  <c:v>740</c:v>
                </c:pt>
                <c:pt idx="1">
                  <c:v>682.36889303208932</c:v>
                </c:pt>
                <c:pt idx="2">
                  <c:v>627.30238340981327</c:v>
                </c:pt>
                <c:pt idx="3">
                  <c:v>574.77845201127934</c:v>
                </c:pt>
                <c:pt idx="4">
                  <c:v>524.70275395171006</c:v>
                </c:pt>
                <c:pt idx="5">
                  <c:v>476.52838093917626</c:v>
                </c:pt>
                <c:pt idx="6">
                  <c:v>430.19465198252033</c:v>
                </c:pt>
                <c:pt idx="7">
                  <c:v>386.36147883850447</c:v>
                </c:pt>
                <c:pt idx="8">
                  <c:v>345.61768450840265</c:v>
                </c:pt>
                <c:pt idx="9">
                  <c:v>319.72909700842996</c:v>
                </c:pt>
                <c:pt idx="10">
                  <c:v>305.80826832668271</c:v>
                </c:pt>
                <c:pt idx="11">
                  <c:v>294.31599762371485</c:v>
                </c:pt>
                <c:pt idx="12">
                  <c:v>283.80605119405186</c:v>
                </c:pt>
                <c:pt idx="13">
                  <c:v>274.08291624154856</c:v>
                </c:pt>
                <c:pt idx="14">
                  <c:v>264.89966042219095</c:v>
                </c:pt>
                <c:pt idx="15">
                  <c:v>256.11865034254015</c:v>
                </c:pt>
                <c:pt idx="16">
                  <c:v>247.64837176700482</c:v>
                </c:pt>
                <c:pt idx="17">
                  <c:v>239.47713661806495</c:v>
                </c:pt>
                <c:pt idx="18">
                  <c:v>231.59372238212225</c:v>
                </c:pt>
                <c:pt idx="19">
                  <c:v>223.98735253727881</c:v>
                </c:pt>
                <c:pt idx="20">
                  <c:v>216.64767784693365</c:v>
                </c:pt>
                <c:pt idx="21">
                  <c:v>209.56475847900305</c:v>
                </c:pt>
                <c:pt idx="22">
                  <c:v>202.72747871190137</c:v>
                </c:pt>
                <c:pt idx="23">
                  <c:v>196.11557048678662</c:v>
                </c:pt>
                <c:pt idx="24">
                  <c:v>189.71930806684404</c:v>
                </c:pt>
              </c:numCache>
            </c:numRef>
          </c:yVal>
          <c:smooth val="0"/>
        </c:ser>
        <c:dLbls>
          <c:showLegendKey val="0"/>
          <c:showVal val="0"/>
          <c:showCatName val="0"/>
          <c:showSerName val="0"/>
          <c:showPercent val="0"/>
          <c:showBubbleSize val="0"/>
        </c:dLbls>
        <c:axId val="213798272"/>
        <c:axId val="213816448"/>
      </c:scatterChart>
      <c:valAx>
        <c:axId val="213798272"/>
        <c:scaling>
          <c:orientation val="minMax"/>
        </c:scaling>
        <c:delete val="0"/>
        <c:axPos val="b"/>
        <c:numFmt formatCode="0" sourceLinked="1"/>
        <c:majorTickMark val="out"/>
        <c:minorTickMark val="none"/>
        <c:tickLblPos val="nextTo"/>
        <c:crossAx val="213816448"/>
        <c:crosses val="autoZero"/>
        <c:crossBetween val="midCat"/>
      </c:valAx>
      <c:valAx>
        <c:axId val="213816448"/>
        <c:scaling>
          <c:orientation val="minMax"/>
          <c:min val="100"/>
        </c:scaling>
        <c:delete val="0"/>
        <c:axPos val="l"/>
        <c:majorGridlines/>
        <c:numFmt formatCode="0" sourceLinked="1"/>
        <c:majorTickMark val="out"/>
        <c:minorTickMark val="none"/>
        <c:tickLblPos val="nextTo"/>
        <c:crossAx val="213798272"/>
        <c:crosses val="autoZero"/>
        <c:crossBetween val="midCat"/>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tx>
            <c:strRef>
              <c:f>'Drag functions'!$E$257</c:f>
              <c:strCache>
                <c:ptCount val="1"/>
                <c:pt idx="0">
                  <c:v>GP</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functions'!$E$258:$E$329</c:f>
              <c:numCache>
                <c:formatCode>0.00000</c:formatCode>
                <c:ptCount val="72"/>
                <c:pt idx="0">
                  <c:v>0.32688846785481207</c:v>
                </c:pt>
                <c:pt idx="1">
                  <c:v>0.32688846785481207</c:v>
                </c:pt>
                <c:pt idx="2">
                  <c:v>0.32688846785481207</c:v>
                </c:pt>
                <c:pt idx="3">
                  <c:v>0.32688846785481207</c:v>
                </c:pt>
                <c:pt idx="4">
                  <c:v>0.32688846785481207</c:v>
                </c:pt>
                <c:pt idx="5">
                  <c:v>0.32688846785481207</c:v>
                </c:pt>
                <c:pt idx="6">
                  <c:v>0.32688846785481207</c:v>
                </c:pt>
                <c:pt idx="7">
                  <c:v>0.32688846785481207</c:v>
                </c:pt>
                <c:pt idx="8">
                  <c:v>0.32688846785481207</c:v>
                </c:pt>
                <c:pt idx="9">
                  <c:v>0.32688846785481207</c:v>
                </c:pt>
                <c:pt idx="10">
                  <c:v>0.32688846785481207</c:v>
                </c:pt>
                <c:pt idx="11">
                  <c:v>0.32932748367358489</c:v>
                </c:pt>
                <c:pt idx="12">
                  <c:v>0.34761938616270649</c:v>
                </c:pt>
                <c:pt idx="13">
                  <c:v>0.36657637676310872</c:v>
                </c:pt>
                <c:pt idx="14">
                  <c:v>0.38621033204820743</c:v>
                </c:pt>
                <c:pt idx="15">
                  <c:v>0.40653312859141816</c:v>
                </c:pt>
                <c:pt idx="16">
                  <c:v>0.42755664296615686</c:v>
                </c:pt>
                <c:pt idx="17">
                  <c:v>0.44929275174583916</c:v>
                </c:pt>
                <c:pt idx="18">
                  <c:v>0.47175333150388071</c:v>
                </c:pt>
                <c:pt idx="19">
                  <c:v>0.49495025881369736</c:v>
                </c:pt>
                <c:pt idx="20">
                  <c:v>0.51889541024870478</c:v>
                </c:pt>
                <c:pt idx="21">
                  <c:v>0.54360066238231863</c:v>
                </c:pt>
                <c:pt idx="22">
                  <c:v>0.56907789178795476</c:v>
                </c:pt>
                <c:pt idx="23">
                  <c:v>0.59533897503902888</c:v>
                </c:pt>
                <c:pt idx="24">
                  <c:v>0.62239578870895662</c:v>
                </c:pt>
                <c:pt idx="25">
                  <c:v>0.65026020937115381</c:v>
                </c:pt>
                <c:pt idx="26">
                  <c:v>0.67894411359903606</c:v>
                </c:pt>
                <c:pt idx="27">
                  <c:v>0.70845937796601921</c:v>
                </c:pt>
                <c:pt idx="28">
                  <c:v>0.7388178790455191</c:v>
                </c:pt>
                <c:pt idx="29">
                  <c:v>0.77003149341095112</c:v>
                </c:pt>
                <c:pt idx="30">
                  <c:v>0.77487987648551582</c:v>
                </c:pt>
                <c:pt idx="31">
                  <c:v>0.77487987648551582</c:v>
                </c:pt>
                <c:pt idx="32">
                  <c:v>0.77487987648551582</c:v>
                </c:pt>
                <c:pt idx="33">
                  <c:v>0.77487987648551582</c:v>
                </c:pt>
                <c:pt idx="34">
                  <c:v>0.77487987648551582</c:v>
                </c:pt>
                <c:pt idx="35">
                  <c:v>0.77487987648551582</c:v>
                </c:pt>
                <c:pt idx="36">
                  <c:v>0.77487987648551582</c:v>
                </c:pt>
                <c:pt idx="37">
                  <c:v>0.77487987648551582</c:v>
                </c:pt>
                <c:pt idx="38">
                  <c:v>0.77487987648551582</c:v>
                </c:pt>
                <c:pt idx="39">
                  <c:v>0.77487987648551582</c:v>
                </c:pt>
                <c:pt idx="40">
                  <c:v>0.77487987648551582</c:v>
                </c:pt>
                <c:pt idx="41">
                  <c:v>0.77487987648551582</c:v>
                </c:pt>
                <c:pt idx="42">
                  <c:v>0.77190006439143966</c:v>
                </c:pt>
                <c:pt idx="43">
                  <c:v>0.76745103560943673</c:v>
                </c:pt>
                <c:pt idx="44">
                  <c:v>0.76307805963924336</c:v>
                </c:pt>
                <c:pt idx="45">
                  <c:v>0.75877899410789595</c:v>
                </c:pt>
                <c:pt idx="46">
                  <c:v>0.75455178019099334</c:v>
                </c:pt>
                <c:pt idx="47">
                  <c:v>0.7503944384696738</c:v>
                </c:pt>
                <c:pt idx="48">
                  <c:v>0.74630506503595662</c:v>
                </c:pt>
                <c:pt idx="49">
                  <c:v>0.74228182782904162</c:v>
                </c:pt>
                <c:pt idx="50">
                  <c:v>0.73832296318655288</c:v>
                </c:pt>
                <c:pt idx="51">
                  <c:v>0.73442677259597822</c:v>
                </c:pt>
                <c:pt idx="52">
                  <c:v>0.73059161963271912</c:v>
                </c:pt>
                <c:pt idx="53">
                  <c:v>0.72681592707220743</c:v>
                </c:pt>
                <c:pt idx="54">
                  <c:v>0.72309817416451727</c:v>
                </c:pt>
                <c:pt idx="55">
                  <c:v>0.7194368940607756</c:v>
                </c:pt>
                <c:pt idx="56">
                  <c:v>0.71583067138147793</c:v>
                </c:pt>
                <c:pt idx="57">
                  <c:v>0.65346101011617208</c:v>
                </c:pt>
                <c:pt idx="58">
                  <c:v>0.60498733758322654</c:v>
                </c:pt>
                <c:pt idx="59">
                  <c:v>0.565913835143245</c:v>
                </c:pt>
                <c:pt idx="60">
                  <c:v>0.53354868052943261</c:v>
                </c:pt>
                <c:pt idx="61">
                  <c:v>0.50616872191516205</c:v>
                </c:pt>
                <c:pt idx="62">
                  <c:v>0.48261294019236267</c:v>
                </c:pt>
                <c:pt idx="63">
                  <c:v>0.4620667114941564</c:v>
                </c:pt>
                <c:pt idx="64">
                  <c:v>0.44393933667808255</c:v>
                </c:pt>
                <c:pt idx="65">
                  <c:v>0.42779064893709456</c:v>
                </c:pt>
                <c:pt idx="66">
                  <c:v>0.41328503081628681</c:v>
                </c:pt>
                <c:pt idx="67">
                  <c:v>0.40016151039707448</c:v>
                </c:pt>
                <c:pt idx="68">
                  <c:v>0.38821368815855006</c:v>
                </c:pt>
                <c:pt idx="69">
                  <c:v>0.37727589009549667</c:v>
                </c:pt>
                <c:pt idx="70">
                  <c:v>0.36721338629798911</c:v>
                </c:pt>
                <c:pt idx="71">
                  <c:v>0.35791533569073897</c:v>
                </c:pt>
              </c:numCache>
            </c:numRef>
          </c:yVal>
          <c:smooth val="0"/>
        </c:ser>
        <c:ser>
          <c:idx val="1"/>
          <c:order val="1"/>
          <c:tx>
            <c:strRef>
              <c:f>'Drag functions'!$F$257</c:f>
              <c:strCache>
                <c:ptCount val="1"/>
                <c:pt idx="0">
                  <c:v>G1</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functions'!$F$258:$F$329</c:f>
              <c:numCache>
                <c:formatCode>0.00000</c:formatCode>
                <c:ptCount val="72"/>
                <c:pt idx="0">
                  <c:v>0.26289999998674268</c:v>
                </c:pt>
                <c:pt idx="1">
                  <c:v>0.22132759020349119</c:v>
                </c:pt>
                <c:pt idx="2">
                  <c:v>0.20249201031792627</c:v>
                </c:pt>
                <c:pt idx="3">
                  <c:v>0.20324978910256675</c:v>
                </c:pt>
                <c:pt idx="4">
                  <c:v>0.20832127587508295</c:v>
                </c:pt>
                <c:pt idx="5">
                  <c:v>0.21328547349877405</c:v>
                </c:pt>
                <c:pt idx="6">
                  <c:v>0.21814917483791305</c:v>
                </c:pt>
                <c:pt idx="7">
                  <c:v>0.22291847982947371</c:v>
                </c:pt>
                <c:pt idx="8">
                  <c:v>0.23753496318031508</c:v>
                </c:pt>
                <c:pt idx="9">
                  <c:v>0.24513723540015894</c:v>
                </c:pt>
                <c:pt idx="10">
                  <c:v>0.25283388389846695</c:v>
                </c:pt>
                <c:pt idx="11">
                  <c:v>0.26062430000518866</c:v>
                </c:pt>
                <c:pt idx="12">
                  <c:v>0.26850789003916919</c:v>
                </c:pt>
                <c:pt idx="13">
                  <c:v>0.27696438789160971</c:v>
                </c:pt>
                <c:pt idx="14">
                  <c:v>0.29199922579166576</c:v>
                </c:pt>
                <c:pt idx="15">
                  <c:v>0.30757215045590591</c:v>
                </c:pt>
                <c:pt idx="16">
                  <c:v>0.32369280895298447</c:v>
                </c:pt>
                <c:pt idx="17">
                  <c:v>0.34037085481308649</c:v>
                </c:pt>
                <c:pt idx="18">
                  <c:v>0.35761594792443591</c:v>
                </c:pt>
                <c:pt idx="19">
                  <c:v>0.37543775443313315</c:v>
                </c:pt>
                <c:pt idx="20">
                  <c:v>0.39384594664615991</c:v>
                </c:pt>
                <c:pt idx="21">
                  <c:v>0.41285020293740565</c:v>
                </c:pt>
                <c:pt idx="22">
                  <c:v>0.43246020765657334</c:v>
                </c:pt>
                <c:pt idx="23">
                  <c:v>0.45268565104083508</c:v>
                </c:pt>
                <c:pt idx="24">
                  <c:v>0.47353622912911258</c:v>
                </c:pt>
                <c:pt idx="25">
                  <c:v>0.49502164367886792</c:v>
                </c:pt>
                <c:pt idx="26">
                  <c:v>0.51715160208529343</c:v>
                </c:pt>
                <c:pt idx="27">
                  <c:v>0.53993581730280016</c:v>
                </c:pt>
                <c:pt idx="28">
                  <c:v>0.56051958064509189</c:v>
                </c:pt>
                <c:pt idx="29">
                  <c:v>0.56953864393878495</c:v>
                </c:pt>
                <c:pt idx="30">
                  <c:v>0.57857715802593235</c:v>
                </c:pt>
                <c:pt idx="31">
                  <c:v>0.58763490114440009</c:v>
                </c:pt>
                <c:pt idx="32">
                  <c:v>0.5967116569869414</c:v>
                </c:pt>
                <c:pt idx="33">
                  <c:v>0.60580721449692332</c:v>
                </c:pt>
                <c:pt idx="34">
                  <c:v>0.61492136767425976</c:v>
                </c:pt>
                <c:pt idx="35">
                  <c:v>0.62405391539091615</c:v>
                </c:pt>
                <c:pt idx="36">
                  <c:v>0.63320466121539876</c:v>
                </c:pt>
                <c:pt idx="37">
                  <c:v>0.63964088473189862</c:v>
                </c:pt>
                <c:pt idx="38">
                  <c:v>0.64228165900392731</c:v>
                </c:pt>
                <c:pt idx="39">
                  <c:v>0.64490112799875143</c:v>
                </c:pt>
                <c:pt idx="40">
                  <c:v>0.6474997172214958</c:v>
                </c:pt>
                <c:pt idx="41">
                  <c:v>0.65007783873393477</c:v>
                </c:pt>
                <c:pt idx="42">
                  <c:v>0.65263589173180048</c:v>
                </c:pt>
                <c:pt idx="43">
                  <c:v>0.65517426309089932</c:v>
                </c:pt>
                <c:pt idx="44">
                  <c:v>0.65769332788405999</c:v>
                </c:pt>
                <c:pt idx="45">
                  <c:v>0.66019344987078066</c:v>
                </c:pt>
                <c:pt idx="46">
                  <c:v>0.66267498196131025</c:v>
                </c:pt>
                <c:pt idx="47">
                  <c:v>0.66327540093290471</c:v>
                </c:pt>
                <c:pt idx="48">
                  <c:v>0.66301802093852524</c:v>
                </c:pt>
                <c:pt idx="49">
                  <c:v>0.66276352174616593</c:v>
                </c:pt>
                <c:pt idx="50">
                  <c:v>0.66251184065036461</c:v>
                </c:pt>
                <c:pt idx="51">
                  <c:v>0.66226291695956963</c:v>
                </c:pt>
                <c:pt idx="52">
                  <c:v>0.66201669191104984</c:v>
                </c:pt>
                <c:pt idx="53">
                  <c:v>0.66177310859024485</c:v>
                </c:pt>
                <c:pt idx="54">
                  <c:v>0.66153211185428074</c:v>
                </c:pt>
                <c:pt idx="55">
                  <c:v>0.6605223970404509</c:v>
                </c:pt>
                <c:pt idx="56">
                  <c:v>0.65933067413406277</c:v>
                </c:pt>
                <c:pt idx="57">
                  <c:v>0.62539737606392864</c:v>
                </c:pt>
                <c:pt idx="58">
                  <c:v>0.5862293497205453</c:v>
                </c:pt>
                <c:pt idx="59">
                  <c:v>0.55281324680344901</c:v>
                </c:pt>
                <c:pt idx="60">
                  <c:v>0.52992939597791011</c:v>
                </c:pt>
                <c:pt idx="61">
                  <c:v>0.51465796594671998</c:v>
                </c:pt>
                <c:pt idx="62">
                  <c:v>0.50808830445283226</c:v>
                </c:pt>
                <c:pt idx="63">
                  <c:v>0.50294406508222489</c:v>
                </c:pt>
                <c:pt idx="64">
                  <c:v>0.5018235455433675</c:v>
                </c:pt>
                <c:pt idx="65">
                  <c:v>0.50078833225942798</c:v>
                </c:pt>
                <c:pt idx="66">
                  <c:v>0.49982649137157825</c:v>
                </c:pt>
                <c:pt idx="67">
                  <c:v>0.4989284216863118</c:v>
                </c:pt>
                <c:pt idx="68">
                  <c:v>0.49808628474390532</c:v>
                </c:pt>
                <c:pt idx="69">
                  <c:v>0.49729359880996726</c:v>
                </c:pt>
                <c:pt idx="70">
                  <c:v>0.49654494331143834</c:v>
                </c:pt>
                <c:pt idx="71">
                  <c:v>0.49583573953946236</c:v>
                </c:pt>
              </c:numCache>
            </c:numRef>
          </c:yVal>
          <c:smooth val="0"/>
        </c:ser>
        <c:ser>
          <c:idx val="2"/>
          <c:order val="2"/>
          <c:tx>
            <c:strRef>
              <c:f>'Drag functions'!$G$257</c:f>
              <c:strCache>
                <c:ptCount val="1"/>
                <c:pt idx="0">
                  <c:v>G2</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functions'!$G$258:$G$329</c:f>
              <c:numCache>
                <c:formatCode>0.00000</c:formatCode>
                <c:ptCount val="72"/>
                <c:pt idx="0">
                  <c:v>0.23029999998945813</c:v>
                </c:pt>
                <c:pt idx="1">
                  <c:v>0.22061168654206276</c:v>
                </c:pt>
                <c:pt idx="2">
                  <c:v>0.18447958656211963</c:v>
                </c:pt>
                <c:pt idx="3">
                  <c:v>0.1805168417303169</c:v>
                </c:pt>
                <c:pt idx="4">
                  <c:v>0.17681777886363323</c:v>
                </c:pt>
                <c:pt idx="5">
                  <c:v>0.17335401512726145</c:v>
                </c:pt>
                <c:pt idx="6">
                  <c:v>0.17010129116292674</c:v>
                </c:pt>
                <c:pt idx="7">
                  <c:v>0.1650709824291266</c:v>
                </c:pt>
                <c:pt idx="8">
                  <c:v>0.16616817106393966</c:v>
                </c:pt>
                <c:pt idx="9">
                  <c:v>0.16715546870047296</c:v>
                </c:pt>
                <c:pt idx="10">
                  <c:v>0.16813001351044182</c:v>
                </c:pt>
                <c:pt idx="11">
                  <c:v>0.16909220188556731</c:v>
                </c:pt>
                <c:pt idx="12">
                  <c:v>0.17004241095564884</c:v>
                </c:pt>
                <c:pt idx="13">
                  <c:v>0.17098099984989598</c:v>
                </c:pt>
                <c:pt idx="14">
                  <c:v>0.17190831085510191</c:v>
                </c:pt>
                <c:pt idx="15">
                  <c:v>0.17282467048071984</c:v>
                </c:pt>
                <c:pt idx="16">
                  <c:v>0.17373039043976873</c:v>
                </c:pt>
                <c:pt idx="17">
                  <c:v>0.18031367269586585</c:v>
                </c:pt>
                <c:pt idx="18">
                  <c:v>0.19043180873066207</c:v>
                </c:pt>
                <c:pt idx="19">
                  <c:v>0.20094209958905102</c:v>
                </c:pt>
                <c:pt idx="20">
                  <c:v>0.23061478890493187</c:v>
                </c:pt>
                <c:pt idx="21">
                  <c:v>0.27547157442504222</c:v>
                </c:pt>
                <c:pt idx="22">
                  <c:v>0.32816171608716116</c:v>
                </c:pt>
                <c:pt idx="23">
                  <c:v>0.38990245459464545</c:v>
                </c:pt>
                <c:pt idx="24">
                  <c:v>0.39893054137297085</c:v>
                </c:pt>
                <c:pt idx="25">
                  <c:v>0.40269234430123124</c:v>
                </c:pt>
                <c:pt idx="26">
                  <c:v>0.40643472791267998</c:v>
                </c:pt>
                <c:pt idx="27">
                  <c:v>0.41015806775996327</c:v>
                </c:pt>
                <c:pt idx="28">
                  <c:v>0.41112255027204792</c:v>
                </c:pt>
                <c:pt idx="29">
                  <c:v>0.41139247294375419</c:v>
                </c:pt>
                <c:pt idx="30">
                  <c:v>0.41147986140862008</c:v>
                </c:pt>
                <c:pt idx="31">
                  <c:v>0.41044033691119802</c:v>
                </c:pt>
                <c:pt idx="32">
                  <c:v>0.40941715559581426</c:v>
                </c:pt>
                <c:pt idx="33">
                  <c:v>0.40840985048871081</c:v>
                </c:pt>
                <c:pt idx="34">
                  <c:v>0.40741797380559636</c:v>
                </c:pt>
                <c:pt idx="35">
                  <c:v>0.40628602947149522</c:v>
                </c:pt>
                <c:pt idx="36">
                  <c:v>0.40459076644721326</c:v>
                </c:pt>
                <c:pt idx="37">
                  <c:v>0.40292350562090773</c:v>
                </c:pt>
                <c:pt idx="38">
                  <c:v>0.40128344721925496</c:v>
                </c:pt>
                <c:pt idx="39">
                  <c:v>0.39966982371026527</c:v>
                </c:pt>
                <c:pt idx="40">
                  <c:v>0.39808189813368605</c:v>
                </c:pt>
                <c:pt idx="41">
                  <c:v>0.39651896253656527</c:v>
                </c:pt>
                <c:pt idx="42">
                  <c:v>0.39498033650619996</c:v>
                </c:pt>
                <c:pt idx="43">
                  <c:v>0.39346536579335423</c:v>
                </c:pt>
                <c:pt idx="44">
                  <c:v>0.39197342101922489</c:v>
                </c:pt>
                <c:pt idx="45">
                  <c:v>0.3905038964601758</c:v>
                </c:pt>
                <c:pt idx="46">
                  <c:v>0.38905620890474474</c:v>
                </c:pt>
                <c:pt idx="47">
                  <c:v>0.38702575328669908</c:v>
                </c:pt>
                <c:pt idx="48">
                  <c:v>0.38416707346966639</c:v>
                </c:pt>
                <c:pt idx="49">
                  <c:v>0.38136007328426935</c:v>
                </c:pt>
                <c:pt idx="50">
                  <c:v>0.37860327768011709</c:v>
                </c:pt>
                <c:pt idx="51">
                  <c:v>0.37589526881759744</c:v>
                </c:pt>
                <c:pt idx="52">
                  <c:v>0.3732346832751105</c:v>
                </c:pt>
                <c:pt idx="53">
                  <c:v>0.37062020942006541</c:v>
                </c:pt>
                <c:pt idx="54">
                  <c:v>0.36805058493246084</c:v>
                </c:pt>
                <c:pt idx="55">
                  <c:v>0.36552459447073893</c:v>
                </c:pt>
                <c:pt idx="56">
                  <c:v>0.36304106747039638</c:v>
                </c:pt>
                <c:pt idx="57">
                  <c:v>0.32080673059471593</c:v>
                </c:pt>
                <c:pt idx="58">
                  <c:v>0.28895511196545398</c:v>
                </c:pt>
                <c:pt idx="59">
                  <c:v>0.26585474569391015</c:v>
                </c:pt>
                <c:pt idx="60">
                  <c:v>0.24808544505541563</c:v>
                </c:pt>
                <c:pt idx="61">
                  <c:v>0.23319905606887845</c:v>
                </c:pt>
                <c:pt idx="62">
                  <c:v>0.22050368329531977</c:v>
                </c:pt>
                <c:pt idx="63">
                  <c:v>0.20927867052586444</c:v>
                </c:pt>
                <c:pt idx="64">
                  <c:v>0.19794004550795319</c:v>
                </c:pt>
                <c:pt idx="65">
                  <c:v>0.18799055001568957</c:v>
                </c:pt>
                <c:pt idx="66">
                  <c:v>0.17917784451691482</c:v>
                </c:pt>
                <c:pt idx="67">
                  <c:v>0.17130846950320963</c:v>
                </c:pt>
                <c:pt idx="68">
                  <c:v>0.16423142448873618</c:v>
                </c:pt>
                <c:pt idx="69">
                  <c:v>0.1578269908929304</c:v>
                </c:pt>
                <c:pt idx="70">
                  <c:v>0.15199893460484271</c:v>
                </c:pt>
                <c:pt idx="71">
                  <c:v>0.14666894737026356</c:v>
                </c:pt>
              </c:numCache>
            </c:numRef>
          </c:yVal>
          <c:smooth val="0"/>
        </c:ser>
        <c:ser>
          <c:idx val="3"/>
          <c:order val="3"/>
          <c:tx>
            <c:strRef>
              <c:f>'Drag functions'!$H$257</c:f>
              <c:strCache>
                <c:ptCount val="1"/>
                <c:pt idx="0">
                  <c:v>G5</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functions'!$H$258:$H$329</c:f>
              <c:numCache>
                <c:formatCode>0.00000</c:formatCode>
                <c:ptCount val="72"/>
                <c:pt idx="0">
                  <c:v>0.17099999999063981</c:v>
                </c:pt>
                <c:pt idx="1">
                  <c:v>0.17240177602685561</c:v>
                </c:pt>
                <c:pt idx="2">
                  <c:v>0.15389617740609426</c:v>
                </c:pt>
                <c:pt idx="3">
                  <c:v>0.15198409537945201</c:v>
                </c:pt>
                <c:pt idx="4">
                  <c:v>0.15018310885433397</c:v>
                </c:pt>
                <c:pt idx="5">
                  <c:v>0.14848213591088494</c:v>
                </c:pt>
                <c:pt idx="6">
                  <c:v>0.14687162263184256</c:v>
                </c:pt>
                <c:pt idx="7">
                  <c:v>0.14188849400048442</c:v>
                </c:pt>
                <c:pt idx="8">
                  <c:v>0.14539759995663062</c:v>
                </c:pt>
                <c:pt idx="9">
                  <c:v>0.14782263093220338</c:v>
                </c:pt>
                <c:pt idx="10">
                  <c:v>0.15024164665175066</c:v>
                </c:pt>
                <c:pt idx="11">
                  <c:v>0.15265477303163025</c:v>
                </c:pt>
                <c:pt idx="12">
                  <c:v>0.15506213111312475</c:v>
                </c:pt>
                <c:pt idx="13">
                  <c:v>0.15746383733480221</c:v>
                </c:pt>
                <c:pt idx="14">
                  <c:v>0.15986000378515203</c:v>
                </c:pt>
                <c:pt idx="15">
                  <c:v>0.16225073843724064</c:v>
                </c:pt>
                <c:pt idx="16">
                  <c:v>0.16542651180104728</c:v>
                </c:pt>
                <c:pt idx="17">
                  <c:v>0.17814954496993848</c:v>
                </c:pt>
                <c:pt idx="18">
                  <c:v>0.19162009612723291</c:v>
                </c:pt>
                <c:pt idx="19">
                  <c:v>0.20586895821528772</c:v>
                </c:pt>
                <c:pt idx="20">
                  <c:v>0.2264028299570125</c:v>
                </c:pt>
                <c:pt idx="21">
                  <c:v>0.25058197354416073</c:v>
                </c:pt>
                <c:pt idx="22">
                  <c:v>0.27691404256653901</c:v>
                </c:pt>
                <c:pt idx="23">
                  <c:v>0.30555370258838449</c:v>
                </c:pt>
                <c:pt idx="24">
                  <c:v>0.33666415189030313</c:v>
                </c:pt>
                <c:pt idx="25">
                  <c:v>0.37041745427827466</c:v>
                </c:pt>
                <c:pt idx="26">
                  <c:v>0.38331059669491646</c:v>
                </c:pt>
                <c:pt idx="27">
                  <c:v>0.39374653276595634</c:v>
                </c:pt>
                <c:pt idx="28">
                  <c:v>0.40431466538759531</c:v>
                </c:pt>
                <c:pt idx="29">
                  <c:v>0.41501479819927789</c:v>
                </c:pt>
                <c:pt idx="30">
                  <c:v>0.4199030224188624</c:v>
                </c:pt>
                <c:pt idx="31">
                  <c:v>0.42163723462303548</c:v>
                </c:pt>
                <c:pt idx="32">
                  <c:v>0.4233554969998391</c:v>
                </c:pt>
                <c:pt idx="33">
                  <c:v>0.42505816324798817</c:v>
                </c:pt>
                <c:pt idx="34">
                  <c:v>0.42674557475072394</c:v>
                </c:pt>
                <c:pt idx="35">
                  <c:v>0.4284180611563671</c:v>
                </c:pt>
                <c:pt idx="36">
                  <c:v>0.43007594092453139</c:v>
                </c:pt>
                <c:pt idx="37">
                  <c:v>0.43171952184042944</c:v>
                </c:pt>
                <c:pt idx="38">
                  <c:v>0.43334910149950573</c:v>
                </c:pt>
                <c:pt idx="39">
                  <c:v>0.4349649677644471</c:v>
                </c:pt>
                <c:pt idx="40">
                  <c:v>0.43656739919645826</c:v>
                </c:pt>
                <c:pt idx="41">
                  <c:v>0.43815666546253984</c:v>
                </c:pt>
                <c:pt idx="42">
                  <c:v>0.43973302772036893</c:v>
                </c:pt>
                <c:pt idx="43">
                  <c:v>0.4409747286494009</c:v>
                </c:pt>
                <c:pt idx="44">
                  <c:v>0.44081005239212845</c:v>
                </c:pt>
                <c:pt idx="45">
                  <c:v>0.44064729738122832</c:v>
                </c:pt>
                <c:pt idx="46">
                  <c:v>0.44048641998888466</c:v>
                </c:pt>
                <c:pt idx="47">
                  <c:v>0.44032737804905719</c:v>
                </c:pt>
                <c:pt idx="48">
                  <c:v>0.44017013079306538</c:v>
                </c:pt>
                <c:pt idx="49">
                  <c:v>0.44001463878867564</c:v>
                </c:pt>
                <c:pt idx="50">
                  <c:v>0.43986086388246753</c:v>
                </c:pt>
                <c:pt idx="51">
                  <c:v>0.43970876914526863</c:v>
                </c:pt>
                <c:pt idx="52">
                  <c:v>0.43955831882046498</c:v>
                </c:pt>
                <c:pt idx="53">
                  <c:v>0.43940947827500626</c:v>
                </c:pt>
                <c:pt idx="54">
                  <c:v>0.43926221395294024</c:v>
                </c:pt>
                <c:pt idx="55">
                  <c:v>0.43911649333132052</c:v>
                </c:pt>
                <c:pt idx="56">
                  <c:v>0.43897228487834511</c:v>
                </c:pt>
                <c:pt idx="57">
                  <c:v>0.41766589975486867</c:v>
                </c:pt>
                <c:pt idx="58">
                  <c:v>0.37865597607661727</c:v>
                </c:pt>
                <c:pt idx="59">
                  <c:v>0.34782172170710612</c:v>
                </c:pt>
                <c:pt idx="60">
                  <c:v>0.32391909880404213</c:v>
                </c:pt>
                <c:pt idx="61">
                  <c:v>0.30414612756391862</c:v>
                </c:pt>
                <c:pt idx="62">
                  <c:v>0.2873011401340626</c:v>
                </c:pt>
                <c:pt idx="63">
                  <c:v>0.27273883899578999</c:v>
                </c:pt>
                <c:pt idx="64">
                  <c:v>0.26135874145204191</c:v>
                </c:pt>
                <c:pt idx="65">
                  <c:v>0.25165385157974129</c:v>
                </c:pt>
                <c:pt idx="66">
                  <c:v>0.24294300955075562</c:v>
                </c:pt>
                <c:pt idx="67">
                  <c:v>0.23506771470412602</c:v>
                </c:pt>
                <c:pt idx="68">
                  <c:v>0.22790270016391792</c:v>
                </c:pt>
                <c:pt idx="69">
                  <c:v>0.22134748309384308</c:v>
                </c:pt>
                <c:pt idx="70">
                  <c:v>0.21532039984070114</c:v>
                </c:pt>
                <c:pt idx="71">
                  <c:v>0.20975430626061409</c:v>
                </c:pt>
              </c:numCache>
            </c:numRef>
          </c:yVal>
          <c:smooth val="0"/>
        </c:ser>
        <c:ser>
          <c:idx val="4"/>
          <c:order val="4"/>
          <c:tx>
            <c:strRef>
              <c:f>'Drag functions'!$I$257</c:f>
              <c:strCache>
                <c:ptCount val="1"/>
                <c:pt idx="0">
                  <c:v>G6</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functions'!$I$258:$I$329</c:f>
              <c:numCache>
                <c:formatCode>0.00000</c:formatCode>
                <c:ptCount val="72"/>
                <c:pt idx="0">
                  <c:v>0.26170000002202448</c:v>
                </c:pt>
                <c:pt idx="1">
                  <c:v>0.22834568201960534</c:v>
                </c:pt>
                <c:pt idx="2">
                  <c:v>0.21217893888197267</c:v>
                </c:pt>
                <c:pt idx="3">
                  <c:v>0.21108507160643986</c:v>
                </c:pt>
                <c:pt idx="4">
                  <c:v>0.21004735294081908</c:v>
                </c:pt>
                <c:pt idx="5">
                  <c:v>0.21054166863598339</c:v>
                </c:pt>
                <c:pt idx="6">
                  <c:v>0.2120972118107298</c:v>
                </c:pt>
                <c:pt idx="7">
                  <c:v>0.21360004287671708</c:v>
                </c:pt>
                <c:pt idx="8">
                  <c:v>0.21505395311962755</c:v>
                </c:pt>
                <c:pt idx="9">
                  <c:v>0.21576363506831861</c:v>
                </c:pt>
                <c:pt idx="10">
                  <c:v>0.21646232781333952</c:v>
                </c:pt>
                <c:pt idx="11">
                  <c:v>0.21715040037356456</c:v>
                </c:pt>
                <c:pt idx="12">
                  <c:v>0.21782820293922409</c:v>
                </c:pt>
                <c:pt idx="13">
                  <c:v>0.21849606814941822</c:v>
                </c:pt>
                <c:pt idx="14">
                  <c:v>0.21915431226220389</c:v>
                </c:pt>
                <c:pt idx="15">
                  <c:v>0.21980323622797424</c:v>
                </c:pt>
                <c:pt idx="16">
                  <c:v>0.22044312667561677</c:v>
                </c:pt>
                <c:pt idx="17">
                  <c:v>0.22107425681986501</c:v>
                </c:pt>
                <c:pt idx="18">
                  <c:v>0.23628815210384838</c:v>
                </c:pt>
                <c:pt idx="19">
                  <c:v>0.24526674096123111</c:v>
                </c:pt>
                <c:pt idx="20">
                  <c:v>0.25738174707239253</c:v>
                </c:pt>
                <c:pt idx="21">
                  <c:v>0.28086958919223376</c:v>
                </c:pt>
                <c:pt idx="22">
                  <c:v>0.30609246101834775</c:v>
                </c:pt>
                <c:pt idx="23">
                  <c:v>0.33314929854045761</c:v>
                </c:pt>
                <c:pt idx="24">
                  <c:v>0.3573883295396475</c:v>
                </c:pt>
                <c:pt idx="25">
                  <c:v>0.38058549025068039</c:v>
                </c:pt>
                <c:pt idx="26">
                  <c:v>0.40492174251458601</c:v>
                </c:pt>
                <c:pt idx="27">
                  <c:v>0.42308931114885168</c:v>
                </c:pt>
                <c:pt idx="28">
                  <c:v>0.43095152262708897</c:v>
                </c:pt>
                <c:pt idx="29">
                  <c:v>0.43884836758430529</c:v>
                </c:pt>
                <c:pt idx="30">
                  <c:v>0.44677952100283025</c:v>
                </c:pt>
                <c:pt idx="31">
                  <c:v>0.44786775160047571</c:v>
                </c:pt>
                <c:pt idx="32">
                  <c:v>0.44805328756635959</c:v>
                </c:pt>
                <c:pt idx="33">
                  <c:v>0.44823647351634771</c:v>
                </c:pt>
                <c:pt idx="34">
                  <c:v>0.44841736916243169</c:v>
                </c:pt>
                <c:pt idx="35">
                  <c:v>0.44859603195782538</c:v>
                </c:pt>
                <c:pt idx="36">
                  <c:v>0.4487725172097547</c:v>
                </c:pt>
                <c:pt idx="37">
                  <c:v>0.44894687818528484</c:v>
                </c:pt>
                <c:pt idx="38">
                  <c:v>0.44911916621069442</c:v>
                </c:pt>
                <c:pt idx="39">
                  <c:v>0.44928943076486116</c:v>
                </c:pt>
                <c:pt idx="40">
                  <c:v>0.4478033823730157</c:v>
                </c:pt>
                <c:pt idx="41">
                  <c:v>0.4457179406713605</c:v>
                </c:pt>
                <c:pt idx="42">
                  <c:v>0.44366643310941756</c:v>
                </c:pt>
                <c:pt idx="43">
                  <c:v>0.44164792246018614</c:v>
                </c:pt>
                <c:pt idx="44">
                  <c:v>0.43966150777432522</c:v>
                </c:pt>
                <c:pt idx="45">
                  <c:v>0.43770632258274067</c:v>
                </c:pt>
                <c:pt idx="46">
                  <c:v>0.4357815332072747</c:v>
                </c:pt>
                <c:pt idx="47">
                  <c:v>0.4338863371718753</c:v>
                </c:pt>
                <c:pt idx="48">
                  <c:v>0.43201996170723778</c:v>
                </c:pt>
                <c:pt idx="49">
                  <c:v>0.43018166234247135</c:v>
                </c:pt>
                <c:pt idx="50">
                  <c:v>0.42837072157785067</c:v>
                </c:pt>
                <c:pt idx="51">
                  <c:v>0.42658644763317655</c:v>
                </c:pt>
                <c:pt idx="52">
                  <c:v>0.42482817326669492</c:v>
                </c:pt>
                <c:pt idx="53">
                  <c:v>0.42309525465990583</c:v>
                </c:pt>
                <c:pt idx="54">
                  <c:v>0.4213870703639514</c:v>
                </c:pt>
                <c:pt idx="55">
                  <c:v>0.41970302030359258</c:v>
                </c:pt>
                <c:pt idx="56">
                  <c:v>0.41804252483508009</c:v>
                </c:pt>
                <c:pt idx="57">
                  <c:v>0.38479123454506642</c:v>
                </c:pt>
                <c:pt idx="58">
                  <c:v>0.34367532760280661</c:v>
                </c:pt>
                <c:pt idx="59">
                  <c:v>0.30559377177415753</c:v>
                </c:pt>
                <c:pt idx="60">
                  <c:v>0.27225226377018852</c:v>
                </c:pt>
                <c:pt idx="61">
                  <c:v>0.24552189219215478</c:v>
                </c:pt>
                <c:pt idx="62">
                  <c:v>0.22360945791485995</c:v>
                </c:pt>
                <c:pt idx="63">
                  <c:v>0.20795043406443514</c:v>
                </c:pt>
                <c:pt idx="64">
                  <c:v>0.19467310734663693</c:v>
                </c:pt>
                <c:pt idx="65">
                  <c:v>0.18313722154781245</c:v>
                </c:pt>
                <c:pt idx="66">
                  <c:v>0.173012864385472</c:v>
                </c:pt>
                <c:pt idx="67">
                  <c:v>0.16404943919067247</c:v>
                </c:pt>
                <c:pt idx="68">
                  <c:v>0.1560530317330239</c:v>
                </c:pt>
                <c:pt idx="69">
                  <c:v>0.14887113918658137</c:v>
                </c:pt>
                <c:pt idx="70">
                  <c:v>0.1423821036159057</c:v>
                </c:pt>
                <c:pt idx="71">
                  <c:v>0.13648763707996853</c:v>
                </c:pt>
              </c:numCache>
            </c:numRef>
          </c:yVal>
          <c:smooth val="0"/>
        </c:ser>
        <c:ser>
          <c:idx val="5"/>
          <c:order val="5"/>
          <c:tx>
            <c:strRef>
              <c:f>'Drag functions'!$J$257</c:f>
              <c:strCache>
                <c:ptCount val="1"/>
                <c:pt idx="0">
                  <c:v>G7</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functions'!$J$258:$J$329</c:f>
              <c:numCache>
                <c:formatCode>0.00000</c:formatCode>
                <c:ptCount val="72"/>
                <c:pt idx="0">
                  <c:v>0.11969999997944274</c:v>
                </c:pt>
                <c:pt idx="1">
                  <c:v>0.11969999997944274</c:v>
                </c:pt>
                <c:pt idx="2">
                  <c:v>0.11969999997944274</c:v>
                </c:pt>
                <c:pt idx="3">
                  <c:v>0.11987085550433693</c:v>
                </c:pt>
                <c:pt idx="4">
                  <c:v>0.12026188366987701</c:v>
                </c:pt>
                <c:pt idx="5">
                  <c:v>0.12063671865015992</c:v>
                </c:pt>
                <c:pt idx="6">
                  <c:v>0.12099669299228356</c:v>
                </c:pt>
                <c:pt idx="7">
                  <c:v>0.12134297955434437</c:v>
                </c:pt>
                <c:pt idx="8">
                  <c:v>0.12167661616828626</c:v>
                </c:pt>
                <c:pt idx="9">
                  <c:v>0.12183898316127718</c:v>
                </c:pt>
                <c:pt idx="10">
                  <c:v>0.12317773039379762</c:v>
                </c:pt>
                <c:pt idx="11">
                  <c:v>0.12455771564795537</c:v>
                </c:pt>
                <c:pt idx="12">
                  <c:v>0.12592787883434378</c:v>
                </c:pt>
                <c:pt idx="13">
                  <c:v>0.12887287988795526</c:v>
                </c:pt>
                <c:pt idx="14">
                  <c:v>0.13187416675222877</c:v>
                </c:pt>
                <c:pt idx="15">
                  <c:v>0.13489225216251169</c:v>
                </c:pt>
                <c:pt idx="16">
                  <c:v>0.13792694301801217</c:v>
                </c:pt>
                <c:pt idx="17">
                  <c:v>0.14344072943760283</c:v>
                </c:pt>
                <c:pt idx="18">
                  <c:v>0.15466434339765484</c:v>
                </c:pt>
                <c:pt idx="19">
                  <c:v>0.16656525472774475</c:v>
                </c:pt>
                <c:pt idx="20">
                  <c:v>0.17917260495783152</c:v>
                </c:pt>
                <c:pt idx="21">
                  <c:v>0.2231205013391421</c:v>
                </c:pt>
                <c:pt idx="22">
                  <c:v>0.28324679243385958</c:v>
                </c:pt>
                <c:pt idx="23">
                  <c:v>0.32783184840513641</c:v>
                </c:pt>
                <c:pt idx="24">
                  <c:v>0.37712720388605786</c:v>
                </c:pt>
                <c:pt idx="25">
                  <c:v>0.40031261494461734</c:v>
                </c:pt>
                <c:pt idx="26">
                  <c:v>0.401923494896893</c:v>
                </c:pt>
                <c:pt idx="27">
                  <c:v>0.40351786959207303</c:v>
                </c:pt>
                <c:pt idx="28">
                  <c:v>0.40509613708594472</c:v>
                </c:pt>
                <c:pt idx="29">
                  <c:v>0.40665868046546416</c:v>
                </c:pt>
                <c:pt idx="30">
                  <c:v>0.40344169313440009</c:v>
                </c:pt>
                <c:pt idx="31">
                  <c:v>0.40126450636864774</c:v>
                </c:pt>
                <c:pt idx="32">
                  <c:v>0.39912767449419811</c:v>
                </c:pt>
                <c:pt idx="33">
                  <c:v>0.39702993312140267</c:v>
                </c:pt>
                <c:pt idx="34">
                  <c:v>0.39497007323961442</c:v>
                </c:pt>
                <c:pt idx="35">
                  <c:v>0.39294693811875575</c:v>
                </c:pt>
                <c:pt idx="36">
                  <c:v>0.39095942042094373</c:v>
                </c:pt>
                <c:pt idx="37">
                  <c:v>0.38900645950550961</c:v>
                </c:pt>
                <c:pt idx="38">
                  <c:v>0.38708703891225155</c:v>
                </c:pt>
                <c:pt idx="39">
                  <c:v>0.38520018400912182</c:v>
                </c:pt>
                <c:pt idx="40">
                  <c:v>0.38334495979176825</c:v>
                </c:pt>
                <c:pt idx="41">
                  <c:v>0.38152046882344914</c:v>
                </c:pt>
                <c:pt idx="42">
                  <c:v>0.37972584930483488</c:v>
                </c:pt>
                <c:pt idx="43">
                  <c:v>0.37796027326410087</c:v>
                </c:pt>
                <c:pt idx="44">
                  <c:v>0.37597052369771272</c:v>
                </c:pt>
                <c:pt idx="45">
                  <c:v>0.37338342624691828</c:v>
                </c:pt>
                <c:pt idx="46">
                  <c:v>0.37084274083481128</c:v>
                </c:pt>
                <c:pt idx="47">
                  <c:v>0.36834713288237525</c:v>
                </c:pt>
                <c:pt idx="48">
                  <c:v>0.36589532030584915</c:v>
                </c:pt>
                <c:pt idx="49">
                  <c:v>0.36348607090842444</c:v>
                </c:pt>
                <c:pt idx="50">
                  <c:v>0.36111819992796512</c:v>
                </c:pt>
                <c:pt idx="51">
                  <c:v>0.35879056772986967</c:v>
                </c:pt>
                <c:pt idx="52">
                  <c:v>0.35650207763505859</c:v>
                </c:pt>
                <c:pt idx="53">
                  <c:v>0.35425167387386075</c:v>
                </c:pt>
                <c:pt idx="54">
                  <c:v>0.35203833965728715</c:v>
                </c:pt>
                <c:pt idx="55">
                  <c:v>0.34986109535783722</c:v>
                </c:pt>
                <c:pt idx="56">
                  <c:v>0.34771899679258356</c:v>
                </c:pt>
                <c:pt idx="57">
                  <c:v>0.31579775773707247</c:v>
                </c:pt>
                <c:pt idx="58">
                  <c:v>0.29468998890901571</c:v>
                </c:pt>
                <c:pt idx="59">
                  <c:v>0.27754945615032461</c:v>
                </c:pt>
                <c:pt idx="60">
                  <c:v>0.2615721166616205</c:v>
                </c:pt>
                <c:pt idx="61">
                  <c:v>0.24680207978000185</c:v>
                </c:pt>
                <c:pt idx="62">
                  <c:v>0.22899494821574845</c:v>
                </c:pt>
                <c:pt idx="63">
                  <c:v>0.2137662268612065</c:v>
                </c:pt>
                <c:pt idx="64">
                  <c:v>0.20065310826267635</c:v>
                </c:pt>
                <c:pt idx="65">
                  <c:v>0.18923051193855789</c:v>
                </c:pt>
                <c:pt idx="66">
                  <c:v>0.17918158752758317</c:v>
                </c:pt>
                <c:pt idx="67">
                  <c:v>0.17026507866377874</c:v>
                </c:pt>
                <c:pt idx="68">
                  <c:v>0.16229387852627256</c:v>
                </c:pt>
                <c:pt idx="69">
                  <c:v>0.1551205278266487</c:v>
                </c:pt>
                <c:pt idx="70">
                  <c:v>0.14862715899349774</c:v>
                </c:pt>
                <c:pt idx="71">
                  <c:v>0.14271836830096221</c:v>
                </c:pt>
              </c:numCache>
            </c:numRef>
          </c:yVal>
          <c:smooth val="0"/>
        </c:ser>
        <c:ser>
          <c:idx val="6"/>
          <c:order val="6"/>
          <c:tx>
            <c:strRef>
              <c:f>'Drag functions'!$K$257</c:f>
              <c:strCache>
                <c:ptCount val="1"/>
                <c:pt idx="0">
                  <c:v>G8</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functions'!$K$258:$K$329</c:f>
              <c:numCache>
                <c:formatCode>0.00000</c:formatCode>
                <c:ptCount val="72"/>
                <c:pt idx="0">
                  <c:v>0.21049999999121424</c:v>
                </c:pt>
                <c:pt idx="1">
                  <c:v>0.21049999999121424</c:v>
                </c:pt>
                <c:pt idx="2">
                  <c:v>0.21049999999121424</c:v>
                </c:pt>
                <c:pt idx="3">
                  <c:v>0.21049999999121424</c:v>
                </c:pt>
                <c:pt idx="4">
                  <c:v>0.21049999999121424</c:v>
                </c:pt>
                <c:pt idx="5">
                  <c:v>0.21049999999121424</c:v>
                </c:pt>
                <c:pt idx="6">
                  <c:v>0.21049999999121424</c:v>
                </c:pt>
                <c:pt idx="7">
                  <c:v>0.21049999999121424</c:v>
                </c:pt>
                <c:pt idx="8">
                  <c:v>0.21049999999121424</c:v>
                </c:pt>
                <c:pt idx="9">
                  <c:v>0.21049999999121424</c:v>
                </c:pt>
                <c:pt idx="10">
                  <c:v>0.21049999999121424</c:v>
                </c:pt>
                <c:pt idx="11">
                  <c:v>0.21049999999121424</c:v>
                </c:pt>
                <c:pt idx="12">
                  <c:v>0.21049999999121424</c:v>
                </c:pt>
                <c:pt idx="13">
                  <c:v>0.21049999999121424</c:v>
                </c:pt>
                <c:pt idx="14">
                  <c:v>0.21049999999121424</c:v>
                </c:pt>
                <c:pt idx="15">
                  <c:v>0.21049999999121424</c:v>
                </c:pt>
                <c:pt idx="16">
                  <c:v>0.21049999999121424</c:v>
                </c:pt>
                <c:pt idx="17">
                  <c:v>0.21049999999121424</c:v>
                </c:pt>
                <c:pt idx="18">
                  <c:v>0.21049999999121424</c:v>
                </c:pt>
                <c:pt idx="19">
                  <c:v>0.2191899542596604</c:v>
                </c:pt>
                <c:pt idx="20">
                  <c:v>0.23985858363368523</c:v>
                </c:pt>
                <c:pt idx="21">
                  <c:v>0.27148415299084855</c:v>
                </c:pt>
                <c:pt idx="22">
                  <c:v>0.31761492281422987</c:v>
                </c:pt>
                <c:pt idx="23">
                  <c:v>0.37070834855485119</c:v>
                </c:pt>
                <c:pt idx="24">
                  <c:v>0.40563648182064832</c:v>
                </c:pt>
                <c:pt idx="25">
                  <c:v>0.42506963606374809</c:v>
                </c:pt>
                <c:pt idx="26">
                  <c:v>0.43982860500612603</c:v>
                </c:pt>
                <c:pt idx="27">
                  <c:v>0.44834872994565605</c:v>
                </c:pt>
                <c:pt idx="28">
                  <c:v>0.44822169800123141</c:v>
                </c:pt>
                <c:pt idx="29">
                  <c:v>0.44806678542162226</c:v>
                </c:pt>
                <c:pt idx="30">
                  <c:v>0.44791403301424049</c:v>
                </c:pt>
                <c:pt idx="31">
                  <c:v>0.44776338206846322</c:v>
                </c:pt>
                <c:pt idx="32">
                  <c:v>0.44671057300091732</c:v>
                </c:pt>
                <c:pt idx="33">
                  <c:v>0.44514187184393428</c:v>
                </c:pt>
                <c:pt idx="34">
                  <c:v>0.44359881523807054</c:v>
                </c:pt>
                <c:pt idx="35">
                  <c:v>0.44132596559211468</c:v>
                </c:pt>
                <c:pt idx="36">
                  <c:v>0.43889660968974586</c:v>
                </c:pt>
                <c:pt idx="37">
                  <c:v>0.43651055785887938</c:v>
                </c:pt>
                <c:pt idx="38">
                  <c:v>0.43416651770617082</c:v>
                </c:pt>
                <c:pt idx="39">
                  <c:v>0.43186325056752584</c:v>
                </c:pt>
                <c:pt idx="40">
                  <c:v>0.42959956865925475</c:v>
                </c:pt>
                <c:pt idx="41">
                  <c:v>0.42737433241212663</c:v>
                </c:pt>
                <c:pt idx="42">
                  <c:v>0.42518644797458138</c:v>
                </c:pt>
                <c:pt idx="43">
                  <c:v>0.42303486487254183</c:v>
                </c:pt>
                <c:pt idx="44">
                  <c:v>0.42091857381432779</c:v>
                </c:pt>
                <c:pt idx="45">
                  <c:v>0.41883660463014388</c:v>
                </c:pt>
                <c:pt idx="46">
                  <c:v>0.41678802433647982</c:v>
                </c:pt>
                <c:pt idx="47">
                  <c:v>0.41477193531655909</c:v>
                </c:pt>
                <c:pt idx="48">
                  <c:v>0.41278747360868856</c:v>
                </c:pt>
                <c:pt idx="49">
                  <c:v>0.41083380729501445</c:v>
                </c:pt>
                <c:pt idx="50">
                  <c:v>0.40891013498378814</c:v>
                </c:pt>
                <c:pt idx="51">
                  <c:v>0.40701568437878288</c:v>
                </c:pt>
                <c:pt idx="52">
                  <c:v>0.40514971093000052</c:v>
                </c:pt>
                <c:pt idx="53">
                  <c:v>0.403311496560255</c:v>
                </c:pt>
                <c:pt idx="54">
                  <c:v>0.40150034846263344</c:v>
                </c:pt>
                <c:pt idx="55">
                  <c:v>0.39971559796421258</c:v>
                </c:pt>
                <c:pt idx="56">
                  <c:v>0.39789645703186816</c:v>
                </c:pt>
                <c:pt idx="57">
                  <c:v>0.35546625798724274</c:v>
                </c:pt>
                <c:pt idx="58">
                  <c:v>0.32314200006444449</c:v>
                </c:pt>
                <c:pt idx="59">
                  <c:v>0.29353097875840661</c:v>
                </c:pt>
                <c:pt idx="60">
                  <c:v>0.26775055989293783</c:v>
                </c:pt>
                <c:pt idx="61">
                  <c:v>0.24661389969032291</c:v>
                </c:pt>
                <c:pt idx="62">
                  <c:v>0.22893456065498446</c:v>
                </c:pt>
                <c:pt idx="63">
                  <c:v>0.21390361224512205</c:v>
                </c:pt>
                <c:pt idx="64">
                  <c:v>0.20094951699682606</c:v>
                </c:pt>
                <c:pt idx="65">
                  <c:v>0.19166751190532938</c:v>
                </c:pt>
                <c:pt idx="66">
                  <c:v>0.18400162231966713</c:v>
                </c:pt>
                <c:pt idx="67">
                  <c:v>0.17710845257587468</c:v>
                </c:pt>
                <c:pt idx="68">
                  <c:v>0.17086871459191078</c:v>
                </c:pt>
                <c:pt idx="69">
                  <c:v>0.16518720876012466</c:v>
                </c:pt>
                <c:pt idx="70">
                  <c:v>0.15998693574559456</c:v>
                </c:pt>
                <c:pt idx="71">
                  <c:v>0.15520487261440849</c:v>
                </c:pt>
              </c:numCache>
            </c:numRef>
          </c:yVal>
          <c:smooth val="0"/>
        </c:ser>
        <c:ser>
          <c:idx val="7"/>
          <c:order val="7"/>
          <c:tx>
            <c:strRef>
              <c:f>'Drag functions'!$L$257</c:f>
              <c:strCache>
                <c:ptCount val="1"/>
                <c:pt idx="0">
                  <c:v>GS</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functions'!$L$258:$L$329</c:f>
              <c:numCache>
                <c:formatCode>0.00000</c:formatCode>
                <c:ptCount val="72"/>
                <c:pt idx="0">
                  <c:v>0.46634179032599299</c:v>
                </c:pt>
                <c:pt idx="1">
                  <c:v>0.48228649025800568</c:v>
                </c:pt>
                <c:pt idx="2">
                  <c:v>0.51840276428629328</c:v>
                </c:pt>
                <c:pt idx="3">
                  <c:v>0.53898696329179863</c:v>
                </c:pt>
                <c:pt idx="4">
                  <c:v>0.55937411617147126</c:v>
                </c:pt>
                <c:pt idx="5">
                  <c:v>0.57957494629062845</c:v>
                </c:pt>
                <c:pt idx="6">
                  <c:v>0.5995991539290807</c:v>
                </c:pt>
                <c:pt idx="7">
                  <c:v>0.61945555236074556</c:v>
                </c:pt>
                <c:pt idx="8">
                  <c:v>0.63915218112254102</c:v>
                </c:pt>
                <c:pt idx="9">
                  <c:v>0.6489429063608485</c:v>
                </c:pt>
                <c:pt idx="10">
                  <c:v>0.6586964010256634</c:v>
                </c:pt>
                <c:pt idx="11">
                  <c:v>0.66841349232840963</c:v>
                </c:pt>
                <c:pt idx="12">
                  <c:v>0.67809497441865962</c:v>
                </c:pt>
                <c:pt idx="13">
                  <c:v>0.68774161027149938</c:v>
                </c:pt>
                <c:pt idx="14">
                  <c:v>0.69735413343597097</c:v>
                </c:pt>
                <c:pt idx="15">
                  <c:v>0.70693324965703597</c:v>
                </c:pt>
                <c:pt idx="16">
                  <c:v>0.71647963838219642</c:v>
                </c:pt>
                <c:pt idx="17">
                  <c:v>0.72599395416275692</c:v>
                </c:pt>
                <c:pt idx="18">
                  <c:v>0.75867405685423228</c:v>
                </c:pt>
                <c:pt idx="19">
                  <c:v>0.76849077677444422</c:v>
                </c:pt>
                <c:pt idx="20">
                  <c:v>0.77827692455448827</c:v>
                </c:pt>
                <c:pt idx="21">
                  <c:v>0.78803307091912511</c:v>
                </c:pt>
                <c:pt idx="22">
                  <c:v>0.79775976733391651</c:v>
                </c:pt>
                <c:pt idx="23">
                  <c:v>0.80745754693673377</c:v>
                </c:pt>
                <c:pt idx="24">
                  <c:v>0.81712692541099741</c:v>
                </c:pt>
                <c:pt idx="25">
                  <c:v>0.8267684018050937</c:v>
                </c:pt>
                <c:pt idx="26">
                  <c:v>0.8363824593020196</c:v>
                </c:pt>
                <c:pt idx="27">
                  <c:v>0.84596956594294259</c:v>
                </c:pt>
                <c:pt idx="28">
                  <c:v>0.85553017530804742</c:v>
                </c:pt>
                <c:pt idx="29">
                  <c:v>0.86506472715774829</c:v>
                </c:pt>
                <c:pt idx="30">
                  <c:v>0.87457364803708271</c:v>
                </c:pt>
                <c:pt idx="31">
                  <c:v>0.88405735184587286</c:v>
                </c:pt>
                <c:pt idx="32">
                  <c:v>0.89351624037701927</c:v>
                </c:pt>
                <c:pt idx="33">
                  <c:v>0.902950703825109</c:v>
                </c:pt>
                <c:pt idx="34">
                  <c:v>0.9123611212673326</c:v>
                </c:pt>
                <c:pt idx="35">
                  <c:v>0.92174786111855933</c:v>
                </c:pt>
                <c:pt idx="36">
                  <c:v>0.9311112815622643</c:v>
                </c:pt>
                <c:pt idx="37">
                  <c:v>0.94045173095887524</c:v>
                </c:pt>
                <c:pt idx="38">
                  <c:v>0.94976954823298754</c:v>
                </c:pt>
                <c:pt idx="39">
                  <c:v>0.95906506324078333</c:v>
                </c:pt>
                <c:pt idx="40">
                  <c:v>0.96833859711889447</c:v>
                </c:pt>
                <c:pt idx="41">
                  <c:v>0.97759046261585425</c:v>
                </c:pt>
                <c:pt idx="42">
                  <c:v>0.98461494092261836</c:v>
                </c:pt>
                <c:pt idx="43">
                  <c:v>0.98689415615589093</c:v>
                </c:pt>
                <c:pt idx="44">
                  <c:v>0.98915250848957204</c:v>
                </c:pt>
                <c:pt idx="45">
                  <c:v>0.99139042274942757</c:v>
                </c:pt>
                <c:pt idx="46">
                  <c:v>0.99360831045507092</c:v>
                </c:pt>
                <c:pt idx="47">
                  <c:v>0.99580657037932652</c:v>
                </c:pt>
                <c:pt idx="48">
                  <c:v>0.99798558907821544</c:v>
                </c:pt>
                <c:pt idx="49">
                  <c:v>1.0001457413934065</c:v>
                </c:pt>
                <c:pt idx="50">
                  <c:v>1.0022873909288443</c:v>
                </c:pt>
                <c:pt idx="51">
                  <c:v>1.0044108905031406</c:v>
                </c:pt>
                <c:pt idx="52">
                  <c:v>1.0026939282824356</c:v>
                </c:pt>
                <c:pt idx="53">
                  <c:v>1.0035335877422622</c:v>
                </c:pt>
                <c:pt idx="54">
                  <c:v>1.0043653275096054</c:v>
                </c:pt>
                <c:pt idx="55">
                  <c:v>1.005189301963388</c:v>
                </c:pt>
                <c:pt idx="56">
                  <c:v>1.006005660951214</c:v>
                </c:pt>
                <c:pt idx="57">
                  <c:v>1.0064567107604461</c:v>
                </c:pt>
                <c:pt idx="58">
                  <c:v>0.9992407964832547</c:v>
                </c:pt>
                <c:pt idx="59">
                  <c:v>0.98600040801037603</c:v>
                </c:pt>
                <c:pt idx="60">
                  <c:v>0.97446725841770043</c:v>
                </c:pt>
                <c:pt idx="61">
                  <c:v>0.96426486204919826</c:v>
                </c:pt>
                <c:pt idx="62">
                  <c:v>0.95067355253058305</c:v>
                </c:pt>
                <c:pt idx="63">
                  <c:v>0.94239143281879723</c:v>
                </c:pt>
                <c:pt idx="64">
                  <c:v>0.93483635207069993</c:v>
                </c:pt>
                <c:pt idx="65">
                  <c:v>0.92789544932960233</c:v>
                </c:pt>
                <c:pt idx="66">
                  <c:v>0.92147995292811191</c:v>
                </c:pt>
                <c:pt idx="67">
                  <c:v>0.91551881650835476</c:v>
                </c:pt>
                <c:pt idx="68">
                  <c:v>0.90995432026137169</c:v>
                </c:pt>
                <c:pt idx="69">
                  <c:v>0.90473895280977312</c:v>
                </c:pt>
                <c:pt idx="70">
                  <c:v>0.89983315178054579</c:v>
                </c:pt>
                <c:pt idx="71">
                  <c:v>0.89520363466964248</c:v>
                </c:pt>
              </c:numCache>
            </c:numRef>
          </c:yVal>
          <c:smooth val="0"/>
        </c:ser>
        <c:ser>
          <c:idx val="8"/>
          <c:order val="8"/>
          <c:tx>
            <c:strRef>
              <c:f>'Drag functions'!$M$257</c:f>
              <c:strCache>
                <c:ptCount val="1"/>
                <c:pt idx="0">
                  <c:v>GIM</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functions'!$M$258:$M$329</c:f>
              <c:numCache>
                <c:formatCode>0.00000</c:formatCode>
                <c:ptCount val="72"/>
                <c:pt idx="0">
                  <c:v>0.2250433914966217</c:v>
                </c:pt>
                <c:pt idx="1">
                  <c:v>0.2250433914966217</c:v>
                </c:pt>
                <c:pt idx="2">
                  <c:v>0.2250433914966217</c:v>
                </c:pt>
                <c:pt idx="3">
                  <c:v>0.2250433914966217</c:v>
                </c:pt>
                <c:pt idx="4">
                  <c:v>0.2250433914966217</c:v>
                </c:pt>
                <c:pt idx="5">
                  <c:v>0.2250433914966217</c:v>
                </c:pt>
                <c:pt idx="6">
                  <c:v>0.2250433914966217</c:v>
                </c:pt>
                <c:pt idx="7">
                  <c:v>0.23427235946987424</c:v>
                </c:pt>
                <c:pt idx="8">
                  <c:v>0.24364325384866925</c:v>
                </c:pt>
                <c:pt idx="9">
                  <c:v>0.24832870103806673</c:v>
                </c:pt>
                <c:pt idx="10">
                  <c:v>0.25301414822746421</c:v>
                </c:pt>
                <c:pt idx="11">
                  <c:v>0.25769959541686172</c:v>
                </c:pt>
                <c:pt idx="12">
                  <c:v>0.26238504260625917</c:v>
                </c:pt>
                <c:pt idx="13">
                  <c:v>0.26707048979565667</c:v>
                </c:pt>
                <c:pt idx="14">
                  <c:v>0.27175593698505418</c:v>
                </c:pt>
                <c:pt idx="15">
                  <c:v>0.27644138417445163</c:v>
                </c:pt>
                <c:pt idx="16">
                  <c:v>0.29080973668501692</c:v>
                </c:pt>
                <c:pt idx="17">
                  <c:v>0.30559391130787883</c:v>
                </c:pt>
                <c:pt idx="18">
                  <c:v>0.32087084687345696</c:v>
                </c:pt>
                <c:pt idx="19">
                  <c:v>0.33664862142999269</c:v>
                </c:pt>
                <c:pt idx="20">
                  <c:v>0.35293531302572717</c:v>
                </c:pt>
                <c:pt idx="21">
                  <c:v>0.36973899970890173</c:v>
                </c:pt>
                <c:pt idx="22">
                  <c:v>0.38706775952775752</c:v>
                </c:pt>
                <c:pt idx="23">
                  <c:v>0.40492967053053586</c:v>
                </c:pt>
                <c:pt idx="24">
                  <c:v>0.42333281076547796</c:v>
                </c:pt>
                <c:pt idx="25">
                  <c:v>0.4422852582808251</c:v>
                </c:pt>
                <c:pt idx="26">
                  <c:v>0.46179509112481854</c:v>
                </c:pt>
                <c:pt idx="27">
                  <c:v>0.48187038734569948</c:v>
                </c:pt>
                <c:pt idx="28">
                  <c:v>0.5025192249917092</c:v>
                </c:pt>
                <c:pt idx="29">
                  <c:v>0.52374968211108897</c:v>
                </c:pt>
                <c:pt idx="30">
                  <c:v>0.54556983675208004</c:v>
                </c:pt>
                <c:pt idx="31">
                  <c:v>0.56662541561212842</c:v>
                </c:pt>
                <c:pt idx="32">
                  <c:v>0.57418042115362355</c:v>
                </c:pt>
                <c:pt idx="33">
                  <c:v>0.58173542669511857</c:v>
                </c:pt>
                <c:pt idx="34">
                  <c:v>0.58929043223661359</c:v>
                </c:pt>
                <c:pt idx="35">
                  <c:v>0.59684543777810861</c:v>
                </c:pt>
                <c:pt idx="36">
                  <c:v>0.60440044331960363</c:v>
                </c:pt>
                <c:pt idx="37">
                  <c:v>0.61195544886109865</c:v>
                </c:pt>
                <c:pt idx="38">
                  <c:v>0.61951045440259378</c:v>
                </c:pt>
                <c:pt idx="39">
                  <c:v>0.6270654599440888</c:v>
                </c:pt>
                <c:pt idx="40">
                  <c:v>0.63334480263129378</c:v>
                </c:pt>
                <c:pt idx="41">
                  <c:v>0.63334480263129378</c:v>
                </c:pt>
                <c:pt idx="42">
                  <c:v>0.63334480263129378</c:v>
                </c:pt>
                <c:pt idx="43">
                  <c:v>0.63334480263129378</c:v>
                </c:pt>
                <c:pt idx="44">
                  <c:v>0.63334480263129378</c:v>
                </c:pt>
                <c:pt idx="45">
                  <c:v>0.63334480263129378</c:v>
                </c:pt>
                <c:pt idx="46">
                  <c:v>0.63334480263129378</c:v>
                </c:pt>
                <c:pt idx="47">
                  <c:v>0.63334480263129378</c:v>
                </c:pt>
                <c:pt idx="48">
                  <c:v>0.63334480263129378</c:v>
                </c:pt>
                <c:pt idx="49">
                  <c:v>0.63334480263129378</c:v>
                </c:pt>
                <c:pt idx="50">
                  <c:v>0.63334480263129378</c:v>
                </c:pt>
                <c:pt idx="51">
                  <c:v>0.63334480263129378</c:v>
                </c:pt>
                <c:pt idx="52">
                  <c:v>0.63334480263129378</c:v>
                </c:pt>
                <c:pt idx="53">
                  <c:v>0.63334480263129378</c:v>
                </c:pt>
                <c:pt idx="54">
                  <c:v>0.63334480263129378</c:v>
                </c:pt>
                <c:pt idx="55">
                  <c:v>0.63334480263129378</c:v>
                </c:pt>
                <c:pt idx="56">
                  <c:v>0.63334480263129378</c:v>
                </c:pt>
                <c:pt idx="57">
                  <c:v>0.6171062560576982</c:v>
                </c:pt>
                <c:pt idx="58">
                  <c:v>0.58921787340181175</c:v>
                </c:pt>
                <c:pt idx="59">
                  <c:v>0.56608037822427282</c:v>
                </c:pt>
                <c:pt idx="60">
                  <c:v>0.53685804593432196</c:v>
                </c:pt>
                <c:pt idx="61">
                  <c:v>0.51199839026768101</c:v>
                </c:pt>
                <c:pt idx="62">
                  <c:v>0.49050324766460124</c:v>
                </c:pt>
                <c:pt idx="63">
                  <c:v>0.47166867552739961</c:v>
                </c:pt>
                <c:pt idx="64">
                  <c:v>0.45498186545588387</c:v>
                </c:pt>
                <c:pt idx="65">
                  <c:v>0.44005907292419338</c:v>
                </c:pt>
                <c:pt idx="66">
                  <c:v>0.42660655959716293</c:v>
                </c:pt>
                <c:pt idx="67">
                  <c:v>0.41439509225682358</c:v>
                </c:pt>
                <c:pt idx="68">
                  <c:v>0.40324276214797933</c:v>
                </c:pt>
                <c:pt idx="69">
                  <c:v>0.3930030929028801</c:v>
                </c:pt>
                <c:pt idx="70">
                  <c:v>0.38355661316598877</c:v>
                </c:pt>
                <c:pt idx="71">
                  <c:v>0.37480475976904881</c:v>
                </c:pt>
              </c:numCache>
            </c:numRef>
          </c:yVal>
          <c:smooth val="0"/>
        </c:ser>
        <c:ser>
          <c:idx val="9"/>
          <c:order val="9"/>
          <c:tx>
            <c:strRef>
              <c:f>'Drag functions'!$N$257</c:f>
              <c:strCache>
                <c:ptCount val="1"/>
                <c:pt idx="0">
                  <c:v>RA4</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functions'!$N$258:$N$329</c:f>
              <c:numCache>
                <c:formatCode>0.00000</c:formatCode>
                <c:ptCount val="72"/>
                <c:pt idx="0">
                  <c:v>0.22863917023428956</c:v>
                </c:pt>
                <c:pt idx="1">
                  <c:v>0.22863917023428956</c:v>
                </c:pt>
                <c:pt idx="2">
                  <c:v>0.22863917023428956</c:v>
                </c:pt>
                <c:pt idx="3">
                  <c:v>0.22863917023428956</c:v>
                </c:pt>
                <c:pt idx="4">
                  <c:v>0.22863917023428956</c:v>
                </c:pt>
                <c:pt idx="5">
                  <c:v>0.22863917023428956</c:v>
                </c:pt>
                <c:pt idx="6">
                  <c:v>0.22863917023428956</c:v>
                </c:pt>
                <c:pt idx="7">
                  <c:v>0.22863917023428956</c:v>
                </c:pt>
                <c:pt idx="8">
                  <c:v>0.23060131929181391</c:v>
                </c:pt>
                <c:pt idx="9">
                  <c:v>0.23216486073518799</c:v>
                </c:pt>
                <c:pt idx="10">
                  <c:v>0.23370948080381324</c:v>
                </c:pt>
                <c:pt idx="11">
                  <c:v>0.23523575262063734</c:v>
                </c:pt>
                <c:pt idx="12">
                  <c:v>0.23674422190099714</c:v>
                </c:pt>
                <c:pt idx="13">
                  <c:v>0.23823540872676577</c:v>
                </c:pt>
                <c:pt idx="14">
                  <c:v>0.23970980917669882</c:v>
                </c:pt>
                <c:pt idx="15">
                  <c:v>0.24116789682690237</c:v>
                </c:pt>
                <c:pt idx="16">
                  <c:v>0.24261012413378527</c:v>
                </c:pt>
                <c:pt idx="17">
                  <c:v>0.24886242229821148</c:v>
                </c:pt>
                <c:pt idx="18">
                  <c:v>0.26632395357590499</c:v>
                </c:pt>
                <c:pt idx="19">
                  <c:v>0.28470159473651924</c:v>
                </c:pt>
                <c:pt idx="20">
                  <c:v>0.30402771718150895</c:v>
                </c:pt>
                <c:pt idx="21">
                  <c:v>0.32433529933922639</c:v>
                </c:pt>
                <c:pt idx="22">
                  <c:v>0.34565792829638975</c:v>
                </c:pt>
                <c:pt idx="23">
                  <c:v>0.36802980140853658</c:v>
                </c:pt>
                <c:pt idx="24">
                  <c:v>0.39148572789004982</c:v>
                </c:pt>
                <c:pt idx="25">
                  <c:v>0.41606113038431902</c:v>
                </c:pt>
                <c:pt idx="26">
                  <c:v>0.44179204651457737</c:v>
                </c:pt>
                <c:pt idx="27">
                  <c:v>0.46871513041592988</c:v>
                </c:pt>
                <c:pt idx="28">
                  <c:v>0.49685635069274803</c:v>
                </c:pt>
                <c:pt idx="29">
                  <c:v>0.52224491066440015</c:v>
                </c:pt>
                <c:pt idx="30">
                  <c:v>0.54855870452690647</c:v>
                </c:pt>
                <c:pt idx="31">
                  <c:v>0.57211263084403186</c:v>
                </c:pt>
                <c:pt idx="32">
                  <c:v>0.57211263084403186</c:v>
                </c:pt>
                <c:pt idx="33">
                  <c:v>0.57211263084403186</c:v>
                </c:pt>
                <c:pt idx="34">
                  <c:v>0.57211263084403186</c:v>
                </c:pt>
                <c:pt idx="35">
                  <c:v>0.57211263084403186</c:v>
                </c:pt>
                <c:pt idx="36">
                  <c:v>0.57211263084403186</c:v>
                </c:pt>
                <c:pt idx="37">
                  <c:v>0.57211263084403186</c:v>
                </c:pt>
                <c:pt idx="38">
                  <c:v>0.57211263084403186</c:v>
                </c:pt>
                <c:pt idx="39">
                  <c:v>0.57211263084403186</c:v>
                </c:pt>
                <c:pt idx="40">
                  <c:v>0.57211263084403186</c:v>
                </c:pt>
                <c:pt idx="41">
                  <c:v>0.57278605949039885</c:v>
                </c:pt>
                <c:pt idx="42">
                  <c:v>0.57098904460863908</c:v>
                </c:pt>
                <c:pt idx="43">
                  <c:v>0.56921834542301519</c:v>
                </c:pt>
                <c:pt idx="44">
                  <c:v>0.56747328066023017</c:v>
                </c:pt>
                <c:pt idx="45">
                  <c:v>0.56575319417185366</c:v>
                </c:pt>
                <c:pt idx="46">
                  <c:v>0.56405745373775051</c:v>
                </c:pt>
                <c:pt idx="47">
                  <c:v>0.56238544993907014</c:v>
                </c:pt>
                <c:pt idx="48">
                  <c:v>0.56073659509603813</c:v>
                </c:pt>
                <c:pt idx="49">
                  <c:v>0.5591103222661653</c:v>
                </c:pt>
                <c:pt idx="50">
                  <c:v>0.55750608429882753</c:v>
                </c:pt>
                <c:pt idx="51">
                  <c:v>0.55592335294248452</c:v>
                </c:pt>
                <c:pt idx="52">
                  <c:v>0.55526888351322778</c:v>
                </c:pt>
                <c:pt idx="53">
                  <c:v>0.55457290959024308</c:v>
                </c:pt>
                <c:pt idx="54">
                  <c:v>0.55388493294954833</c:v>
                </c:pt>
                <c:pt idx="55">
                  <c:v>0.55320478148507923</c:v>
                </c:pt>
                <c:pt idx="56">
                  <c:v>0.55253228848612779</c:v>
                </c:pt>
                <c:pt idx="57">
                  <c:v>0.54047364939812426</c:v>
                </c:pt>
                <c:pt idx="58">
                  <c:v>0.53048376583388024</c:v>
                </c:pt>
                <c:pt idx="59">
                  <c:v>0.52197951122908759</c:v>
                </c:pt>
                <c:pt idx="60">
                  <c:v>0.51600986556056294</c:v>
                </c:pt>
                <c:pt idx="61">
                  <c:v>0.51039140280498296</c:v>
                </c:pt>
                <c:pt idx="62">
                  <c:v>0.50487300632447563</c:v>
                </c:pt>
                <c:pt idx="63">
                  <c:v>0.50159777829950714</c:v>
                </c:pt>
                <c:pt idx="64">
                  <c:v>0.49860362664024305</c:v>
                </c:pt>
                <c:pt idx="65">
                  <c:v>0.49584741169616114</c:v>
                </c:pt>
                <c:pt idx="66">
                  <c:v>0.49329513356643523</c:v>
                </c:pt>
                <c:pt idx="67">
                  <c:v>0.49091953060722004</c:v>
                </c:pt>
                <c:pt idx="68">
                  <c:v>0.48869841639435424</c:v>
                </c:pt>
                <c:pt idx="69">
                  <c:v>0.48661349878777627</c:v>
                </c:pt>
                <c:pt idx="70">
                  <c:v>0.48464952280550583</c:v>
                </c:pt>
                <c:pt idx="71">
                  <c:v>0.48279363645159556</c:v>
                </c:pt>
              </c:numCache>
            </c:numRef>
          </c:yVal>
          <c:smooth val="0"/>
        </c:ser>
        <c:ser>
          <c:idx val="10"/>
          <c:order val="10"/>
          <c:tx>
            <c:strRef>
              <c:f>'Drag functions'!$O$257</c:f>
              <c:strCache>
                <c:ptCount val="1"/>
                <c:pt idx="0">
                  <c:v>A</c:v>
                </c:pt>
              </c:strCache>
            </c:strRef>
          </c:tx>
          <c:marker>
            <c:symbol val="none"/>
          </c:marker>
          <c:xVal>
            <c:numRef>
              <c:f>'Drag functions'!$D$258:$D$329</c:f>
              <c:numCache>
                <c:formatCode>General</c:formatCode>
                <c:ptCount val="72"/>
                <c:pt idx="0">
                  <c:v>0</c:v>
                </c:pt>
                <c:pt idx="1">
                  <c:v>100</c:v>
                </c:pt>
                <c:pt idx="2">
                  <c:v>200</c:v>
                </c:pt>
                <c:pt idx="3">
                  <c:v>210</c:v>
                </c:pt>
                <c:pt idx="4">
                  <c:v>220</c:v>
                </c:pt>
                <c:pt idx="5">
                  <c:v>230</c:v>
                </c:pt>
                <c:pt idx="6">
                  <c:v>240</c:v>
                </c:pt>
                <c:pt idx="7">
                  <c:v>250</c:v>
                </c:pt>
                <c:pt idx="8">
                  <c:v>260</c:v>
                </c:pt>
                <c:pt idx="9">
                  <c:v>265</c:v>
                </c:pt>
                <c:pt idx="10">
                  <c:v>270</c:v>
                </c:pt>
                <c:pt idx="11">
                  <c:v>275</c:v>
                </c:pt>
                <c:pt idx="12">
                  <c:v>280</c:v>
                </c:pt>
                <c:pt idx="13">
                  <c:v>285</c:v>
                </c:pt>
                <c:pt idx="14">
                  <c:v>290</c:v>
                </c:pt>
                <c:pt idx="15">
                  <c:v>295</c:v>
                </c:pt>
                <c:pt idx="16">
                  <c:v>300</c:v>
                </c:pt>
                <c:pt idx="17">
                  <c:v>305</c:v>
                </c:pt>
                <c:pt idx="18">
                  <c:v>310</c:v>
                </c:pt>
                <c:pt idx="19">
                  <c:v>315</c:v>
                </c:pt>
                <c:pt idx="20">
                  <c:v>320</c:v>
                </c:pt>
                <c:pt idx="21">
                  <c:v>325</c:v>
                </c:pt>
                <c:pt idx="22">
                  <c:v>330</c:v>
                </c:pt>
                <c:pt idx="23">
                  <c:v>335</c:v>
                </c:pt>
                <c:pt idx="24">
                  <c:v>340</c:v>
                </c:pt>
                <c:pt idx="25">
                  <c:v>345</c:v>
                </c:pt>
                <c:pt idx="26">
                  <c:v>350</c:v>
                </c:pt>
                <c:pt idx="27">
                  <c:v>355</c:v>
                </c:pt>
                <c:pt idx="28">
                  <c:v>360</c:v>
                </c:pt>
                <c:pt idx="29">
                  <c:v>365</c:v>
                </c:pt>
                <c:pt idx="30">
                  <c:v>370</c:v>
                </c:pt>
                <c:pt idx="31">
                  <c:v>375</c:v>
                </c:pt>
                <c:pt idx="32">
                  <c:v>380</c:v>
                </c:pt>
                <c:pt idx="33">
                  <c:v>385</c:v>
                </c:pt>
                <c:pt idx="34">
                  <c:v>390</c:v>
                </c:pt>
                <c:pt idx="35">
                  <c:v>395</c:v>
                </c:pt>
                <c:pt idx="36">
                  <c:v>400</c:v>
                </c:pt>
                <c:pt idx="37">
                  <c:v>405</c:v>
                </c:pt>
                <c:pt idx="38">
                  <c:v>410</c:v>
                </c:pt>
                <c:pt idx="39">
                  <c:v>415</c:v>
                </c:pt>
                <c:pt idx="40">
                  <c:v>420</c:v>
                </c:pt>
                <c:pt idx="41">
                  <c:v>425</c:v>
                </c:pt>
                <c:pt idx="42">
                  <c:v>430</c:v>
                </c:pt>
                <c:pt idx="43">
                  <c:v>435</c:v>
                </c:pt>
                <c:pt idx="44">
                  <c:v>440</c:v>
                </c:pt>
                <c:pt idx="45">
                  <c:v>445</c:v>
                </c:pt>
                <c:pt idx="46">
                  <c:v>450</c:v>
                </c:pt>
                <c:pt idx="47">
                  <c:v>455</c:v>
                </c:pt>
                <c:pt idx="48">
                  <c:v>460</c:v>
                </c:pt>
                <c:pt idx="49">
                  <c:v>465</c:v>
                </c:pt>
                <c:pt idx="50">
                  <c:v>470</c:v>
                </c:pt>
                <c:pt idx="51">
                  <c:v>475</c:v>
                </c:pt>
                <c:pt idx="52">
                  <c:v>480</c:v>
                </c:pt>
                <c:pt idx="53">
                  <c:v>485</c:v>
                </c:pt>
                <c:pt idx="54">
                  <c:v>490</c:v>
                </c:pt>
                <c:pt idx="55">
                  <c:v>495</c:v>
                </c:pt>
                <c:pt idx="56">
                  <c:v>500</c:v>
                </c:pt>
                <c:pt idx="57">
                  <c:v>600</c:v>
                </c:pt>
                <c:pt idx="58">
                  <c:v>700</c:v>
                </c:pt>
                <c:pt idx="59">
                  <c:v>800</c:v>
                </c:pt>
                <c:pt idx="60">
                  <c:v>900</c:v>
                </c:pt>
                <c:pt idx="61">
                  <c:v>1000</c:v>
                </c:pt>
                <c:pt idx="62">
                  <c:v>1100</c:v>
                </c:pt>
                <c:pt idx="63">
                  <c:v>1200</c:v>
                </c:pt>
                <c:pt idx="64">
                  <c:v>1300</c:v>
                </c:pt>
                <c:pt idx="65">
                  <c:v>1400</c:v>
                </c:pt>
                <c:pt idx="66">
                  <c:v>1500</c:v>
                </c:pt>
                <c:pt idx="67">
                  <c:v>1600</c:v>
                </c:pt>
                <c:pt idx="68">
                  <c:v>1700</c:v>
                </c:pt>
                <c:pt idx="69">
                  <c:v>1800</c:v>
                </c:pt>
                <c:pt idx="70">
                  <c:v>1900</c:v>
                </c:pt>
                <c:pt idx="71">
                  <c:v>2000</c:v>
                </c:pt>
              </c:numCache>
            </c:numRef>
          </c:xVal>
          <c:yVal>
            <c:numRef>
              <c:f>'Drag functions'!$O$258:$O$329</c:f>
              <c:numCache>
                <c:formatCode>0.00000</c:formatCode>
                <c:ptCount val="72"/>
                <c:pt idx="0">
                  <c:v>0.20019993792007032</c:v>
                </c:pt>
                <c:pt idx="1">
                  <c:v>0.20019993792007032</c:v>
                </c:pt>
                <c:pt idx="2">
                  <c:v>0.20019993792007032</c:v>
                </c:pt>
                <c:pt idx="3">
                  <c:v>0.20019993792007032</c:v>
                </c:pt>
                <c:pt idx="4">
                  <c:v>0.20019993792007032</c:v>
                </c:pt>
                <c:pt idx="5">
                  <c:v>0.20019993792007032</c:v>
                </c:pt>
                <c:pt idx="6">
                  <c:v>0.20019993792007032</c:v>
                </c:pt>
                <c:pt idx="7">
                  <c:v>0.20019993792007032</c:v>
                </c:pt>
                <c:pt idx="8">
                  <c:v>0.20019993792007032</c:v>
                </c:pt>
                <c:pt idx="9">
                  <c:v>0.20019993792007032</c:v>
                </c:pt>
                <c:pt idx="10">
                  <c:v>0.20019993792007032</c:v>
                </c:pt>
                <c:pt idx="11">
                  <c:v>0.20019993792007032</c:v>
                </c:pt>
                <c:pt idx="12">
                  <c:v>0.20019993792007032</c:v>
                </c:pt>
                <c:pt idx="13">
                  <c:v>0.20019993792007032</c:v>
                </c:pt>
                <c:pt idx="14">
                  <c:v>0.20019993792007032</c:v>
                </c:pt>
                <c:pt idx="15">
                  <c:v>0.20019993792007032</c:v>
                </c:pt>
                <c:pt idx="16">
                  <c:v>0.20019993792007032</c:v>
                </c:pt>
                <c:pt idx="17">
                  <c:v>0.20019993792007032</c:v>
                </c:pt>
                <c:pt idx="18">
                  <c:v>0.20019993792007032</c:v>
                </c:pt>
                <c:pt idx="19">
                  <c:v>0.20019993792007032</c:v>
                </c:pt>
                <c:pt idx="20">
                  <c:v>0.20019993792007032</c:v>
                </c:pt>
                <c:pt idx="21">
                  <c:v>0.20019993792007032</c:v>
                </c:pt>
                <c:pt idx="22">
                  <c:v>0.20019993792007032</c:v>
                </c:pt>
                <c:pt idx="23">
                  <c:v>0.20019993792007032</c:v>
                </c:pt>
                <c:pt idx="24">
                  <c:v>0.20019993792007032</c:v>
                </c:pt>
                <c:pt idx="25">
                  <c:v>0.20019993792007032</c:v>
                </c:pt>
                <c:pt idx="26">
                  <c:v>0.20019993792007032</c:v>
                </c:pt>
                <c:pt idx="27">
                  <c:v>0.20019993792007032</c:v>
                </c:pt>
                <c:pt idx="28">
                  <c:v>0.20019993792007032</c:v>
                </c:pt>
                <c:pt idx="29">
                  <c:v>0.20019993792007032</c:v>
                </c:pt>
                <c:pt idx="30">
                  <c:v>0.20019993792007032</c:v>
                </c:pt>
                <c:pt idx="31">
                  <c:v>0.20019993792007032</c:v>
                </c:pt>
                <c:pt idx="32">
                  <c:v>0.20019993792007032</c:v>
                </c:pt>
                <c:pt idx="33">
                  <c:v>0.20019993792007032</c:v>
                </c:pt>
                <c:pt idx="34">
                  <c:v>0.20019993792007032</c:v>
                </c:pt>
                <c:pt idx="35">
                  <c:v>0.20019993792007032</c:v>
                </c:pt>
                <c:pt idx="36">
                  <c:v>0.20019993792007032</c:v>
                </c:pt>
                <c:pt idx="37">
                  <c:v>0.20019993792007032</c:v>
                </c:pt>
                <c:pt idx="38">
                  <c:v>0.20019993792007032</c:v>
                </c:pt>
                <c:pt idx="39">
                  <c:v>0.20019993792007032</c:v>
                </c:pt>
                <c:pt idx="40">
                  <c:v>0.20019993792007032</c:v>
                </c:pt>
                <c:pt idx="41">
                  <c:v>0.20019993792007032</c:v>
                </c:pt>
                <c:pt idx="42">
                  <c:v>0.20019993792007032</c:v>
                </c:pt>
                <c:pt idx="43">
                  <c:v>0.20019993792007032</c:v>
                </c:pt>
                <c:pt idx="44">
                  <c:v>0.20019993792007032</c:v>
                </c:pt>
                <c:pt idx="45">
                  <c:v>0.20019993792007032</c:v>
                </c:pt>
                <c:pt idx="46">
                  <c:v>0.20019993792007032</c:v>
                </c:pt>
                <c:pt idx="47">
                  <c:v>0.20019993792007032</c:v>
                </c:pt>
                <c:pt idx="48">
                  <c:v>0.20019993792007032</c:v>
                </c:pt>
                <c:pt idx="49">
                  <c:v>0.20019993792007032</c:v>
                </c:pt>
                <c:pt idx="50">
                  <c:v>0.20019993792007032</c:v>
                </c:pt>
                <c:pt idx="51">
                  <c:v>0.20019993792007032</c:v>
                </c:pt>
                <c:pt idx="52">
                  <c:v>0.20019993792007032</c:v>
                </c:pt>
                <c:pt idx="53">
                  <c:v>0.20019993792007032</c:v>
                </c:pt>
                <c:pt idx="54">
                  <c:v>0.20019993792007032</c:v>
                </c:pt>
                <c:pt idx="55">
                  <c:v>0.20019993792007032</c:v>
                </c:pt>
                <c:pt idx="56">
                  <c:v>0.20019993792007032</c:v>
                </c:pt>
                <c:pt idx="57">
                  <c:v>0.20019993792007032</c:v>
                </c:pt>
                <c:pt idx="58">
                  <c:v>0.20019993792007032</c:v>
                </c:pt>
                <c:pt idx="59">
                  <c:v>0.20019993792007032</c:v>
                </c:pt>
                <c:pt idx="60">
                  <c:v>0.20019993792007032</c:v>
                </c:pt>
                <c:pt idx="61">
                  <c:v>0.20019993792007032</c:v>
                </c:pt>
                <c:pt idx="62">
                  <c:v>0.20019993792007032</c:v>
                </c:pt>
                <c:pt idx="63">
                  <c:v>0.20019993792007032</c:v>
                </c:pt>
                <c:pt idx="64">
                  <c:v>0.20019993792007032</c:v>
                </c:pt>
                <c:pt idx="65">
                  <c:v>0.20019993792007032</c:v>
                </c:pt>
                <c:pt idx="66">
                  <c:v>0.20019993792007032</c:v>
                </c:pt>
                <c:pt idx="67">
                  <c:v>0.20019993792007032</c:v>
                </c:pt>
                <c:pt idx="68">
                  <c:v>0.20019993792007032</c:v>
                </c:pt>
                <c:pt idx="69">
                  <c:v>0.20019993792007032</c:v>
                </c:pt>
                <c:pt idx="70">
                  <c:v>0.20019993792007032</c:v>
                </c:pt>
                <c:pt idx="71">
                  <c:v>0.20019993792007032</c:v>
                </c:pt>
              </c:numCache>
            </c:numRef>
          </c:yVal>
          <c:smooth val="0"/>
        </c:ser>
        <c:dLbls>
          <c:showLegendKey val="0"/>
          <c:showVal val="0"/>
          <c:showCatName val="0"/>
          <c:showSerName val="0"/>
          <c:showPercent val="0"/>
          <c:showBubbleSize val="0"/>
        </c:dLbls>
        <c:axId val="208847616"/>
        <c:axId val="208849536"/>
      </c:scatterChart>
      <c:valAx>
        <c:axId val="208847616"/>
        <c:scaling>
          <c:orientation val="minMax"/>
          <c:max val="2000"/>
          <c:min val="0"/>
        </c:scaling>
        <c:delete val="0"/>
        <c:axPos val="b"/>
        <c:title>
          <c:tx>
            <c:rich>
              <a:bodyPr/>
              <a:lstStyle/>
              <a:p>
                <a:pPr>
                  <a:defRPr/>
                </a:pPr>
                <a:r>
                  <a:rPr lang="nl-NL"/>
                  <a:t>Velocity [m/s]</a:t>
                </a:r>
              </a:p>
            </c:rich>
          </c:tx>
          <c:layout/>
          <c:overlay val="0"/>
        </c:title>
        <c:numFmt formatCode="General" sourceLinked="1"/>
        <c:majorTickMark val="none"/>
        <c:minorTickMark val="none"/>
        <c:tickLblPos val="nextTo"/>
        <c:crossAx val="208849536"/>
        <c:crosses val="autoZero"/>
        <c:crossBetween val="midCat"/>
      </c:valAx>
      <c:valAx>
        <c:axId val="208849536"/>
        <c:scaling>
          <c:orientation val="minMax"/>
        </c:scaling>
        <c:delete val="0"/>
        <c:axPos val="l"/>
        <c:majorGridlines>
          <c:spPr>
            <a:ln>
              <a:noFill/>
            </a:ln>
          </c:spPr>
        </c:majorGridlines>
        <c:title>
          <c:tx>
            <c:rich>
              <a:bodyPr/>
              <a:lstStyle/>
              <a:p>
                <a:pPr>
                  <a:defRPr/>
                </a:pPr>
                <a:r>
                  <a:rPr lang="nl-NL"/>
                  <a:t>Cd</a:t>
                </a:r>
              </a:p>
            </c:rich>
          </c:tx>
          <c:layout/>
          <c:overlay val="0"/>
        </c:title>
        <c:numFmt formatCode="0.00000" sourceLinked="1"/>
        <c:majorTickMark val="none"/>
        <c:minorTickMark val="none"/>
        <c:tickLblPos val="nextTo"/>
        <c:crossAx val="2088476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3.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image" Target="../media/image11.gif"/><Relationship Id="rId13" Type="http://schemas.openxmlformats.org/officeDocument/2006/relationships/image" Target="../media/image15.emf"/><Relationship Id="rId3" Type="http://schemas.openxmlformats.org/officeDocument/2006/relationships/image" Target="../media/image6.gif"/><Relationship Id="rId7" Type="http://schemas.openxmlformats.org/officeDocument/2006/relationships/image" Target="../media/image10.gif"/><Relationship Id="rId12" Type="http://schemas.openxmlformats.org/officeDocument/2006/relationships/chart" Target="../charts/chart8.xml"/><Relationship Id="rId2" Type="http://schemas.openxmlformats.org/officeDocument/2006/relationships/image" Target="../media/image5.gif"/><Relationship Id="rId1" Type="http://schemas.openxmlformats.org/officeDocument/2006/relationships/image" Target="../media/image4.gif"/><Relationship Id="rId6" Type="http://schemas.openxmlformats.org/officeDocument/2006/relationships/image" Target="../media/image9.gif"/><Relationship Id="rId11" Type="http://schemas.openxmlformats.org/officeDocument/2006/relationships/image" Target="../media/image14.gif"/><Relationship Id="rId5" Type="http://schemas.openxmlformats.org/officeDocument/2006/relationships/image" Target="../media/image8.gif"/><Relationship Id="rId10" Type="http://schemas.openxmlformats.org/officeDocument/2006/relationships/image" Target="../media/image13.gif"/><Relationship Id="rId4" Type="http://schemas.openxmlformats.org/officeDocument/2006/relationships/image" Target="../media/image7.gif"/><Relationship Id="rId9" Type="http://schemas.openxmlformats.org/officeDocument/2006/relationships/image" Target="../media/image12.gif"/><Relationship Id="rId1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6</xdr:col>
      <xdr:colOff>438150</xdr:colOff>
      <xdr:row>21</xdr:row>
      <xdr:rowOff>104775</xdr:rowOff>
    </xdr:from>
    <xdr:to>
      <xdr:col>12</xdr:col>
      <xdr:colOff>438150</xdr:colOff>
      <xdr:row>35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657225</xdr:colOff>
      <xdr:row>62</xdr:row>
      <xdr:rowOff>190500</xdr:rowOff>
    </xdr:from>
    <xdr:to>
      <xdr:col>9</xdr:col>
      <xdr:colOff>657225</xdr:colOff>
      <xdr:row>76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100</xdr:row>
      <xdr:rowOff>119062</xdr:rowOff>
    </xdr:from>
    <xdr:to>
      <xdr:col>10</xdr:col>
      <xdr:colOff>47625</xdr:colOff>
      <xdr:row>114</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180975</xdr:colOff>
      <xdr:row>98</xdr:row>
      <xdr:rowOff>176212</xdr:rowOff>
    </xdr:from>
    <xdr:to>
      <xdr:col>19</xdr:col>
      <xdr:colOff>180975</xdr:colOff>
      <xdr:row>112</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28574</xdr:colOff>
      <xdr:row>94</xdr:row>
      <xdr:rowOff>19050</xdr:rowOff>
    </xdr:from>
    <xdr:ext cx="2238375" cy="791627"/>
    <mc:AlternateContent xmlns:mc="http://schemas.openxmlformats.org/markup-compatibility/2006" xmlns:a14="http://schemas.microsoft.com/office/drawing/2010/main">
      <mc:Choice Requires="a14">
        <xdr:sp macro="" textlink="">
          <xdr:nvSpPr>
            <xdr:cNvPr id="9" name="TextBox 8"/>
            <xdr:cNvSpPr txBox="1"/>
          </xdr:nvSpPr>
          <xdr:spPr>
            <a:xfrm>
              <a:off x="9534524" y="18221325"/>
              <a:ext cx="2238375" cy="791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nl-NL" sz="1800" i="1">
                            <a:latin typeface="Cambria Math"/>
                          </a:rPr>
                        </m:ctrlPr>
                      </m:fPr>
                      <m:num>
                        <m:r>
                          <a:rPr lang="nl-NL" sz="1800" b="0" i="1">
                            <a:latin typeface="Cambria Math"/>
                          </a:rPr>
                          <m:t>1</m:t>
                        </m:r>
                      </m:num>
                      <m:den>
                        <m:rad>
                          <m:radPr>
                            <m:degHide m:val="on"/>
                            <m:ctrlPr>
                              <a:rPr lang="nl-NL" sz="1800" i="1">
                                <a:latin typeface="Cambria Math"/>
                              </a:rPr>
                            </m:ctrlPr>
                          </m:radPr>
                          <m:deg/>
                          <m:e>
                            <m:r>
                              <a:rPr lang="nl-NL" sz="1800" b="0" i="1">
                                <a:latin typeface="Cambria Math"/>
                              </a:rPr>
                              <m:t>2 </m:t>
                            </m:r>
                            <m:r>
                              <a:rPr lang="nl-NL" sz="1800" b="0" i="1">
                                <a:latin typeface="Cambria Math"/>
                                <a:ea typeface="Cambria Math"/>
                              </a:rPr>
                              <m:t>𝜋</m:t>
                            </m:r>
                            <m:r>
                              <a:rPr lang="nl-NL" sz="1800" b="0" i="1">
                                <a:latin typeface="Cambria Math"/>
                                <a:ea typeface="Cambria Math"/>
                              </a:rPr>
                              <m:t> </m:t>
                            </m:r>
                            <m:sSup>
                              <m:sSupPr>
                                <m:ctrlPr>
                                  <a:rPr lang="nl-NL" sz="1800" b="0" i="1">
                                    <a:latin typeface="Cambria Math"/>
                                    <a:ea typeface="Cambria Math"/>
                                  </a:rPr>
                                </m:ctrlPr>
                              </m:sSupPr>
                              <m:e>
                                <m:r>
                                  <a:rPr lang="nl-NL" sz="1800" b="0" i="1">
                                    <a:latin typeface="Cambria Math"/>
                                    <a:ea typeface="Cambria Math"/>
                                  </a:rPr>
                                  <m:t>𝑠</m:t>
                                </m:r>
                                <m:r>
                                  <a:rPr lang="nl-NL" sz="1800" b="0" i="1">
                                    <a:latin typeface="Cambria Math"/>
                                    <a:ea typeface="Cambria Math"/>
                                  </a:rPr>
                                  <m:t>_</m:t>
                                </m:r>
                              </m:e>
                              <m:sup>
                                <m:r>
                                  <a:rPr lang="nl-NL" sz="1800" b="0" i="1">
                                    <a:latin typeface="Cambria Math"/>
                                    <a:ea typeface="Cambria Math"/>
                                  </a:rPr>
                                  <m:t>2</m:t>
                                </m:r>
                              </m:sup>
                            </m:sSup>
                          </m:e>
                        </m:rad>
                      </m:den>
                    </m:f>
                    <m:sSup>
                      <m:sSupPr>
                        <m:ctrlPr>
                          <a:rPr lang="nl-NL" sz="1800" i="1">
                            <a:latin typeface="Cambria Math"/>
                          </a:rPr>
                        </m:ctrlPr>
                      </m:sSupPr>
                      <m:e>
                        <m:r>
                          <a:rPr lang="nl-NL" sz="1800" i="1">
                            <a:latin typeface="Cambria Math"/>
                          </a:rPr>
                          <m:t>𝑒</m:t>
                        </m:r>
                      </m:e>
                      <m:sup>
                        <m:r>
                          <a:rPr lang="nl-NL" sz="1800" i="1">
                            <a:latin typeface="Cambria Math"/>
                          </a:rPr>
                          <m:t>−</m:t>
                        </m:r>
                        <m:r>
                          <a:rPr lang="nl-NL" sz="1800" b="0" i="1">
                            <a:latin typeface="Cambria Math"/>
                          </a:rPr>
                          <m:t> </m:t>
                        </m:r>
                        <m:f>
                          <m:fPr>
                            <m:ctrlPr>
                              <a:rPr lang="nl-NL" sz="1800" i="1">
                                <a:latin typeface="Cambria Math"/>
                              </a:rPr>
                            </m:ctrlPr>
                          </m:fPr>
                          <m:num>
                            <m:sSup>
                              <m:sSupPr>
                                <m:ctrlPr>
                                  <a:rPr lang="nl-NL" sz="1800" i="1">
                                    <a:latin typeface="Cambria Math"/>
                                  </a:rPr>
                                </m:ctrlPr>
                              </m:sSupPr>
                              <m:e>
                                <m:d>
                                  <m:dPr>
                                    <m:ctrlPr>
                                      <a:rPr lang="nl-NL" sz="1800" i="1">
                                        <a:latin typeface="Cambria Math"/>
                                      </a:rPr>
                                    </m:ctrlPr>
                                  </m:dPr>
                                  <m:e>
                                    <m:r>
                                      <a:rPr lang="nl-NL" sz="1800" b="0" i="1">
                                        <a:latin typeface="Cambria Math"/>
                                      </a:rPr>
                                      <m:t>𝑥</m:t>
                                    </m:r>
                                    <m:r>
                                      <a:rPr lang="nl-NL" sz="1800" b="0" i="1">
                                        <a:latin typeface="Cambria Math"/>
                                      </a:rPr>
                                      <m:t>−</m:t>
                                    </m:r>
                                    <m:r>
                                      <a:rPr lang="nl-NL" sz="1800" b="0" i="1">
                                        <a:latin typeface="Cambria Math"/>
                                      </a:rPr>
                                      <m:t>𝑐</m:t>
                                    </m:r>
                                    <m:r>
                                      <a:rPr lang="nl-NL" sz="1800" b="0" i="1">
                                        <a:latin typeface="Cambria Math"/>
                                      </a:rPr>
                                      <m:t>_</m:t>
                                    </m:r>
                                  </m:e>
                                </m:d>
                              </m:e>
                              <m:sup>
                                <m:r>
                                  <a:rPr lang="nl-NL" sz="1800" i="1">
                                    <a:latin typeface="Cambria Math"/>
                                  </a:rPr>
                                  <m:t>2</m:t>
                                </m:r>
                              </m:sup>
                            </m:sSup>
                          </m:num>
                          <m:den>
                            <m:r>
                              <a:rPr lang="nl-NL" sz="1800" b="0" i="1">
                                <a:latin typeface="Cambria Math"/>
                              </a:rPr>
                              <m:t>2 </m:t>
                            </m:r>
                            <m:sSup>
                              <m:sSupPr>
                                <m:ctrlPr>
                                  <a:rPr lang="nl-NL" sz="1800" b="0" i="1">
                                    <a:latin typeface="Cambria Math"/>
                                  </a:rPr>
                                </m:ctrlPr>
                              </m:sSupPr>
                              <m:e>
                                <m:r>
                                  <a:rPr lang="nl-NL" sz="1800" b="0" i="1">
                                    <a:latin typeface="Cambria Math"/>
                                  </a:rPr>
                                  <m:t>𝑠</m:t>
                                </m:r>
                                <m:r>
                                  <a:rPr lang="nl-NL" sz="1800" b="0" i="1">
                                    <a:latin typeface="Cambria Math"/>
                                  </a:rPr>
                                  <m:t>_</m:t>
                                </m:r>
                              </m:e>
                              <m:sup>
                                <m:r>
                                  <a:rPr lang="nl-NL" sz="1800" b="0" i="1">
                                    <a:latin typeface="Cambria Math"/>
                                  </a:rPr>
                                  <m:t>2</m:t>
                                </m:r>
                              </m:sup>
                            </m:sSup>
                          </m:den>
                        </m:f>
                      </m:sup>
                    </m:sSup>
                  </m:oMath>
                </m:oMathPara>
              </a14:m>
              <a:endParaRPr lang="nl-NL" sz="1800"/>
            </a:p>
          </xdr:txBody>
        </xdr:sp>
      </mc:Choice>
      <mc:Fallback xmlns="">
        <xdr:sp macro="" textlink="">
          <xdr:nvSpPr>
            <xdr:cNvPr id="9" name="TextBox 8"/>
            <xdr:cNvSpPr txBox="1"/>
          </xdr:nvSpPr>
          <xdr:spPr>
            <a:xfrm>
              <a:off x="9534524" y="18221325"/>
              <a:ext cx="2238375" cy="791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nl-NL" sz="1800" b="0" i="0">
                  <a:latin typeface="Cambria Math"/>
                </a:rPr>
                <a:t>1/√(2 </a:t>
              </a:r>
              <a:r>
                <a:rPr lang="nl-NL" sz="1800" b="0" i="0">
                  <a:latin typeface="Cambria Math"/>
                  <a:ea typeface="Cambria Math"/>
                </a:rPr>
                <a:t>𝜋 〖𝑠_〗^2 ) </a:t>
              </a:r>
              <a:r>
                <a:rPr lang="nl-NL" sz="1800" i="0">
                  <a:latin typeface="Cambria Math"/>
                </a:rPr>
                <a:t>𝑒^(−</a:t>
              </a:r>
              <a:r>
                <a:rPr lang="nl-NL" sz="1800" b="0" i="0">
                  <a:latin typeface="Cambria Math"/>
                </a:rPr>
                <a:t> (𝑥−𝑐_)^</a:t>
              </a:r>
              <a:r>
                <a:rPr lang="nl-NL" sz="1800" i="0">
                  <a:latin typeface="Cambria Math"/>
                </a:rPr>
                <a:t>2/(</a:t>
              </a:r>
              <a:r>
                <a:rPr lang="nl-NL" sz="1800" b="0" i="0">
                  <a:latin typeface="Cambria Math"/>
                </a:rPr>
                <a:t>2 〖𝑠_〗^2 ))</a:t>
              </a:r>
              <a:endParaRPr lang="nl-NL" sz="18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5</xdr:col>
      <xdr:colOff>22411</xdr:colOff>
      <xdr:row>188</xdr:row>
      <xdr:rowOff>23531</xdr:rowOff>
    </xdr:from>
    <xdr:to>
      <xdr:col>15</xdr:col>
      <xdr:colOff>694764</xdr:colOff>
      <xdr:row>209</xdr:row>
      <xdr:rowOff>22410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xdr:colOff>
      <xdr:row>11</xdr:row>
      <xdr:rowOff>171450</xdr:rowOff>
    </xdr:from>
    <xdr:to>
      <xdr:col>14</xdr:col>
      <xdr:colOff>57150</xdr:colOff>
      <xdr:row>25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31</xdr:row>
      <xdr:rowOff>9525</xdr:rowOff>
    </xdr:from>
    <xdr:to>
      <xdr:col>8</xdr:col>
      <xdr:colOff>342900</xdr:colOff>
      <xdr:row>31</xdr:row>
      <xdr:rowOff>11113</xdr:rowOff>
    </xdr:to>
    <xdr:cxnSp macro="">
      <xdr:nvCxnSpPr>
        <xdr:cNvPr id="3" name="Straight Arrow Connector 2"/>
        <xdr:cNvCxnSpPr/>
      </xdr:nvCxnSpPr>
      <xdr:spPr>
        <a:xfrm>
          <a:off x="1533525" y="4410075"/>
          <a:ext cx="4905375" cy="158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419099</xdr:colOff>
      <xdr:row>31</xdr:row>
      <xdr:rowOff>19050</xdr:rowOff>
    </xdr:from>
    <xdr:to>
      <xdr:col>6</xdr:col>
      <xdr:colOff>38100</xdr:colOff>
      <xdr:row>34</xdr:row>
      <xdr:rowOff>76201</xdr:rowOff>
    </xdr:to>
    <xdr:sp macro="" textlink="">
      <xdr:nvSpPr>
        <xdr:cNvPr id="4" name="Isosceles Triangle 3"/>
        <xdr:cNvSpPr/>
      </xdr:nvSpPr>
      <xdr:spPr>
        <a:xfrm>
          <a:off x="4229099" y="4419600"/>
          <a:ext cx="381001" cy="657226"/>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nl-NL" sz="1100"/>
        </a:p>
      </xdr:txBody>
    </xdr:sp>
    <xdr:clientData/>
  </xdr:twoCellAnchor>
  <xdr:twoCellAnchor>
    <xdr:from>
      <xdr:col>8</xdr:col>
      <xdr:colOff>19050</xdr:colOff>
      <xdr:row>31</xdr:row>
      <xdr:rowOff>28575</xdr:rowOff>
    </xdr:from>
    <xdr:to>
      <xdr:col>8</xdr:col>
      <xdr:colOff>209550</xdr:colOff>
      <xdr:row>32</xdr:row>
      <xdr:rowOff>171450</xdr:rowOff>
    </xdr:to>
    <xdr:sp macro="" textlink="">
      <xdr:nvSpPr>
        <xdr:cNvPr id="5" name="Isosceles Triangle 4"/>
        <xdr:cNvSpPr/>
      </xdr:nvSpPr>
      <xdr:spPr>
        <a:xfrm>
          <a:off x="6115050" y="4429125"/>
          <a:ext cx="190500" cy="342900"/>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nl-NL" sz="1100"/>
        </a:p>
      </xdr:txBody>
    </xdr:sp>
    <xdr:clientData/>
  </xdr:twoCellAnchor>
  <xdr:twoCellAnchor>
    <xdr:from>
      <xdr:col>1</xdr:col>
      <xdr:colOff>28575</xdr:colOff>
      <xdr:row>29</xdr:row>
      <xdr:rowOff>190500</xdr:rowOff>
    </xdr:from>
    <xdr:to>
      <xdr:col>1</xdr:col>
      <xdr:colOff>495300</xdr:colOff>
      <xdr:row>32</xdr:row>
      <xdr:rowOff>28575</xdr:rowOff>
    </xdr:to>
    <xdr:sp macro="" textlink="">
      <xdr:nvSpPr>
        <xdr:cNvPr id="8" name="Freeform 7"/>
        <xdr:cNvSpPr/>
      </xdr:nvSpPr>
      <xdr:spPr>
        <a:xfrm>
          <a:off x="790575" y="4191000"/>
          <a:ext cx="466725" cy="438150"/>
        </a:xfrm>
        <a:custGeom>
          <a:avLst/>
          <a:gdLst>
            <a:gd name="connsiteX0" fmla="*/ 466725 w 466725"/>
            <a:gd name="connsiteY0" fmla="*/ 0 h 438150"/>
            <a:gd name="connsiteX1" fmla="*/ 0 w 466725"/>
            <a:gd name="connsiteY1" fmla="*/ 219075 h 438150"/>
            <a:gd name="connsiteX2" fmla="*/ 447675 w 466725"/>
            <a:gd name="connsiteY2" fmla="*/ 438150 h 438150"/>
          </a:gdLst>
          <a:ahLst/>
          <a:cxnLst>
            <a:cxn ang="0">
              <a:pos x="connsiteX0" y="connsiteY0"/>
            </a:cxn>
            <a:cxn ang="0">
              <a:pos x="connsiteX1" y="connsiteY1"/>
            </a:cxn>
            <a:cxn ang="0">
              <a:pos x="connsiteX2" y="connsiteY2"/>
            </a:cxn>
          </a:cxnLst>
          <a:rect l="l" t="t" r="r" b="b"/>
          <a:pathLst>
            <a:path w="466725" h="438150">
              <a:moveTo>
                <a:pt x="466725" y="0"/>
              </a:moveTo>
              <a:lnTo>
                <a:pt x="0" y="219075"/>
              </a:lnTo>
              <a:lnTo>
                <a:pt x="447675" y="438150"/>
              </a:lnTo>
            </a:path>
          </a:pathLst>
        </a:custGeom>
      </xdr:spPr>
      <xdr:style>
        <a:lnRef idx="3">
          <a:schemeClr val="dk1"/>
        </a:lnRef>
        <a:fillRef idx="0">
          <a:schemeClr val="dk1"/>
        </a:fillRef>
        <a:effectRef idx="2">
          <a:schemeClr val="dk1"/>
        </a:effectRef>
        <a:fontRef idx="minor">
          <a:schemeClr val="tx1"/>
        </a:fontRef>
      </xdr:style>
      <xdr:txBody>
        <a:bodyPr vertOverflow="clip" rtlCol="0" anchor="ctr"/>
        <a:lstStyle/>
        <a:p>
          <a:pPr algn="ctr"/>
          <a:endParaRPr lang="nl-NL" sz="1100"/>
        </a:p>
      </xdr:txBody>
    </xdr:sp>
    <xdr:clientData/>
  </xdr:twoCellAnchor>
  <xdr:twoCellAnchor>
    <xdr:from>
      <xdr:col>1</xdr:col>
      <xdr:colOff>476250</xdr:colOff>
      <xdr:row>30</xdr:row>
      <xdr:rowOff>114300</xdr:rowOff>
    </xdr:from>
    <xdr:to>
      <xdr:col>1</xdr:col>
      <xdr:colOff>521969</xdr:colOff>
      <xdr:row>31</xdr:row>
      <xdr:rowOff>85725</xdr:rowOff>
    </xdr:to>
    <xdr:sp macro="" textlink="">
      <xdr:nvSpPr>
        <xdr:cNvPr id="10" name="Oval 9"/>
        <xdr:cNvSpPr/>
      </xdr:nvSpPr>
      <xdr:spPr>
        <a:xfrm>
          <a:off x="1238250" y="4314825"/>
          <a:ext cx="45719" cy="17145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clientData/>
  </xdr:twoCellAnchor>
  <xdr:twoCellAnchor>
    <xdr:from>
      <xdr:col>1</xdr:col>
      <xdr:colOff>504825</xdr:colOff>
      <xdr:row>29</xdr:row>
      <xdr:rowOff>190500</xdr:rowOff>
    </xdr:from>
    <xdr:to>
      <xdr:col>1</xdr:col>
      <xdr:colOff>508635</xdr:colOff>
      <xdr:row>30</xdr:row>
      <xdr:rowOff>114300</xdr:rowOff>
    </xdr:to>
    <xdr:cxnSp macro="">
      <xdr:nvCxnSpPr>
        <xdr:cNvPr id="12" name="Straight Connector 11"/>
        <xdr:cNvCxnSpPr/>
      </xdr:nvCxnSpPr>
      <xdr:spPr>
        <a:xfrm>
          <a:off x="1266825" y="5191125"/>
          <a:ext cx="3810" cy="1238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476251</xdr:colOff>
      <xdr:row>31</xdr:row>
      <xdr:rowOff>85724</xdr:rowOff>
    </xdr:from>
    <xdr:to>
      <xdr:col>1</xdr:col>
      <xdr:colOff>499111</xdr:colOff>
      <xdr:row>32</xdr:row>
      <xdr:rowOff>28574</xdr:rowOff>
    </xdr:to>
    <xdr:cxnSp macro="">
      <xdr:nvCxnSpPr>
        <xdr:cNvPr id="14" name="Straight Connector 13"/>
        <xdr:cNvCxnSpPr>
          <a:stCxn id="10" idx="4"/>
          <a:endCxn id="8" idx="2"/>
        </xdr:cNvCxnSpPr>
      </xdr:nvCxnSpPr>
      <xdr:spPr>
        <a:xfrm rot="5400000">
          <a:off x="1178243" y="4546282"/>
          <a:ext cx="142875" cy="228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66675</xdr:colOff>
      <xdr:row>29</xdr:row>
      <xdr:rowOff>133350</xdr:rowOff>
    </xdr:from>
    <xdr:to>
      <xdr:col>17</xdr:col>
      <xdr:colOff>112394</xdr:colOff>
      <xdr:row>31</xdr:row>
      <xdr:rowOff>171450</xdr:rowOff>
    </xdr:to>
    <xdr:sp macro="" textlink="">
      <xdr:nvSpPr>
        <xdr:cNvPr id="15" name="Oval 14"/>
        <xdr:cNvSpPr/>
      </xdr:nvSpPr>
      <xdr:spPr>
        <a:xfrm>
          <a:off x="13020675" y="4133850"/>
          <a:ext cx="45719" cy="4381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nl-NL" sz="1100"/>
        </a:p>
      </xdr:txBody>
    </xdr:sp>
    <xdr:clientData/>
  </xdr:twoCellAnchor>
  <xdr:twoCellAnchor>
    <xdr:from>
      <xdr:col>6</xdr:col>
      <xdr:colOff>428625</xdr:colOff>
      <xdr:row>31</xdr:row>
      <xdr:rowOff>9527</xdr:rowOff>
    </xdr:from>
    <xdr:to>
      <xdr:col>17</xdr:col>
      <xdr:colOff>66675</xdr:colOff>
      <xdr:row>34</xdr:row>
      <xdr:rowOff>114302</xdr:rowOff>
    </xdr:to>
    <xdr:sp macro="" textlink="">
      <xdr:nvSpPr>
        <xdr:cNvPr id="16" name="Arc 15"/>
        <xdr:cNvSpPr/>
      </xdr:nvSpPr>
      <xdr:spPr>
        <a:xfrm rot="21253679">
          <a:off x="5000625" y="4410077"/>
          <a:ext cx="8020050" cy="704850"/>
        </a:xfrm>
        <a:prstGeom prst="arc">
          <a:avLst>
            <a:gd name="adj1" fmla="val 11165830"/>
            <a:gd name="adj2" fmla="val 0"/>
          </a:avLst>
        </a:prstGeom>
      </xdr:spPr>
      <xdr:style>
        <a:lnRef idx="3">
          <a:schemeClr val="accent6"/>
        </a:lnRef>
        <a:fillRef idx="0">
          <a:schemeClr val="accent6"/>
        </a:fillRef>
        <a:effectRef idx="2">
          <a:schemeClr val="accent6"/>
        </a:effectRef>
        <a:fontRef idx="minor">
          <a:schemeClr val="tx1"/>
        </a:fontRef>
      </xdr:style>
      <xdr:txBody>
        <a:bodyPr vertOverflow="clip" rtlCol="0" anchor="ctr"/>
        <a:lstStyle/>
        <a:p>
          <a:pPr algn="ctr"/>
          <a:endParaRPr lang="nl-NL" sz="1100"/>
        </a:p>
      </xdr:txBody>
    </xdr:sp>
    <xdr:clientData/>
  </xdr:twoCellAnchor>
  <xdr:twoCellAnchor>
    <xdr:from>
      <xdr:col>8</xdr:col>
      <xdr:colOff>333375</xdr:colOff>
      <xdr:row>31</xdr:row>
      <xdr:rowOff>0</xdr:rowOff>
    </xdr:from>
    <xdr:to>
      <xdr:col>17</xdr:col>
      <xdr:colOff>428625</xdr:colOff>
      <xdr:row>31</xdr:row>
      <xdr:rowOff>1</xdr:rowOff>
    </xdr:to>
    <xdr:cxnSp macro="">
      <xdr:nvCxnSpPr>
        <xdr:cNvPr id="18" name="Straight Connector 17"/>
        <xdr:cNvCxnSpPr/>
      </xdr:nvCxnSpPr>
      <xdr:spPr>
        <a:xfrm flipV="1">
          <a:off x="6429375" y="4400550"/>
          <a:ext cx="6953250" cy="1"/>
        </a:xfrm>
        <a:prstGeom prst="line">
          <a:avLst/>
        </a:prstGeom>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474545</xdr:colOff>
      <xdr:row>33</xdr:row>
      <xdr:rowOff>142808</xdr:rowOff>
    </xdr:from>
    <xdr:to>
      <xdr:col>8</xdr:col>
      <xdr:colOff>328484</xdr:colOff>
      <xdr:row>34</xdr:row>
      <xdr:rowOff>73837</xdr:rowOff>
    </xdr:to>
    <xdr:sp macro="" textlink="">
      <xdr:nvSpPr>
        <xdr:cNvPr id="6" name="Rectangle 5"/>
        <xdr:cNvSpPr/>
      </xdr:nvSpPr>
      <xdr:spPr>
        <a:xfrm rot="20989759">
          <a:off x="3522545" y="4943408"/>
          <a:ext cx="2901939" cy="1310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endParaRPr lang="nl-NL" sz="1100"/>
        </a:p>
      </xdr:txBody>
    </xdr:sp>
    <xdr:clientData/>
  </xdr:twoCellAnchor>
  <xdr:twoCellAnchor>
    <xdr:from>
      <xdr:col>8</xdr:col>
      <xdr:colOff>305684</xdr:colOff>
      <xdr:row>27</xdr:row>
      <xdr:rowOff>38101</xdr:rowOff>
    </xdr:from>
    <xdr:to>
      <xdr:col>17</xdr:col>
      <xdr:colOff>85725</xdr:colOff>
      <xdr:row>32</xdr:row>
      <xdr:rowOff>152146</xdr:rowOff>
    </xdr:to>
    <xdr:cxnSp macro="">
      <xdr:nvCxnSpPr>
        <xdr:cNvPr id="21" name="Straight Connector 20"/>
        <xdr:cNvCxnSpPr>
          <a:stCxn id="6" idx="3"/>
        </xdr:cNvCxnSpPr>
      </xdr:nvCxnSpPr>
      <xdr:spPr>
        <a:xfrm flipV="1">
          <a:off x="6401684" y="3638551"/>
          <a:ext cx="6638041" cy="11141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590551</xdr:colOff>
      <xdr:row>27</xdr:row>
      <xdr:rowOff>19049</xdr:rowOff>
    </xdr:from>
    <xdr:to>
      <xdr:col>19</xdr:col>
      <xdr:colOff>152401</xdr:colOff>
      <xdr:row>32</xdr:row>
      <xdr:rowOff>171449</xdr:rowOff>
    </xdr:to>
    <xdr:sp macro="" textlink="">
      <xdr:nvSpPr>
        <xdr:cNvPr id="22" name="Right Brace 21"/>
        <xdr:cNvSpPr/>
      </xdr:nvSpPr>
      <xdr:spPr>
        <a:xfrm>
          <a:off x="14306551" y="4619624"/>
          <a:ext cx="323850" cy="11525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nl-NL" sz="1100"/>
        </a:p>
      </xdr:txBody>
    </xdr:sp>
    <xdr:clientData/>
  </xdr:twoCellAnchor>
  <xdr:twoCellAnchor>
    <xdr:from>
      <xdr:col>8</xdr:col>
      <xdr:colOff>352415</xdr:colOff>
      <xdr:row>32</xdr:row>
      <xdr:rowOff>142875</xdr:rowOff>
    </xdr:from>
    <xdr:to>
      <xdr:col>17</xdr:col>
      <xdr:colOff>104774</xdr:colOff>
      <xdr:row>32</xdr:row>
      <xdr:rowOff>147388</xdr:rowOff>
    </xdr:to>
    <xdr:cxnSp macro="">
      <xdr:nvCxnSpPr>
        <xdr:cNvPr id="24" name="Straight Connector 23"/>
        <xdr:cNvCxnSpPr>
          <a:stCxn id="16" idx="0"/>
        </xdr:cNvCxnSpPr>
      </xdr:nvCxnSpPr>
      <xdr:spPr>
        <a:xfrm rot="5400000" flipH="1" flipV="1">
          <a:off x="9751338" y="1440527"/>
          <a:ext cx="4513" cy="66103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695325</xdr:colOff>
      <xdr:row>33</xdr:row>
      <xdr:rowOff>9525</xdr:rowOff>
    </xdr:from>
    <xdr:ext cx="317844" cy="252249"/>
    <xdr:sp macro="" textlink="">
      <xdr:nvSpPr>
        <xdr:cNvPr id="17" name="TextBox 16"/>
        <xdr:cNvSpPr txBox="1"/>
      </xdr:nvSpPr>
      <xdr:spPr>
        <a:xfrm>
          <a:off x="12887325" y="4810125"/>
          <a:ext cx="317844"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nl-NL" sz="1100"/>
            <a:t>Zx</a:t>
          </a:r>
        </a:p>
      </xdr:txBody>
    </xdr:sp>
    <xdr:clientData/>
  </xdr:oneCellAnchor>
  <xdr:oneCellAnchor>
    <xdr:from>
      <xdr:col>8</xdr:col>
      <xdr:colOff>95250</xdr:colOff>
      <xdr:row>29</xdr:row>
      <xdr:rowOff>19050</xdr:rowOff>
    </xdr:from>
    <xdr:ext cx="409856" cy="252249"/>
    <xdr:sp macro="" textlink="">
      <xdr:nvSpPr>
        <xdr:cNvPr id="19" name="TextBox 18"/>
        <xdr:cNvSpPr txBox="1"/>
      </xdr:nvSpPr>
      <xdr:spPr>
        <a:xfrm>
          <a:off x="6191250" y="5019675"/>
          <a:ext cx="409856" cy="25224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wrap="none" rtlCol="0" anchor="t">
          <a:spAutoFit/>
        </a:bodyPr>
        <a:lstStyle/>
        <a:p>
          <a:r>
            <a:rPr lang="nl-NL" sz="1100"/>
            <a:t>x=0</a:t>
          </a:r>
        </a:p>
      </xdr:txBody>
    </xdr:sp>
    <xdr:clientData/>
  </xdr:oneCellAnchor>
  <xdr:twoCellAnchor>
    <xdr:from>
      <xdr:col>17</xdr:col>
      <xdr:colOff>619125</xdr:colOff>
      <xdr:row>30</xdr:row>
      <xdr:rowOff>190500</xdr:rowOff>
    </xdr:from>
    <xdr:to>
      <xdr:col>18</xdr:col>
      <xdr:colOff>38100</xdr:colOff>
      <xdr:row>32</xdr:row>
      <xdr:rowOff>190500</xdr:rowOff>
    </xdr:to>
    <xdr:sp macro="" textlink="">
      <xdr:nvSpPr>
        <xdr:cNvPr id="20" name="Right Brace 19"/>
        <xdr:cNvSpPr/>
      </xdr:nvSpPr>
      <xdr:spPr>
        <a:xfrm>
          <a:off x="13573125" y="5391150"/>
          <a:ext cx="180975" cy="4000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nl-NL" sz="1100"/>
        </a:p>
      </xdr:txBody>
    </xdr:sp>
    <xdr:clientData/>
  </xdr:twoCellAnchor>
  <xdr:oneCellAnchor>
    <xdr:from>
      <xdr:col>18</xdr:col>
      <xdr:colOff>133350</xdr:colOff>
      <xdr:row>31</xdr:row>
      <xdr:rowOff>57150</xdr:rowOff>
    </xdr:from>
    <xdr:ext cx="265009" cy="252249"/>
    <xdr:sp macro="" textlink="">
      <xdr:nvSpPr>
        <xdr:cNvPr id="23" name="TextBox 22"/>
        <xdr:cNvSpPr txBox="1"/>
      </xdr:nvSpPr>
      <xdr:spPr>
        <a:xfrm>
          <a:off x="13849350" y="5457825"/>
          <a:ext cx="265009"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nl-NL" sz="1100"/>
            <a:t>S</a:t>
          </a:r>
        </a:p>
      </xdr:txBody>
    </xdr:sp>
    <xdr:clientData/>
  </xdr:oneCellAnchor>
  <xdr:oneCellAnchor>
    <xdr:from>
      <xdr:col>19</xdr:col>
      <xdr:colOff>200025</xdr:colOff>
      <xdr:row>29</xdr:row>
      <xdr:rowOff>104775</xdr:rowOff>
    </xdr:from>
    <xdr:ext cx="408830" cy="252249"/>
    <xdr:sp macro="" textlink="">
      <xdr:nvSpPr>
        <xdr:cNvPr id="25" name="TextBox 24"/>
        <xdr:cNvSpPr txBox="1"/>
      </xdr:nvSpPr>
      <xdr:spPr>
        <a:xfrm>
          <a:off x="14678025" y="5105400"/>
          <a:ext cx="408830"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nl-NL" sz="1100"/>
            <a:t>d+s</a:t>
          </a:r>
        </a:p>
      </xdr:txBody>
    </xdr:sp>
    <xdr:clientData/>
  </xdr:oneCellAnchor>
  <xdr:twoCellAnchor>
    <xdr:from>
      <xdr:col>17</xdr:col>
      <xdr:colOff>609600</xdr:colOff>
      <xdr:row>26</xdr:row>
      <xdr:rowOff>200024</xdr:rowOff>
    </xdr:from>
    <xdr:to>
      <xdr:col>18</xdr:col>
      <xdr:colOff>57150</xdr:colOff>
      <xdr:row>30</xdr:row>
      <xdr:rowOff>190499</xdr:rowOff>
    </xdr:to>
    <xdr:sp macro="" textlink="">
      <xdr:nvSpPr>
        <xdr:cNvPr id="26" name="Right Brace 25"/>
        <xdr:cNvSpPr/>
      </xdr:nvSpPr>
      <xdr:spPr>
        <a:xfrm>
          <a:off x="13563600" y="4600574"/>
          <a:ext cx="209550" cy="7905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nl-NL" sz="1100"/>
        </a:p>
      </xdr:txBody>
    </xdr:sp>
    <xdr:clientData/>
  </xdr:twoCellAnchor>
  <xdr:oneCellAnchor>
    <xdr:from>
      <xdr:col>18</xdr:col>
      <xdr:colOff>142875</xdr:colOff>
      <xdr:row>28</xdr:row>
      <xdr:rowOff>38100</xdr:rowOff>
    </xdr:from>
    <xdr:ext cx="260649" cy="252249"/>
    <xdr:sp macro="" textlink="">
      <xdr:nvSpPr>
        <xdr:cNvPr id="27" name="TextBox 26"/>
        <xdr:cNvSpPr txBox="1"/>
      </xdr:nvSpPr>
      <xdr:spPr>
        <a:xfrm>
          <a:off x="13858875" y="4838700"/>
          <a:ext cx="260649"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nl-NL" sz="1100"/>
            <a:t>d</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238124</xdr:colOff>
      <xdr:row>17</xdr:row>
      <xdr:rowOff>28575</xdr:rowOff>
    </xdr:from>
    <xdr:to>
      <xdr:col>14</xdr:col>
      <xdr:colOff>66675</xdr:colOff>
      <xdr:row>39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438149</xdr:colOff>
      <xdr:row>73</xdr:row>
      <xdr:rowOff>95250</xdr:rowOff>
    </xdr:from>
    <xdr:to>
      <xdr:col>13</xdr:col>
      <xdr:colOff>485774</xdr:colOff>
      <xdr:row>98</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74</xdr:row>
      <xdr:rowOff>19050</xdr:rowOff>
    </xdr:from>
    <xdr:to>
      <xdr:col>14</xdr:col>
      <xdr:colOff>23889</xdr:colOff>
      <xdr:row>99</xdr:row>
      <xdr:rowOff>180975</xdr:rowOff>
    </xdr:to>
    <xdr:grpSp>
      <xdr:nvGrpSpPr>
        <xdr:cNvPr id="25" name="Group 24"/>
        <xdr:cNvGrpSpPr/>
      </xdr:nvGrpSpPr>
      <xdr:grpSpPr>
        <a:xfrm>
          <a:off x="5962650" y="14820900"/>
          <a:ext cx="5138814" cy="5162550"/>
          <a:chOff x="7858125" y="13696948"/>
          <a:chExt cx="4210050" cy="4191002"/>
        </a:xfrm>
        <a:solidFill>
          <a:schemeClr val="accent1">
            <a:alpha val="24000"/>
          </a:schemeClr>
        </a:solidFill>
      </xdr:grpSpPr>
      <xdr:sp macro="" textlink="">
        <xdr:nvSpPr>
          <xdr:cNvPr id="4" name="Oval 3"/>
          <xdr:cNvSpPr/>
        </xdr:nvSpPr>
        <xdr:spPr>
          <a:xfrm>
            <a:off x="7877174" y="13696949"/>
            <a:ext cx="4191001" cy="4191001"/>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nl-NL" sz="1100"/>
          </a:p>
        </xdr:txBody>
      </xdr:sp>
      <xdr:cxnSp macro="">
        <xdr:nvCxnSpPr>
          <xdr:cNvPr id="8" name="Straight Connector 7"/>
          <xdr:cNvCxnSpPr>
            <a:stCxn id="4" idx="0"/>
            <a:endCxn id="4" idx="4"/>
          </xdr:cNvCxnSpPr>
        </xdr:nvCxnSpPr>
        <xdr:spPr>
          <a:xfrm rot="16200000" flipH="1">
            <a:off x="7877174" y="15792449"/>
            <a:ext cx="4191001" cy="0"/>
          </a:xfrm>
          <a:prstGeom prst="line">
            <a:avLst/>
          </a:prstGeom>
          <a:grpFill/>
        </xdr:spPr>
        <xdr:style>
          <a:lnRef idx="1">
            <a:schemeClr val="dk1"/>
          </a:lnRef>
          <a:fillRef idx="0">
            <a:schemeClr val="dk1"/>
          </a:fillRef>
          <a:effectRef idx="0">
            <a:schemeClr val="dk1"/>
          </a:effectRef>
          <a:fontRef idx="minor">
            <a:schemeClr val="tx1"/>
          </a:fontRef>
        </xdr:style>
      </xdr:cxnSp>
      <xdr:cxnSp macro="">
        <xdr:nvCxnSpPr>
          <xdr:cNvPr id="11" name="Straight Connector 10"/>
          <xdr:cNvCxnSpPr>
            <a:endCxn id="4" idx="6"/>
          </xdr:cNvCxnSpPr>
        </xdr:nvCxnSpPr>
        <xdr:spPr>
          <a:xfrm>
            <a:off x="7858125" y="15792450"/>
            <a:ext cx="4210050" cy="0"/>
          </a:xfrm>
          <a:prstGeom prst="line">
            <a:avLst/>
          </a:prstGeom>
          <a:grpFill/>
        </xdr:spPr>
        <xdr:style>
          <a:lnRef idx="1">
            <a:schemeClr val="dk1"/>
          </a:lnRef>
          <a:fillRef idx="0">
            <a:schemeClr val="dk1"/>
          </a:fillRef>
          <a:effectRef idx="0">
            <a:schemeClr val="dk1"/>
          </a:effectRef>
          <a:fontRef idx="minor">
            <a:schemeClr val="tx1"/>
          </a:fontRef>
        </xdr:style>
      </xdr:cxnSp>
      <xdr:sp macro="" textlink="">
        <xdr:nvSpPr>
          <xdr:cNvPr id="12" name="Oval 11"/>
          <xdr:cNvSpPr/>
        </xdr:nvSpPr>
        <xdr:spPr>
          <a:xfrm>
            <a:off x="9920288" y="15735300"/>
            <a:ext cx="114300" cy="114300"/>
          </a:xfrm>
          <a:prstGeom prst="ellipse">
            <a:avLst/>
          </a:prstGeom>
          <a:grp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3" name="Oval 12"/>
          <xdr:cNvSpPr/>
        </xdr:nvSpPr>
        <xdr:spPr>
          <a:xfrm>
            <a:off x="9920288" y="15440025"/>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4" name="Oval 13"/>
          <xdr:cNvSpPr/>
        </xdr:nvSpPr>
        <xdr:spPr>
          <a:xfrm>
            <a:off x="9920288" y="1514475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5" name="Oval 14"/>
          <xdr:cNvSpPr/>
        </xdr:nvSpPr>
        <xdr:spPr>
          <a:xfrm>
            <a:off x="9920288" y="1483995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6" name="Oval 15"/>
          <xdr:cNvSpPr/>
        </xdr:nvSpPr>
        <xdr:spPr>
          <a:xfrm>
            <a:off x="9920288" y="14544675"/>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7" name="Oval 16"/>
          <xdr:cNvSpPr/>
        </xdr:nvSpPr>
        <xdr:spPr>
          <a:xfrm>
            <a:off x="9920288" y="1424940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19" name="Oval 18"/>
          <xdr:cNvSpPr/>
        </xdr:nvSpPr>
        <xdr:spPr>
          <a:xfrm>
            <a:off x="9920288" y="17212905"/>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20" name="Oval 19"/>
          <xdr:cNvSpPr/>
        </xdr:nvSpPr>
        <xdr:spPr>
          <a:xfrm>
            <a:off x="9920288" y="1691763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21" name="Oval 20"/>
          <xdr:cNvSpPr/>
        </xdr:nvSpPr>
        <xdr:spPr>
          <a:xfrm>
            <a:off x="9920288" y="1661283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22" name="Oval 21"/>
          <xdr:cNvSpPr/>
        </xdr:nvSpPr>
        <xdr:spPr>
          <a:xfrm>
            <a:off x="9920288" y="16317555"/>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sp macro="" textlink="">
        <xdr:nvSpPr>
          <xdr:cNvPr id="23" name="Oval 22"/>
          <xdr:cNvSpPr/>
        </xdr:nvSpPr>
        <xdr:spPr>
          <a:xfrm>
            <a:off x="9920288" y="16022280"/>
            <a:ext cx="114300" cy="114300"/>
          </a:xfrm>
          <a:prstGeom prst="ellipse">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nl-NL"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285750</xdr:colOff>
      <xdr:row>20</xdr:row>
      <xdr:rowOff>152400</xdr:rowOff>
    </xdr:from>
    <xdr:to>
      <xdr:col>15</xdr:col>
      <xdr:colOff>676275</xdr:colOff>
      <xdr:row>32</xdr:row>
      <xdr:rowOff>0</xdr:rowOff>
    </xdr:to>
    <xdr:grpSp>
      <xdr:nvGrpSpPr>
        <xdr:cNvPr id="10" name="Group 9"/>
        <xdr:cNvGrpSpPr/>
      </xdr:nvGrpSpPr>
      <xdr:grpSpPr>
        <a:xfrm>
          <a:off x="7029450" y="4152900"/>
          <a:ext cx="5724525" cy="2247900"/>
          <a:chOff x="6257925" y="4124325"/>
          <a:chExt cx="5724525" cy="2047875"/>
        </a:xfrm>
      </xdr:grpSpPr>
      <xdr:grpSp>
        <xdr:nvGrpSpPr>
          <xdr:cNvPr id="8" name="Group 7"/>
          <xdr:cNvGrpSpPr/>
        </xdr:nvGrpSpPr>
        <xdr:grpSpPr>
          <a:xfrm>
            <a:off x="9229725" y="4124325"/>
            <a:ext cx="2752725" cy="2047875"/>
            <a:chOff x="9229725" y="4124325"/>
            <a:chExt cx="2752725" cy="2047875"/>
          </a:xfrm>
        </xdr:grpSpPr>
        <xdr:pic>
          <xdr:nvPicPr>
            <xdr:cNvPr id="2" name="Picture 1" descr="Capture.PNG"/>
            <xdr:cNvPicPr>
              <a:picLocks noChangeAspect="1"/>
            </xdr:cNvPicPr>
          </xdr:nvPicPr>
          <xdr:blipFill>
            <a:blip xmlns:r="http://schemas.openxmlformats.org/officeDocument/2006/relationships" r:embed="rId1" cstate="print"/>
            <a:stretch>
              <a:fillRect/>
            </a:stretch>
          </xdr:blipFill>
          <xdr:spPr>
            <a:xfrm>
              <a:off x="9839325" y="4124325"/>
              <a:ext cx="2143125" cy="2047875"/>
            </a:xfrm>
            <a:prstGeom prst="rect">
              <a:avLst/>
            </a:prstGeom>
          </xdr:spPr>
        </xdr:pic>
        <xdr:cxnSp macro="">
          <xdr:nvCxnSpPr>
            <xdr:cNvPr id="4" name="Straight Arrow Connector 3"/>
            <xdr:cNvCxnSpPr/>
          </xdr:nvCxnSpPr>
          <xdr:spPr>
            <a:xfrm>
              <a:off x="9229725" y="5581650"/>
              <a:ext cx="1047750" cy="1588"/>
            </a:xfrm>
            <a:prstGeom prst="straightConnector1">
              <a:avLst/>
            </a:prstGeom>
            <a:ln w="47625" cmpd="sng">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 name="TextBox 4"/>
          <xdr:cNvSpPr txBox="1"/>
        </xdr:nvSpPr>
        <xdr:spPr>
          <a:xfrm>
            <a:off x="6257925" y="5476875"/>
            <a:ext cx="301762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nl-NL" sz="1100"/>
              <a:t>Put</a:t>
            </a:r>
            <a:r>
              <a:rPr lang="nl-NL" sz="1100" baseline="0"/>
              <a:t> the name of the range here and press enter</a:t>
            </a:r>
          </a:p>
        </xdr:txBody>
      </xdr:sp>
    </xdr:grpSp>
    <xdr:clientData/>
  </xdr:twoCellAnchor>
  <xdr:twoCellAnchor>
    <xdr:from>
      <xdr:col>1</xdr:col>
      <xdr:colOff>9525</xdr:colOff>
      <xdr:row>35</xdr:row>
      <xdr:rowOff>0</xdr:rowOff>
    </xdr:from>
    <xdr:to>
      <xdr:col>7</xdr:col>
      <xdr:colOff>9525</xdr:colOff>
      <xdr:row>48</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87</xdr:row>
      <xdr:rowOff>76200</xdr:rowOff>
    </xdr:from>
    <xdr:to>
      <xdr:col>6</xdr:col>
      <xdr:colOff>695325</xdr:colOff>
      <xdr:row>101</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61</xdr:row>
      <xdr:rowOff>114300</xdr:rowOff>
    </xdr:from>
    <xdr:to>
      <xdr:col>6</xdr:col>
      <xdr:colOff>104775</xdr:colOff>
      <xdr:row>75</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3</xdr:row>
      <xdr:rowOff>152400</xdr:rowOff>
    </xdr:from>
    <xdr:ext cx="8772526" cy="731995"/>
    <xdr:sp macro="" textlink="">
      <xdr:nvSpPr>
        <xdr:cNvPr id="2" name="TextBox 1"/>
        <xdr:cNvSpPr txBox="1"/>
      </xdr:nvSpPr>
      <xdr:spPr>
        <a:xfrm>
          <a:off x="762000" y="752475"/>
          <a:ext cx="8772526" cy="73199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nl-NL" sz="1100" b="0" i="0">
              <a:solidFill>
                <a:schemeClr val="tx1"/>
              </a:solidFill>
              <a:effectLst/>
              <a:latin typeface="+mn-lt"/>
              <a:ea typeface="+mn-ea"/>
              <a:cs typeface="+mn-cs"/>
            </a:rPr>
            <a:t>Wikipedia: The </a:t>
          </a:r>
          <a:r>
            <a:rPr lang="nl-NL" sz="1100" b="0" i="0" u="none" strike="noStrike">
              <a:solidFill>
                <a:schemeClr val="tx1"/>
              </a:solidFill>
              <a:effectLst/>
              <a:latin typeface="+mn-lt"/>
              <a:ea typeface="+mn-ea"/>
              <a:cs typeface="+mn-cs"/>
              <a:hlinkClick xmlns:r="http://schemas.openxmlformats.org/officeDocument/2006/relationships" r:id=""/>
            </a:rPr>
            <a:t>International Civil Aviation Organization</a:t>
          </a:r>
          <a:r>
            <a:rPr lang="nl-NL" sz="1100" b="0" i="0">
              <a:solidFill>
                <a:schemeClr val="tx1"/>
              </a:solidFill>
              <a:effectLst/>
              <a:latin typeface="+mn-lt"/>
              <a:ea typeface="+mn-ea"/>
              <a:cs typeface="+mn-cs"/>
            </a:rPr>
            <a:t> (ICAO) published their "ICAO Standard Atmosphere" as Doc 7488-CD in 1993. It has the same model as the ISA (the International Standard Atmosphere), but extends the altitude coverage to 80 kilometres (262,500 feet).</a:t>
          </a:r>
          <a:r>
            <a:rPr lang="nl-NL" sz="1100" b="0" i="0" u="none" strike="noStrike" baseline="30000">
              <a:solidFill>
                <a:schemeClr val="tx1"/>
              </a:solidFill>
              <a:effectLst/>
              <a:latin typeface="+mn-lt"/>
              <a:ea typeface="+mn-ea"/>
              <a:cs typeface="+mn-cs"/>
              <a:hlinkClick xmlns:r="http://schemas.openxmlformats.org/officeDocument/2006/relationships" r:id=""/>
            </a:rPr>
            <a:t>[5]</a:t>
          </a:r>
          <a:endParaRPr lang="nl-NL" sz="1100" b="0" i="0">
            <a:solidFill>
              <a:schemeClr val="tx1"/>
            </a:solidFill>
            <a:effectLst/>
            <a:latin typeface="+mn-lt"/>
            <a:ea typeface="+mn-ea"/>
            <a:cs typeface="+mn-cs"/>
          </a:endParaRPr>
        </a:p>
        <a:p>
          <a:r>
            <a:rPr lang="nl-NL" sz="1100" b="0" i="0">
              <a:solidFill>
                <a:schemeClr val="tx1"/>
              </a:solidFill>
              <a:effectLst/>
              <a:latin typeface="+mn-lt"/>
              <a:ea typeface="+mn-ea"/>
              <a:cs typeface="+mn-cs"/>
            </a:rPr>
            <a:t>The ICAO Standard Atmosphere does not contain water vapour</a:t>
          </a:r>
        </a:p>
        <a:p>
          <a:endParaRPr lang="nl-NL"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80925</xdr:colOff>
      <xdr:row>9</xdr:row>
      <xdr:rowOff>152400</xdr:rowOff>
    </xdr:from>
    <xdr:to>
      <xdr:col>12</xdr:col>
      <xdr:colOff>247650</xdr:colOff>
      <xdr:row>59</xdr:row>
      <xdr:rowOff>33225</xdr:rowOff>
    </xdr:to>
    <xdr:grpSp>
      <xdr:nvGrpSpPr>
        <xdr:cNvPr id="18" name="Group 17"/>
        <xdr:cNvGrpSpPr/>
      </xdr:nvGrpSpPr>
      <xdr:grpSpPr>
        <a:xfrm>
          <a:off x="842925" y="1989364"/>
          <a:ext cx="10998011" cy="10086182"/>
          <a:chOff x="376200" y="1943100"/>
          <a:chExt cx="10737075" cy="9882075"/>
        </a:xfrm>
      </xdr:grpSpPr>
      <xdr:pic>
        <xdr:nvPicPr>
          <xdr:cNvPr id="8" name="Picture 7" descr="g2.gif"/>
          <xdr:cNvPicPr>
            <a:picLocks noChangeAspect="1"/>
          </xdr:cNvPicPr>
        </xdr:nvPicPr>
        <xdr:blipFill>
          <a:blip xmlns:r="http://schemas.openxmlformats.org/officeDocument/2006/relationships" r:embed="rId1" cstate="print"/>
          <a:stretch>
            <a:fillRect/>
          </a:stretch>
        </xdr:blipFill>
        <xdr:spPr>
          <a:xfrm>
            <a:off x="7446150" y="1943100"/>
            <a:ext cx="3667125" cy="1905000"/>
          </a:xfrm>
          <a:prstGeom prst="rect">
            <a:avLst/>
          </a:prstGeom>
        </xdr:spPr>
      </xdr:pic>
      <xdr:pic>
        <xdr:nvPicPr>
          <xdr:cNvPr id="6" name="Picture 5" descr="g1.gif"/>
          <xdr:cNvPicPr>
            <a:picLocks noChangeAspect="1"/>
          </xdr:cNvPicPr>
        </xdr:nvPicPr>
        <xdr:blipFill>
          <a:blip xmlns:r="http://schemas.openxmlformats.org/officeDocument/2006/relationships" r:embed="rId2" cstate="print"/>
          <a:stretch>
            <a:fillRect/>
          </a:stretch>
        </xdr:blipFill>
        <xdr:spPr>
          <a:xfrm>
            <a:off x="4155225" y="1943100"/>
            <a:ext cx="1905000" cy="1905000"/>
          </a:xfrm>
          <a:prstGeom prst="rect">
            <a:avLst/>
          </a:prstGeom>
        </xdr:spPr>
      </xdr:pic>
      <xdr:pic>
        <xdr:nvPicPr>
          <xdr:cNvPr id="9" name="Picture 8" descr="g5.gif"/>
          <xdr:cNvPicPr>
            <a:picLocks noChangeAspect="1"/>
          </xdr:cNvPicPr>
        </xdr:nvPicPr>
        <xdr:blipFill>
          <a:blip xmlns:r="http://schemas.openxmlformats.org/officeDocument/2006/relationships" r:embed="rId3" cstate="print"/>
          <a:stretch>
            <a:fillRect/>
          </a:stretch>
        </xdr:blipFill>
        <xdr:spPr>
          <a:xfrm>
            <a:off x="376200" y="4469550"/>
            <a:ext cx="2695575" cy="1905000"/>
          </a:xfrm>
          <a:prstGeom prst="rect">
            <a:avLst/>
          </a:prstGeom>
        </xdr:spPr>
      </xdr:pic>
      <xdr:pic>
        <xdr:nvPicPr>
          <xdr:cNvPr id="10" name="Picture 9" descr="g6.gif"/>
          <xdr:cNvPicPr>
            <a:picLocks noChangeAspect="1"/>
          </xdr:cNvPicPr>
        </xdr:nvPicPr>
        <xdr:blipFill>
          <a:blip xmlns:r="http://schemas.openxmlformats.org/officeDocument/2006/relationships" r:embed="rId4" cstate="print"/>
          <a:stretch>
            <a:fillRect/>
          </a:stretch>
        </xdr:blipFill>
        <xdr:spPr>
          <a:xfrm>
            <a:off x="4155225" y="4469550"/>
            <a:ext cx="2276475" cy="1905000"/>
          </a:xfrm>
          <a:prstGeom prst="rect">
            <a:avLst/>
          </a:prstGeom>
        </xdr:spPr>
      </xdr:pic>
      <xdr:pic>
        <xdr:nvPicPr>
          <xdr:cNvPr id="11" name="Picture 10" descr="g7.gif"/>
          <xdr:cNvPicPr>
            <a:picLocks noChangeAspect="1"/>
          </xdr:cNvPicPr>
        </xdr:nvPicPr>
        <xdr:blipFill>
          <a:blip xmlns:r="http://schemas.openxmlformats.org/officeDocument/2006/relationships" r:embed="rId5" cstate="print"/>
          <a:stretch>
            <a:fillRect/>
          </a:stretch>
        </xdr:blipFill>
        <xdr:spPr>
          <a:xfrm>
            <a:off x="7446150" y="4469550"/>
            <a:ext cx="2638425" cy="1905000"/>
          </a:xfrm>
          <a:prstGeom prst="rect">
            <a:avLst/>
          </a:prstGeom>
        </xdr:spPr>
      </xdr:pic>
      <xdr:pic>
        <xdr:nvPicPr>
          <xdr:cNvPr id="12" name="Picture 11" descr="g8.gif"/>
          <xdr:cNvPicPr>
            <a:picLocks noChangeAspect="1"/>
          </xdr:cNvPicPr>
        </xdr:nvPicPr>
        <xdr:blipFill>
          <a:blip xmlns:r="http://schemas.openxmlformats.org/officeDocument/2006/relationships" r:embed="rId6" cstate="print"/>
          <a:stretch>
            <a:fillRect/>
          </a:stretch>
        </xdr:blipFill>
        <xdr:spPr>
          <a:xfrm>
            <a:off x="376200" y="7143600"/>
            <a:ext cx="2000250" cy="1905000"/>
          </a:xfrm>
          <a:prstGeom prst="rect">
            <a:avLst/>
          </a:prstGeom>
        </xdr:spPr>
      </xdr:pic>
      <xdr:pic>
        <xdr:nvPicPr>
          <xdr:cNvPr id="13" name="Picture 12" descr="gc.gif"/>
          <xdr:cNvPicPr>
            <a:picLocks noChangeAspect="1"/>
          </xdr:cNvPicPr>
        </xdr:nvPicPr>
        <xdr:blipFill>
          <a:blip xmlns:r="http://schemas.openxmlformats.org/officeDocument/2006/relationships" r:embed="rId7" cstate="print"/>
          <a:stretch>
            <a:fillRect/>
          </a:stretch>
        </xdr:blipFill>
        <xdr:spPr>
          <a:xfrm>
            <a:off x="4155225" y="9920175"/>
            <a:ext cx="1905000" cy="1905000"/>
          </a:xfrm>
          <a:prstGeom prst="rect">
            <a:avLst/>
          </a:prstGeom>
        </xdr:spPr>
      </xdr:pic>
      <xdr:pic>
        <xdr:nvPicPr>
          <xdr:cNvPr id="14" name="Picture 13" descr="gl.gif"/>
          <xdr:cNvPicPr>
            <a:picLocks noChangeAspect="1"/>
          </xdr:cNvPicPr>
        </xdr:nvPicPr>
        <xdr:blipFill>
          <a:blip xmlns:r="http://schemas.openxmlformats.org/officeDocument/2006/relationships" r:embed="rId8" cstate="print"/>
          <a:stretch>
            <a:fillRect/>
          </a:stretch>
        </xdr:blipFill>
        <xdr:spPr>
          <a:xfrm>
            <a:off x="7446150" y="7143600"/>
            <a:ext cx="1876425" cy="1219200"/>
          </a:xfrm>
          <a:prstGeom prst="rect">
            <a:avLst/>
          </a:prstGeom>
        </xdr:spPr>
      </xdr:pic>
      <xdr:pic>
        <xdr:nvPicPr>
          <xdr:cNvPr id="15" name="Picture 14" descr="gs.gif"/>
          <xdr:cNvPicPr>
            <a:picLocks noChangeAspect="1"/>
          </xdr:cNvPicPr>
        </xdr:nvPicPr>
        <xdr:blipFill>
          <a:blip xmlns:r="http://schemas.openxmlformats.org/officeDocument/2006/relationships" r:embed="rId9" cstate="print"/>
          <a:stretch>
            <a:fillRect/>
          </a:stretch>
        </xdr:blipFill>
        <xdr:spPr>
          <a:xfrm>
            <a:off x="4155225" y="7143600"/>
            <a:ext cx="1905000" cy="1905000"/>
          </a:xfrm>
          <a:prstGeom prst="rect">
            <a:avLst/>
          </a:prstGeom>
        </xdr:spPr>
      </xdr:pic>
      <xdr:pic>
        <xdr:nvPicPr>
          <xdr:cNvPr id="16" name="Picture 15" descr="krupp.gif"/>
          <xdr:cNvPicPr>
            <a:picLocks noChangeAspect="1"/>
          </xdr:cNvPicPr>
        </xdr:nvPicPr>
        <xdr:blipFill>
          <a:blip xmlns:r="http://schemas.openxmlformats.org/officeDocument/2006/relationships" r:embed="rId10" cstate="print"/>
          <a:stretch>
            <a:fillRect/>
          </a:stretch>
        </xdr:blipFill>
        <xdr:spPr>
          <a:xfrm>
            <a:off x="376200" y="1943100"/>
            <a:ext cx="2305050" cy="1562100"/>
          </a:xfrm>
          <a:prstGeom prst="rect">
            <a:avLst/>
          </a:prstGeom>
        </xdr:spPr>
      </xdr:pic>
      <xdr:pic>
        <xdr:nvPicPr>
          <xdr:cNvPr id="17" name="Picture 16" descr="ra4a.gif"/>
          <xdr:cNvPicPr>
            <a:picLocks noChangeAspect="1"/>
          </xdr:cNvPicPr>
        </xdr:nvPicPr>
        <xdr:blipFill>
          <a:blip xmlns:r="http://schemas.openxmlformats.org/officeDocument/2006/relationships" r:embed="rId11" cstate="print"/>
          <a:stretch>
            <a:fillRect/>
          </a:stretch>
        </xdr:blipFill>
        <xdr:spPr>
          <a:xfrm>
            <a:off x="376200" y="9920175"/>
            <a:ext cx="2809875" cy="1714500"/>
          </a:xfrm>
          <a:prstGeom prst="rect">
            <a:avLst/>
          </a:prstGeom>
        </xdr:spPr>
      </xdr:pic>
    </xdr:grpSp>
    <xdr:clientData/>
  </xdr:twoCellAnchor>
  <xdr:twoCellAnchor>
    <xdr:from>
      <xdr:col>9</xdr:col>
      <xdr:colOff>38100</xdr:colOff>
      <xdr:row>142</xdr:row>
      <xdr:rowOff>190501</xdr:rowOff>
    </xdr:from>
    <xdr:to>
      <xdr:col>14</xdr:col>
      <xdr:colOff>552450</xdr:colOff>
      <xdr:row>173</xdr:row>
      <xdr:rowOff>142876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275823</xdr:colOff>
      <xdr:row>374</xdr:row>
      <xdr:rowOff>150401</xdr:rowOff>
    </xdr:from>
    <xdr:to>
      <xdr:col>13</xdr:col>
      <xdr:colOff>760238</xdr:colOff>
      <xdr:row>406</xdr:row>
      <xdr:rowOff>195624</xdr:rowOff>
    </xdr:to>
    <xdr:pic>
      <xdr:nvPicPr>
        <xdr:cNvPr id="1025"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2416147" y="73022254"/>
          <a:ext cx="10692973" cy="6499811"/>
        </a:xfrm>
        <a:prstGeom prst="rect">
          <a:avLst/>
        </a:prstGeom>
        <a:noFill/>
      </xdr:spPr>
    </xdr:pic>
    <xdr:clientData/>
  </xdr:twoCellAnchor>
  <xdr:twoCellAnchor>
    <xdr:from>
      <xdr:col>2</xdr:col>
      <xdr:colOff>981076</xdr:colOff>
      <xdr:row>332</xdr:row>
      <xdr:rowOff>76200</xdr:rowOff>
    </xdr:from>
    <xdr:to>
      <xdr:col>13</xdr:col>
      <xdr:colOff>314325</xdr:colOff>
      <xdr:row>372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28575</xdr:colOff>
      <xdr:row>19</xdr:row>
      <xdr:rowOff>180975</xdr:rowOff>
    </xdr:from>
    <xdr:to>
      <xdr:col>15</xdr:col>
      <xdr:colOff>28575</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400049</xdr:colOff>
      <xdr:row>43</xdr:row>
      <xdr:rowOff>152400</xdr:rowOff>
    </xdr:from>
    <xdr:to>
      <xdr:col>14</xdr:col>
      <xdr:colOff>257174</xdr:colOff>
      <xdr:row>53</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66675</xdr:colOff>
      <xdr:row>76</xdr:row>
      <xdr:rowOff>85725</xdr:rowOff>
    </xdr:from>
    <xdr:to>
      <xdr:col>12</xdr:col>
      <xdr:colOff>0</xdr:colOff>
      <xdr:row>90</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581025</xdr:colOff>
      <xdr:row>41</xdr:row>
      <xdr:rowOff>200025</xdr:rowOff>
    </xdr:from>
    <xdr:to>
      <xdr:col>4</xdr:col>
      <xdr:colOff>133350</xdr:colOff>
      <xdr:row>48</xdr:row>
      <xdr:rowOff>200025</xdr:rowOff>
    </xdr:to>
    <xdr:sp macro="" textlink="">
      <xdr:nvSpPr>
        <xdr:cNvPr id="6" name="Right Brace 5"/>
        <xdr:cNvSpPr/>
      </xdr:nvSpPr>
      <xdr:spPr>
        <a:xfrm>
          <a:off x="3524250" y="6800850"/>
          <a:ext cx="400050" cy="14097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r>
            <a:rPr lang="nl-NL" sz="700"/>
            <a:t>height</a:t>
          </a:r>
          <a:r>
            <a:rPr lang="nl-NL" sz="700" baseline="0"/>
            <a:t> small</a:t>
          </a:r>
          <a:endParaRPr lang="nl-NL" sz="700"/>
        </a:p>
      </xdr:txBody>
    </xdr:sp>
    <xdr:clientData/>
  </xdr:twoCellAnchor>
  <xdr:twoCellAnchor>
    <xdr:from>
      <xdr:col>3</xdr:col>
      <xdr:colOff>123825</xdr:colOff>
      <xdr:row>42</xdr:row>
      <xdr:rowOff>9525</xdr:rowOff>
    </xdr:from>
    <xdr:to>
      <xdr:col>3</xdr:col>
      <xdr:colOff>542925</xdr:colOff>
      <xdr:row>58</xdr:row>
      <xdr:rowOff>0</xdr:rowOff>
    </xdr:to>
    <xdr:sp macro="" textlink="">
      <xdr:nvSpPr>
        <xdr:cNvPr id="7" name="Right Brace 6"/>
        <xdr:cNvSpPr/>
      </xdr:nvSpPr>
      <xdr:spPr>
        <a:xfrm>
          <a:off x="3067050" y="6819900"/>
          <a:ext cx="4191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r>
            <a:rPr lang="nl-NL" sz="1100"/>
            <a:t>height_big</a:t>
          </a:r>
        </a:p>
      </xdr:txBody>
    </xdr:sp>
    <xdr:clientData/>
  </xdr:twoCellAnchor>
  <xdr:twoCellAnchor>
    <xdr:from>
      <xdr:col>0</xdr:col>
      <xdr:colOff>266700</xdr:colOff>
      <xdr:row>41</xdr:row>
      <xdr:rowOff>161924</xdr:rowOff>
    </xdr:from>
    <xdr:to>
      <xdr:col>0</xdr:col>
      <xdr:colOff>641223</xdr:colOff>
      <xdr:row>57</xdr:row>
      <xdr:rowOff>171449</xdr:rowOff>
    </xdr:to>
    <xdr:sp macro="" textlink="">
      <xdr:nvSpPr>
        <xdr:cNvPr id="8" name="Left Brace 7"/>
        <xdr:cNvSpPr/>
      </xdr:nvSpPr>
      <xdr:spPr>
        <a:xfrm>
          <a:off x="266700" y="6762749"/>
          <a:ext cx="374523" cy="32289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r>
            <a:rPr lang="nl-NL" sz="1100"/>
            <a:t>range big</a:t>
          </a:r>
        </a:p>
      </xdr:txBody>
    </xdr:sp>
    <xdr:clientData/>
  </xdr:twoCellAnchor>
  <xdr:twoCellAnchor>
    <xdr:from>
      <xdr:col>3</xdr:col>
      <xdr:colOff>371475</xdr:colOff>
      <xdr:row>86</xdr:row>
      <xdr:rowOff>9525</xdr:rowOff>
    </xdr:from>
    <xdr:to>
      <xdr:col>3</xdr:col>
      <xdr:colOff>561975</xdr:colOff>
      <xdr:row>90</xdr:row>
      <xdr:rowOff>200025</xdr:rowOff>
    </xdr:to>
    <xdr:sp macro="" textlink="">
      <xdr:nvSpPr>
        <xdr:cNvPr id="9" name="Right Brace 8"/>
        <xdr:cNvSpPr/>
      </xdr:nvSpPr>
      <xdr:spPr>
        <a:xfrm>
          <a:off x="3314700" y="15640050"/>
          <a:ext cx="190500" cy="990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nl-NL" sz="1100"/>
        </a:p>
      </xdr:txBody>
    </xdr:sp>
    <xdr:clientData/>
  </xdr:twoCellAnchor>
  <xdr:twoCellAnchor>
    <xdr:from>
      <xdr:col>0</xdr:col>
      <xdr:colOff>76200</xdr:colOff>
      <xdr:row>85</xdr:row>
      <xdr:rowOff>190500</xdr:rowOff>
    </xdr:from>
    <xdr:to>
      <xdr:col>0</xdr:col>
      <xdr:colOff>590550</xdr:colOff>
      <xdr:row>91</xdr:row>
      <xdr:rowOff>0</xdr:rowOff>
    </xdr:to>
    <xdr:sp macro="" textlink="">
      <xdr:nvSpPr>
        <xdr:cNvPr id="10" name="Left Brace 9"/>
        <xdr:cNvSpPr/>
      </xdr:nvSpPr>
      <xdr:spPr>
        <a:xfrm>
          <a:off x="76200" y="15611475"/>
          <a:ext cx="514350" cy="10287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r>
            <a:rPr lang="nl-NL" sz="600"/>
            <a:t>range</a:t>
          </a:r>
          <a:r>
            <a:rPr lang="nl-NL" sz="600" baseline="0"/>
            <a:t> last</a:t>
          </a:r>
        </a:p>
      </xdr:txBody>
    </xdr:sp>
    <xdr:clientData/>
  </xdr:twoCellAnchor>
  <xdr:twoCellAnchor>
    <xdr:from>
      <xdr:col>1</xdr:col>
      <xdr:colOff>231912</xdr:colOff>
      <xdr:row>143</xdr:row>
      <xdr:rowOff>24847</xdr:rowOff>
    </xdr:from>
    <xdr:to>
      <xdr:col>8</xdr:col>
      <xdr:colOff>753717</xdr:colOff>
      <xdr:row>156</xdr:row>
      <xdr:rowOff>182217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76200</xdr:colOff>
      <xdr:row>26</xdr:row>
      <xdr:rowOff>171450</xdr:rowOff>
    </xdr:from>
    <xdr:to>
      <xdr:col>6</xdr:col>
      <xdr:colOff>228600</xdr:colOff>
      <xdr:row>57</xdr:row>
      <xdr:rowOff>47625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43050" y="3800475"/>
          <a:ext cx="4152900" cy="6124575"/>
        </a:xfrm>
        <a:prstGeom prst="rect">
          <a:avLst/>
        </a:prstGeom>
        <a:noFill/>
        <a:ln w="1">
          <a:noFill/>
          <a:miter lim="800000"/>
          <a:headEnd/>
          <a:tailEnd type="none" w="med" len="med"/>
        </a:ln>
        <a:effec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Trek">
  <a:themeElements>
    <a:clrScheme name="Trek">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Trek">
      <a:majorFont>
        <a:latin typeface="Franklin Gothic Medium"/>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Franklin Gothic Book"/>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Trek">
      <a:fillStyleLst>
        <a:solidFill>
          <a:schemeClr val="phClr"/>
        </a:solidFill>
        <a:gradFill rotWithShape="1">
          <a:gsLst>
            <a:gs pos="0">
              <a:schemeClr val="phClr">
                <a:tint val="30000"/>
                <a:satMod val="250000"/>
              </a:schemeClr>
            </a:gs>
            <a:gs pos="72000">
              <a:schemeClr val="phClr">
                <a:tint val="75000"/>
                <a:satMod val="210000"/>
              </a:schemeClr>
            </a:gs>
            <a:gs pos="100000">
              <a:schemeClr val="phClr">
                <a:tint val="85000"/>
                <a:satMod val="210000"/>
              </a:schemeClr>
            </a:gs>
          </a:gsLst>
          <a:lin ang="5400000" scaled="1"/>
        </a:gradFill>
        <a:gradFill rotWithShape="1">
          <a:gsLst>
            <a:gs pos="0">
              <a:schemeClr val="phClr">
                <a:tint val="75000"/>
                <a:shade val="85000"/>
                <a:satMod val="230000"/>
              </a:schemeClr>
            </a:gs>
            <a:gs pos="25000">
              <a:schemeClr val="phClr">
                <a:tint val="90000"/>
                <a:shade val="70000"/>
                <a:satMod val="220000"/>
              </a:schemeClr>
            </a:gs>
            <a:gs pos="50000">
              <a:schemeClr val="phClr">
                <a:tint val="90000"/>
                <a:shade val="58000"/>
                <a:satMod val="225000"/>
              </a:schemeClr>
            </a:gs>
            <a:gs pos="65000">
              <a:schemeClr val="phClr">
                <a:tint val="90000"/>
                <a:shade val="58000"/>
                <a:satMod val="225000"/>
              </a:schemeClr>
            </a:gs>
            <a:gs pos="80000">
              <a:schemeClr val="phClr">
                <a:tint val="90000"/>
                <a:shade val="69000"/>
                <a:satMod val="220000"/>
              </a:schemeClr>
            </a:gs>
            <a:gs pos="100000">
              <a:schemeClr val="phClr">
                <a:tint val="77000"/>
                <a:shade val="80000"/>
                <a:satMod val="230000"/>
              </a:schemeClr>
            </a:gs>
          </a:gsLst>
          <a:lin ang="5400000" scaled="1"/>
        </a:gradFill>
      </a:fillStyleLst>
      <a:lnStyleLst>
        <a:ln w="10000"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76200" dist="50800" dir="5400000" rotWithShape="0">
              <a:srgbClr val="4E3B30">
                <a:alpha val="60000"/>
              </a:srgbClr>
            </a:outerShdw>
          </a:effectLst>
        </a:effectStyle>
        <a:effectStyle>
          <a:effectLst>
            <a:outerShdw blurRad="76200" dist="50800" dir="5400000" rotWithShape="0">
              <a:srgbClr val="4E3B30">
                <a:alpha val="60000"/>
              </a:srgbClr>
            </a:outerShdw>
          </a:effectLst>
          <a:scene3d>
            <a:camera prst="orthographicFront">
              <a:rot lat="0" lon="0" rev="0"/>
            </a:camera>
            <a:lightRig rig="threePt" dir="tl">
              <a:rot lat="0" lon="0" rev="0"/>
            </a:lightRig>
          </a:scene3d>
          <a:sp3d prstMaterial="metal">
            <a:bevelT w="10000" h="10000"/>
          </a:sp3d>
        </a:effectStyle>
        <a:effectStyle>
          <a:effectLst>
            <a:outerShdw blurRad="76200" dist="50800" dir="5400000" rotWithShape="0">
              <a:srgbClr val="4E3B30">
                <a:alpha val="60000"/>
              </a:srgbClr>
            </a:outerShdw>
          </a:effectLst>
          <a:scene3d>
            <a:camera prst="obliqueTopLeft" fov="600000">
              <a:rot lat="0" lon="0" rev="0"/>
            </a:camera>
            <a:lightRig rig="balanced" dir="t">
              <a:rot lat="0" lon="0" rev="19200000"/>
            </a:lightRig>
          </a:scene3d>
          <a:sp3d contourW="12700" prstMaterial="matte">
            <a:bevelT w="60000" h="50800"/>
            <a:contourClr>
              <a:schemeClr val="phClr">
                <a:shade val="60000"/>
                <a:satMod val="110000"/>
              </a:schemeClr>
            </a:contourClr>
          </a:sp3d>
        </a:effectStyle>
      </a:effectStyleLst>
      <a:bgFillStyleLst>
        <a:solidFill>
          <a:schemeClr val="phClr"/>
        </a:solidFill>
        <a:blipFill>
          <a:blip xmlns:r="http://schemas.openxmlformats.org/officeDocument/2006/relationships" r:embed="rId1">
            <a:duotone>
              <a:schemeClr val="phClr">
                <a:shade val="90000"/>
                <a:satMod val="150000"/>
              </a:schemeClr>
              <a:schemeClr val="phClr">
                <a:tint val="88000"/>
                <a:satMod val="105000"/>
              </a:schemeClr>
            </a:duotone>
          </a:blip>
          <a:tile tx="0" ty="0" sx="95000" sy="95000" flip="none" algn="t"/>
        </a:blipFill>
        <a:blipFill>
          <a:blip xmlns:r="http://schemas.openxmlformats.org/officeDocument/2006/relationships" r:embed="rId2">
            <a:duotone>
              <a:schemeClr val="phClr">
                <a:shade val="30000"/>
                <a:satMod val="455000"/>
              </a:schemeClr>
              <a:schemeClr val="phClr">
                <a:tint val="95000"/>
                <a:satMod val="12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fxyz.n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ppliedballisticsllc.com/index_files/FULLBOREBulletUpdate.pd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bfxyz.nl/" TargetMode="External"/><Relationship Id="rId1" Type="http://schemas.openxmlformats.org/officeDocument/2006/relationships/hyperlink" Target="http://www.bfxyz.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7"/>
  <sheetViews>
    <sheetView tabSelected="1" zoomScaleNormal="100" workbookViewId="0">
      <selection activeCell="B14" sqref="B14"/>
    </sheetView>
  </sheetViews>
  <sheetFormatPr defaultRowHeight="15.75" x14ac:dyDescent="0.3"/>
  <cols>
    <col min="2" max="2" width="11.33203125" customWidth="1"/>
  </cols>
  <sheetData>
    <row r="1" spans="1:7" x14ac:dyDescent="0.3">
      <c r="A1">
        <v>1</v>
      </c>
      <c r="B1" s="3" t="s">
        <v>0</v>
      </c>
    </row>
    <row r="3" spans="1:7" s="105" customFormat="1" x14ac:dyDescent="0.3">
      <c r="A3" s="2" t="s">
        <v>4</v>
      </c>
      <c r="B3" s="2" t="s">
        <v>521</v>
      </c>
    </row>
    <row r="4" spans="1:7" s="105" customFormat="1" x14ac:dyDescent="0.3">
      <c r="B4" s="105" t="s">
        <v>584</v>
      </c>
      <c r="G4" s="153" t="s">
        <v>522</v>
      </c>
    </row>
    <row r="5" spans="1:7" s="105" customFormat="1" x14ac:dyDescent="0.3"/>
    <row r="6" spans="1:7" s="105" customFormat="1" x14ac:dyDescent="0.3"/>
    <row r="7" spans="1:7" x14ac:dyDescent="0.3">
      <c r="A7" s="105" t="s">
        <v>5</v>
      </c>
      <c r="B7" s="2" t="s">
        <v>1</v>
      </c>
    </row>
    <row r="9" spans="1:7" x14ac:dyDescent="0.3">
      <c r="B9" s="1" t="s">
        <v>167</v>
      </c>
    </row>
    <row r="11" spans="1:7" x14ac:dyDescent="0.3">
      <c r="C11" s="105" t="s">
        <v>466</v>
      </c>
    </row>
    <row r="13" spans="1:7" x14ac:dyDescent="0.3">
      <c r="C13" s="105" t="s">
        <v>467</v>
      </c>
    </row>
    <row r="15" spans="1:7" x14ac:dyDescent="0.3">
      <c r="C15" t="s">
        <v>2</v>
      </c>
    </row>
    <row r="17" spans="1:3" x14ac:dyDescent="0.3">
      <c r="C17" s="105" t="s">
        <v>468</v>
      </c>
    </row>
    <row r="19" spans="1:3" x14ac:dyDescent="0.3">
      <c r="C19" t="s">
        <v>3</v>
      </c>
    </row>
    <row r="21" spans="1:3" x14ac:dyDescent="0.3">
      <c r="A21" s="105"/>
      <c r="B21" s="2"/>
    </row>
    <row r="37" spans="1:2" x14ac:dyDescent="0.3">
      <c r="A37" s="105"/>
      <c r="B37" s="2"/>
    </row>
  </sheetData>
  <hyperlinks>
    <hyperlink ref="G4" r:id="rId1"/>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topLeftCell="A124" zoomScaleNormal="100" workbookViewId="0">
      <selection activeCell="G139" sqref="G139"/>
    </sheetView>
  </sheetViews>
  <sheetFormatPr defaultRowHeight="15.75" x14ac:dyDescent="0.3"/>
  <cols>
    <col min="2" max="2" width="10" bestFit="1" customWidth="1"/>
    <col min="3" max="3" width="11.44140625" customWidth="1"/>
    <col min="5" max="5" width="10" bestFit="1" customWidth="1"/>
  </cols>
  <sheetData>
    <row r="1" spans="1:9" x14ac:dyDescent="0.3">
      <c r="A1">
        <v>11</v>
      </c>
      <c r="B1" t="s">
        <v>132</v>
      </c>
    </row>
    <row r="3" spans="1:9" x14ac:dyDescent="0.3">
      <c r="A3" s="2" t="s">
        <v>133</v>
      </c>
      <c r="B3" s="2" t="s">
        <v>401</v>
      </c>
      <c r="C3" s="15" t="str">
        <f>_xll.BfX_Zx()</f>
        <v>height_at_x=BfX_Zx(v0; s; h; zx; x; c; df=GP) [m] or converted to angle</v>
      </c>
      <c r="D3" s="15"/>
      <c r="E3" s="15"/>
      <c r="F3" s="15"/>
      <c r="G3" s="15"/>
      <c r="H3" s="15"/>
      <c r="I3" s="15"/>
    </row>
    <row r="5" spans="1:9" x14ac:dyDescent="0.3">
      <c r="B5" s="105" t="s">
        <v>402</v>
      </c>
    </row>
    <row r="6" spans="1:9" x14ac:dyDescent="0.3">
      <c r="B6" t="s">
        <v>134</v>
      </c>
    </row>
    <row r="7" spans="1:9" x14ac:dyDescent="0.3">
      <c r="B7" s="105" t="s">
        <v>505</v>
      </c>
    </row>
    <row r="9" spans="1:9" x14ac:dyDescent="0.3">
      <c r="B9" s="16" t="s">
        <v>37</v>
      </c>
      <c r="C9" s="16">
        <v>740</v>
      </c>
      <c r="D9" s="16" t="s">
        <v>52</v>
      </c>
    </row>
    <row r="10" spans="1:9" x14ac:dyDescent="0.3">
      <c r="B10" s="16" t="s">
        <v>63</v>
      </c>
      <c r="C10" s="16">
        <v>3</v>
      </c>
      <c r="D10" s="16" t="s">
        <v>137</v>
      </c>
      <c r="E10" t="s">
        <v>139</v>
      </c>
      <c r="F10" s="105" t="s">
        <v>506</v>
      </c>
    </row>
    <row r="11" spans="1:9" x14ac:dyDescent="0.3">
      <c r="B11" s="16" t="s">
        <v>135</v>
      </c>
      <c r="C11" s="16">
        <v>0</v>
      </c>
      <c r="D11" s="16" t="s">
        <v>149</v>
      </c>
    </row>
    <row r="12" spans="1:9" x14ac:dyDescent="0.3">
      <c r="B12" s="16" t="s">
        <v>136</v>
      </c>
      <c r="C12" s="16">
        <v>500</v>
      </c>
      <c r="D12" s="16" t="s">
        <v>149</v>
      </c>
    </row>
    <row r="13" spans="1:9" x14ac:dyDescent="0.3">
      <c r="B13" s="16" t="s">
        <v>40</v>
      </c>
      <c r="C13" s="16">
        <v>0.5</v>
      </c>
      <c r="D13" s="16" t="s">
        <v>442</v>
      </c>
    </row>
    <row r="17" spans="2:7" x14ac:dyDescent="0.3">
      <c r="B17" s="15" t="s">
        <v>49</v>
      </c>
      <c r="C17" s="15" t="s">
        <v>138</v>
      </c>
    </row>
    <row r="18" spans="2:7" x14ac:dyDescent="0.3">
      <c r="B18" s="15">
        <v>0</v>
      </c>
      <c r="C18" s="16">
        <f>_xll.BfX_Zx("cm",v0,s,s_unit,h,zx,B18,_c)</f>
        <v>-3</v>
      </c>
    </row>
    <row r="19" spans="2:7" x14ac:dyDescent="0.3">
      <c r="B19" s="15">
        <v>25</v>
      </c>
      <c r="C19" s="16">
        <f>_xll.BfX_Zx("cm",v0,s,s_unit,h,zx,B19,_c)</f>
        <v>11.773831692622192</v>
      </c>
      <c r="D19" s="21" t="str">
        <f ca="1">_xll.BfX_Cell(C19)</f>
        <v>=BfX_Zx("cm";v0;s;s_unit;h;zx;B19;_c)</v>
      </c>
      <c r="E19" s="21"/>
      <c r="F19" s="21"/>
      <c r="G19" s="21"/>
    </row>
    <row r="20" spans="2:7" x14ac:dyDescent="0.3">
      <c r="B20" s="15">
        <v>50</v>
      </c>
      <c r="C20" s="16">
        <f>_xll.BfX_Zx("cm",v0,s,s_unit,h,zx,B20,_c)</f>
        <v>25.381966890408147</v>
      </c>
    </row>
    <row r="21" spans="2:7" x14ac:dyDescent="0.3">
      <c r="B21" s="15">
        <v>75</v>
      </c>
      <c r="C21" s="16">
        <f>_xll.BfX_Zx("cm",v0,s,s_unit,h,zx,B21,_c)</f>
        <v>37.775762832754268</v>
      </c>
    </row>
    <row r="22" spans="2:7" x14ac:dyDescent="0.3">
      <c r="B22" s="15">
        <v>100</v>
      </c>
      <c r="C22" s="16">
        <f>_xll.BfX_Zx("cm",v0,s,s_unit,h,zx,B22,_c)</f>
        <v>48.904012798489603</v>
      </c>
    </row>
    <row r="23" spans="2:7" x14ac:dyDescent="0.3">
      <c r="B23" s="15">
        <v>125</v>
      </c>
      <c r="C23" s="16">
        <f>_xll.BfX_Zx("cm",v0,s,s_unit,h,zx,B23,_c)</f>
        <v>58.712782203879961</v>
      </c>
    </row>
    <row r="24" spans="2:7" x14ac:dyDescent="0.3">
      <c r="B24" s="15">
        <v>150</v>
      </c>
      <c r="C24" s="16">
        <f>_xll.BfX_Zx("cm",v0,s,s_unit,h,zx,B24,_c)</f>
        <v>67.145232345377792</v>
      </c>
    </row>
    <row r="25" spans="2:7" x14ac:dyDescent="0.3">
      <c r="B25" s="15">
        <v>175</v>
      </c>
      <c r="C25" s="16">
        <f>_xll.BfX_Zx("cm",v0,s,s_unit,h,zx,B25,_c)</f>
        <v>74.141430711127938</v>
      </c>
    </row>
    <row r="26" spans="2:7" x14ac:dyDescent="0.3">
      <c r="B26" s="15">
        <v>200</v>
      </c>
      <c r="C26" s="16">
        <f>_xll.BfX_Zx("cm",v0,s,s_unit,h,zx,B26,_c)</f>
        <v>79.638146678659311</v>
      </c>
    </row>
    <row r="27" spans="2:7" x14ac:dyDescent="0.3">
      <c r="B27" s="15">
        <v>225</v>
      </c>
      <c r="C27" s="16">
        <f>_xll.BfX_Zx("cm",v0,s,s_unit,h,zx,B27,_c)</f>
        <v>83.568631297753996</v>
      </c>
    </row>
    <row r="28" spans="2:7" x14ac:dyDescent="0.3">
      <c r="B28" s="15">
        <v>250</v>
      </c>
      <c r="C28" s="16">
        <f>_xll.BfX_Zx("cm",v0,s,s_unit,h,zx,B28,_c)</f>
        <v>85.862379725719592</v>
      </c>
    </row>
    <row r="29" spans="2:7" x14ac:dyDescent="0.3">
      <c r="B29" s="15">
        <v>275</v>
      </c>
      <c r="C29" s="16">
        <f>_xll.BfX_Zx("cm",v0,s,s_unit,h,zx,B29,_c)</f>
        <v>86.444874735529922</v>
      </c>
    </row>
    <row r="30" spans="2:7" x14ac:dyDescent="0.3">
      <c r="B30" s="15">
        <v>300</v>
      </c>
      <c r="C30" s="16">
        <f>_xll.BfX_Zx("cm",v0,s,s_unit,h,zx,B30,_c)</f>
        <v>85.237309553633935</v>
      </c>
    </row>
    <row r="31" spans="2:7" x14ac:dyDescent="0.3">
      <c r="B31" s="15">
        <v>325</v>
      </c>
      <c r="C31" s="16">
        <f>_xll.BfX_Zx("cm",v0,s,s_unit,h,zx,B31,_c)</f>
        <v>82.156288101522023</v>
      </c>
    </row>
    <row r="32" spans="2:7" x14ac:dyDescent="0.3">
      <c r="B32" s="15">
        <v>350</v>
      </c>
      <c r="C32" s="16">
        <f>_xll.BfX_Zx("cm",v0,s,s_unit,h,zx,B32,_c)</f>
        <v>77.113500510880598</v>
      </c>
    </row>
    <row r="33" spans="1:8" x14ac:dyDescent="0.3">
      <c r="B33" s="15">
        <v>375</v>
      </c>
      <c r="C33" s="16">
        <f>_xll.BfX_Zx("cm",v0,s,s_unit,h,zx,B33,_c)</f>
        <v>70.015371553569182</v>
      </c>
    </row>
    <row r="34" spans="1:8" x14ac:dyDescent="0.3">
      <c r="B34" s="15">
        <v>400</v>
      </c>
      <c r="C34" s="16">
        <f>_xll.BfX_Zx("cm",v0,s,s_unit,h,zx,B34,_c)</f>
        <v>60.762679371451277</v>
      </c>
    </row>
    <row r="35" spans="1:8" x14ac:dyDescent="0.3">
      <c r="B35" s="15">
        <v>425</v>
      </c>
      <c r="C35" s="16">
        <f>_xll.BfX_Zx("cm",v0,s,s_unit,h,zx,B35,_c)</f>
        <v>49.250141603637339</v>
      </c>
    </row>
    <row r="36" spans="1:8" x14ac:dyDescent="0.3">
      <c r="B36" s="15">
        <v>450</v>
      </c>
      <c r="C36" s="16">
        <f>_xll.BfX_Zx("cm",v0,s,s_unit,h,zx,B36,_c)</f>
        <v>35.365965685634457</v>
      </c>
    </row>
    <row r="37" spans="1:8" x14ac:dyDescent="0.3">
      <c r="B37" s="15">
        <v>475</v>
      </c>
      <c r="C37" s="16">
        <f>_xll.BfX_Zx("cm",v0,s,s_unit,h,zx,B37,_c)</f>
        <v>18.99135973143802</v>
      </c>
    </row>
    <row r="38" spans="1:8" x14ac:dyDescent="0.3">
      <c r="B38" s="15">
        <v>500</v>
      </c>
      <c r="C38" s="16">
        <f>_xll.BfX_Zx("cm",v0,s,s_unit,h,zx,B38,_c)</f>
        <v>-1.9428902930940239E-14</v>
      </c>
    </row>
    <row r="40" spans="1:8" x14ac:dyDescent="0.3">
      <c r="A40" s="2" t="s">
        <v>140</v>
      </c>
      <c r="B40" s="2" t="s">
        <v>141</v>
      </c>
    </row>
    <row r="41" spans="1:8" x14ac:dyDescent="0.3">
      <c r="B41" t="s">
        <v>142</v>
      </c>
    </row>
    <row r="42" spans="1:8" x14ac:dyDescent="0.3">
      <c r="B42" t="s">
        <v>145</v>
      </c>
    </row>
    <row r="43" spans="1:8" x14ac:dyDescent="0.3">
      <c r="B43" t="s">
        <v>143</v>
      </c>
    </row>
    <row r="44" spans="1:8" x14ac:dyDescent="0.3">
      <c r="B44" s="16">
        <f>_xll.BfX_Zx("cm",v0,s,s_unit,h,300,50,0.5)</f>
        <v>11.175748631469151</v>
      </c>
      <c r="C44" s="105" t="s">
        <v>445</v>
      </c>
      <c r="D44" s="21" t="str">
        <f ca="1">_xll.BfX_Cell(B44)</f>
        <v>=BfX_Zx("cm";v0;s;s_unit;h;300;50;0,5)</v>
      </c>
      <c r="E44" s="21"/>
      <c r="F44" s="21"/>
      <c r="G44" s="21"/>
      <c r="H44" s="21"/>
    </row>
    <row r="45" spans="1:8" x14ac:dyDescent="0.3">
      <c r="B45" t="s">
        <v>144</v>
      </c>
    </row>
    <row r="47" spans="1:8" x14ac:dyDescent="0.3">
      <c r="B47" t="s">
        <v>291</v>
      </c>
    </row>
    <row r="48" spans="1:8" x14ac:dyDescent="0.3">
      <c r="B48" t="s">
        <v>288</v>
      </c>
    </row>
    <row r="49" spans="1:15" x14ac:dyDescent="0.3">
      <c r="B49" s="16">
        <f>DEGREES(ATAN2(50,11.2/100))*60</f>
        <v>7.7005398871658501</v>
      </c>
      <c r="C49" s="105" t="s">
        <v>253</v>
      </c>
      <c r="D49" s="16" t="str">
        <f ca="1">_xll.BfX_Cell(B49)</f>
        <v>=DEGREES(ATAN2(50;11,2/100))*60</v>
      </c>
      <c r="E49" s="16"/>
      <c r="F49" s="16"/>
      <c r="G49" s="16"/>
      <c r="H49" s="16"/>
    </row>
    <row r="51" spans="1:15" x14ac:dyDescent="0.3">
      <c r="B51" t="s">
        <v>289</v>
      </c>
    </row>
    <row r="52" spans="1:15" x14ac:dyDescent="0.3">
      <c r="B52" s="16">
        <f>_xll.BfX_Zx("moa",v0,s,s_unit,h,300,50,0.5)</f>
        <v>7.6838659578771251</v>
      </c>
      <c r="C52" s="105" t="s">
        <v>253</v>
      </c>
      <c r="D52" s="16" t="str">
        <f ca="1">_xll.BfX_Cell(B52)</f>
        <v>=BfX_Zx("moa";v0;s;s_unit;h;300;50;0,5)</v>
      </c>
      <c r="E52" s="16"/>
      <c r="F52" s="16"/>
      <c r="G52" s="16"/>
      <c r="H52" s="16"/>
    </row>
    <row r="54" spans="1:15" x14ac:dyDescent="0.3">
      <c r="B54" t="s">
        <v>290</v>
      </c>
    </row>
    <row r="56" spans="1:15" x14ac:dyDescent="0.3">
      <c r="A56" s="2" t="s">
        <v>292</v>
      </c>
      <c r="B56" s="2" t="s">
        <v>293</v>
      </c>
      <c r="C56" s="2"/>
      <c r="D56" s="2"/>
      <c r="E56" s="2"/>
      <c r="F56" s="2"/>
    </row>
    <row r="57" spans="1:15" x14ac:dyDescent="0.3">
      <c r="B57" t="s">
        <v>294</v>
      </c>
    </row>
    <row r="58" spans="1:15" x14ac:dyDescent="0.3">
      <c r="B58" t="s">
        <v>298</v>
      </c>
    </row>
    <row r="59" spans="1:15" x14ac:dyDescent="0.3">
      <c r="B59" t="s">
        <v>299</v>
      </c>
    </row>
    <row r="62" spans="1:15" x14ac:dyDescent="0.3">
      <c r="B62" s="15" t="s">
        <v>49</v>
      </c>
      <c r="C62" s="15" t="s">
        <v>297</v>
      </c>
      <c r="J62" s="16">
        <v>4.9306970977168882</v>
      </c>
      <c r="K62" t="s">
        <v>49</v>
      </c>
    </row>
    <row r="63" spans="1:15" x14ac:dyDescent="0.3">
      <c r="B63" s="15">
        <v>0</v>
      </c>
      <c r="C63" s="16">
        <f>_xll.BfX_Zx("mrad",v0,s,s_unit,h,zx,B63,_c)</f>
        <v>0</v>
      </c>
      <c r="D63" t="s">
        <v>296</v>
      </c>
      <c r="J63" s="16">
        <f>_xll.BfX_Zx(v0,s,s_unit,h,zx,J62,_c)</f>
        <v>3.8608859520831984E-5</v>
      </c>
      <c r="K63" t="s">
        <v>300</v>
      </c>
      <c r="L63" s="16" t="str">
        <f ca="1">_xll.BfX_Cell(J63)</f>
        <v>=BfX_Zx(v0;s;s_unit;h;zx;J62;_c)</v>
      </c>
      <c r="M63" s="16"/>
      <c r="N63" s="16"/>
      <c r="O63" s="16"/>
    </row>
    <row r="64" spans="1:15" x14ac:dyDescent="0.3">
      <c r="B64" s="15">
        <v>2</v>
      </c>
      <c r="C64" s="16">
        <f>_xll.BfX_Zx("mrad",v0,s,s_unit,h,zx,B64,_c)</f>
        <v>-8.8812638229231098</v>
      </c>
      <c r="D64" s="16" t="str">
        <f ca="1">_xll.BfX_Cell(C76)</f>
        <v>=BfX_Zx("mrad";v0;s;s_unit;h;zx;B76;_c)</v>
      </c>
      <c r="E64" s="16"/>
      <c r="F64" s="16"/>
      <c r="G64" s="16"/>
      <c r="H64" s="16"/>
    </row>
    <row r="65" spans="2:4" x14ac:dyDescent="0.3">
      <c r="B65" s="15">
        <v>3</v>
      </c>
      <c r="C65" s="16">
        <f>_xll.BfX_Zx("mrad",v0,s,s_unit,h,zx,B65,_c)</f>
        <v>-3.8904559992565315</v>
      </c>
      <c r="D65" t="s">
        <v>301</v>
      </c>
    </row>
    <row r="66" spans="2:4" x14ac:dyDescent="0.3">
      <c r="B66" s="15">
        <v>4</v>
      </c>
      <c r="C66" s="16">
        <f>_xll.BfX_Zx("mrad",v0,s,s_unit,h,zx,B66,_c)</f>
        <v>-1.399462659508097</v>
      </c>
      <c r="D66" t="s">
        <v>302</v>
      </c>
    </row>
    <row r="67" spans="2:4" x14ac:dyDescent="0.3">
      <c r="B67" s="15">
        <v>5</v>
      </c>
      <c r="C67" s="16">
        <f>_xll.BfX_Zx("mrad",v0,s,s_unit,h,zx,B67,_c)</f>
        <v>9.1538809476119629E-2</v>
      </c>
    </row>
    <row r="68" spans="2:4" x14ac:dyDescent="0.3">
      <c r="B68" s="15">
        <v>6</v>
      </c>
      <c r="C68" s="16">
        <f>_xll.BfX_Zx("mrad",v0,s,s_unit,h,zx,B68,_c)</f>
        <v>1.0825310834920874</v>
      </c>
    </row>
    <row r="69" spans="2:4" x14ac:dyDescent="0.3">
      <c r="B69" s="15">
        <v>7</v>
      </c>
      <c r="C69" s="16">
        <f>_xll.BfX_Zx("mrad",v0,s,s_unit,h,zx,B69,_c)</f>
        <v>1.7877983116306455</v>
      </c>
    </row>
    <row r="70" spans="2:4" x14ac:dyDescent="0.3">
      <c r="B70" s="15">
        <v>8</v>
      </c>
      <c r="C70" s="16">
        <f>_xll.BfX_Zx("mrad",v0,s,s_unit,h,zx,B70,_c)</f>
        <v>2.314483649432276</v>
      </c>
    </row>
    <row r="71" spans="2:4" x14ac:dyDescent="0.3">
      <c r="B71" s="15">
        <v>9</v>
      </c>
      <c r="C71" s="16">
        <f>_xll.BfX_Zx("mrad",v0,s,s_unit,h,zx,B71,_c)</f>
        <v>2.7221112751477365</v>
      </c>
    </row>
    <row r="72" spans="2:4" x14ac:dyDescent="0.3">
      <c r="B72" s="15">
        <v>10</v>
      </c>
      <c r="C72" s="16">
        <f>_xll.BfX_Zx("mrad",v0,s,s_unit,h,zx,B72,_c)</f>
        <v>3.0463957126576231</v>
      </c>
    </row>
    <row r="73" spans="2:4" x14ac:dyDescent="0.3">
      <c r="B73" s="15">
        <v>15</v>
      </c>
      <c r="C73" s="16">
        <f>_xll.BfX_Zx("mrad",v0,s,s_unit,h,zx,B73,_c)</f>
        <v>4.0010061162410873</v>
      </c>
    </row>
    <row r="74" spans="2:4" x14ac:dyDescent="0.3">
      <c r="B74" s="15">
        <v>17</v>
      </c>
      <c r="C74" s="16">
        <f>_xll.BfX_Zx("mrad",v0,s,s_unit,h,zx,B74,_c)</f>
        <v>4.2180767634893854</v>
      </c>
    </row>
    <row r="75" spans="2:4" x14ac:dyDescent="0.3">
      <c r="B75" s="15">
        <v>20</v>
      </c>
      <c r="C75" s="16">
        <f>_xll.BfX_Zx("mrad",v0,s,s_unit,h,zx,B75,_c)</f>
        <v>4.455374457711275</v>
      </c>
    </row>
    <row r="76" spans="2:4" x14ac:dyDescent="0.3">
      <c r="B76" s="15">
        <v>25</v>
      </c>
      <c r="C76" s="16">
        <f>_xll.BfX_Zx("mrad",v0,s,s_unit,h,zx,B76,_c)</f>
        <v>4.7094978588413401</v>
      </c>
    </row>
    <row r="77" spans="2:4" x14ac:dyDescent="0.3">
      <c r="B77" s="15">
        <v>50</v>
      </c>
      <c r="C77" s="16">
        <f>_xll.BfX_Zx("mrad",v0,s,s_unit,h,zx,B77,_c)</f>
        <v>5.0763497729263758</v>
      </c>
    </row>
    <row r="78" spans="2:4" x14ac:dyDescent="0.3">
      <c r="B78" s="15">
        <v>75</v>
      </c>
      <c r="C78" s="16">
        <f>_xll.BfX_Zx("mrad",v0,s,s_unit,h,zx,B78,_c)</f>
        <v>5.0367257856966319</v>
      </c>
    </row>
    <row r="79" spans="2:4" x14ac:dyDescent="0.3">
      <c r="B79" s="15">
        <v>100</v>
      </c>
      <c r="C79" s="16">
        <f>_xll.BfX_Zx("mrad",v0,s,s_unit,h,zx,B79,_c)</f>
        <v>4.890362294089158</v>
      </c>
    </row>
    <row r="80" spans="2:4" x14ac:dyDescent="0.3">
      <c r="B80" s="15">
        <v>125</v>
      </c>
      <c r="C80" s="16">
        <f>_xll.BfX_Zx("mrad",v0,s,s_unit,h,zx,B80,_c)</f>
        <v>4.6969880348305946</v>
      </c>
    </row>
    <row r="81" spans="2:3" x14ac:dyDescent="0.3">
      <c r="B81" s="15">
        <v>150</v>
      </c>
      <c r="C81" s="16">
        <f>_xll.BfX_Zx("mrad",v0,s,s_unit,h,zx,B81,_c)</f>
        <v>4.4763189248081821</v>
      </c>
    </row>
    <row r="82" spans="2:3" x14ac:dyDescent="0.3">
      <c r="B82" s="15">
        <v>175</v>
      </c>
      <c r="C82" s="16">
        <f>_xll.BfX_Zx("mrad",v0,s,s_unit,h,zx,B82,_c)</f>
        <v>4.2366278355449243</v>
      </c>
    </row>
    <row r="83" spans="2:3" x14ac:dyDescent="0.3">
      <c r="B83" s="15">
        <v>200</v>
      </c>
      <c r="C83" s="16">
        <f>_xll.BfX_Zx("mrad",v0,s,s_unit,h,zx,B83,_c)</f>
        <v>3.9818862889750934</v>
      </c>
    </row>
    <row r="84" spans="2:3" x14ac:dyDescent="0.3">
      <c r="B84" s="15">
        <v>225</v>
      </c>
      <c r="C84" s="16">
        <f>_xll.BfX_Zx("mrad",v0,s,s_unit,h,zx,B84,_c)</f>
        <v>3.7141443122069098</v>
      </c>
    </row>
    <row r="85" spans="2:3" x14ac:dyDescent="0.3">
      <c r="B85" s="15">
        <v>250</v>
      </c>
      <c r="C85" s="16">
        <f>_xll.BfX_Zx("mrad",v0,s,s_unit,h,zx,B85,_c)</f>
        <v>3.4344816849672357</v>
      </c>
    </row>
    <row r="86" spans="2:3" x14ac:dyDescent="0.3">
      <c r="B86" s="15">
        <v>275</v>
      </c>
      <c r="C86" s="16">
        <f>_xll.BfX_Zx("mrad",v0,s,s_unit,h,zx,B86,_c)</f>
        <v>3.1434396366767117</v>
      </c>
    </row>
    <row r="87" spans="2:3" x14ac:dyDescent="0.3">
      <c r="B87" s="15">
        <v>300</v>
      </c>
      <c r="C87" s="16">
        <f>_xll.BfX_Zx("mrad",v0,s,s_unit,h,zx,B87,_c)</f>
        <v>2.8412360063549711</v>
      </c>
    </row>
    <row r="88" spans="2:3" x14ac:dyDescent="0.3">
      <c r="B88" s="15">
        <v>325</v>
      </c>
      <c r="C88" s="16">
        <f>_xll.BfX_Zx("mrad",v0,s,s_unit,h,zx,B88,_c)</f>
        <v>2.5278804031890068</v>
      </c>
    </row>
    <row r="89" spans="2:3" x14ac:dyDescent="0.3">
      <c r="B89" s="15">
        <v>350</v>
      </c>
      <c r="C89" s="16">
        <f>_xll.BfX_Zx("mrad",v0,s,s_unit,h,zx,B89,_c)</f>
        <v>2.2032393066978493</v>
      </c>
    </row>
    <row r="90" spans="2:3" x14ac:dyDescent="0.3">
      <c r="B90" s="15">
        <v>375</v>
      </c>
      <c r="C90" s="16">
        <f>_xll.BfX_Zx("mrad",v0,s,s_unit,h,zx,B90,_c)</f>
        <v>1.8670744052390014</v>
      </c>
    </row>
    <row r="91" spans="2:3" x14ac:dyDescent="0.3">
      <c r="B91" s="15">
        <v>400</v>
      </c>
      <c r="C91" s="16">
        <f>_xll.BfX_Zx("mrad",v0,s,s_unit,h,zx,B91,_c)</f>
        <v>1.5190658158395496</v>
      </c>
    </row>
    <row r="92" spans="2:3" x14ac:dyDescent="0.3">
      <c r="B92" s="15">
        <v>425</v>
      </c>
      <c r="C92" s="16">
        <f>_xll.BfX_Zx("mrad",v0,s,s_unit,h,zx,B92,_c)</f>
        <v>1.1588263425407861</v>
      </c>
    </row>
    <row r="93" spans="2:3" x14ac:dyDescent="0.3">
      <c r="B93" s="15">
        <v>450</v>
      </c>
      <c r="C93" s="16">
        <f>_xll.BfX_Zx("mrad",v0,s,s_unit,h,zx,B93,_c)</f>
        <v>0.78591018676254265</v>
      </c>
    </row>
    <row r="94" spans="2:3" x14ac:dyDescent="0.3">
      <c r="B94" s="15">
        <v>475</v>
      </c>
      <c r="C94" s="16">
        <f>_xll.BfX_Zx("mrad",v0,s,s_unit,h,zx,B94,_c)</f>
        <v>0.39981807830498101</v>
      </c>
    </row>
    <row r="95" spans="2:3" x14ac:dyDescent="0.3">
      <c r="B95" s="15">
        <v>500</v>
      </c>
      <c r="C95" s="16">
        <f>_xll.BfX_Zx("mrad",v0,s,s_unit,h,zx,B95,_c)</f>
        <v>-3.8857805861880479E-16</v>
      </c>
    </row>
    <row r="104" spans="1:7" x14ac:dyDescent="0.3">
      <c r="A104" s="2" t="s">
        <v>404</v>
      </c>
      <c r="B104" s="2" t="s">
        <v>405</v>
      </c>
      <c r="C104" s="2" t="str">
        <f>_xll.BfX_Ze()</f>
        <v>height_at_x=BfX_Ze(v0; s; e; x; c; df=GP) [m] or converted to angle</v>
      </c>
      <c r="D104" s="2"/>
      <c r="E104" s="2"/>
      <c r="F104" s="2"/>
      <c r="G104" s="2"/>
    </row>
    <row r="105" spans="1:7" x14ac:dyDescent="0.3">
      <c r="B105" s="105" t="s">
        <v>406</v>
      </c>
    </row>
    <row r="107" spans="1:7" x14ac:dyDescent="0.3">
      <c r="B107" s="105" t="s">
        <v>407</v>
      </c>
    </row>
    <row r="108" spans="1:7" x14ac:dyDescent="0.3">
      <c r="B108" s="105" t="s">
        <v>409</v>
      </c>
      <c r="C108" s="152">
        <f>_xll.BfX_E(v0,s,s_unit,h,zx,_c)</f>
        <v>6.1363533032739847E-3</v>
      </c>
      <c r="D108" s="16" t="str">
        <f ca="1">_xll.BfX_Cell(C108)</f>
        <v>=BfX_E(v0;s;s_unit;h;zx;_c)</v>
      </c>
      <c r="E108" s="16"/>
      <c r="F108" s="16"/>
      <c r="G108" s="105"/>
    </row>
    <row r="110" spans="1:7" x14ac:dyDescent="0.3">
      <c r="B110" s="105" t="s">
        <v>408</v>
      </c>
    </row>
    <row r="111" spans="1:7" s="105" customFormat="1" x14ac:dyDescent="0.3">
      <c r="B111" s="15" t="str">
        <f>B17</f>
        <v>x [m]</v>
      </c>
      <c r="C111" s="15" t="str">
        <f>C17</f>
        <v>z [cm]</v>
      </c>
      <c r="D111" s="15" t="s">
        <v>297</v>
      </c>
      <c r="E111" s="15"/>
    </row>
    <row r="112" spans="1:7" x14ac:dyDescent="0.3">
      <c r="B112" s="15">
        <v>0</v>
      </c>
      <c r="C112" s="16">
        <f>_xll.BfX_Ze("cm",v0,s,s_unit,_e,B112,_c)</f>
        <v>-3</v>
      </c>
      <c r="D112" s="16">
        <f>_xll.BfX_Ze("mrad",v0,s,s_unit,_e,B112,_c)</f>
        <v>0</v>
      </c>
    </row>
    <row r="113" spans="2:9" x14ac:dyDescent="0.3">
      <c r="B113" s="15">
        <v>2</v>
      </c>
      <c r="C113" s="16">
        <f>_xll.BfX_Ze("cm",v0,s,s_unit,_e,B113,_c)</f>
        <v>-1.7762994677973798</v>
      </c>
      <c r="D113" s="16">
        <f>_xll.BfX_Ze("mrad",v0,s,s_unit,_e,B113,_c)</f>
        <v>-8.8812638229231098</v>
      </c>
    </row>
    <row r="114" spans="2:9" x14ac:dyDescent="0.3">
      <c r="B114" s="15">
        <v>3</v>
      </c>
      <c r="C114" s="16">
        <f>_xll.BfX_Ze("cm",v0,s,s_unit,_e,B114,_c)</f>
        <v>-1.1671426882698204</v>
      </c>
      <c r="D114" s="16">
        <f>_xll.BfX_Ze("mrad",v0,s,s_unit,_e,B114,_c)</f>
        <v>-3.8904559992565315</v>
      </c>
    </row>
    <row r="115" spans="2:9" x14ac:dyDescent="0.3">
      <c r="B115" s="15">
        <v>4</v>
      </c>
      <c r="C115" s="16">
        <f>_xll.BfX_Ze("cm",v0,s,s_unit,_e,B115,_c)</f>
        <v>-0.55978542924907848</v>
      </c>
      <c r="D115" s="16">
        <f>_xll.BfX_Ze("mrad",v0,s,s_unit,_e,B115,_c)</f>
        <v>-1.399462659508097</v>
      </c>
    </row>
    <row r="116" spans="2:9" s="105" customFormat="1" x14ac:dyDescent="0.3">
      <c r="B116" s="15">
        <v>5</v>
      </c>
      <c r="C116" s="16">
        <f>_xll.BfX_Ze("cm",v0,s,s_unit,_e,B116,_c)</f>
        <v>4.5769404865899158E-2</v>
      </c>
      <c r="D116" s="16">
        <f>_xll.BfX_Ze("mrad",v0,s,s_unit,_e,B116,_c)</f>
        <v>9.1538809476119629E-2</v>
      </c>
    </row>
    <row r="117" spans="2:9" s="105" customFormat="1" x14ac:dyDescent="0.3">
      <c r="B117" s="15">
        <v>6</v>
      </c>
      <c r="C117" s="190">
        <f>_xll.BfX_Ze("cm",v0,s,s_unit,_e,B117,_c)</f>
        <v>0.64951890381327937</v>
      </c>
      <c r="D117" s="16">
        <f>_xll.BfX_Ze("mrad",v0,s,s_unit,_e,B117,_c)</f>
        <v>1.0825310834920874</v>
      </c>
      <c r="E117" s="16" t="str">
        <f ca="1">_xll.BfX_Cell(C117)</f>
        <v>=BfX_Ze("cm";v0;s;s_unit;_e;B117;_c)</v>
      </c>
      <c r="F117" s="16"/>
      <c r="G117" s="16"/>
      <c r="H117" s="16"/>
      <c r="I117" s="16"/>
    </row>
    <row r="118" spans="2:9" s="105" customFormat="1" x14ac:dyDescent="0.3">
      <c r="B118" s="15">
        <v>7</v>
      </c>
      <c r="C118" s="16">
        <f>_xll.BfX_Ze("cm",v0,s,s_unit,_e,B118,_c)</f>
        <v>1.2514601514568937</v>
      </c>
      <c r="D118" s="190">
        <f>_xll.BfX_Ze("mrad",v0,s,s_unit,_e,B118,_c)</f>
        <v>1.7877983116306455</v>
      </c>
      <c r="E118" s="16" t="str">
        <f ca="1">_xll.BfX_Cell(D118)</f>
        <v>=BfX_Ze("mrad";v0;s;s_unit;_e;B118;_c)</v>
      </c>
      <c r="F118" s="16"/>
      <c r="G118" s="16"/>
      <c r="H118" s="16"/>
      <c r="I118" s="16"/>
    </row>
    <row r="119" spans="2:9" s="105" customFormat="1" x14ac:dyDescent="0.3">
      <c r="B119" s="15">
        <v>8</v>
      </c>
      <c r="C119" s="16">
        <f>_xll.BfX_Ze("cm",v0,s,s_unit,_e,B119,_c)</f>
        <v>1.8515902257678414</v>
      </c>
      <c r="D119" s="16">
        <f>_xll.BfX_Ze("mrad",v0,s,s_unit,_e,B119,_c)</f>
        <v>2.314483649432276</v>
      </c>
    </row>
    <row r="120" spans="2:9" s="105" customFormat="1" x14ac:dyDescent="0.3">
      <c r="B120" s="15">
        <v>9</v>
      </c>
      <c r="C120" s="16">
        <f>_xll.BfX_Ze("cm",v0,s,s_unit,_e,B120,_c)</f>
        <v>2.4499061988142654</v>
      </c>
      <c r="D120" s="16">
        <f>_xll.BfX_Ze("mrad",v0,s,s_unit,_e,B120,_c)</f>
        <v>2.7221112751477365</v>
      </c>
    </row>
    <row r="121" spans="2:9" s="105" customFormat="1" x14ac:dyDescent="0.3">
      <c r="B121" s="15">
        <v>10</v>
      </c>
      <c r="C121" s="16">
        <f>_xll.BfX_Ze("cm",v0,s,s_unit,_e,B121,_c)</f>
        <v>3.046405136744998</v>
      </c>
      <c r="D121" s="16">
        <f>_xll.BfX_Ze("mrad",v0,s,s_unit,_e,B121,_c)</f>
        <v>3.0463957126576231</v>
      </c>
    </row>
    <row r="122" spans="2:9" s="105" customFormat="1" x14ac:dyDescent="0.3">
      <c r="B122" s="15">
        <v>15</v>
      </c>
      <c r="C122" s="16">
        <f>_xll.BfX_Ze("cm",v0,s,s_unit,_e,B122,_c)</f>
        <v>6.0015411987195533</v>
      </c>
      <c r="D122" s="16">
        <f>_xll.BfX_Ze("mrad",v0,s,s_unit,_e,B122,_c)</f>
        <v>4.0010061162410873</v>
      </c>
    </row>
    <row r="123" spans="2:9" s="105" customFormat="1" x14ac:dyDescent="0.3">
      <c r="B123" s="15">
        <v>17</v>
      </c>
      <c r="C123" s="16">
        <f>_xll.BfX_Ze("cm",v0,s,s_unit,_e,B123,_c)</f>
        <v>7.1707730258570859</v>
      </c>
      <c r="D123" s="16">
        <f>_xll.BfX_Ze("mrad",v0,s,s_unit,_e,B123,_c)</f>
        <v>4.2180767634893854</v>
      </c>
    </row>
    <row r="124" spans="2:9" s="105" customFormat="1" x14ac:dyDescent="0.3">
      <c r="B124" s="15">
        <v>20</v>
      </c>
      <c r="C124" s="16">
        <f>_xll.BfX_Ze("cm",v0,s,s_unit,_e,B124,_c)</f>
        <v>8.9108078764199519</v>
      </c>
      <c r="D124" s="16">
        <f>_xll.BfX_Ze("mrad",v0,s,s_unit,_e,B124,_c)</f>
        <v>4.455374457711275</v>
      </c>
    </row>
    <row r="125" spans="2:9" s="105" customFormat="1" x14ac:dyDescent="0.3">
      <c r="B125" s="15">
        <v>25</v>
      </c>
      <c r="C125" s="16">
        <f>_xll.BfX_Ze("cm",v0,s,s_unit,_e,B125,_c)</f>
        <v>11.773831692622192</v>
      </c>
      <c r="D125" s="16">
        <f>_xll.BfX_Ze("mrad",v0,s,s_unit,_e,B125,_c)</f>
        <v>4.7094978588413401</v>
      </c>
    </row>
    <row r="126" spans="2:9" s="105" customFormat="1" x14ac:dyDescent="0.3">
      <c r="B126" s="15">
        <v>50</v>
      </c>
      <c r="C126" s="16">
        <f>_xll.BfX_Ze("cm",v0,s,s_unit,_e,B126,_c)</f>
        <v>25.381966890408147</v>
      </c>
      <c r="D126" s="16">
        <f>_xll.BfX_Ze("mrad",v0,s,s_unit,_e,B126,_c)</f>
        <v>5.0763497729263758</v>
      </c>
    </row>
    <row r="127" spans="2:9" s="105" customFormat="1" x14ac:dyDescent="0.3">
      <c r="B127" s="15">
        <v>75</v>
      </c>
      <c r="C127" s="16">
        <f>_xll.BfX_Ze("cm",v0,s,s_unit,_e,B127,_c)</f>
        <v>37.775762832754268</v>
      </c>
      <c r="D127" s="16">
        <f>_xll.BfX_Ze("mrad",v0,s,s_unit,_e,B127,_c)</f>
        <v>5.0367257856966319</v>
      </c>
    </row>
    <row r="128" spans="2:9" x14ac:dyDescent="0.3">
      <c r="B128" s="15">
        <f t="shared" ref="B128:B144" si="0">B22</f>
        <v>100</v>
      </c>
      <c r="C128" s="16">
        <f>_xll.BfX_Ze("cm",v0,s,s_unit,_e,B128,_c)</f>
        <v>48.904012798489603</v>
      </c>
      <c r="D128" s="16">
        <f>_xll.BfX_Ze("mrad",v0,s,s_unit,_e,B128,_c)</f>
        <v>4.890362294089158</v>
      </c>
    </row>
    <row r="129" spans="2:4" x14ac:dyDescent="0.3">
      <c r="B129" s="15">
        <f t="shared" si="0"/>
        <v>125</v>
      </c>
      <c r="C129" s="16">
        <f>_xll.BfX_Ze("cm",v0,s,s_unit,_e,B129,_c)</f>
        <v>58.712782203879961</v>
      </c>
      <c r="D129" s="16">
        <f>_xll.BfX_Ze("mrad",v0,s,s_unit,_e,B129,_c)</f>
        <v>4.6969880348305946</v>
      </c>
    </row>
    <row r="130" spans="2:4" x14ac:dyDescent="0.3">
      <c r="B130" s="15">
        <f t="shared" si="0"/>
        <v>150</v>
      </c>
      <c r="C130" s="16">
        <f>_xll.BfX_Ze("cm",v0,s,s_unit,_e,B130,_c)</f>
        <v>67.145232345377792</v>
      </c>
      <c r="D130" s="16">
        <f>_xll.BfX_Ze("mrad",v0,s,s_unit,_e,B130,_c)</f>
        <v>4.4763189248081821</v>
      </c>
    </row>
    <row r="131" spans="2:4" x14ac:dyDescent="0.3">
      <c r="B131" s="15">
        <f t="shared" si="0"/>
        <v>175</v>
      </c>
      <c r="C131" s="16">
        <f>_xll.BfX_Ze("cm",v0,s,s_unit,_e,B131,_c)</f>
        <v>74.141430711127938</v>
      </c>
      <c r="D131" s="16">
        <f>_xll.BfX_Ze("mrad",v0,s,s_unit,_e,B131,_c)</f>
        <v>4.2366278355449243</v>
      </c>
    </row>
    <row r="132" spans="2:4" x14ac:dyDescent="0.3">
      <c r="B132" s="15">
        <f t="shared" si="0"/>
        <v>200</v>
      </c>
      <c r="C132" s="16">
        <f>_xll.BfX_Ze("cm",v0,s,s_unit,_e,B132,_c)</f>
        <v>79.638146678659311</v>
      </c>
      <c r="D132" s="16">
        <f>_xll.BfX_Ze("mrad",v0,s,s_unit,_e,B132,_c)</f>
        <v>3.9818862889750934</v>
      </c>
    </row>
    <row r="133" spans="2:4" x14ac:dyDescent="0.3">
      <c r="B133" s="15">
        <f t="shared" si="0"/>
        <v>225</v>
      </c>
      <c r="C133" s="16">
        <f>_xll.BfX_Ze("cm",v0,s,s_unit,_e,B133,_c)</f>
        <v>83.568631297753996</v>
      </c>
      <c r="D133" s="16">
        <f>_xll.BfX_Ze("mrad",v0,s,s_unit,_e,B133,_c)</f>
        <v>3.7141443122069098</v>
      </c>
    </row>
    <row r="134" spans="2:4" x14ac:dyDescent="0.3">
      <c r="B134" s="15">
        <f t="shared" si="0"/>
        <v>250</v>
      </c>
      <c r="C134" s="16">
        <f>_xll.BfX_Ze("cm",v0,s,s_unit,_e,B134,_c)</f>
        <v>85.862379725719592</v>
      </c>
      <c r="D134" s="16">
        <f>_xll.BfX_Ze("mrad",v0,s,s_unit,_e,B134,_c)</f>
        <v>3.4344816849672357</v>
      </c>
    </row>
    <row r="135" spans="2:4" x14ac:dyDescent="0.3">
      <c r="B135" s="15">
        <f t="shared" si="0"/>
        <v>275</v>
      </c>
      <c r="C135" s="16">
        <f>_xll.BfX_Ze("cm",v0,s,s_unit,_e,B135,_c)</f>
        <v>86.444874735529922</v>
      </c>
      <c r="D135" s="16">
        <f>_xll.BfX_Ze("mrad",v0,s,s_unit,_e,B135,_c)</f>
        <v>3.1434396366767117</v>
      </c>
    </row>
    <row r="136" spans="2:4" x14ac:dyDescent="0.3">
      <c r="B136" s="15">
        <f t="shared" si="0"/>
        <v>300</v>
      </c>
      <c r="C136" s="16">
        <f>_xll.BfX_Ze("cm",v0,s,s_unit,_e,B136,_c)</f>
        <v>85.237309553633935</v>
      </c>
      <c r="D136" s="16">
        <f>_xll.BfX_Ze("mrad",v0,s,s_unit,_e,B136,_c)</f>
        <v>2.8412360063549711</v>
      </c>
    </row>
    <row r="137" spans="2:4" x14ac:dyDescent="0.3">
      <c r="B137" s="15">
        <f t="shared" si="0"/>
        <v>325</v>
      </c>
      <c r="C137" s="16">
        <f>_xll.BfX_Ze("cm",v0,s,s_unit,_e,B137,_c)</f>
        <v>82.156288101522023</v>
      </c>
      <c r="D137" s="16">
        <f>_xll.BfX_Ze("mrad",v0,s,s_unit,_e,B137,_c)</f>
        <v>2.5278804031890068</v>
      </c>
    </row>
    <row r="138" spans="2:4" x14ac:dyDescent="0.3">
      <c r="B138" s="15">
        <f t="shared" si="0"/>
        <v>350</v>
      </c>
      <c r="C138" s="16">
        <f>_xll.BfX_Ze("cm",v0,s,s_unit,_e,B138,_c)</f>
        <v>77.113500510880598</v>
      </c>
      <c r="D138" s="16">
        <f>_xll.BfX_Ze("mrad",v0,s,s_unit,_e,B138,_c)</f>
        <v>2.2032393066978493</v>
      </c>
    </row>
    <row r="139" spans="2:4" x14ac:dyDescent="0.3">
      <c r="B139" s="15">
        <f t="shared" si="0"/>
        <v>375</v>
      </c>
      <c r="C139" s="16">
        <f>_xll.BfX_Ze("cm",v0,s,s_unit,_e,B139,_c)</f>
        <v>70.015371553569182</v>
      </c>
      <c r="D139" s="16">
        <f>_xll.BfX_Ze("mrad",v0,s,s_unit,_e,B139,_c)</f>
        <v>1.8670744052390014</v>
      </c>
    </row>
    <row r="140" spans="2:4" x14ac:dyDescent="0.3">
      <c r="B140" s="15">
        <f t="shared" si="0"/>
        <v>400</v>
      </c>
      <c r="C140" s="16">
        <f>_xll.BfX_Ze("cm",v0,s,s_unit,_e,B140,_c)</f>
        <v>60.762679371451277</v>
      </c>
      <c r="D140" s="16">
        <f>_xll.BfX_Ze("mrad",v0,s,s_unit,_e,B140,_c)</f>
        <v>1.5190658158395496</v>
      </c>
    </row>
    <row r="141" spans="2:4" x14ac:dyDescent="0.3">
      <c r="B141" s="15">
        <f t="shared" si="0"/>
        <v>425</v>
      </c>
      <c r="C141" s="16">
        <f>_xll.BfX_Ze("cm",v0,s,s_unit,_e,B141,_c)</f>
        <v>49.250141603637339</v>
      </c>
      <c r="D141" s="16">
        <f>_xll.BfX_Ze("mrad",v0,s,s_unit,_e,B141,_c)</f>
        <v>1.1588263425407861</v>
      </c>
    </row>
    <row r="142" spans="2:4" x14ac:dyDescent="0.3">
      <c r="B142" s="15">
        <f t="shared" si="0"/>
        <v>450</v>
      </c>
      <c r="C142" s="16">
        <f>_xll.BfX_Ze("cm",v0,s,s_unit,_e,B142,_c)</f>
        <v>35.365965685634457</v>
      </c>
      <c r="D142" s="16">
        <f>_xll.BfX_Ze("mrad",v0,s,s_unit,_e,B142,_c)</f>
        <v>0.78591018676254265</v>
      </c>
    </row>
    <row r="143" spans="2:4" x14ac:dyDescent="0.3">
      <c r="B143" s="15">
        <f t="shared" si="0"/>
        <v>475</v>
      </c>
      <c r="C143" s="16">
        <f>_xll.BfX_Ze("cm",v0,s,s_unit,_e,B143,_c)</f>
        <v>18.99135973143802</v>
      </c>
      <c r="D143" s="16">
        <f>_xll.BfX_Ze("mrad",v0,s,s_unit,_e,B143,_c)</f>
        <v>0.39981807830498101</v>
      </c>
    </row>
    <row r="144" spans="2:4" x14ac:dyDescent="0.3">
      <c r="B144" s="15">
        <f t="shared" si="0"/>
        <v>500</v>
      </c>
      <c r="C144" s="16">
        <f>_xll.BfX_Ze("cm",v0,s,s_unit,_e,B144,_c)</f>
        <v>-1.9428902930940239E-14</v>
      </c>
      <c r="D144" s="16">
        <f>_xll.BfX_Ze("mrad",v0,s,s_unit,_e,B144,_c)</f>
        <v>-3.8857805861880479E-16</v>
      </c>
    </row>
    <row r="145" spans="2:8" x14ac:dyDescent="0.3">
      <c r="B145" s="105"/>
    </row>
    <row r="146" spans="2:8" x14ac:dyDescent="0.3">
      <c r="B146" s="105"/>
    </row>
    <row r="147" spans="2:8" x14ac:dyDescent="0.3">
      <c r="B147" s="105"/>
    </row>
    <row r="148" spans="2:8" x14ac:dyDescent="0.3">
      <c r="B148" s="105"/>
    </row>
    <row r="150" spans="2:8" ht="16.5" thickBot="1" x14ac:dyDescent="0.35"/>
    <row r="151" spans="2:8" x14ac:dyDescent="0.3">
      <c r="B151" s="198" t="str">
        <f ca="1">MID(CELL("filename",A6),FIND("]",CELL("filename",A6))+1,1256)</f>
        <v>Trajectory height</v>
      </c>
      <c r="C151" s="199"/>
      <c r="D151" s="199" t="s">
        <v>401</v>
      </c>
      <c r="E151" s="199" t="str">
        <f ca="1">_xll.BfX_CRC(B9:D38,"ov")</f>
        <v>BfX2638404287CRC</v>
      </c>
      <c r="F151" s="199"/>
      <c r="G151" s="199"/>
      <c r="H151" s="200"/>
    </row>
    <row r="152" spans="2:8" ht="16.5" thickBot="1" x14ac:dyDescent="0.35">
      <c r="B152" s="201" t="str">
        <f ca="1">MID(CELL("filename",A7),FIND("]",CELL("filename",A7))+1,1256)</f>
        <v>Trajectory height</v>
      </c>
      <c r="C152" s="202"/>
      <c r="D152" s="202" t="s">
        <v>405</v>
      </c>
      <c r="E152" s="202" t="str">
        <f>_xll.BfX_CRC(B62:C95)</f>
        <v>BfX2667924298CRC</v>
      </c>
      <c r="F152" s="202"/>
      <c r="G152" s="202"/>
      <c r="H152" s="203"/>
    </row>
    <row r="153" spans="2:8" x14ac:dyDescent="0.3">
      <c r="B153" s="198" t="s">
        <v>761</v>
      </c>
      <c r="C153" s="199"/>
      <c r="D153" s="199"/>
      <c r="E153" s="199"/>
      <c r="F153" s="199"/>
      <c r="G153" s="199"/>
      <c r="H153" s="200"/>
    </row>
    <row r="154" spans="2:8" x14ac:dyDescent="0.3">
      <c r="B154" s="201" t="s">
        <v>759</v>
      </c>
      <c r="C154" s="202"/>
      <c r="D154" s="202"/>
      <c r="E154" s="202"/>
      <c r="F154" s="202"/>
      <c r="G154" s="202"/>
      <c r="H154" s="203"/>
    </row>
    <row r="155" spans="2:8" ht="16.5" thickBot="1" x14ac:dyDescent="0.35">
      <c r="B155" s="204" t="s">
        <v>760</v>
      </c>
      <c r="C155" s="205"/>
      <c r="D155" s="205"/>
      <c r="E155" s="205"/>
      <c r="F155" s="205"/>
      <c r="G155" s="205"/>
      <c r="H155" s="20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49" workbookViewId="0">
      <selection activeCell="B109" sqref="B109"/>
    </sheetView>
  </sheetViews>
  <sheetFormatPr defaultRowHeight="15.75" x14ac:dyDescent="0.3"/>
  <cols>
    <col min="3" max="3" width="13.21875" customWidth="1"/>
    <col min="4" max="4" width="11" customWidth="1"/>
    <col min="5" max="5" width="10" bestFit="1" customWidth="1"/>
  </cols>
  <sheetData>
    <row r="1" spans="1:11" x14ac:dyDescent="0.3">
      <c r="A1">
        <v>12</v>
      </c>
      <c r="B1" t="s">
        <v>146</v>
      </c>
    </row>
    <row r="2" spans="1:11" x14ac:dyDescent="0.3">
      <c r="A2" s="2" t="s">
        <v>148</v>
      </c>
      <c r="B2" s="2" t="s">
        <v>147</v>
      </c>
      <c r="C2" s="15" t="str">
        <f>_xll.BfX_Y()</f>
        <v>wind_deflection=BfX_Y(v0; &lt;xw&gt;; &lt;vw&gt;; x; c; df=GP) [m] or converted to angle</v>
      </c>
      <c r="D2" s="4"/>
      <c r="E2" s="4"/>
      <c r="F2" s="4"/>
      <c r="G2" s="4"/>
      <c r="H2" s="4"/>
      <c r="I2" s="4"/>
      <c r="J2" s="4"/>
      <c r="K2" s="4"/>
    </row>
    <row r="4" spans="1:11" x14ac:dyDescent="0.3">
      <c r="B4" s="105" t="s">
        <v>507</v>
      </c>
    </row>
    <row r="5" spans="1:11" x14ac:dyDescent="0.3">
      <c r="B5" t="s">
        <v>150</v>
      </c>
    </row>
    <row r="7" spans="1:11" x14ac:dyDescent="0.3">
      <c r="B7" s="105" t="s">
        <v>508</v>
      </c>
    </row>
    <row r="8" spans="1:11" x14ac:dyDescent="0.3">
      <c r="B8" s="19">
        <f>_xll.BfX_Y(740,1,3,250,0.5)</f>
        <v>0.11342739983968209</v>
      </c>
      <c r="C8" t="s">
        <v>149</v>
      </c>
      <c r="D8" s="21" t="str">
        <f ca="1">_xll.BfX_Cell(B8)</f>
        <v>=BfX_Y(740;1;3;250;0,5)</v>
      </c>
      <c r="E8" s="21"/>
      <c r="F8" s="21"/>
    </row>
    <row r="9" spans="1:11" x14ac:dyDescent="0.3">
      <c r="B9" t="s">
        <v>168</v>
      </c>
    </row>
    <row r="10" spans="1:11" x14ac:dyDescent="0.3">
      <c r="B10" t="s">
        <v>151</v>
      </c>
    </row>
    <row r="11" spans="1:11" x14ac:dyDescent="0.3">
      <c r="B11" s="105" t="s">
        <v>509</v>
      </c>
    </row>
    <row r="13" spans="1:11" x14ac:dyDescent="0.3">
      <c r="B13" t="s">
        <v>153</v>
      </c>
    </row>
    <row r="14" spans="1:11" x14ac:dyDescent="0.3">
      <c r="B14" s="21" t="str">
        <f ca="1">_xll.BfX_Cell(B15)</f>
        <v>=BfX_Y(740;E15:H15;E16:H16;250;0,5)</v>
      </c>
      <c r="C14" s="21"/>
      <c r="D14" s="21"/>
      <c r="E14" s="21"/>
      <c r="F14" s="21"/>
      <c r="G14" s="21"/>
      <c r="H14" s="21"/>
    </row>
    <row r="15" spans="1:11" x14ac:dyDescent="0.3">
      <c r="B15" s="19">
        <f>_xll.BfX_Y(740,E15:H15,E16:H16,250,0.5)</f>
        <v>0.12871696855298015</v>
      </c>
      <c r="C15" s="4" t="s">
        <v>149</v>
      </c>
      <c r="D15" s="17" t="s">
        <v>152</v>
      </c>
      <c r="E15" s="4">
        <v>30</v>
      </c>
      <c r="F15" s="4">
        <v>100</v>
      </c>
      <c r="G15" s="4">
        <v>150</v>
      </c>
      <c r="H15" s="4">
        <v>200</v>
      </c>
      <c r="I15" s="105" t="s">
        <v>149</v>
      </c>
    </row>
    <row r="16" spans="1:11" x14ac:dyDescent="0.3">
      <c r="B16" s="19"/>
      <c r="C16" s="4"/>
      <c r="D16" s="17" t="s">
        <v>154</v>
      </c>
      <c r="E16" s="4">
        <v>3</v>
      </c>
      <c r="F16" s="4">
        <v>4</v>
      </c>
      <c r="G16" s="4">
        <v>3</v>
      </c>
      <c r="H16" s="4">
        <v>4</v>
      </c>
      <c r="I16" s="105" t="s">
        <v>52</v>
      </c>
    </row>
    <row r="17" spans="2:9" x14ac:dyDescent="0.3">
      <c r="B17" s="105" t="s">
        <v>510</v>
      </c>
    </row>
    <row r="18" spans="2:9" x14ac:dyDescent="0.3">
      <c r="B18" t="s">
        <v>155</v>
      </c>
    </row>
    <row r="19" spans="2:9" x14ac:dyDescent="0.3">
      <c r="B19" t="s">
        <v>156</v>
      </c>
    </row>
    <row r="21" spans="2:9" x14ac:dyDescent="0.3">
      <c r="B21" s="105" t="s">
        <v>443</v>
      </c>
    </row>
    <row r="22" spans="2:9" x14ac:dyDescent="0.3">
      <c r="B22" s="105" t="s">
        <v>444</v>
      </c>
    </row>
    <row r="23" spans="2:9" x14ac:dyDescent="0.3">
      <c r="B23" t="s">
        <v>160</v>
      </c>
    </row>
    <row r="24" spans="2:9" s="105" customFormat="1" x14ac:dyDescent="0.3">
      <c r="B24" s="105" t="s">
        <v>392</v>
      </c>
    </row>
    <row r="26" spans="2:9" x14ac:dyDescent="0.3">
      <c r="B26" s="79" t="s">
        <v>37</v>
      </c>
      <c r="C26" s="80">
        <v>740</v>
      </c>
      <c r="D26" s="80" t="s">
        <v>52</v>
      </c>
      <c r="E26" s="80" t="s">
        <v>158</v>
      </c>
      <c r="F26" s="80">
        <v>0.5</v>
      </c>
      <c r="G26" s="80" t="s">
        <v>442</v>
      </c>
      <c r="H26" s="25"/>
    </row>
    <row r="27" spans="2:9" x14ac:dyDescent="0.3">
      <c r="B27" s="82" t="s">
        <v>157</v>
      </c>
      <c r="C27" s="82" t="s">
        <v>159</v>
      </c>
      <c r="D27" s="81" t="s">
        <v>161</v>
      </c>
      <c r="E27" s="21"/>
      <c r="F27" s="21"/>
      <c r="G27" s="21"/>
      <c r="H27" s="21"/>
    </row>
    <row r="28" spans="2:9" x14ac:dyDescent="0.3">
      <c r="B28" s="83">
        <v>0</v>
      </c>
      <c r="C28" s="83">
        <v>2</v>
      </c>
      <c r="D28" s="191">
        <f>_xll.BfX_Y("cm",v0,xw_m,yw_beaufort,"bf",B28,c_)</f>
        <v>0</v>
      </c>
      <c r="E28" s="21" t="str">
        <f ca="1">_xll.BfX_Cell(D28)</f>
        <v>=BfX_Y("cm";v0;xw_m;yw_beaufort;"bf";B28;c_)</v>
      </c>
      <c r="F28" s="21"/>
      <c r="G28" s="21"/>
      <c r="H28" s="21"/>
      <c r="I28" s="21"/>
    </row>
    <row r="29" spans="2:9" x14ac:dyDescent="0.3">
      <c r="B29" s="83">
        <v>50</v>
      </c>
      <c r="C29" s="83">
        <v>2</v>
      </c>
      <c r="D29" s="54">
        <f>_xll.BfX_Y("cm",v0,xw_m,yw_beaufort,"bf",B29,c_)</f>
        <v>0.32822222331431422</v>
      </c>
    </row>
    <row r="30" spans="2:9" x14ac:dyDescent="0.3">
      <c r="B30" s="83">
        <v>100</v>
      </c>
      <c r="C30" s="83">
        <v>2</v>
      </c>
      <c r="D30" s="54">
        <f>_xll.BfX_Y("cm",v0,xw_m,yw_beaufort,"bf",B30,c_)</f>
        <v>1.3404261917875935</v>
      </c>
    </row>
    <row r="31" spans="2:9" x14ac:dyDescent="0.3">
      <c r="B31" s="83">
        <v>150</v>
      </c>
      <c r="C31" s="83">
        <v>2</v>
      </c>
      <c r="D31" s="54">
        <f>_xll.BfX_Y("cm",v0,xw_m,yw_beaufort,"bf",B31,c_)</f>
        <v>3.0805726619530636</v>
      </c>
    </row>
    <row r="32" spans="2:9" x14ac:dyDescent="0.3">
      <c r="B32" s="83">
        <v>200</v>
      </c>
      <c r="C32" s="83">
        <v>2</v>
      </c>
      <c r="D32" s="54">
        <f>_xll.BfX_Y("cm",v0,xw_m,yw_beaufort,"bf",B32,c_)</f>
        <v>5.5964721175423353</v>
      </c>
    </row>
    <row r="33" spans="2:4" x14ac:dyDescent="0.3">
      <c r="B33" s="83">
        <v>250</v>
      </c>
      <c r="C33" s="83">
        <v>2</v>
      </c>
      <c r="D33" s="54">
        <f>_xll.BfX_Y("cm",v0,xw_m,yw_beaufort,"bf",B33,c_)</f>
        <v>8.9402156118349403</v>
      </c>
    </row>
    <row r="34" spans="2:4" x14ac:dyDescent="0.3">
      <c r="B34" s="84">
        <v>300</v>
      </c>
      <c r="C34" s="84">
        <v>2</v>
      </c>
      <c r="D34" s="86">
        <f>_xll.BfX_Y("cm",v0,xw_m,yw_beaufort,"bf",B34,c_)</f>
        <v>13.168664796058593</v>
      </c>
    </row>
    <row r="51" spans="2:11" x14ac:dyDescent="0.3">
      <c r="B51" s="105" t="s">
        <v>286</v>
      </c>
    </row>
    <row r="52" spans="2:11" x14ac:dyDescent="0.3">
      <c r="B52" s="79" t="s">
        <v>37</v>
      </c>
      <c r="C52" s="80">
        <v>740</v>
      </c>
      <c r="D52" s="80" t="s">
        <v>52</v>
      </c>
      <c r="E52" s="80" t="s">
        <v>158</v>
      </c>
      <c r="F52" s="80">
        <v>0.5</v>
      </c>
      <c r="G52" s="80" t="s">
        <v>442</v>
      </c>
      <c r="H52" s="25"/>
    </row>
    <row r="53" spans="2:11" x14ac:dyDescent="0.3">
      <c r="B53" s="82" t="s">
        <v>157</v>
      </c>
      <c r="C53" s="82" t="s">
        <v>159</v>
      </c>
      <c r="D53" s="81" t="s">
        <v>285</v>
      </c>
      <c r="E53" s="105"/>
      <c r="F53" s="105"/>
      <c r="G53" s="105"/>
      <c r="H53" s="105"/>
      <c r="I53" s="105"/>
      <c r="J53" s="105"/>
    </row>
    <row r="54" spans="2:11" x14ac:dyDescent="0.3">
      <c r="B54" s="83">
        <v>0</v>
      </c>
      <c r="C54" s="83">
        <v>2</v>
      </c>
      <c r="D54" s="191">
        <f>_xll.BfX_Y("moa",v0,xw__m,yw__beaufort,"bf",B54,c_)</f>
        <v>0</v>
      </c>
      <c r="E54" s="54" t="str">
        <f ca="1">_xll.BfX_Cell(D54)</f>
        <v>=BfX_Y("moa";v0;xw__m;yw__beaufort;"bf";B54;c_)</v>
      </c>
      <c r="F54" s="54"/>
      <c r="G54" s="54"/>
      <c r="H54" s="54"/>
      <c r="I54" s="53"/>
      <c r="J54" s="53"/>
      <c r="K54" s="105"/>
    </row>
    <row r="55" spans="2:11" x14ac:dyDescent="0.3">
      <c r="B55" s="83">
        <v>50</v>
      </c>
      <c r="C55" s="83">
        <v>2</v>
      </c>
      <c r="D55" s="54">
        <f>_xll.BfX_Y("moa",v0,xw__m,yw__beaufort,"bf",B55,c_)</f>
        <v>0.22566897733557703</v>
      </c>
    </row>
    <row r="56" spans="2:11" x14ac:dyDescent="0.3">
      <c r="B56" s="83">
        <v>100</v>
      </c>
      <c r="C56" s="83">
        <v>2</v>
      </c>
      <c r="D56" s="54">
        <f>_xll.BfX_Y("moa",v0,xw__m,yw__beaufort,"bf",B56,c_)</f>
        <v>0.46080457846951167</v>
      </c>
      <c r="H56" t="s">
        <v>295</v>
      </c>
    </row>
    <row r="57" spans="2:11" x14ac:dyDescent="0.3">
      <c r="B57" s="83">
        <v>150</v>
      </c>
      <c r="C57" s="83">
        <v>2</v>
      </c>
      <c r="D57" s="54">
        <f>_xll.BfX_Y("moa",v0,xw__m,yw__beaufort,"bf",B57,c_)</f>
        <v>0.70601523812719158</v>
      </c>
    </row>
    <row r="58" spans="2:11" x14ac:dyDescent="0.3">
      <c r="B58" s="83">
        <v>200</v>
      </c>
      <c r="C58" s="83">
        <v>2</v>
      </c>
      <c r="D58" s="54">
        <f>_xll.BfX_Y("moa",v0,xw__m,yw__beaufort,"bf",B58,c_)</f>
        <v>0.96196267238582966</v>
      </c>
    </row>
    <row r="59" spans="2:11" x14ac:dyDescent="0.3">
      <c r="B59" s="83">
        <v>250</v>
      </c>
      <c r="C59" s="83">
        <v>2</v>
      </c>
      <c r="D59" s="54">
        <f>_xll.BfX_Y("moa",v0,xw__m,yw__beaufort,"bf",B59,c_)</f>
        <v>1.2293678415828055</v>
      </c>
    </row>
    <row r="60" spans="2:11" x14ac:dyDescent="0.3">
      <c r="B60" s="83">
        <v>300</v>
      </c>
      <c r="C60" s="83">
        <v>2</v>
      </c>
      <c r="D60" s="54">
        <f>_xll.BfX_Y("moa",v0,xw__m,yw__beaufort,"bf",B60,c_)</f>
        <v>1.5090177323531826</v>
      </c>
    </row>
    <row r="61" spans="2:11" x14ac:dyDescent="0.3">
      <c r="B61" s="84">
        <v>600</v>
      </c>
      <c r="C61" s="84">
        <v>2</v>
      </c>
      <c r="D61" s="54">
        <f>_xll.BfX_Y("moa",v0,xw__m,yw__beaufort,"bf",B61,c_)</f>
        <v>3.4986547987878751</v>
      </c>
    </row>
    <row r="77" spans="2:4" x14ac:dyDescent="0.3">
      <c r="B77" t="s">
        <v>287</v>
      </c>
    </row>
    <row r="79" spans="2:4" x14ac:dyDescent="0.3">
      <c r="B79" t="s">
        <v>166</v>
      </c>
    </row>
    <row r="80" spans="2:4" x14ac:dyDescent="0.3">
      <c r="B80" s="82" t="s">
        <v>157</v>
      </c>
      <c r="C80" s="82" t="s">
        <v>159</v>
      </c>
      <c r="D80" s="82" t="s">
        <v>161</v>
      </c>
    </row>
    <row r="81" spans="2:4" x14ac:dyDescent="0.3">
      <c r="B81" s="83">
        <v>0</v>
      </c>
      <c r="C81" s="83">
        <v>2</v>
      </c>
      <c r="D81" s="85">
        <f>_xll.BfX_Y("cm",v0,xw_2,yw_2,"bf",B81,c_)</f>
        <v>0</v>
      </c>
    </row>
    <row r="82" spans="2:4" x14ac:dyDescent="0.3">
      <c r="B82" s="83">
        <v>50</v>
      </c>
      <c r="C82" s="83">
        <v>1.8</v>
      </c>
      <c r="D82" s="85">
        <f>_xll.BfX_Y("cm",v0,xw_2,yw_2,"bf",B82,c_)</f>
        <v>0.31598176719438281</v>
      </c>
    </row>
    <row r="83" spans="2:4" x14ac:dyDescent="0.3">
      <c r="B83" s="83">
        <v>100</v>
      </c>
      <c r="C83" s="83">
        <v>0</v>
      </c>
      <c r="D83" s="85">
        <f>_xll.BfX_Y("cm",v0,xw_2,yw_2,"bf",B83,c_)</f>
        <v>1.1518981446253314</v>
      </c>
    </row>
    <row r="84" spans="2:4" x14ac:dyDescent="0.3">
      <c r="B84" s="83">
        <v>150</v>
      </c>
      <c r="C84" s="83">
        <v>-2</v>
      </c>
      <c r="D84" s="85">
        <f>_xll.BfX_Y("cm",v0,xw_2,yw_2,"bf",B84,c_)</f>
        <v>1.9674243992327669</v>
      </c>
    </row>
    <row r="85" spans="2:4" x14ac:dyDescent="0.3">
      <c r="B85" s="83">
        <v>200</v>
      </c>
      <c r="C85" s="83">
        <v>-2</v>
      </c>
      <c r="D85" s="85">
        <f>_xll.BfX_Y("cm",v0,xw_2,yw_2,"bf",B85,c_)</f>
        <v>2.1000885822070678</v>
      </c>
    </row>
    <row r="86" spans="2:4" x14ac:dyDescent="0.3">
      <c r="B86" s="83">
        <v>250</v>
      </c>
      <c r="C86" s="83">
        <v>-2</v>
      </c>
      <c r="D86" s="85">
        <f>_xll.BfX_Y("cm",v0,xw_2,yw_2,"bf",B86,c_)</f>
        <v>1.4049087264780349</v>
      </c>
    </row>
    <row r="87" spans="2:4" x14ac:dyDescent="0.3">
      <c r="B87" s="84">
        <v>300</v>
      </c>
      <c r="C87" s="84">
        <v>-2</v>
      </c>
      <c r="D87" s="86">
        <f>_xll.BfX_Y("cm",v0,xw_2,yw_2,"bf",B87,c_)</f>
        <v>-0.17497681918204103</v>
      </c>
    </row>
    <row r="105" spans="2:7" ht="16.5" thickBot="1" x14ac:dyDescent="0.35"/>
    <row r="106" spans="2:7" ht="16.5" thickBot="1" x14ac:dyDescent="0.35">
      <c r="B106" s="198" t="str">
        <f ca="1">MID(CELL("filename",A6),FIND("]",CELL("filename",A6))+1,1256)</f>
        <v>Cross wind deflection</v>
      </c>
      <c r="C106" s="199"/>
      <c r="D106" s="199" t="s">
        <v>147</v>
      </c>
      <c r="E106" s="199" t="str">
        <f>_xll.BfX_CRC(B80:D87,"ov")</f>
        <v>BfX3072912351CRC</v>
      </c>
      <c r="F106" s="199"/>
      <c r="G106" s="200"/>
    </row>
    <row r="107" spans="2:7" x14ac:dyDescent="0.3">
      <c r="B107" s="198" t="s">
        <v>761</v>
      </c>
      <c r="C107" s="199"/>
      <c r="D107" s="199"/>
      <c r="E107" s="199"/>
      <c r="F107" s="199"/>
      <c r="G107" s="200"/>
    </row>
    <row r="108" spans="2:7" x14ac:dyDescent="0.3">
      <c r="B108" s="201" t="s">
        <v>759</v>
      </c>
      <c r="C108" s="202"/>
      <c r="D108" s="202"/>
      <c r="E108" s="202"/>
      <c r="F108" s="202"/>
      <c r="G108" s="203"/>
    </row>
    <row r="109" spans="2:7" ht="16.5" thickBot="1" x14ac:dyDescent="0.35">
      <c r="B109" s="204" t="s">
        <v>760</v>
      </c>
      <c r="C109" s="205"/>
      <c r="D109" s="205"/>
      <c r="E109" s="205"/>
      <c r="F109" s="205"/>
      <c r="G109" s="206"/>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topLeftCell="A93" workbookViewId="0">
      <selection activeCell="B120" sqref="B120:G122"/>
    </sheetView>
  </sheetViews>
  <sheetFormatPr defaultRowHeight="15.75" x14ac:dyDescent="0.3"/>
  <cols>
    <col min="2" max="2" width="10" bestFit="1" customWidth="1"/>
    <col min="3" max="3" width="13.5546875" customWidth="1"/>
    <col min="4" max="8" width="10" bestFit="1" customWidth="1"/>
    <col min="9" max="12" width="11" bestFit="1" customWidth="1"/>
    <col min="13" max="13" width="17.21875" customWidth="1"/>
    <col min="14" max="18" width="11" bestFit="1" customWidth="1"/>
  </cols>
  <sheetData>
    <row r="1" spans="1:11" x14ac:dyDescent="0.3">
      <c r="A1">
        <v>13</v>
      </c>
      <c r="B1" s="105" t="s">
        <v>513</v>
      </c>
    </row>
    <row r="2" spans="1:11" s="105" customFormat="1" x14ac:dyDescent="0.3"/>
    <row r="3" spans="1:11" s="105" customFormat="1" x14ac:dyDescent="0.3">
      <c r="A3" s="18" t="s">
        <v>169</v>
      </c>
      <c r="B3" s="2" t="s">
        <v>622</v>
      </c>
      <c r="C3" s="18" t="str">
        <f>_xll.BfX_AD()</f>
        <v>air density = BfX_Ad(T=15 [C]; P=101324.6 [Pa]; H=0.0 [fraction of 1]) [kg/m^3]</v>
      </c>
      <c r="D3" s="18"/>
      <c r="E3" s="18"/>
      <c r="F3" s="18"/>
      <c r="G3" s="18"/>
      <c r="H3" s="18"/>
      <c r="I3" s="18"/>
      <c r="J3" s="18"/>
      <c r="K3" s="18"/>
    </row>
    <row r="4" spans="1:11" s="105" customFormat="1" x14ac:dyDescent="0.3"/>
    <row r="5" spans="1:11" s="105" customFormat="1" x14ac:dyDescent="0.3"/>
    <row r="6" spans="1:11" s="105" customFormat="1" x14ac:dyDescent="0.3"/>
    <row r="7" spans="1:11" s="105" customFormat="1" x14ac:dyDescent="0.3"/>
    <row r="8" spans="1:11" s="105" customFormat="1" x14ac:dyDescent="0.3"/>
    <row r="9" spans="1:11" s="105" customFormat="1" x14ac:dyDescent="0.3">
      <c r="B9" s="105" t="s">
        <v>623</v>
      </c>
    </row>
    <row r="10" spans="1:11" s="105" customFormat="1" x14ac:dyDescent="0.3">
      <c r="B10" s="105" t="s">
        <v>624</v>
      </c>
    </row>
    <row r="11" spans="1:11" s="105" customFormat="1" x14ac:dyDescent="0.3"/>
    <row r="12" spans="1:11" s="105" customFormat="1" x14ac:dyDescent="0.3">
      <c r="B12" s="105" t="s">
        <v>625</v>
      </c>
    </row>
    <row r="13" spans="1:11" s="105" customFormat="1" x14ac:dyDescent="0.3"/>
    <row r="14" spans="1:11" s="105" customFormat="1" x14ac:dyDescent="0.3">
      <c r="B14" s="105" t="s">
        <v>638</v>
      </c>
    </row>
    <row r="15" spans="1:11" s="105" customFormat="1" x14ac:dyDescent="0.3">
      <c r="B15" s="208">
        <f>_xll.BfX_AD(31,1020,"hPa",0.9)</f>
        <v>1.1511656667446082</v>
      </c>
      <c r="C15" s="18" t="s">
        <v>639</v>
      </c>
      <c r="D15" s="18" t="str">
        <f ca="1">_xll.BfX_Cell(B15)</f>
        <v>=BfX_AD(31;1020;"hPa";0,9)</v>
      </c>
      <c r="E15" s="18"/>
      <c r="F15" s="18"/>
      <c r="G15" s="18"/>
    </row>
    <row r="16" spans="1:11" s="105" customFormat="1" x14ac:dyDescent="0.3">
      <c r="B16" s="105" t="s">
        <v>640</v>
      </c>
    </row>
    <row r="17" spans="1:17" s="105" customFormat="1" x14ac:dyDescent="0.3">
      <c r="B17" s="208">
        <f>_xll.BfX_AD(31,1020,"hPa",0.1,"fH")</f>
        <v>1.1666663586489654</v>
      </c>
      <c r="C17" s="18" t="s">
        <v>639</v>
      </c>
      <c r="D17" s="18" t="str">
        <f ca="1">_xll.BfX_Cell(B17)</f>
        <v>=BfX_AD(31;1020;"hPa";0,1;"fH")</v>
      </c>
      <c r="E17" s="18"/>
      <c r="F17" s="18"/>
      <c r="G17" s="18"/>
      <c r="H17" s="105" t="s">
        <v>642</v>
      </c>
    </row>
    <row r="18" spans="1:17" s="105" customFormat="1" x14ac:dyDescent="0.3">
      <c r="H18" s="105" t="s">
        <v>643</v>
      </c>
    </row>
    <row r="19" spans="1:17" s="105" customFormat="1" x14ac:dyDescent="0.3">
      <c r="B19" s="105" t="s">
        <v>641</v>
      </c>
    </row>
    <row r="20" spans="1:17" s="105" customFormat="1" x14ac:dyDescent="0.3">
      <c r="B20" s="208">
        <f>_xll.BfX_AD(-4,990,"hPa",10,"%H")</f>
        <v>1.2819818991034422</v>
      </c>
      <c r="C20" s="18" t="s">
        <v>639</v>
      </c>
      <c r="D20" s="18" t="str">
        <f ca="1">_xll.BfX_Cell(B20)</f>
        <v>=BfX_AD(-4;990;"hPa";10;"%H")</v>
      </c>
      <c r="E20" s="18"/>
      <c r="F20" s="18"/>
      <c r="G20" s="18"/>
      <c r="H20" s="105" t="s">
        <v>644</v>
      </c>
    </row>
    <row r="21" spans="1:17" s="105" customFormat="1" x14ac:dyDescent="0.3"/>
    <row r="22" spans="1:17" s="105" customFormat="1" ht="16.5" thickBot="1" x14ac:dyDescent="0.35">
      <c r="B22" s="105" t="s">
        <v>645</v>
      </c>
    </row>
    <row r="23" spans="1:17" s="105" customFormat="1" x14ac:dyDescent="0.3">
      <c r="B23" s="214"/>
      <c r="C23" s="215"/>
      <c r="D23" s="214" t="s">
        <v>626</v>
      </c>
      <c r="E23" s="215"/>
      <c r="F23" s="216"/>
      <c r="G23" s="214" t="s">
        <v>627</v>
      </c>
      <c r="H23" s="215"/>
      <c r="I23" s="216"/>
      <c r="J23" s="214" t="s">
        <v>628</v>
      </c>
      <c r="K23" s="215"/>
      <c r="L23" s="216"/>
      <c r="M23" s="215" t="s">
        <v>651</v>
      </c>
      <c r="N23" s="216"/>
    </row>
    <row r="24" spans="1:17" s="105" customFormat="1" ht="16.5" thickBot="1" x14ac:dyDescent="0.35">
      <c r="B24" s="217"/>
      <c r="C24" s="218"/>
      <c r="D24" s="217" t="s">
        <v>629</v>
      </c>
      <c r="E24" s="218" t="s">
        <v>630</v>
      </c>
      <c r="F24" s="219" t="s">
        <v>631</v>
      </c>
      <c r="G24" s="217" t="s">
        <v>632</v>
      </c>
      <c r="H24" s="218" t="s">
        <v>633</v>
      </c>
      <c r="I24" s="219" t="s">
        <v>634</v>
      </c>
      <c r="J24" s="217" t="s">
        <v>635</v>
      </c>
      <c r="K24" s="218" t="s">
        <v>636</v>
      </c>
      <c r="L24" s="219" t="s">
        <v>637</v>
      </c>
      <c r="M24" s="218" t="s">
        <v>650</v>
      </c>
      <c r="N24" s="219"/>
    </row>
    <row r="25" spans="1:17" s="105" customFormat="1" x14ac:dyDescent="0.3">
      <c r="B25" s="214" t="s">
        <v>646</v>
      </c>
      <c r="C25" s="215"/>
      <c r="D25" s="235">
        <v>101324.6</v>
      </c>
      <c r="E25" s="236">
        <f>_xll.BfX_U("mmHg",D25)</f>
        <v>759.99700215345706</v>
      </c>
      <c r="F25" s="237">
        <f>_xll.BfX_U("inHg",D25)</f>
        <v>29.921134281974105</v>
      </c>
      <c r="G25" s="238">
        <v>15</v>
      </c>
      <c r="H25" s="215">
        <v>59</v>
      </c>
      <c r="I25" s="237">
        <f>_xll.BfX_U("k",G25)</f>
        <v>288.14999999999998</v>
      </c>
      <c r="J25" s="214">
        <v>0</v>
      </c>
      <c r="K25" s="239">
        <f>_xll.BfX_AD(G25,D25,J25,"%h")</f>
        <v>1.2255164491579833</v>
      </c>
      <c r="L25" s="240">
        <f>_xll.BfX_AD("lb/ft^3",G25,D25,J25,"%h")</f>
        <v>7.650649244908117E-2</v>
      </c>
      <c r="M25" s="239">
        <f>_xll.BfX_C(G25,D25,J25,"%h")</f>
        <v>1.0000039493102013</v>
      </c>
      <c r="N25" s="216"/>
      <c r="Q25" s="105">
        <f>stdad/K25</f>
        <v>0</v>
      </c>
    </row>
    <row r="26" spans="1:17" x14ac:dyDescent="0.3">
      <c r="A26" s="105"/>
      <c r="B26" s="217" t="s">
        <v>647</v>
      </c>
      <c r="C26" s="218"/>
      <c r="D26" s="227">
        <f>_xll.BfX_U(750,"mmHg")</f>
        <v>99991.776000000013</v>
      </c>
      <c r="E26" s="220">
        <f>_xll.BfX_U("mmHg",D26)</f>
        <v>750</v>
      </c>
      <c r="F26" s="228">
        <f>_xll.BfX_U("inHg",D26)</f>
        <v>29.52755161914358</v>
      </c>
      <c r="G26" s="231">
        <f>_xll.BfX_U(59,"F")</f>
        <v>15</v>
      </c>
      <c r="H26" s="218">
        <v>59</v>
      </c>
      <c r="I26" s="228">
        <f>_xll.BfX_U("k",G26)</f>
        <v>288.14999999999998</v>
      </c>
      <c r="J26" s="217">
        <v>78</v>
      </c>
      <c r="K26" s="221">
        <f>_xll.BfX_AD(G26,D26,J26,"%h")</f>
        <v>1.2033258981585857</v>
      </c>
      <c r="L26" s="233">
        <f>_xll.BfX_AD("lb/ft^3",G26,D26,J26,"%h")</f>
        <v>7.5121181608379842E-2</v>
      </c>
      <c r="M26" s="221">
        <f>_xll.BfX_C(G26,D26,J26,"%h")</f>
        <v>1.0184450371906537</v>
      </c>
      <c r="N26" s="219"/>
      <c r="Q26" s="105">
        <f>stdad/K26</f>
        <v>0</v>
      </c>
    </row>
    <row r="27" spans="1:17" s="2" customFormat="1" ht="16.5" thickBot="1" x14ac:dyDescent="0.35">
      <c r="A27" s="105"/>
      <c r="B27" s="222" t="s">
        <v>648</v>
      </c>
      <c r="C27" s="223"/>
      <c r="D27" s="229">
        <f>_xll.BfX_U(30,"inHg")</f>
        <v>101591.67</v>
      </c>
      <c r="E27" s="224">
        <f>_xll.BfX_U("mmHg",D27)</f>
        <v>762.00019189578143</v>
      </c>
      <c r="F27" s="230">
        <f>_xll.BfX_U("inHg",D27)</f>
        <v>30</v>
      </c>
      <c r="G27" s="232">
        <f>_xll.BfX_U(60,"F")</f>
        <v>15.555555555555555</v>
      </c>
      <c r="H27" s="223">
        <v>60</v>
      </c>
      <c r="I27" s="230">
        <f>_xll.BfX_U("k",G27)</f>
        <v>288.70555555555552</v>
      </c>
      <c r="J27" s="222">
        <v>67</v>
      </c>
      <c r="K27" s="225">
        <f>_xll.BfX_AD(G27,D27,J27,"%h")</f>
        <v>1.2209875560213777</v>
      </c>
      <c r="L27" s="234">
        <f>_xll.BfX_AD("lb/ft^3",G27,D27,J27,"%h")</f>
        <v>7.622376288735519E-2</v>
      </c>
      <c r="M27" s="225">
        <f>_xll.BfX_C(G27,D27,J27,"%h")</f>
        <v>1.0037131689498895</v>
      </c>
      <c r="N27" s="226"/>
      <c r="Q27" s="105">
        <f>stdad/K27</f>
        <v>0</v>
      </c>
    </row>
    <row r="28" spans="1:17" s="2" customFormat="1" x14ac:dyDescent="0.3">
      <c r="A28" s="105"/>
      <c r="B28" s="105"/>
      <c r="C28" s="105"/>
      <c r="D28" s="105"/>
      <c r="E28" s="105"/>
      <c r="F28" s="105"/>
      <c r="G28" s="105"/>
      <c r="H28" s="105"/>
      <c r="I28" s="105"/>
      <c r="J28" s="105"/>
      <c r="K28" s="105"/>
      <c r="L28" s="105"/>
      <c r="M28" s="105"/>
    </row>
    <row r="29" spans="1:17" s="2" customFormat="1" x14ac:dyDescent="0.3">
      <c r="A29" s="105"/>
      <c r="B29" s="105" t="s">
        <v>649</v>
      </c>
      <c r="C29" s="105"/>
      <c r="D29" s="105"/>
      <c r="E29" s="105"/>
      <c r="F29" s="105"/>
      <c r="G29" s="105"/>
      <c r="H29" s="105"/>
      <c r="I29" s="105"/>
      <c r="J29" s="105"/>
      <c r="K29" s="105"/>
      <c r="L29" s="105"/>
      <c r="M29" s="105"/>
    </row>
    <row r="30" spans="1:17" x14ac:dyDescent="0.3">
      <c r="A30" s="105"/>
      <c r="B30" s="105" t="s">
        <v>653</v>
      </c>
      <c r="C30" s="105"/>
      <c r="D30" s="105"/>
      <c r="E30" s="105"/>
      <c r="F30" s="105"/>
      <c r="G30" s="105"/>
      <c r="H30" s="105"/>
      <c r="I30" s="105"/>
      <c r="J30" s="105"/>
      <c r="K30" s="105"/>
      <c r="L30" s="105"/>
      <c r="M30" s="105"/>
    </row>
    <row r="31" spans="1:17" s="105" customFormat="1" x14ac:dyDescent="0.3">
      <c r="B31" s="105" t="s">
        <v>652</v>
      </c>
    </row>
    <row r="33" spans="1:13" s="105" customFormat="1" x14ac:dyDescent="0.3">
      <c r="B33" s="105" t="s">
        <v>661</v>
      </c>
    </row>
    <row r="34" spans="1:13" s="105" customFormat="1" x14ac:dyDescent="0.3">
      <c r="B34" s="105" t="s">
        <v>654</v>
      </c>
    </row>
    <row r="35" spans="1:13" s="105" customFormat="1" x14ac:dyDescent="0.3"/>
    <row r="36" spans="1:13" s="105" customFormat="1" x14ac:dyDescent="0.3">
      <c r="A36" s="18" t="s">
        <v>621</v>
      </c>
      <c r="B36" s="2" t="s">
        <v>656</v>
      </c>
      <c r="C36" s="18"/>
      <c r="D36" s="18"/>
      <c r="E36" s="18"/>
      <c r="F36" s="18"/>
      <c r="G36" s="18"/>
      <c r="H36" s="18"/>
      <c r="I36" s="18"/>
      <c r="J36" s="2"/>
      <c r="K36" s="2"/>
      <c r="L36" s="2"/>
      <c r="M36" s="2"/>
    </row>
    <row r="37" spans="1:13" s="105" customFormat="1" x14ac:dyDescent="0.3">
      <c r="A37" s="2"/>
      <c r="B37" s="2"/>
      <c r="C37" s="2"/>
      <c r="D37" s="2"/>
      <c r="E37" s="2"/>
      <c r="F37" s="2"/>
      <c r="G37" s="2"/>
      <c r="H37" s="2"/>
      <c r="I37" s="2"/>
      <c r="J37" s="2"/>
      <c r="K37" s="2"/>
      <c r="L37" s="2"/>
      <c r="M37" s="2"/>
    </row>
    <row r="38" spans="1:13" s="105" customFormat="1" x14ac:dyDescent="0.3">
      <c r="B38" s="105" t="s">
        <v>664</v>
      </c>
    </row>
    <row r="39" spans="1:13" s="105" customFormat="1" x14ac:dyDescent="0.3">
      <c r="B39" s="105" t="s">
        <v>657</v>
      </c>
    </row>
    <row r="40" spans="1:13" s="105" customFormat="1" x14ac:dyDescent="0.3">
      <c r="B40" s="211" t="s">
        <v>646</v>
      </c>
      <c r="C40" s="210"/>
      <c r="D40" s="209" t="s">
        <v>663</v>
      </c>
      <c r="E40" s="209"/>
      <c r="F40" s="209"/>
      <c r="G40" s="211"/>
      <c r="H40" s="147"/>
      <c r="I40" s="147"/>
      <c r="J40" s="147"/>
      <c r="K40" s="147"/>
      <c r="L40" s="210"/>
    </row>
    <row r="41" spans="1:13" s="105" customFormat="1" x14ac:dyDescent="0.3">
      <c r="B41" s="209" t="s">
        <v>647</v>
      </c>
      <c r="C41" s="209"/>
      <c r="D41" s="209" t="s">
        <v>658</v>
      </c>
      <c r="E41" s="209"/>
      <c r="F41" s="209"/>
      <c r="G41" s="209"/>
      <c r="H41" s="209"/>
      <c r="I41" s="209"/>
      <c r="J41" s="211"/>
      <c r="K41" s="147"/>
      <c r="L41" s="210"/>
    </row>
    <row r="42" spans="1:13" s="105" customFormat="1" x14ac:dyDescent="0.3">
      <c r="B42" s="209" t="s">
        <v>659</v>
      </c>
      <c r="C42" s="209"/>
      <c r="D42" s="209" t="s">
        <v>660</v>
      </c>
      <c r="E42" s="209"/>
      <c r="F42" s="209"/>
      <c r="G42" s="209"/>
      <c r="H42" s="209"/>
      <c r="I42" s="209"/>
      <c r="J42" s="209"/>
      <c r="K42" s="209"/>
      <c r="L42" s="209"/>
    </row>
    <row r="43" spans="1:13" s="105" customFormat="1" x14ac:dyDescent="0.3"/>
    <row r="44" spans="1:13" s="105" customFormat="1" x14ac:dyDescent="0.3">
      <c r="B44" s="105" t="s">
        <v>662</v>
      </c>
    </row>
    <row r="45" spans="1:13" s="105" customFormat="1" x14ac:dyDescent="0.3">
      <c r="A45"/>
      <c r="B45"/>
      <c r="C45"/>
      <c r="D45"/>
      <c r="E45"/>
      <c r="F45"/>
      <c r="G45"/>
      <c r="H45"/>
      <c r="I45"/>
      <c r="J45"/>
      <c r="K45"/>
      <c r="L45"/>
      <c r="M45"/>
    </row>
    <row r="46" spans="1:13" s="105" customFormat="1" x14ac:dyDescent="0.3">
      <c r="A46" s="18" t="s">
        <v>655</v>
      </c>
      <c r="B46" s="2" t="s">
        <v>170</v>
      </c>
      <c r="C46" s="18" t="str">
        <f>_xll.BfX_C()</f>
        <v>BfX_C(T=15 [Celcius]; P=101324.6  [Pa], H=0.0 [fraction of 1]) []</v>
      </c>
      <c r="D46" s="18"/>
      <c r="E46" s="18"/>
      <c r="F46" s="18"/>
      <c r="G46" s="18"/>
      <c r="H46" s="18"/>
      <c r="I46" s="18"/>
      <c r="J46" s="2"/>
      <c r="K46" s="2"/>
      <c r="L46" s="2"/>
      <c r="M46" s="2"/>
    </row>
    <row r="47" spans="1:13" x14ac:dyDescent="0.3">
      <c r="A47" s="2"/>
      <c r="B47" s="2"/>
      <c r="C47" s="2"/>
      <c r="D47" s="2"/>
      <c r="E47" s="2"/>
      <c r="F47" s="2"/>
      <c r="G47" s="2"/>
      <c r="H47" s="2"/>
      <c r="I47" s="2"/>
      <c r="J47" s="2"/>
      <c r="K47" s="2"/>
      <c r="L47" s="2"/>
      <c r="M47" s="2"/>
    </row>
    <row r="48" spans="1:13" x14ac:dyDescent="0.3">
      <c r="A48" s="105"/>
      <c r="B48" s="105"/>
      <c r="C48" s="105"/>
      <c r="D48" s="105"/>
      <c r="E48" s="105"/>
      <c r="F48" s="105"/>
      <c r="G48" s="105"/>
      <c r="H48" s="105"/>
      <c r="I48" s="105"/>
      <c r="J48" s="105"/>
      <c r="K48" s="105"/>
      <c r="L48" s="105"/>
      <c r="M48" s="105"/>
    </row>
    <row r="49" spans="1:13" x14ac:dyDescent="0.3">
      <c r="A49" s="105"/>
      <c r="B49" s="105" t="s">
        <v>665</v>
      </c>
      <c r="C49" s="105"/>
      <c r="D49" s="105"/>
      <c r="E49" s="105"/>
      <c r="F49" s="105"/>
      <c r="G49" s="105"/>
      <c r="H49" s="105"/>
      <c r="I49" s="105"/>
      <c r="J49" s="105"/>
      <c r="K49" s="105"/>
      <c r="L49" s="105"/>
      <c r="M49" s="105"/>
    </row>
    <row r="50" spans="1:13" s="105" customFormat="1" x14ac:dyDescent="0.3">
      <c r="B50" s="105" t="s">
        <v>607</v>
      </c>
    </row>
    <row r="51" spans="1:13" s="105" customFormat="1" x14ac:dyDescent="0.3">
      <c r="A51" s="20"/>
      <c r="B51" s="20" t="s">
        <v>612</v>
      </c>
      <c r="C51" s="20"/>
      <c r="D51" s="20"/>
      <c r="E51" s="20"/>
      <c r="F51" s="20"/>
      <c r="G51" s="20"/>
      <c r="H51" s="20"/>
      <c r="I51" s="20"/>
      <c r="J51" s="20"/>
      <c r="K51" s="20"/>
      <c r="L51" s="20"/>
      <c r="M51" s="20"/>
    </row>
    <row r="52" spans="1:13" s="105" customFormat="1" x14ac:dyDescent="0.3">
      <c r="A52" s="20"/>
      <c r="B52" s="20" t="s">
        <v>608</v>
      </c>
      <c r="C52" s="20"/>
      <c r="D52" s="20"/>
      <c r="E52" s="20"/>
      <c r="F52" s="20"/>
      <c r="G52" s="20"/>
      <c r="H52" s="20"/>
      <c r="I52" s="20"/>
      <c r="J52" s="20"/>
      <c r="K52" s="20"/>
      <c r="L52" s="20"/>
      <c r="M52" s="20"/>
    </row>
    <row r="53" spans="1:13" s="105" customFormat="1" x14ac:dyDescent="0.3">
      <c r="A53"/>
      <c r="B53" s="105" t="s">
        <v>666</v>
      </c>
      <c r="C53"/>
      <c r="D53"/>
      <c r="E53"/>
      <c r="F53"/>
      <c r="G53"/>
      <c r="H53"/>
      <c r="I53"/>
      <c r="J53"/>
      <c r="K53"/>
      <c r="L53"/>
      <c r="M53"/>
    </row>
    <row r="54" spans="1:13" s="105" customFormat="1" x14ac:dyDescent="0.3">
      <c r="A54"/>
      <c r="C54"/>
      <c r="D54"/>
      <c r="E54"/>
      <c r="F54"/>
      <c r="G54"/>
      <c r="H54"/>
      <c r="I54"/>
      <c r="J54"/>
      <c r="K54"/>
      <c r="L54"/>
      <c r="M54"/>
    </row>
    <row r="55" spans="1:13" s="105" customFormat="1" x14ac:dyDescent="0.3">
      <c r="A55"/>
      <c r="B55" s="105" t="s">
        <v>512</v>
      </c>
      <c r="C55"/>
      <c r="D55"/>
      <c r="E55"/>
      <c r="F55"/>
      <c r="G55"/>
      <c r="H55"/>
      <c r="I55"/>
    </row>
    <row r="56" spans="1:13" s="105" customFormat="1" x14ac:dyDescent="0.3">
      <c r="A56"/>
      <c r="B56" t="s">
        <v>172</v>
      </c>
      <c r="C56"/>
      <c r="D56"/>
      <c r="E56"/>
      <c r="F56"/>
      <c r="G56"/>
      <c r="H56"/>
      <c r="I56"/>
    </row>
    <row r="57" spans="1:13" s="105" customFormat="1" x14ac:dyDescent="0.3">
      <c r="A57"/>
      <c r="B57" t="s">
        <v>173</v>
      </c>
      <c r="C57" s="19">
        <f>_xll.BfX_D(740,500,0.5*_xll.BfX_C(30,))</f>
        <v>2.9864195625793064</v>
      </c>
      <c r="D57" t="s">
        <v>76</v>
      </c>
      <c r="E57" s="21" t="str">
        <f ca="1">_xll.BfX_Cell(C57)</f>
        <v>=BfX_D(740;500;0,5*BfX_C(30;))</v>
      </c>
      <c r="F57" s="21"/>
      <c r="G57" s="21"/>
      <c r="H57"/>
      <c r="I57" t="s">
        <v>610</v>
      </c>
    </row>
    <row r="58" spans="1:13" s="105" customFormat="1" x14ac:dyDescent="0.3">
      <c r="A58"/>
      <c r="B58" t="s">
        <v>174</v>
      </c>
      <c r="C58" s="19">
        <f>_xll.BfX_D(740,500,0.5*_xll.BfX_C(3,))</f>
        <v>3.0851075748225809</v>
      </c>
      <c r="D58" t="s">
        <v>76</v>
      </c>
      <c r="E58" s="21" t="str">
        <f ca="1">_xll.BfX_Cell(C58)</f>
        <v>=BfX_D(740;500;0,5*BfX_C(3;))</v>
      </c>
      <c r="F58" s="21"/>
      <c r="G58" s="21"/>
      <c r="H58"/>
      <c r="I58" t="s">
        <v>611</v>
      </c>
    </row>
    <row r="59" spans="1:13" s="105" customFormat="1" x14ac:dyDescent="0.3">
      <c r="A59"/>
      <c r="B59" t="s">
        <v>175</v>
      </c>
      <c r="C59" s="19">
        <f>C57-C58</f>
        <v>-9.8688012243274503E-2</v>
      </c>
      <c r="D59" t="s">
        <v>76</v>
      </c>
      <c r="E59"/>
      <c r="F59"/>
      <c r="G59"/>
      <c r="H59"/>
      <c r="I59"/>
    </row>
    <row r="60" spans="1:13" s="105" customFormat="1" x14ac:dyDescent="0.3">
      <c r="A60"/>
      <c r="B60" s="105" t="s">
        <v>354</v>
      </c>
      <c r="C60"/>
      <c r="D60"/>
      <c r="E60"/>
      <c r="F60"/>
      <c r="G60"/>
      <c r="H60"/>
      <c r="I60"/>
    </row>
    <row r="61" spans="1:13" x14ac:dyDescent="0.3">
      <c r="J61" s="105"/>
      <c r="K61" s="105"/>
      <c r="L61" s="105"/>
      <c r="M61" s="105"/>
    </row>
    <row r="62" spans="1:13" x14ac:dyDescent="0.3">
      <c r="B62" s="2" t="s">
        <v>526</v>
      </c>
      <c r="J62" s="105"/>
      <c r="K62" s="105"/>
      <c r="L62" s="105"/>
      <c r="M62" s="105"/>
    </row>
    <row r="63" spans="1:13" x14ac:dyDescent="0.3">
      <c r="A63" s="105"/>
      <c r="B63" s="105"/>
      <c r="C63" s="105"/>
      <c r="D63" s="105"/>
      <c r="E63" s="105"/>
      <c r="F63" s="105"/>
      <c r="G63" s="105"/>
      <c r="H63" s="105"/>
      <c r="I63" s="105"/>
      <c r="J63" s="105"/>
      <c r="K63" s="105"/>
      <c r="L63" s="105"/>
      <c r="M63" s="105"/>
    </row>
    <row r="64" spans="1:13" x14ac:dyDescent="0.3">
      <c r="A64" s="105"/>
      <c r="B64" s="105"/>
      <c r="C64" s="105"/>
      <c r="D64" s="105"/>
      <c r="E64" s="105"/>
      <c r="F64" s="105"/>
      <c r="G64" s="105"/>
      <c r="H64" s="105"/>
      <c r="I64" s="105"/>
      <c r="J64" s="105"/>
      <c r="K64" s="105"/>
      <c r="L64" s="105"/>
      <c r="M64" s="105"/>
    </row>
    <row r="65" spans="1:18" x14ac:dyDescent="0.3">
      <c r="A65" s="105"/>
      <c r="B65" s="105" t="s">
        <v>609</v>
      </c>
      <c r="C65" s="105"/>
      <c r="D65" s="105"/>
      <c r="E65" s="105"/>
      <c r="F65" s="105"/>
      <c r="G65" s="105"/>
      <c r="H65" s="105"/>
      <c r="I65" s="105"/>
      <c r="J65" s="105"/>
      <c r="K65" s="105"/>
      <c r="L65" s="105"/>
      <c r="M65" s="105"/>
    </row>
    <row r="66" spans="1:18" ht="16.5" thickBot="1" x14ac:dyDescent="0.35"/>
    <row r="67" spans="1:18" ht="16.5" thickBot="1" x14ac:dyDescent="0.35">
      <c r="D67" s="106" t="s">
        <v>398</v>
      </c>
      <c r="E67" s="107"/>
      <c r="F67" s="107"/>
      <c r="G67" s="107"/>
      <c r="H67" s="107" t="s">
        <v>668</v>
      </c>
      <c r="I67" s="107"/>
      <c r="J67" s="107"/>
      <c r="K67" s="107"/>
      <c r="L67" s="107"/>
      <c r="M67" s="107"/>
      <c r="N67" s="107"/>
      <c r="O67" s="107"/>
      <c r="P67" s="107"/>
      <c r="Q67" s="107"/>
      <c r="R67" s="108"/>
    </row>
    <row r="68" spans="1:18" ht="16.5" thickBot="1" x14ac:dyDescent="0.35">
      <c r="B68" s="106" t="s">
        <v>669</v>
      </c>
      <c r="C68" s="107" t="s">
        <v>171</v>
      </c>
      <c r="D68" s="157">
        <v>99225</v>
      </c>
      <c r="E68" s="157">
        <v>99525</v>
      </c>
      <c r="F68" s="157">
        <v>99825</v>
      </c>
      <c r="G68" s="157">
        <v>100125</v>
      </c>
      <c r="H68" s="157">
        <v>100425</v>
      </c>
      <c r="I68" s="157">
        <v>100725</v>
      </c>
      <c r="J68" s="157">
        <v>101025</v>
      </c>
      <c r="K68" s="157">
        <v>101325</v>
      </c>
      <c r="L68" s="157">
        <v>101625</v>
      </c>
      <c r="M68" s="157">
        <v>101925</v>
      </c>
      <c r="N68" s="157">
        <v>102225</v>
      </c>
      <c r="O68" s="157">
        <v>102525</v>
      </c>
      <c r="P68" s="157">
        <v>102825</v>
      </c>
      <c r="Q68" s="157">
        <v>103125</v>
      </c>
      <c r="R68" s="157">
        <v>103425</v>
      </c>
    </row>
    <row r="69" spans="1:18" x14ac:dyDescent="0.3">
      <c r="B69" s="241">
        <f>_xll.BfX_U("F",C69)</f>
        <v>32</v>
      </c>
      <c r="C69" s="155">
        <v>0</v>
      </c>
      <c r="D69" s="158">
        <f>_xll.BfX_C($C69,D$68)</f>
        <v>0.96784707259819014</v>
      </c>
      <c r="E69" s="159">
        <f>_xll.BfX_C($C69,E$68)</f>
        <v>0.96492801114040239</v>
      </c>
      <c r="F69" s="159">
        <f>_xll.BfX_C($C69,F$68)</f>
        <v>0.96202649479773583</v>
      </c>
      <c r="G69" s="159">
        <f>_xll.BfX_C($C69,G$68)</f>
        <v>0.95914236586128987</v>
      </c>
      <c r="H69" s="159">
        <f>_xll.BfX_C($C69,H$68)</f>
        <v>0.95627546850666256</v>
      </c>
      <c r="I69" s="159">
        <f>_xll.BfX_C($C69,I$68)</f>
        <v>0.95342564876588509</v>
      </c>
      <c r="J69" s="159">
        <f>_xll.BfX_C($C69,J$68)</f>
        <v>0.95059275449985881</v>
      </c>
      <c r="K69" s="159">
        <f>_xll.BfX_C($C69,K$68)</f>
        <v>0.94777663537128032</v>
      </c>
      <c r="L69" s="159">
        <f>_xll.BfX_C($C69,L$68)</f>
        <v>0.94497714281804612</v>
      </c>
      <c r="M69" s="159">
        <f>_xll.BfX_C($C69,M$68)</f>
        <v>0.94219413002712971</v>
      </c>
      <c r="N69" s="159">
        <f>_xll.BfX_C($C69,N$68)</f>
        <v>0.93942745190891375</v>
      </c>
      <c r="O69" s="159">
        <f>_xll.BfX_C($C69,O$68)</f>
        <v>0.93667696507197729</v>
      </c>
      <c r="P69" s="159">
        <f>_xll.BfX_C($C69,P$68)</f>
        <v>0.93394252779832243</v>
      </c>
      <c r="Q69" s="159">
        <f>_xll.BfX_C($C69,Q$68)</f>
        <v>0.93122400001903316</v>
      </c>
      <c r="R69" s="95">
        <f>_xll.BfX_C($C69,R$68)</f>
        <v>0.92852124329035868</v>
      </c>
    </row>
    <row r="70" spans="1:18" x14ac:dyDescent="0.3">
      <c r="B70" s="241">
        <f>_xll.BfX_U("F",C70)</f>
        <v>33.799999999999997</v>
      </c>
      <c r="C70" s="155">
        <v>1</v>
      </c>
      <c r="D70" s="160">
        <f>_xll.BfX_C($C70,D$68)</f>
        <v>0.97140265175522533</v>
      </c>
      <c r="E70" s="43">
        <f>_xll.BfX_C($C70,E$68)</f>
        <v>0.96847290358474181</v>
      </c>
      <c r="F70" s="43">
        <f>_xll.BfX_C($C70,F$68)</f>
        <v>0.96556076476190766</v>
      </c>
      <c r="G70" s="43">
        <f>_xll.BfX_C($C70,G$68)</f>
        <v>0.96266607700045126</v>
      </c>
      <c r="H70" s="43">
        <f>_xll.BfX_C($C70,H$68)</f>
        <v>0.95978868390549932</v>
      </c>
      <c r="I70" s="43">
        <f>_xll.BfX_C($C70,I$68)</f>
        <v>0.95692843094540725</v>
      </c>
      <c r="J70" s="43">
        <f>_xll.BfX_C($C70,J$68)</f>
        <v>0.95408516542409572</v>
      </c>
      <c r="K70" s="43">
        <f>_xll.BfX_C($C70,K$68)</f>
        <v>0.95125873645387837</v>
      </c>
      <c r="L70" s="43">
        <f>_xll.BfX_C($C70,L$68)</f>
        <v>0.94844899492876678</v>
      </c>
      <c r="M70" s="43">
        <f>_xll.BfX_C($C70,M$68)</f>
        <v>0.94565579349825302</v>
      </c>
      <c r="N70" s="43">
        <f>_xll.BfX_C($C70,N$68)</f>
        <v>0.94287898654154789</v>
      </c>
      <c r="O70" s="43">
        <f>_xll.BfX_C($C70,O$68)</f>
        <v>0.94011843014227581</v>
      </c>
      <c r="P70" s="43">
        <f>_xll.BfX_C($C70,P$68)</f>
        <v>0.93737398206361</v>
      </c>
      <c r="Q70" s="43">
        <f>_xll.BfX_C($C70,Q$68)</f>
        <v>0.93464550172384353</v>
      </c>
      <c r="R70" s="97">
        <f>_xll.BfX_C($C70,R$68)</f>
        <v>0.9319328501723837</v>
      </c>
    </row>
    <row r="71" spans="1:18" x14ac:dyDescent="0.3">
      <c r="B71" s="241">
        <f>_xll.BfX_U("F",C71)</f>
        <v>35.6</v>
      </c>
      <c r="C71" s="155">
        <v>2</v>
      </c>
      <c r="D71" s="160">
        <f>_xll.BfX_C($C71,D$68)</f>
        <v>0.97495815327942137</v>
      </c>
      <c r="E71" s="43">
        <f>_xll.BfX_C($C71,E$68)</f>
        <v>0.9720177183964297</v>
      </c>
      <c r="F71" s="43">
        <f>_xll.BfX_C($C71,F$68)</f>
        <v>0.96909495709361548</v>
      </c>
      <c r="G71" s="43">
        <f>_xll.BfX_C($C71,G$68)</f>
        <v>0.96618971050733649</v>
      </c>
      <c r="H71" s="43">
        <f>_xll.BfX_C($C71,H$68)</f>
        <v>0.9633018216722472</v>
      </c>
      <c r="I71" s="43">
        <f>_xll.BfX_C($C71,I$68)</f>
        <v>0.96043113549302728</v>
      </c>
      <c r="J71" s="43">
        <f>_xll.BfX_C($C71,J$68)</f>
        <v>0.95757749871661846</v>
      </c>
      <c r="K71" s="43">
        <f>_xll.BfX_C($C71,K$68)</f>
        <v>0.95474075990494967</v>
      </c>
      <c r="L71" s="43">
        <f>_xll.BfX_C($C71,L$68)</f>
        <v>0.95192076940814829</v>
      </c>
      <c r="M71" s="43">
        <f>_xll.BfX_C($C71,M$68)</f>
        <v>0.94911737933822449</v>
      </c>
      <c r="N71" s="43">
        <f>_xll.BfX_C($C71,N$68)</f>
        <v>0.9463304435432176</v>
      </c>
      <c r="O71" s="43">
        <f>_xll.BfX_C($C71,O$68)</f>
        <v>0.9435598175817973</v>
      </c>
      <c r="P71" s="43">
        <f>_xll.BfX_C($C71,P$68)</f>
        <v>0.94080535869830795</v>
      </c>
      <c r="Q71" s="43">
        <f>_xll.BfX_C($C71,Q$68)</f>
        <v>0.93806692579825179</v>
      </c>
      <c r="R71" s="97">
        <f>_xll.BfX_C($C71,R$68)</f>
        <v>0.93534437942419446</v>
      </c>
    </row>
    <row r="72" spans="1:18" x14ac:dyDescent="0.3">
      <c r="B72" s="241">
        <f>_xll.BfX_U("F",C72)</f>
        <v>37.4</v>
      </c>
      <c r="C72" s="155">
        <v>3</v>
      </c>
      <c r="D72" s="160">
        <f>_xll.BfX_C($C72,D$68)</f>
        <v>0.97851357717010479</v>
      </c>
      <c r="E72" s="43">
        <f>_xll.BfX_C($C72,E$68)</f>
        <v>0.97556245557479004</v>
      </c>
      <c r="F72" s="43">
        <f>_xll.BfX_C($C72,F$68)</f>
        <v>0.97262907179218117</v>
      </c>
      <c r="G72" s="43">
        <f>_xll.BfX_C($C72,G$68)</f>
        <v>0.96971326638126498</v>
      </c>
      <c r="H72" s="43">
        <f>_xll.BfX_C($C72,H$68)</f>
        <v>0.96681488180622377</v>
      </c>
      <c r="I72" s="43">
        <f>_xll.BfX_C($C72,I$68)</f>
        <v>0.96393376240806194</v>
      </c>
      <c r="J72" s="43">
        <f>_xll.BfX_C($C72,J$68)</f>
        <v>0.96106975437674114</v>
      </c>
      <c r="K72" s="43">
        <f>_xll.BfX_C($C72,K$68)</f>
        <v>0.95822270572380608</v>
      </c>
      <c r="L72" s="43">
        <f>_xll.BfX_C($C72,L$68)</f>
        <v>0.95539246625550023</v>
      </c>
      <c r="M72" s="43">
        <f>_xll.BfX_C($C72,M$68)</f>
        <v>0.95257888754635223</v>
      </c>
      <c r="N72" s="43">
        <f>_xll.BfX_C($C72,N$68)</f>
        <v>0.94978182291322921</v>
      </c>
      <c r="O72" s="43">
        <f>_xll.BfX_C($C72,O$68)</f>
        <v>0.94700112738984588</v>
      </c>
      <c r="P72" s="43">
        <f>_xll.BfX_C($C72,P$68)</f>
        <v>0.9442366577017185</v>
      </c>
      <c r="Q72" s="43">
        <f>_xll.BfX_C($C72,Q$68)</f>
        <v>0.94148827224155784</v>
      </c>
      <c r="R72" s="97">
        <f>_xll.BfX_C($C72,R$68)</f>
        <v>0.93875583104508831</v>
      </c>
    </row>
    <row r="73" spans="1:18" x14ac:dyDescent="0.3">
      <c r="B73" s="241">
        <f>_xll.BfX_U("F",C73)</f>
        <v>39.200000000000003</v>
      </c>
      <c r="C73" s="155">
        <v>4</v>
      </c>
      <c r="D73" s="160">
        <f>_xll.BfX_C($C73,D$68)</f>
        <v>0.98206892342661189</v>
      </c>
      <c r="E73" s="43">
        <f>_xll.BfX_C($C73,E$68)</f>
        <v>0.97910711511915749</v>
      </c>
      <c r="F73" s="43">
        <f>_xll.BfX_C($C73,F$68)</f>
        <v>0.97616310885693736</v>
      </c>
      <c r="G73" s="43">
        <f>_xll.BfX_C($C73,G$68)</f>
        <v>0.97323674462156751</v>
      </c>
      <c r="H73" s="43">
        <f>_xll.BfX_C($C73,H$68)</f>
        <v>0.97032786430675777</v>
      </c>
      <c r="I73" s="43">
        <f>_xll.BfX_C($C73,I$68)</f>
        <v>0.96743631168983746</v>
      </c>
      <c r="J73" s="43">
        <f>_xll.BfX_C($C73,J$68)</f>
        <v>0.9645619324037874</v>
      </c>
      <c r="K73" s="43">
        <f>_xll.BfX_C($C73,K$68)</f>
        <v>0.96170457390977016</v>
      </c>
      <c r="L73" s="43">
        <f>_xll.BfX_C($C73,L$68)</f>
        <v>0.95886408547014312</v>
      </c>
      <c r="M73" s="43">
        <f>_xll.BfX_C($C73,M$68)</f>
        <v>0.95604031812195422</v>
      </c>
      <c r="N73" s="43">
        <f>_xll.BfX_C($C73,N$68)</f>
        <v>0.95323312465089838</v>
      </c>
      <c r="O73" s="43">
        <f>_xll.BfX_C($C73,O$68)</f>
        <v>0.95044235956573553</v>
      </c>
      <c r="P73" s="43">
        <f>_xll.BfX_C($C73,P$68)</f>
        <v>0.94766787907315342</v>
      </c>
      <c r="Q73" s="43">
        <f>_xll.BfX_C($C73,Q$68)</f>
        <v>0.94490954105307157</v>
      </c>
      <c r="R73" s="97">
        <f>_xll.BfX_C($C73,R$68)</f>
        <v>0.94216720503437323</v>
      </c>
    </row>
    <row r="74" spans="1:18" x14ac:dyDescent="0.3">
      <c r="B74" s="241">
        <f>_xll.BfX_U("F",C74)</f>
        <v>41</v>
      </c>
      <c r="C74" s="155">
        <v>5</v>
      </c>
      <c r="D74" s="160">
        <f>_xll.BfX_C($C74,D$68)</f>
        <v>0.98562419204828799</v>
      </c>
      <c r="E74" s="43">
        <f>_xll.BfX_C($C74,E$68)</f>
        <v>0.98265169702887556</v>
      </c>
      <c r="F74" s="43">
        <f>_xll.BfX_C($C74,F$68)</f>
        <v>0.97969706828722569</v>
      </c>
      <c r="G74" s="43">
        <f>_xll.BfX_C($C74,G$68)</f>
        <v>0.97676014522758337</v>
      </c>
      <c r="H74" s="43">
        <f>_xll.BfX_C($C74,H$68)</f>
        <v>0.97384076917318663</v>
      </c>
      <c r="I74" s="43">
        <f>_xll.BfX_C($C74,I$68)</f>
        <v>0.97093878333768913</v>
      </c>
      <c r="J74" s="43">
        <f>_xll.BfX_C($C74,J$68)</f>
        <v>0.96805403279709212</v>
      </c>
      <c r="K74" s="43">
        <f>_xll.BfX_C($C74,K$68)</f>
        <v>0.96518636446217332</v>
      </c>
      <c r="L74" s="43">
        <f>_xll.BfX_C($C74,L$68)</f>
        <v>0.96233562705140685</v>
      </c>
      <c r="M74" s="43">
        <f>_xll.BfX_C($C74,M$68)</f>
        <v>0.95950167106435824</v>
      </c>
      <c r="N74" s="43">
        <f>_xll.BfX_C($C74,N$68)</f>
        <v>0.95668434875555119</v>
      </c>
      <c r="O74" s="43">
        <f>_xll.BfX_C($C74,O$68)</f>
        <v>0.95388351410879024</v>
      </c>
      <c r="P74" s="43">
        <f>_xll.BfX_C($C74,P$68)</f>
        <v>0.95109902281193481</v>
      </c>
      <c r="Q74" s="43">
        <f>_xll.BfX_C($C74,Q$68)</f>
        <v>0.94833073223211395</v>
      </c>
      <c r="R74" s="97">
        <f>_xll.BfX_C($C74,R$68)</f>
        <v>0.94557850139136801</v>
      </c>
    </row>
    <row r="75" spans="1:18" x14ac:dyDescent="0.3">
      <c r="B75" s="241">
        <f>_xll.BfX_U("F",C75)</f>
        <v>42.8</v>
      </c>
      <c r="C75" s="155">
        <v>6</v>
      </c>
      <c r="D75" s="160">
        <f>_xll.BfX_C($C75,D$68)</f>
        <v>0.98917938303448827</v>
      </c>
      <c r="E75" s="43">
        <f>_xll.BfX_C($C75,E$68)</f>
        <v>0.9861962013032971</v>
      </c>
      <c r="F75" s="43">
        <f>_xll.BfX_C($C75,F$68)</f>
        <v>0.98323095008239714</v>
      </c>
      <c r="G75" s="43">
        <f>_xll.BfX_C($C75,G$68)</f>
        <v>0.98028346819866186</v>
      </c>
      <c r="H75" s="43">
        <f>_xll.BfX_C($C75,H$68)</f>
        <v>0.97735359640485775</v>
      </c>
      <c r="I75" s="43">
        <f>_xll.BfX_C($C75,I$68)</f>
        <v>0.97444117735096258</v>
      </c>
      <c r="J75" s="43">
        <f>_xll.BfX_C($C75,J$68)</f>
        <v>0.97154605555599771</v>
      </c>
      <c r="K75" s="43">
        <f>_xll.BfX_C($C75,K$68)</f>
        <v>0.96866807738035721</v>
      </c>
      <c r="L75" s="43">
        <f>_xll.BfX_C($C75,L$68)</f>
        <v>0.9658070909986306</v>
      </c>
      <c r="M75" s="43">
        <f>_xll.BfX_C($C75,M$68)</f>
        <v>0.96296294637290192</v>
      </c>
      <c r="N75" s="43">
        <f>_xll.BfX_C($C75,N$68)</f>
        <v>0.96013549522652286</v>
      </c>
      <c r="O75" s="43">
        <f>_xll.BfX_C($C75,O$68)</f>
        <v>0.95732459101834344</v>
      </c>
      <c r="P75" s="43">
        <f>_xll.BfX_C($C75,P$68)</f>
        <v>0.95453008891739466</v>
      </c>
      <c r="Q75" s="43">
        <f>_xll.BfX_C($C75,Q$68)</f>
        <v>0.95175184577801319</v>
      </c>
      <c r="R75" s="97">
        <f>_xll.BfX_C($C75,R$68)</f>
        <v>0.94898972011539962</v>
      </c>
    </row>
    <row r="76" spans="1:18" x14ac:dyDescent="0.3">
      <c r="B76" s="241">
        <f>_xll.BfX_U("F",C76)</f>
        <v>44.6</v>
      </c>
      <c r="C76" s="155">
        <v>7</v>
      </c>
      <c r="D76" s="160">
        <f>_xll.BfX_C($C76,D$68)</f>
        <v>0.992734496384577</v>
      </c>
      <c r="E76" s="43">
        <f>_xll.BfX_C($C76,E$68)</f>
        <v>0.98974062794178486</v>
      </c>
      <c r="F76" s="43">
        <f>_xll.BfX_C($C76,F$68)</f>
        <v>0.9867647542418122</v>
      </c>
      <c r="G76" s="43">
        <f>_xll.BfX_C($C76,G$68)</f>
        <v>0.98380671353416149</v>
      </c>
      <c r="H76" s="43">
        <f>_xll.BfX_C($C76,H$68)</f>
        <v>0.98086634600112721</v>
      </c>
      <c r="I76" s="43">
        <f>_xll.BfX_C($C76,I$68)</f>
        <v>0.97794349372901201</v>
      </c>
      <c r="J76" s="43">
        <f>_xll.BfX_C($C76,J$68)</f>
        <v>0.97503800067985702</v>
      </c>
      <c r="K76" s="43">
        <f>_xll.BfX_C($C76,K$68)</f>
        <v>0.97214971266367289</v>
      </c>
      <c r="L76" s="43">
        <f>_xll.BfX_C($C76,L$68)</f>
        <v>0.96927847731116334</v>
      </c>
      <c r="M76" s="43">
        <f>_xll.BfX_C($C76,M$68)</f>
        <v>0.96642414404693222</v>
      </c>
      <c r="N76" s="43">
        <f>_xll.BfX_C($C76,N$68)</f>
        <v>0.9635865640631589</v>
      </c>
      <c r="O76" s="43">
        <f>_xll.BfX_C($C76,O$68)</f>
        <v>0.96076559029373865</v>
      </c>
      <c r="P76" s="43">
        <f>_xll.BfX_C($C76,P$68)</f>
        <v>0.95796107738887348</v>
      </c>
      <c r="Q76" s="43">
        <f>_xll.BfX_C($C76,Q$68)</f>
        <v>0.95517288169010961</v>
      </c>
      <c r="R76" s="97">
        <f>_xll.BfX_C($C76,R$68)</f>
        <v>0.9524008612058058</v>
      </c>
    </row>
    <row r="77" spans="1:18" x14ac:dyDescent="0.3">
      <c r="B77" s="241">
        <f>_xll.BfX_U("F",C77)</f>
        <v>46.4</v>
      </c>
      <c r="C77" s="155">
        <v>8</v>
      </c>
      <c r="D77" s="160">
        <f>_xll.BfX_C($C77,D$68)</f>
        <v>0.99628953209792759</v>
      </c>
      <c r="E77" s="43">
        <f>_xll.BfX_C($C77,E$68)</f>
        <v>0.99328497694371032</v>
      </c>
      <c r="F77" s="43">
        <f>_xll.BfX_C($C77,F$68)</f>
        <v>0.99029848076484051</v>
      </c>
      <c r="G77" s="43">
        <f>_xll.BfX_C($C77,G$68)</f>
        <v>0.98732988123345011</v>
      </c>
      <c r="H77" s="43">
        <f>_xll.BfX_C($C77,H$68)</f>
        <v>0.98437901796136162</v>
      </c>
      <c r="I77" s="43">
        <f>_xll.BfX_C($C77,I$68)</f>
        <v>0.98144573247120204</v>
      </c>
      <c r="J77" s="43">
        <f>_xll.BfX_C($C77,J$68)</f>
        <v>0.97852986816803245</v>
      </c>
      <c r="K77" s="43">
        <f>_xll.BfX_C($C77,K$68)</f>
        <v>0.97563127031147967</v>
      </c>
      <c r="L77" s="43">
        <f>_xll.BfX_C($C77,L$68)</f>
        <v>0.97274978598836315</v>
      </c>
      <c r="M77" s="43">
        <f>_xll.BfX_C($C77,M$68)</f>
        <v>0.96988526408580544</v>
      </c>
      <c r="N77" s="43">
        <f>_xll.BfX_C($C77,N$68)</f>
        <v>0.9670375552648135</v>
      </c>
      <c r="O77" s="43">
        <f>_xll.BfX_C($C77,O$68)</f>
        <v>0.96420651193432794</v>
      </c>
      <c r="P77" s="43">
        <f>_xll.BfX_C($C77,P$68)</f>
        <v>0.96139198822572225</v>
      </c>
      <c r="Q77" s="43">
        <f>_xll.BfX_C($C77,Q$68)</f>
        <v>0.95859383996775183</v>
      </c>
      <c r="R77" s="97">
        <f>_xll.BfX_C($C77,R$68)</f>
        <v>0.95581192466193332</v>
      </c>
    </row>
    <row r="78" spans="1:18" x14ac:dyDescent="0.3">
      <c r="B78" s="241">
        <f>_xll.BfX_U("F",C78)</f>
        <v>48.2</v>
      </c>
      <c r="C78" s="155">
        <v>9</v>
      </c>
      <c r="D78" s="160">
        <f>_xll.BfX_C($C78,D$68)</f>
        <v>0.99984449017392207</v>
      </c>
      <c r="E78" s="43">
        <f>_xll.BfX_C($C78,E$68)</f>
        <v>0.9968292483084531</v>
      </c>
      <c r="F78" s="43">
        <f>_xll.BfX_C($C78,F$68)</f>
        <v>0.99383212965086021</v>
      </c>
      <c r="G78" s="43">
        <f>_xll.BfX_C($C78,G$68)</f>
        <v>0.99085297129590399</v>
      </c>
      <c r="H78" s="43">
        <f>_xll.BfX_C($C78,H$68)</f>
        <v>0.98789161228493516</v>
      </c>
      <c r="I78" s="43">
        <f>_xll.BfX_C($C78,I$68)</f>
        <v>0.98494789357690493</v>
      </c>
      <c r="J78" s="43">
        <f>_xll.BfX_C($C78,J$68)</f>
        <v>0.98202165801989438</v>
      </c>
      <c r="K78" s="43">
        <f>_xll.BfX_C($C78,K$68)</f>
        <v>0.97911275032314715</v>
      </c>
      <c r="L78" s="43">
        <f>_xll.BfX_C($C78,L$68)</f>
        <v>0.97622101702959796</v>
      </c>
      <c r="M78" s="43">
        <f>_xll.BfX_C($C78,M$68)</f>
        <v>0.97334630648888687</v>
      </c>
      <c r="N78" s="43">
        <f>_xll.BfX_C($C78,N$68)</f>
        <v>0.97048846883085005</v>
      </c>
      <c r="O78" s="43">
        <f>_xll.BfX_C($C78,O$68)</f>
        <v>0.96764735593947315</v>
      </c>
      <c r="P78" s="43">
        <f>_xll.BfX_C($C78,P$68)</f>
        <v>0.96482282142730069</v>
      </c>
      <c r="Q78" s="43">
        <f>_xll.BfX_C($C78,Q$68)</f>
        <v>0.96201472061029736</v>
      </c>
      <c r="R78" s="97">
        <f>_xll.BfX_C($C78,R$68)</f>
        <v>0.9592229104831379</v>
      </c>
    </row>
    <row r="79" spans="1:18" x14ac:dyDescent="0.3">
      <c r="B79" s="241">
        <f>_xll.BfX_U("F",C79)</f>
        <v>50</v>
      </c>
      <c r="C79" s="155">
        <v>10</v>
      </c>
      <c r="D79" s="160">
        <f>_xll.BfX_C($C79,D$68)</f>
        <v>1.0033993706119517</v>
      </c>
      <c r="E79" s="43">
        <f>_xll.BfX_C($C79,E$68)</f>
        <v>1.0003734420354031</v>
      </c>
      <c r="F79" s="43">
        <f>_xll.BfX_C($C79,F$68)</f>
        <v>0.9973657008992588</v>
      </c>
      <c r="G79" s="43">
        <f>_xll.BfX_C($C79,G$68)</f>
        <v>0.99437598372090863</v>
      </c>
      <c r="H79" s="43">
        <f>_xll.BfX_C($C79,H$68)</f>
        <v>0.99140412897123131</v>
      </c>
      <c r="I79" s="43">
        <f>_xll.BfX_C($C79,I$68)</f>
        <v>0.98844997704550264</v>
      </c>
      <c r="J79" s="43">
        <f>_xll.BfX_C($C79,J$68)</f>
        <v>0.98551337023482344</v>
      </c>
      <c r="K79" s="43">
        <f>_xll.BfX_C($C79,K$68)</f>
        <v>0.9825941526980535</v>
      </c>
      <c r="L79" s="43">
        <f>_xll.BfX_C($C79,L$68)</f>
        <v>0.97969217043424273</v>
      </c>
      <c r="M79" s="43">
        <f>_xll.BfX_C($C79,M$68)</f>
        <v>0.97680727125555078</v>
      </c>
      <c r="N79" s="43">
        <f>_xll.BfX_C($C79,N$68)</f>
        <v>0.97393930476064128</v>
      </c>
      <c r="O79" s="43">
        <f>_xll.BfX_C($C79,O$68)</f>
        <v>0.97108812230854447</v>
      </c>
      <c r="P79" s="43">
        <f>_xll.BfX_C($C79,P$68)</f>
        <v>0.96825357699297765</v>
      </c>
      <c r="Q79" s="43">
        <f>_xll.BfX_C($C79,Q$68)</f>
        <v>0.96543552361711338</v>
      </c>
      <c r="R79" s="97">
        <f>_xll.BfX_C($C79,R$68)</f>
        <v>0.96263381866878495</v>
      </c>
    </row>
    <row r="80" spans="1:18" x14ac:dyDescent="0.3">
      <c r="B80" s="241">
        <f>_xll.BfX_U("F",C80)</f>
        <v>51.8</v>
      </c>
      <c r="C80" s="155">
        <v>11</v>
      </c>
      <c r="D80" s="160">
        <f>_xll.BfX_C($C80,D$68)</f>
        <v>1.0069541734114156</v>
      </c>
      <c r="E80" s="43">
        <f>_xll.BfX_C($C80,E$68)</f>
        <v>1.0039175581239574</v>
      </c>
      <c r="F80" s="43">
        <f>_xll.BfX_C($C80,F$68)</f>
        <v>1.0008991945094321</v>
      </c>
      <c r="G80" s="43">
        <f>_xll.BfX_C($C80,G$68)</f>
        <v>0.9978989185078585</v>
      </c>
      <c r="H80" s="43">
        <f>_xll.BfX_C($C80,H$68)</f>
        <v>0.99491656801964257</v>
      </c>
      <c r="I80" s="43">
        <f>_xll.BfX_C($C80,I$68)</f>
        <v>0.99195198287638531</v>
      </c>
      <c r="J80" s="43">
        <f>_xll.BfX_C($C80,J$68)</f>
        <v>0.98900500481220754</v>
      </c>
      <c r="K80" s="43">
        <f>_xll.BfX_C($C80,K$68)</f>
        <v>0.98607547743558521</v>
      </c>
      <c r="L80" s="43">
        <f>_xll.BfX_C($C80,L$68)</f>
        <v>0.98316324620168338</v>
      </c>
      <c r="M80" s="43">
        <f>_xll.BfX_C($C80,M$68)</f>
        <v>0.98026815838518078</v>
      </c>
      <c r="N80" s="43">
        <f>_xll.BfX_C($C80,N$68)</f>
        <v>0.97739006305356846</v>
      </c>
      <c r="O80" s="43">
        <f>_xll.BfX_C($C80,O$68)</f>
        <v>0.97452881104092237</v>
      </c>
      <c r="P80" s="43">
        <f>_xll.BfX_C($C80,P$68)</f>
        <v>0.97168425492213106</v>
      </c>
      <c r="Q80" s="43">
        <f>_xll.BfX_C($C80,Q$68)</f>
        <v>0.9688562489875755</v>
      </c>
      <c r="R80" s="97">
        <f>_xll.BfX_C($C80,R$68)</f>
        <v>0.96604464921824873</v>
      </c>
    </row>
    <row r="81" spans="2:18" x14ac:dyDescent="0.3">
      <c r="B81" s="241">
        <f>_xll.BfX_U("F",C81)</f>
        <v>53.6</v>
      </c>
      <c r="C81" s="155">
        <v>12</v>
      </c>
      <c r="D81" s="160">
        <f>_xll.BfX_C($C81,D$68)</f>
        <v>1.0105088985717217</v>
      </c>
      <c r="E81" s="43">
        <f>_xll.BfX_C($C81,E$68)</f>
        <v>1.0074615965735225</v>
      </c>
      <c r="F81" s="43">
        <f>_xll.BfX_C($C81,F$68)</f>
        <v>1.0044326104807846</v>
      </c>
      <c r="G81" s="43">
        <f>_xll.BfX_C($C81,G$68)</f>
        <v>1.0014217756561554</v>
      </c>
      <c r="H81" s="43">
        <f>_xll.BfX_C($C81,H$68)</f>
        <v>0.9984289294295694</v>
      </c>
      <c r="I81" s="43">
        <f>_xll.BfX_C($C81,I$68)</f>
        <v>0.99545391106895198</v>
      </c>
      <c r="J81" s="43">
        <f>_xll.BfX_C($C81,J$68)</f>
        <v>0.99249656175144396</v>
      </c>
      <c r="K81" s="43">
        <f>_xll.BfX_C($C81,K$68)</f>
        <v>0.98955672453513766</v>
      </c>
      <c r="L81" s="43">
        <f>_xll.BfX_C($C81,L$68)</f>
        <v>0.9866342443313133</v>
      </c>
      <c r="M81" s="43">
        <f>_xll.BfX_C($C81,M$68)</f>
        <v>0.98372896787716813</v>
      </c>
      <c r="N81" s="43">
        <f>_xll.BfX_C($C81,N$68)</f>
        <v>0.98084074370902152</v>
      </c>
      <c r="O81" s="43">
        <f>_xll.BfX_C($C81,O$68)</f>
        <v>0.97796942213599447</v>
      </c>
      <c r="P81" s="43">
        <f>_xll.BfX_C($C81,P$68)</f>
        <v>0.97511485521414687</v>
      </c>
      <c r="Q81" s="43">
        <f>_xll.BfX_C($C81,Q$68)</f>
        <v>0.97227689672106887</v>
      </c>
      <c r="R81" s="97">
        <f>_xll.BfX_C($C81,R$68)</f>
        <v>0.96945540213091164</v>
      </c>
    </row>
    <row r="82" spans="2:18" x14ac:dyDescent="0.3">
      <c r="B82" s="241">
        <f>_xll.BfX_U("F",C82)</f>
        <v>55.4</v>
      </c>
      <c r="C82" s="155">
        <v>13</v>
      </c>
      <c r="D82" s="160">
        <f>_xll.BfX_C($C82,D$68)</f>
        <v>1.0140635460922864</v>
      </c>
      <c r="E82" s="43">
        <f>_xll.BfX_C($C82,E$68)</f>
        <v>1.0110055573835128</v>
      </c>
      <c r="F82" s="43">
        <f>_xll.BfX_C($C82,F$68)</f>
        <v>1.0079659488127288</v>
      </c>
      <c r="G82" s="43">
        <f>_xll.BfX_C($C82,G$68)</f>
        <v>1.0049445551652105</v>
      </c>
      <c r="H82" s="43">
        <f>_xll.BfX_C($C82,H$68)</f>
        <v>1.0019412132004215</v>
      </c>
      <c r="I82" s="43">
        <f>_xll.BfX_C($C82,I$68)</f>
        <v>0.99895576162261068</v>
      </c>
      <c r="J82" s="43">
        <f>_xll.BfX_C($C82,J$68)</f>
        <v>0.99598804105193894</v>
      </c>
      <c r="K82" s="43">
        <f>_xll.BfX_C($C82,K$68)</f>
        <v>0.99303789399611464</v>
      </c>
      <c r="L82" s="43">
        <f>_xll.BfX_C($C82,L$68)</f>
        <v>0.9901051648225343</v>
      </c>
      <c r="M82" s="43">
        <f>_xll.BfX_C($C82,M$68)</f>
        <v>0.98718969973091319</v>
      </c>
      <c r="N82" s="43">
        <f>_xll.BfX_C($C82,N$68)</f>
        <v>0.98429134672639884</v>
      </c>
      <c r="O82" s="43">
        <f>_xll.BfX_C($C82,O$68)</f>
        <v>0.98140995559315747</v>
      </c>
      <c r="P82" s="43">
        <f>_xll.BfX_C($C82,P$68)</f>
        <v>0.97854537786842044</v>
      </c>
      <c r="Q82" s="43">
        <f>_xll.BfX_C($C82,Q$68)</f>
        <v>0.97569746681698644</v>
      </c>
      <c r="R82" s="97">
        <f>_xll.BfX_C($C82,R$68)</f>
        <v>0.97286607740616549</v>
      </c>
    </row>
    <row r="83" spans="2:18" x14ac:dyDescent="0.3">
      <c r="B83" s="241">
        <f>_xll.BfX_U("F",C83)</f>
        <v>57.2</v>
      </c>
      <c r="C83" s="155">
        <v>14</v>
      </c>
      <c r="D83" s="160">
        <f>_xll.BfX_C($C83,D$68)</f>
        <v>1.0176181159725339</v>
      </c>
      <c r="E83" s="43">
        <f>_xll.BfX_C($C83,E$68)</f>
        <v>1.0145494405533506</v>
      </c>
      <c r="F83" s="43">
        <f>_xll.BfX_C($C83,F$68)</f>
        <v>1.0114992095046853</v>
      </c>
      <c r="G83" s="43">
        <f>_xll.BfX_C($C83,G$68)</f>
        <v>1.0084672570344433</v>
      </c>
      <c r="H83" s="43">
        <f>_xll.BfX_C($C83,H$68)</f>
        <v>1.0054534193316158</v>
      </c>
      <c r="I83" s="43">
        <f>_xll.BfX_C($C83,I$68)</f>
        <v>1.0024575345367761</v>
      </c>
      <c r="J83" s="43">
        <f>_xll.BfX_C($C83,J$68)</f>
        <v>0.99947944271310563</v>
      </c>
      <c r="K83" s="43">
        <f>_xll.BfX_C($C83,K$68)</f>
        <v>0.99651898581792886</v>
      </c>
      <c r="L83" s="43">
        <f>_xll.BfX_C($C83,L$68)</f>
        <v>0.99357600767475729</v>
      </c>
      <c r="M83" s="43">
        <f>_xll.BfX_C($C83,M$68)</f>
        <v>0.99065035394582512</v>
      </c>
      <c r="N83" s="43">
        <f>_xll.BfX_C($C83,N$68)</f>
        <v>0.98774187210510767</v>
      </c>
      <c r="O83" s="43">
        <f>_xll.BfX_C($C83,O$68)</f>
        <v>0.98485041141181673</v>
      </c>
      <c r="P83" s="43">
        <f>_xll.BfX_C($C83,P$68)</f>
        <v>0.98197582288435492</v>
      </c>
      <c r="Q83" s="43">
        <f>_xll.BfX_C($C83,Q$68)</f>
        <v>0.97911795927473022</v>
      </c>
      <c r="R83" s="97">
        <f>_xll.BfX_C($C83,R$68)</f>
        <v>0.97627667504340998</v>
      </c>
    </row>
    <row r="84" spans="2:18" x14ac:dyDescent="0.3">
      <c r="B84" s="241">
        <f>_xll.BfX_U("F",C84)</f>
        <v>59</v>
      </c>
      <c r="C84" s="155">
        <v>15</v>
      </c>
      <c r="D84" s="160">
        <f>_xll.BfX_C($C84,D$68)</f>
        <v>1.0211726082118968</v>
      </c>
      <c r="E84" s="43">
        <f>_xll.BfX_C($C84,E$68)</f>
        <v>1.0180932460824668</v>
      </c>
      <c r="F84" s="43">
        <f>_xll.BfX_C($C84,F$68)</f>
        <v>1.0150323925560836</v>
      </c>
      <c r="G84" s="43">
        <f>_xll.BfX_C($C84,G$68)</f>
        <v>1.0119898812632806</v>
      </c>
      <c r="H84" s="43">
        <f>_xll.BfX_C($C84,H$68)</f>
        <v>1.0089655478225774</v>
      </c>
      <c r="I84" s="43">
        <f>_xll.BfX_C($C84,I$68)</f>
        <v>1.0059592298108724</v>
      </c>
      <c r="J84" s="43">
        <f>_xll.BfX_C($C84,J$68)</f>
        <v>1.0029707667343661</v>
      </c>
      <c r="K84" s="43">
        <f>_xll.BfX_C($C84,K$68)</f>
        <v>1</v>
      </c>
      <c r="L84" s="43">
        <f>_xll.BfX_C($C84,L$68)</f>
        <v>0.9970467728874004</v>
      </c>
      <c r="M84" s="43">
        <f>_xll.BfX_C($C84,M$68)</f>
        <v>0.99411093052132027</v>
      </c>
      <c r="N84" s="43">
        <f>_xll.BfX_C($C84,N$68)</f>
        <v>0.99119231984456302</v>
      </c>
      <c r="O84" s="43">
        <f>_xll.BfX_C($C84,O$68)</f>
        <v>0.98829078959138583</v>
      </c>
      <c r="P84" s="43">
        <f>_xll.BfX_C($C84,P$68)</f>
        <v>0.98540619026136234</v>
      </c>
      <c r="Q84" s="43">
        <f>_xll.BfX_C($C84,Q$68)</f>
        <v>0.98253837409370959</v>
      </c>
      <c r="R84" s="97">
        <f>_xll.BfX_C($C84,R$68)</f>
        <v>0.97968719504205382</v>
      </c>
    </row>
    <row r="85" spans="2:18" x14ac:dyDescent="0.3">
      <c r="B85" s="241">
        <f>_xll.BfX_U("F",C85)</f>
        <v>60.8</v>
      </c>
      <c r="C85" s="155">
        <v>16</v>
      </c>
      <c r="D85" s="160">
        <f>_xll.BfX_C($C85,D$68)</f>
        <v>1.0247270228098149</v>
      </c>
      <c r="E85" s="43">
        <f>_xll.BfX_C($C85,E$68)</f>
        <v>1.0216369739703</v>
      </c>
      <c r="F85" s="43">
        <f>_xll.BfX_C($C85,F$68)</f>
        <v>1.0185654979663599</v>
      </c>
      <c r="G85" s="43">
        <f>_xll.BfX_C($C85,G$68)</f>
        <v>1.0155124278511574</v>
      </c>
      <c r="H85" s="43">
        <f>_xll.BfX_C($C85,H$68)</f>
        <v>1.0124775986727406</v>
      </c>
      <c r="I85" s="43">
        <f>_xll.BfX_C($C85,I$68)</f>
        <v>1.0094608474443314</v>
      </c>
      <c r="J85" s="43">
        <f>_xll.BfX_C($C85,J$68)</f>
        <v>1.0064620131151509</v>
      </c>
      <c r="K85" s="43">
        <f>_xll.BfX_C($C85,K$68)</f>
        <v>1.0034809365417565</v>
      </c>
      <c r="L85" s="43">
        <f>_xll.BfX_C($C85,L$68)</f>
        <v>1.0005174604598905</v>
      </c>
      <c r="M85" s="43">
        <f>_xll.BfX_C($C85,M$68)</f>
        <v>0.99757142945682376</v>
      </c>
      <c r="N85" s="43">
        <f>_xll.BfX_C($C85,N$68)</f>
        <v>0.99464268994418836</v>
      </c>
      <c r="O85" s="43">
        <f>_xll.BfX_C($C85,O$68)</f>
        <v>0.99173109013128602</v>
      </c>
      <c r="P85" s="43">
        <f>_xll.BfX_C($C85,P$68)</f>
        <v>0.98883647999886271</v>
      </c>
      <c r="Q85" s="43">
        <f>_xll.BfX_C($C85,Q$68)</f>
        <v>0.985958711273343</v>
      </c>
      <c r="R85" s="97">
        <f>_xll.BfX_C($C85,R$68)</f>
        <v>0.98309763740151301</v>
      </c>
    </row>
    <row r="86" spans="2:18" x14ac:dyDescent="0.3">
      <c r="B86" s="241">
        <f>_xll.BfX_U("F",C86)</f>
        <v>62.6</v>
      </c>
      <c r="C86" s="155">
        <v>17</v>
      </c>
      <c r="D86" s="160">
        <f>_xll.BfX_C($C86,D$68)</f>
        <v>1.0282813597657359</v>
      </c>
      <c r="E86" s="43">
        <f>_xll.BfX_C($C86,E$68)</f>
        <v>1.0251806242162957</v>
      </c>
      <c r="F86" s="43">
        <f>_xll.BfX_C($C86,F$68)</f>
        <v>1.0220985257349591</v>
      </c>
      <c r="G86" s="43">
        <f>_xll.BfX_C($C86,G$68)</f>
        <v>1.0190348967975171</v>
      </c>
      <c r="H86" s="43">
        <f>_xll.BfX_C($C86,H$68)</f>
        <v>1.0159895718815459</v>
      </c>
      <c r="I86" s="43">
        <f>_xll.BfX_C($C86,I$68)</f>
        <v>1.0129623874365923</v>
      </c>
      <c r="J86" s="43">
        <f>_xll.BfX_C($C86,J$68)</f>
        <v>1.0099531818548975</v>
      </c>
      <c r="K86" s="43">
        <f>_xll.BfX_C($C86,K$68)</f>
        <v>1.0069617954426349</v>
      </c>
      <c r="L86" s="43">
        <f>_xll.BfX_C($C86,L$68)</f>
        <v>1.0039880703916619</v>
      </c>
      <c r="M86" s="43">
        <f>_xll.BfX_C($C86,M$68)</f>
        <v>1.0010318507517684</v>
      </c>
      <c r="N86" s="43">
        <f>_xll.BfX_C($C86,N$68)</f>
        <v>0.99809298240341437</v>
      </c>
      <c r="O86" s="43">
        <f>_xll.BfX_C($C86,O$68)</f>
        <v>0.99517131303094686</v>
      </c>
      <c r="P86" s="43">
        <f>_xll.BfX_C($C86,P$68)</f>
        <v>0.99226669209628338</v>
      </c>
      <c r="Q86" s="43">
        <f>_xll.BfX_C($C86,Q$68)</f>
        <v>0.98937897081305703</v>
      </c>
      <c r="R86" s="97">
        <f>_xll.BfX_C($C86,R$68)</f>
        <v>0.98650800212121248</v>
      </c>
    </row>
    <row r="87" spans="2:18" x14ac:dyDescent="0.3">
      <c r="B87" s="241">
        <f>_xll.BfX_U("F",C87)</f>
        <v>64.400000000000006</v>
      </c>
      <c r="C87" s="155">
        <v>18</v>
      </c>
      <c r="D87" s="160">
        <f>_xll.BfX_C($C87,D$68)</f>
        <v>1.031835619079116</v>
      </c>
      <c r="E87" s="43">
        <f>_xll.BfX_C($C87,E$68)</f>
        <v>1.0287241968199088</v>
      </c>
      <c r="F87" s="43">
        <f>_xll.BfX_C($C87,F$68)</f>
        <v>1.025631475861333</v>
      </c>
      <c r="G87" s="43">
        <f>_xll.BfX_C($C87,G$68)</f>
        <v>1.0225572881018097</v>
      </c>
      <c r="H87" s="43">
        <f>_xll.BfX_C($C87,H$68)</f>
        <v>1.0195014674484422</v>
      </c>
      <c r="I87" s="43">
        <f>_xll.BfX_C($C87,I$68)</f>
        <v>1.0164638497871028</v>
      </c>
      <c r="J87" s="43">
        <f>_xll.BfX_C($C87,J$68)</f>
        <v>1.0134442729530515</v>
      </c>
      <c r="K87" s="43">
        <f>_xll.BfX_C($C87,K$68)</f>
        <v>1.0104425767020786</v>
      </c>
      <c r="L87" s="43">
        <f>_xll.BfX_C($C87,L$68)</f>
        <v>1.0074586026821568</v>
      </c>
      <c r="M87" s="43">
        <f>_xll.BfX_C($C87,M$68)</f>
        <v>1.0044921944055949</v>
      </c>
      <c r="N87" s="43">
        <f>_xll.BfX_C($C87,N$68)</f>
        <v>1.0015431972216806</v>
      </c>
      <c r="O87" s="43">
        <f>_xll.BfX_C($C87,O$68)</f>
        <v>0.99861145828980613</v>
      </c>
      <c r="P87" s="43">
        <f>_xll.BfX_C($C87,P$68)</f>
        <v>0.99569682655306013</v>
      </c>
      <c r="Q87" s="43">
        <f>_xll.BfX_C($C87,Q$68)</f>
        <v>0.99279915271228536</v>
      </c>
      <c r="R87" s="97">
        <f>_xll.BfX_C($C87,R$68)</f>
        <v>0.98991828920058444</v>
      </c>
    </row>
    <row r="88" spans="2:18" x14ac:dyDescent="0.3">
      <c r="B88" s="241">
        <f>_xll.BfX_U("F",C88)</f>
        <v>66.2</v>
      </c>
      <c r="C88" s="155">
        <v>19</v>
      </c>
      <c r="D88" s="160">
        <f>_xll.BfX_C($C88,D$68)</f>
        <v>1.0353898007494173</v>
      </c>
      <c r="E88" s="43">
        <f>_xll.BfX_C($C88,E$68)</f>
        <v>1.0322676917805997</v>
      </c>
      <c r="F88" s="43">
        <f>_xll.BfX_C($C88,F$68)</f>
        <v>1.0291643483449417</v>
      </c>
      <c r="G88" s="43">
        <f>_xll.BfX_C($C88,G$68)</f>
        <v>1.026079601763493</v>
      </c>
      <c r="H88" s="43">
        <f>_xll.BfX_C($C88,H$68)</f>
        <v>1.0230132853728866</v>
      </c>
      <c r="I88" s="43">
        <f>_xll.BfX_C($C88,I$68)</f>
        <v>1.0199652344953172</v>
      </c>
      <c r="J88" s="43">
        <f>_xll.BfX_C($C88,J$68)</f>
        <v>1.0169352864090664</v>
      </c>
      <c r="K88" s="43">
        <f>_xll.BfX_C($C88,K$68)</f>
        <v>1.0139232803195399</v>
      </c>
      <c r="L88" s="43">
        <f>_xll.BfX_C($C88,L$68)</f>
        <v>1.0109290573308258</v>
      </c>
      <c r="M88" s="43">
        <f>_xll.BfX_C($C88,M$68)</f>
        <v>1.0079524604177519</v>
      </c>
      <c r="N88" s="43">
        <f>_xll.BfX_C($C88,N$68)</f>
        <v>1.0049933343984336</v>
      </c>
      <c r="O88" s="43">
        <f>_xll.BfX_C($C88,O$68)</f>
        <v>1.0020515259073084</v>
      </c>
      <c r="P88" s="43">
        <f>_xll.BfX_C($C88,P$68)</f>
        <v>0.99912688336863642</v>
      </c>
      <c r="Q88" s="43">
        <f>_xll.BfX_C($C88,Q$68)</f>
        <v>0.99621925697046998</v>
      </c>
      <c r="R88" s="97">
        <f>_xll.BfX_C($C88,R$68)</f>
        <v>0.99332849863906902</v>
      </c>
    </row>
    <row r="89" spans="2:18" x14ac:dyDescent="0.3">
      <c r="B89" s="241">
        <f>_xll.BfX_U("F",C89)</f>
        <v>68</v>
      </c>
      <c r="C89" s="155">
        <v>20</v>
      </c>
      <c r="D89" s="160">
        <f>_xll.BfX_C($C89,D$68)</f>
        <v>1.0389439047761109</v>
      </c>
      <c r="E89" s="43">
        <f>_xll.BfX_C($C89,E$68)</f>
        <v>1.0358111090978375</v>
      </c>
      <c r="F89" s="43">
        <f>_xll.BfX_C($C89,F$68)</f>
        <v>1.0326971431852521</v>
      </c>
      <c r="G89" s="43">
        <f>_xll.BfX_C($C89,G$68)</f>
        <v>1.0296018377820335</v>
      </c>
      <c r="H89" s="43">
        <f>_xll.BfX_C($C89,H$68)</f>
        <v>1.0265250256543421</v>
      </c>
      <c r="I89" s="43">
        <f>_xll.BfX_C($C89,I$68)</f>
        <v>1.0234665415606983</v>
      </c>
      <c r="J89" s="43">
        <f>_xll.BfX_C($C89,J$68)</f>
        <v>1.0204262222224023</v>
      </c>
      <c r="K89" s="43">
        <f>_xll.BfX_C($C89,K$68)</f>
        <v>1.0174039062944771</v>
      </c>
      <c r="L89" s="43">
        <f>_xll.BfX_C($C89,L$68)</f>
        <v>1.0143994343371256</v>
      </c>
      <c r="M89" s="43">
        <f>_xll.BfX_C($C89,M$68)</f>
        <v>1.0114126487876947</v>
      </c>
      <c r="N89" s="43">
        <f>_xll.BfX_C($C89,N$68)</f>
        <v>1.0084433939331277</v>
      </c>
      <c r="O89" s="43">
        <f>_xll.BfX_C($C89,O$68)</f>
        <v>1.0054915158829065</v>
      </c>
      <c r="P89" s="43">
        <f>_xll.BfX_C($C89,P$68)</f>
        <v>1.0025568625424639</v>
      </c>
      <c r="Q89" s="43">
        <f>_xll.BfX_C($C89,Q$68)</f>
        <v>0.99963928358706022</v>
      </c>
      <c r="R89" s="97">
        <f>_xll.BfX_C($C89,R$68)</f>
        <v>0.9967386304361141</v>
      </c>
    </row>
    <row r="90" spans="2:18" x14ac:dyDescent="0.3">
      <c r="B90" s="241">
        <f>_xll.BfX_U("F",C90)</f>
        <v>69.8</v>
      </c>
      <c r="C90" s="155">
        <v>21</v>
      </c>
      <c r="D90" s="160">
        <f>_xll.BfX_C($C90,D$68)</f>
        <v>1.0424979311586737</v>
      </c>
      <c r="E90" s="43">
        <f>_xll.BfX_C($C90,E$68)</f>
        <v>1.0393544487710977</v>
      </c>
      <c r="F90" s="43">
        <f>_xll.BfX_C($C90,F$68)</f>
        <v>1.0362298603817384</v>
      </c>
      <c r="G90" s="43">
        <f>_xll.BfX_C($C90,G$68)</f>
        <v>1.0331239961569036</v>
      </c>
      <c r="H90" s="43">
        <f>_xll.BfX_C($C90,H$68)</f>
        <v>1.0300366882922807</v>
      </c>
      <c r="I90" s="43">
        <f>_xll.BfX_C($C90,I$68)</f>
        <v>1.0269677709827152</v>
      </c>
      <c r="J90" s="43">
        <f>_xll.BfX_C($C90,J$68)</f>
        <v>1.0239170803925277</v>
      </c>
      <c r="K90" s="43">
        <f>_xll.BfX_C($C90,K$68)</f>
        <v>1.0208844546263567</v>
      </c>
      <c r="L90" s="43">
        <f>_xll.BfX_C($C90,L$68)</f>
        <v>1.0178697337005214</v>
      </c>
      <c r="M90" s="43">
        <f>_xll.BfX_C($C90,M$68)</f>
        <v>1.0148727595148865</v>
      </c>
      <c r="N90" s="43">
        <f>_xll.BfX_C($C90,N$68)</f>
        <v>1.011893375825224</v>
      </c>
      <c r="O90" s="43">
        <f>_xll.BfX_C($C90,O$68)</f>
        <v>1.0089314282160606</v>
      </c>
      <c r="P90" s="43">
        <f>_xll.BfX_C($C90,P$68)</f>
        <v>1.0059867640740006</v>
      </c>
      <c r="Q90" s="43">
        <f>_xll.BfX_C($C90,Q$68)</f>
        <v>1.0030592325615131</v>
      </c>
      <c r="R90" s="97">
        <f>_xll.BfX_C($C90,R$68)</f>
        <v>1.0001486845911756</v>
      </c>
    </row>
    <row r="91" spans="2:18" x14ac:dyDescent="0.3">
      <c r="B91" s="241">
        <f>_xll.BfX_U("F",C91)</f>
        <v>71.599999999999994</v>
      </c>
      <c r="C91" s="155">
        <v>22</v>
      </c>
      <c r="D91" s="160">
        <f>_xll.BfX_C($C91,D$68)</f>
        <v>1.0460518798965905</v>
      </c>
      <c r="E91" s="43">
        <f>_xll.BfX_C($C91,E$68)</f>
        <v>1.042897710799864</v>
      </c>
      <c r="F91" s="43">
        <f>_xll.BfX_C($C91,F$68)</f>
        <v>1.0397624999338821</v>
      </c>
      <c r="G91" s="43">
        <f>_xll.BfX_C($C91,G$68)</f>
        <v>1.036646076887582</v>
      </c>
      <c r="H91" s="43">
        <f>_xll.BfX_C($C91,H$68)</f>
        <v>1.0335482732861798</v>
      </c>
      <c r="I91" s="43">
        <f>_xll.BfX_C($C91,I$68)</f>
        <v>1.030468922760845</v>
      </c>
      <c r="J91" s="43">
        <f>_xll.BfX_C($C91,J$68)</f>
        <v>1.0274078609189174</v>
      </c>
      <c r="K91" s="43">
        <f>_xll.BfX_C($C91,K$68)</f>
        <v>1.0243649253146532</v>
      </c>
      <c r="L91" s="43">
        <f>_xll.BfX_C($C91,L$68)</f>
        <v>1.0213399554204856</v>
      </c>
      <c r="M91" s="43">
        <f>_xll.BfX_C($C91,M$68)</f>
        <v>1.0183327925987986</v>
      </c>
      <c r="N91" s="43">
        <f>_xll.BfX_C($C91,N$68)</f>
        <v>1.0153432800741919</v>
      </c>
      <c r="O91" s="43">
        <f>_xll.BfX_C($C91,O$68)</f>
        <v>1.0123712629062382</v>
      </c>
      <c r="P91" s="43">
        <f>_xll.BfX_C($C91,P$68)</f>
        <v>1.0094165879627126</v>
      </c>
      <c r="Q91" s="43">
        <f>_xll.BfX_C($C91,Q$68)</f>
        <v>1.0064791038932925</v>
      </c>
      <c r="R91" s="97">
        <f>_xll.BfX_C($C91,R$68)</f>
        <v>1.0035586611037153</v>
      </c>
    </row>
    <row r="92" spans="2:18" ht="13.5" customHeight="1" x14ac:dyDescent="0.3">
      <c r="B92" s="241">
        <f>_xll.BfX_U("F",C92)</f>
        <v>73.400000000000006</v>
      </c>
      <c r="C92" s="155">
        <v>23</v>
      </c>
      <c r="D92" s="160">
        <f>_xll.BfX_C($C92,D$68)</f>
        <v>1.0496057509893526</v>
      </c>
      <c r="E92" s="43">
        <f>_xll.BfX_C($C92,E$68)</f>
        <v>1.0464408951836257</v>
      </c>
      <c r="F92" s="43">
        <f>_xll.BfX_C($C92,F$68)</f>
        <v>1.043295061841172</v>
      </c>
      <c r="G92" s="43">
        <f>_xll.BfX_C($C92,G$68)</f>
        <v>1.0401680799735573</v>
      </c>
      <c r="H92" s="43">
        <f>_xll.BfX_C($C92,H$68)</f>
        <v>1.0370597806355255</v>
      </c>
      <c r="I92" s="43">
        <f>_xll.BfX_C($C92,I$68)</f>
        <v>1.0339699968945708</v>
      </c>
      <c r="J92" s="43">
        <f>_xll.BfX_C($C92,J$68)</f>
        <v>1.0308985638010539</v>
      </c>
      <c r="K92" s="43">
        <f>_xll.BfX_C($C92,K$68)</f>
        <v>1.0278453183588461</v>
      </c>
      <c r="L92" s="43">
        <f>_xll.BfX_C($C92,L$68)</f>
        <v>1.0248100994964966</v>
      </c>
      <c r="M92" s="43">
        <f>_xll.BfX_C($C92,M$68)</f>
        <v>1.0217927480389077</v>
      </c>
      <c r="N92" s="43">
        <f>_xll.BfX_C($C92,N$68)</f>
        <v>1.0187931066795077</v>
      </c>
      <c r="O92" s="43">
        <f>_xll.BfX_C($C92,O$68)</f>
        <v>1.0158110199529138</v>
      </c>
      <c r="P92" s="43">
        <f>_xll.BfX_C($C92,P$68)</f>
        <v>1.012846334208072</v>
      </c>
      <c r="Q92" s="43">
        <f>_xll.BfX_C($C92,Q$68)</f>
        <v>1.0098988975818708</v>
      </c>
      <c r="R92" s="97">
        <f>_xll.BfX_C($C92,R$68)</f>
        <v>1.0069685599732034</v>
      </c>
    </row>
    <row r="93" spans="2:18" ht="16.5" thickBot="1" x14ac:dyDescent="0.35">
      <c r="B93" s="242">
        <f>_xll.BfX_U("F",C93)</f>
        <v>75.2</v>
      </c>
      <c r="C93" s="156">
        <v>24</v>
      </c>
      <c r="D93" s="161">
        <f>_xll.BfX_C($C93,D$68)</f>
        <v>1.0531595444364585</v>
      </c>
      <c r="E93" s="162">
        <f>_xll.BfX_C($C93,E$68)</f>
        <v>1.0499840019218802</v>
      </c>
      <c r="F93" s="162">
        <f>_xll.BfX_C($C93,F$68)</f>
        <v>1.0468275461031027</v>
      </c>
      <c r="G93" s="162">
        <f>_xll.BfX_C($C93,G$68)</f>
        <v>1.0436900054143221</v>
      </c>
      <c r="H93" s="162">
        <f>_xll.BfX_C($C93,H$68)</f>
        <v>1.0405712103398097</v>
      </c>
      <c r="I93" s="162">
        <f>_xll.BfX_C($C93,I$68)</f>
        <v>1.0374709933833846</v>
      </c>
      <c r="J93" s="162">
        <f>_xll.BfX_C($C93,J$68)</f>
        <v>1.0343891890384267</v>
      </c>
      <c r="K93" s="162">
        <f>_xll.BfX_C($C93,K$68)</f>
        <v>1.0313256337584242</v>
      </c>
      <c r="L93" s="162">
        <f>_xll.BfX_C($C93,L$68)</f>
        <v>1.0282801659280414</v>
      </c>
      <c r="M93" s="162">
        <f>_xll.BfX_C($C93,M$68)</f>
        <v>1.0252526258346994</v>
      </c>
      <c r="N93" s="162">
        <f>_xll.BfX_C($C93,N$68)</f>
        <v>1.0222428556406542</v>
      </c>
      <c r="O93" s="162">
        <f>_xll.BfX_C($C93,O$68)</f>
        <v>1.0192506993555686</v>
      </c>
      <c r="P93" s="162">
        <f>_xll.BfX_C($C93,P$68)</f>
        <v>1.0162760028095603</v>
      </c>
      <c r="Q93" s="162">
        <f>_xll.BfX_C($C93,Q$68)</f>
        <v>1.0133186136267256</v>
      </c>
      <c r="R93" s="99">
        <f>_xll.BfX_C($C93,R$68)</f>
        <v>1.0103783811991176</v>
      </c>
    </row>
    <row r="96" spans="2:18" x14ac:dyDescent="0.3">
      <c r="B96" s="105" t="s">
        <v>511</v>
      </c>
    </row>
    <row r="97" spans="2:14" ht="16.5" thickBot="1" x14ac:dyDescent="0.35"/>
    <row r="98" spans="2:14" ht="16.5" thickBot="1" x14ac:dyDescent="0.35">
      <c r="B98" t="s">
        <v>671</v>
      </c>
      <c r="D98" s="243" t="s">
        <v>667</v>
      </c>
      <c r="E98" s="212"/>
      <c r="F98" s="212"/>
      <c r="G98" s="212"/>
      <c r="H98" s="212"/>
      <c r="I98" s="212" t="s">
        <v>670</v>
      </c>
      <c r="J98" s="212"/>
      <c r="K98" s="212"/>
      <c r="L98" s="212"/>
      <c r="M98" s="212"/>
      <c r="N98" s="213"/>
    </row>
    <row r="99" spans="2:14" ht="16.5" thickBot="1" x14ac:dyDescent="0.35">
      <c r="B99" s="243" t="s">
        <v>633</v>
      </c>
      <c r="C99" s="213" t="s">
        <v>632</v>
      </c>
      <c r="D99" s="212">
        <v>0</v>
      </c>
      <c r="E99" s="212">
        <v>10</v>
      </c>
      <c r="F99" s="212">
        <v>20</v>
      </c>
      <c r="G99" s="212">
        <v>30</v>
      </c>
      <c r="H99" s="212">
        <v>40</v>
      </c>
      <c r="I99" s="212">
        <v>50</v>
      </c>
      <c r="J99" s="212">
        <v>60</v>
      </c>
      <c r="K99" s="212">
        <v>70</v>
      </c>
      <c r="L99" s="212">
        <v>80</v>
      </c>
      <c r="M99" s="212">
        <v>90</v>
      </c>
      <c r="N99" s="213">
        <v>100</v>
      </c>
    </row>
    <row r="100" spans="2:14" x14ac:dyDescent="0.3">
      <c r="B100" s="109">
        <f>_xll.BfX_U("F",C100)</f>
        <v>-4</v>
      </c>
      <c r="C100" s="155">
        <v>-20</v>
      </c>
      <c r="D100" s="43">
        <f>_xll.BfX_C($C100,,D$99,"%H")</f>
        <v>0.87812178186104028</v>
      </c>
      <c r="E100" s="43">
        <f>_xll.BfX_C($C100,,E$99,"%H")</f>
        <v>0.87816281759921866</v>
      </c>
      <c r="F100" s="43">
        <f>_xll.BfX_C($C100,,F$99,"%H")</f>
        <v>0.87820385447913785</v>
      </c>
      <c r="G100" s="43">
        <f>_xll.BfX_C($C100,,G$99,"%H")</f>
        <v>0.8782448925009585</v>
      </c>
      <c r="H100" s="43">
        <f>_xll.BfX_C($C100,,H$99,"%H")</f>
        <v>0.87828593166484215</v>
      </c>
      <c r="I100" s="43">
        <f>_xll.BfX_C($C100,,I$99,"%H")</f>
        <v>0.87832697197094967</v>
      </c>
      <c r="J100" s="43">
        <f>_xll.BfX_C($C100,,J$99,"%H")</f>
        <v>0.87836801341944237</v>
      </c>
      <c r="K100" s="43">
        <f>_xll.BfX_C($C100,,K$99,"%H")</f>
        <v>0.87840905601048147</v>
      </c>
      <c r="L100" s="43">
        <f>_xll.BfX_C($C100,,L$99,"%H")</f>
        <v>0.87845009974422861</v>
      </c>
      <c r="M100" s="43">
        <f>_xll.BfX_C($C100,,M$99,"%H")</f>
        <v>0.87849114462084477</v>
      </c>
      <c r="N100" s="97">
        <f>_xll.BfX_C($C100,,N$99,"%H")</f>
        <v>0.87853219064049093</v>
      </c>
    </row>
    <row r="101" spans="2:14" x14ac:dyDescent="0.3">
      <c r="B101" s="109">
        <f>_xll.BfX_U("F",C101)</f>
        <v>5</v>
      </c>
      <c r="C101" s="155">
        <v>-15</v>
      </c>
      <c r="D101" s="43">
        <f>_xll.BfX_C($C101,,D$99,"%H")</f>
        <v>0.89553934198534402</v>
      </c>
      <c r="E101" s="43">
        <f>_xll.BfX_C($C101,,E$99,"%H")</f>
        <v>0.89560313149863358</v>
      </c>
      <c r="F101" s="43">
        <f>_xll.BfX_C($C101,,F$99,"%H")</f>
        <v>0.89566692414556459</v>
      </c>
      <c r="G101" s="43">
        <f>_xll.BfX_C($C101,,G$99,"%H")</f>
        <v>0.89573071992681141</v>
      </c>
      <c r="H101" s="43">
        <f>_xll.BfX_C($C101,,H$99,"%H")</f>
        <v>0.89579451884304806</v>
      </c>
      <c r="I101" s="43">
        <f>_xll.BfX_C($C101,,I$99,"%H")</f>
        <v>0.89585832089494888</v>
      </c>
      <c r="J101" s="43">
        <f>_xll.BfX_C($C101,,J$99,"%H")</f>
        <v>0.89592212608318855</v>
      </c>
      <c r="K101" s="43">
        <f>_xll.BfX_C($C101,,K$99,"%H")</f>
        <v>0.89598593440844176</v>
      </c>
      <c r="L101" s="43">
        <f>_xll.BfX_C($C101,,L$99,"%H")</f>
        <v>0.89604974587138331</v>
      </c>
      <c r="M101" s="43">
        <f>_xll.BfX_C($C101,,M$99,"%H")</f>
        <v>0.89611356047268842</v>
      </c>
      <c r="N101" s="97">
        <f>_xll.BfX_C($C101,,N$99,"%H")</f>
        <v>0.89617737821303256</v>
      </c>
    </row>
    <row r="102" spans="2:14" x14ac:dyDescent="0.3">
      <c r="B102" s="109">
        <f>_xll.BfX_U("F",C102)</f>
        <v>14</v>
      </c>
      <c r="C102" s="155">
        <v>-10</v>
      </c>
      <c r="D102" s="43">
        <f>_xll.BfX_C($C102,,D$99,"%H")</f>
        <v>0.91295496163509715</v>
      </c>
      <c r="E102" s="43">
        <f>_xll.BfX_C($C102,,E$99,"%H")</f>
        <v>0.91305233526183827</v>
      </c>
      <c r="F102" s="43">
        <f>_xll.BfX_C($C102,,F$99,"%H")</f>
        <v>0.91314971699216063</v>
      </c>
      <c r="G102" s="43">
        <f>_xll.BfX_C($C102,,G$99,"%H")</f>
        <v>0.9132471068286736</v>
      </c>
      <c r="H102" s="43">
        <f>_xll.BfX_C($C102,,H$99,"%H")</f>
        <v>0.9133445047739881</v>
      </c>
      <c r="I102" s="43">
        <f>_xll.BfX_C($C102,,I$99,"%H")</f>
        <v>0.91344191083071535</v>
      </c>
      <c r="J102" s="43">
        <f>_xll.BfX_C($C102,,J$99,"%H")</f>
        <v>0.91353932500146839</v>
      </c>
      <c r="K102" s="43">
        <f>_xll.BfX_C($C102,,K$99,"%H")</f>
        <v>0.91363674728886102</v>
      </c>
      <c r="L102" s="43">
        <f>_xll.BfX_C($C102,,L$99,"%H")</f>
        <v>0.91373417769550791</v>
      </c>
      <c r="M102" s="43">
        <f>_xll.BfX_C($C102,,M$99,"%H")</f>
        <v>0.91383161622402542</v>
      </c>
      <c r="N102" s="97">
        <f>_xll.BfX_C($C102,,N$99,"%H")</f>
        <v>0.91392906287703091</v>
      </c>
    </row>
    <row r="103" spans="2:14" x14ac:dyDescent="0.3">
      <c r="B103" s="109">
        <f>_xll.BfX_U("F",C103)</f>
        <v>23</v>
      </c>
      <c r="C103" s="155">
        <v>-5</v>
      </c>
      <c r="D103" s="43">
        <f>_xll.BfX_C($C103,,D$99,"%H")</f>
        <v>0.93036864070421033</v>
      </c>
      <c r="E103" s="43">
        <f>_xll.BfX_C($C103,,E$99,"%H")</f>
        <v>0.93051475552818441</v>
      </c>
      <c r="F103" s="43">
        <f>_xll.BfX_C($C103,,F$99,"%H")</f>
        <v>0.93066089025740917</v>
      </c>
      <c r="G103" s="43">
        <f>_xll.BfX_C($C103,,G$99,"%H")</f>
        <v>0.93080704490132171</v>
      </c>
      <c r="H103" s="43">
        <f>_xll.BfX_C($C103,,H$99,"%H")</f>
        <v>0.93095321946936516</v>
      </c>
      <c r="I103" s="43">
        <f>_xll.BfX_C($C103,,I$99,"%H")</f>
        <v>0.93109941397098839</v>
      </c>
      <c r="J103" s="43">
        <f>_xll.BfX_C($C103,,J$99,"%H")</f>
        <v>0.93124562841564618</v>
      </c>
      <c r="K103" s="43">
        <f>_xll.BfX_C($C103,,K$99,"%H")</f>
        <v>0.93139186281279973</v>
      </c>
      <c r="L103" s="43">
        <f>_xll.BfX_C($C103,,L$99,"%H")</f>
        <v>0.9315381171719157</v>
      </c>
      <c r="M103" s="43">
        <f>_xll.BfX_C($C103,,M$99,"%H")</f>
        <v>0.9316843915024674</v>
      </c>
      <c r="N103" s="97">
        <f>_xll.BfX_C($C103,,N$99,"%H")</f>
        <v>0.93183068581393336</v>
      </c>
    </row>
    <row r="104" spans="2:14" x14ac:dyDescent="0.3">
      <c r="B104" s="109">
        <f>_xll.BfX_U("F",C104)</f>
        <v>32</v>
      </c>
      <c r="C104" s="155">
        <v>0</v>
      </c>
      <c r="D104" s="43">
        <f>_xll.BfX_C($C104,,D$99,"%H")</f>
        <v>0.94778037909436208</v>
      </c>
      <c r="E104" s="43">
        <f>_xll.BfX_C($C104,,E$99,"%H")</f>
        <v>0.94799611938917794</v>
      </c>
      <c r="F104" s="43">
        <f>_xll.BfX_C($C104,,F$99,"%H")</f>
        <v>0.94821190640345221</v>
      </c>
      <c r="G104" s="43">
        <f>_xll.BfX_C($C104,,G$99,"%H")</f>
        <v>0.94842774016928688</v>
      </c>
      <c r="H104" s="43">
        <f>_xll.BfX_C($C104,,H$99,"%H")</f>
        <v>0.94864362071881381</v>
      </c>
      <c r="I104" s="43">
        <f>_xll.BfX_C($C104,,I$99,"%H")</f>
        <v>0.94885954808419415</v>
      </c>
      <c r="J104" s="43">
        <f>_xll.BfX_C($C104,,J$99,"%H")</f>
        <v>0.94907552229761794</v>
      </c>
      <c r="K104" s="43">
        <f>_xll.BfX_C($C104,,K$99,"%H")</f>
        <v>0.94929154339130561</v>
      </c>
      <c r="L104" s="43">
        <f>_xll.BfX_C($C104,,L$99,"%H")</f>
        <v>0.94950761139750683</v>
      </c>
      <c r="M104" s="43">
        <f>_xll.BfX_C($C104,,M$99,"%H")</f>
        <v>0.94972372634850033</v>
      </c>
      <c r="N104" s="97">
        <f>_xll.BfX_C($C104,,N$99,"%H")</f>
        <v>0.94993988827659537</v>
      </c>
    </row>
    <row r="105" spans="2:14" x14ac:dyDescent="0.3">
      <c r="B105" s="109">
        <f>_xll.BfX_U("F",C105)</f>
        <v>41</v>
      </c>
      <c r="C105" s="155">
        <v>5</v>
      </c>
      <c r="D105" s="43">
        <f>_xll.BfX_C($C105,,D$99,"%H")</f>
        <v>0.96519017671430107</v>
      </c>
      <c r="E105" s="43">
        <f>_xll.BfX_C($C105,,E$99,"%H")</f>
        <v>0.96550389940103354</v>
      </c>
      <c r="F105" s="43">
        <f>_xll.BfX_C($C105,,F$99,"%H")</f>
        <v>0.96581772734745286</v>
      </c>
      <c r="G105" s="43">
        <f>_xll.BfX_C($C105,,G$99,"%H")</f>
        <v>0.96613166065684042</v>
      </c>
      <c r="H105" s="43">
        <f>_xll.BfX_C($C105,,H$99,"%H")</f>
        <v>0.96644569943261349</v>
      </c>
      <c r="I105" s="43">
        <f>_xll.BfX_C($C105,,I$99,"%H")</f>
        <v>0.96675984377832314</v>
      </c>
      <c r="J105" s="43">
        <f>_xll.BfX_C($C105,,J$99,"%H")</f>
        <v>0.96707409379765785</v>
      </c>
      <c r="K105" s="43">
        <f>_xll.BfX_C($C105,,K$99,"%H")</f>
        <v>0.96738844959444126</v>
      </c>
      <c r="L105" s="43">
        <f>_xll.BfX_C($C105,,L$99,"%H")</f>
        <v>0.96770291127263197</v>
      </c>
      <c r="M105" s="43">
        <f>_xll.BfX_C($C105,,M$99,"%H")</f>
        <v>0.96801747893632728</v>
      </c>
      <c r="N105" s="97">
        <f>_xll.BfX_C($C105,,N$99,"%H")</f>
        <v>0.96833215268975825</v>
      </c>
    </row>
    <row r="106" spans="2:14" x14ac:dyDescent="0.3">
      <c r="B106" s="109">
        <f>_xll.BfX_U("F",C106)</f>
        <v>50</v>
      </c>
      <c r="C106" s="155">
        <v>10</v>
      </c>
      <c r="D106" s="43">
        <f>_xll.BfX_C($C106,,D$99,"%H")</f>
        <v>0.98259803347922092</v>
      </c>
      <c r="E106" s="43">
        <f>_xll.BfX_C($C106,,E$99,"%H")</f>
        <v>0.98304771508368627</v>
      </c>
      <c r="F106" s="43">
        <f>_xll.BfX_C($C106,,F$99,"%H")</f>
        <v>0.98349762517979433</v>
      </c>
      <c r="G106" s="43">
        <f>_xll.BfX_C($C106,,G$99,"%H")</f>
        <v>0.98394776408324802</v>
      </c>
      <c r="H106" s="43">
        <f>_xll.BfX_C($C106,,H$99,"%H")</f>
        <v>0.98439813211033289</v>
      </c>
      <c r="I106" s="43">
        <f>_xll.BfX_C($C106,,I$99,"%H")</f>
        <v>0.98484872957791747</v>
      </c>
      <c r="J106" s="43">
        <f>_xll.BfX_C($C106,,J$99,"%H")</f>
        <v>0.98529955680345471</v>
      </c>
      <c r="K106" s="43">
        <f>_xll.BfX_C($C106,,K$99,"%H")</f>
        <v>0.9857506141049831</v>
      </c>
      <c r="L106" s="43">
        <f>_xll.BfX_C($C106,,L$99,"%H")</f>
        <v>0.98620190180112943</v>
      </c>
      <c r="M106" s="43">
        <f>_xll.BfX_C($C106,,M$99,"%H")</f>
        <v>0.98665342021110836</v>
      </c>
      <c r="N106" s="97">
        <f>_xll.BfX_C($C106,,N$99,"%H")</f>
        <v>0.98710516965472428</v>
      </c>
    </row>
    <row r="107" spans="2:14" x14ac:dyDescent="0.3">
      <c r="B107" s="109">
        <f>_xll.BfX_U("F",C107)</f>
        <v>59</v>
      </c>
      <c r="C107" s="155">
        <v>15</v>
      </c>
      <c r="D107" s="43">
        <f>_xll.BfX_C($C107,,D$99,"%H")</f>
        <v>1.0000039493102013</v>
      </c>
      <c r="E107" s="43">
        <f>_xll.BfX_C($C107,,E$99,"%H")</f>
        <v>1.0006397947352323</v>
      </c>
      <c r="F107" s="43">
        <f>_xll.BfX_C($C107,,F$99,"%H")</f>
        <v>1.0012761195227085</v>
      </c>
      <c r="G107" s="43">
        <f>_xll.BfX_C($C107,,G$99,"%H")</f>
        <v>1.0019129245930629</v>
      </c>
      <c r="H107" s="43">
        <f>_xll.BfX_C($C107,,H$99,"%H")</f>
        <v>1.0025502108690878</v>
      </c>
      <c r="I107" s="43">
        <f>_xll.BfX_C($C107,,I$99,"%H")</f>
        <v>1.0031879792759399</v>
      </c>
      <c r="J107" s="43">
        <f>_xll.BfX_C($C107,,J$99,"%H")</f>
        <v>1.003826230741149</v>
      </c>
      <c r="K107" s="43">
        <f>_xll.BfX_C($C107,,K$99,"%H")</f>
        <v>1.0044649661946268</v>
      </c>
      <c r="L107" s="43">
        <f>_xll.BfX_C($C107,,L$99,"%H")</f>
        <v>1.0051041865686716</v>
      </c>
      <c r="M107" s="43">
        <f>_xll.BfX_C($C107,,M$99,"%H")</f>
        <v>1.0057438927979792</v>
      </c>
      <c r="N107" s="97">
        <f>_xll.BfX_C($C107,,N$99,"%H")</f>
        <v>1.0063840858196482</v>
      </c>
    </row>
    <row r="108" spans="2:14" x14ac:dyDescent="0.3">
      <c r="B108" s="109">
        <f>_xll.BfX_U("F",C108)</f>
        <v>68</v>
      </c>
      <c r="C108" s="155">
        <v>20</v>
      </c>
      <c r="D108" s="43">
        <f>_xll.BfX_C($C108,,D$99,"%H")</f>
        <v>1.0174079241337071</v>
      </c>
      <c r="E108" s="43">
        <f>_xll.BfX_C($C108,,E$99,"%H")</f>
        <v>1.0182955012248944</v>
      </c>
      <c r="F108" s="43">
        <f>_xll.BfX_C($C108,,F$99,"%H")</f>
        <v>1.0191840528326557</v>
      </c>
      <c r="G108" s="43">
        <f>_xll.BfX_C($C108,,G$99,"%H")</f>
        <v>1.0200735815252324</v>
      </c>
      <c r="H108" s="43">
        <f>_xll.BfX_C($C108,,H$99,"%H")</f>
        <v>1.0209640898798971</v>
      </c>
      <c r="I108" s="43">
        <f>_xll.BfX_C($C108,,I$99,"%H")</f>
        <v>1.0218555804829952</v>
      </c>
      <c r="J108" s="43">
        <f>_xll.BfX_C($C108,,J$99,"%H")</f>
        <v>1.0227480559299842</v>
      </c>
      <c r="K108" s="43">
        <f>_xll.BfX_C($C108,,K$99,"%H")</f>
        <v>1.0236415188254735</v>
      </c>
      <c r="L108" s="43">
        <f>_xll.BfX_C($C108,,L$99,"%H")</f>
        <v>1.0245359717832656</v>
      </c>
      <c r="M108" s="43">
        <f>_xll.BfX_C($C108,,M$99,"%H")</f>
        <v>1.0254314174263961</v>
      </c>
      <c r="N108" s="97">
        <f>_xll.BfX_C($C108,,N$99,"%H")</f>
        <v>1.0263278583871738</v>
      </c>
    </row>
    <row r="109" spans="2:14" x14ac:dyDescent="0.3">
      <c r="B109" s="109">
        <f>_xll.BfX_U("F",C109)</f>
        <v>77</v>
      </c>
      <c r="C109" s="155">
        <v>25</v>
      </c>
      <c r="D109" s="43">
        <f>_xll.BfX_C($C109,,D$99,"%H")</f>
        <v>1.0348099578811352</v>
      </c>
      <c r="E109" s="43">
        <f>_xll.BfX_C($C109,,E$99,"%H")</f>
        <v>1.0360339255188182</v>
      </c>
      <c r="F109" s="43">
        <f>_xll.BfX_C($C109,,F$99,"%H")</f>
        <v>1.0372598173327012</v>
      </c>
      <c r="G109" s="43">
        <f>_xll.BfX_C($C109,,G$99,"%H")</f>
        <v>1.0384876402016692</v>
      </c>
      <c r="H109" s="43">
        <f>_xll.BfX_C($C109,,H$99,"%H")</f>
        <v>1.0397174010374359</v>
      </c>
      <c r="I109" s="43">
        <f>_xll.BfX_C($C109,,I$99,"%H")</f>
        <v>1.0409491067847396</v>
      </c>
      <c r="J109" s="43">
        <f>_xll.BfX_C($C109,,J$99,"%H")</f>
        <v>1.0421827644215396</v>
      </c>
      <c r="K109" s="43">
        <f>_xll.BfX_C($C109,,K$99,"%H")</f>
        <v>1.0434183809592164</v>
      </c>
      <c r="L109" s="43">
        <f>_xll.BfX_C($C109,,L$99,"%H")</f>
        <v>1.0446559634427708</v>
      </c>
      <c r="M109" s="43">
        <f>_xll.BfX_C($C109,,M$99,"%H")</f>
        <v>1.0458955189510282</v>
      </c>
      <c r="N109" s="97">
        <f>_xll.BfX_C($C109,,N$99,"%H")</f>
        <v>1.0471370545968375</v>
      </c>
    </row>
    <row r="110" spans="2:14" x14ac:dyDescent="0.3">
      <c r="B110" s="109">
        <f>_xll.BfX_U("F",C110)</f>
        <v>86</v>
      </c>
      <c r="C110" s="155">
        <v>30</v>
      </c>
      <c r="D110" s="43">
        <f>_xll.BfX_C($C110,,D$99,"%H")</f>
        <v>1.0522100504884084</v>
      </c>
      <c r="E110" s="43">
        <f>_xll.BfX_C($C110,,E$99,"%H")</f>
        <v>1.0538785522000864</v>
      </c>
      <c r="F110" s="43">
        <f>_xll.BfX_C($C110,,F$99,"%H")</f>
        <v>1.0555507514747287</v>
      </c>
      <c r="G110" s="43">
        <f>_xll.BfX_C($C110,,G$99,"%H")</f>
        <v>1.0572266660468514</v>
      </c>
      <c r="H110" s="43">
        <f>_xll.BfX_C($C110,,H$99,"%H")</f>
        <v>1.0589063137645649</v>
      </c>
      <c r="I110" s="43">
        <f>_xll.BfX_C($C110,,I$99,"%H")</f>
        <v>1.0605897125904846</v>
      </c>
      <c r="J110" s="43">
        <f>_xll.BfX_C($C110,,J$99,"%H")</f>
        <v>1.062276880602651</v>
      </c>
      <c r="K110" s="43">
        <f>_xll.BfX_C($C110,,K$99,"%H")</f>
        <v>1.0639678359954587</v>
      </c>
      <c r="L110" s="43">
        <f>_xll.BfX_C($C110,,L$99,"%H")</f>
        <v>1.0656625970805931</v>
      </c>
      <c r="M110" s="43">
        <f>_xll.BfX_C($C110,,M$99,"%H")</f>
        <v>1.0673611822879774</v>
      </c>
      <c r="N110" s="97">
        <f>_xll.BfX_C($C110,,N$99,"%H")</f>
        <v>1.0690636101667295</v>
      </c>
    </row>
    <row r="111" spans="2:14" ht="16.5" thickBot="1" x14ac:dyDescent="0.35">
      <c r="B111" s="114">
        <f>_xll.BfX_U("F",C111)</f>
        <v>95</v>
      </c>
      <c r="C111" s="156">
        <v>35</v>
      </c>
      <c r="D111" s="162">
        <f>_xll.BfX_C($C111,,D$99,"%H")</f>
        <v>1.0696082018956088</v>
      </c>
      <c r="E111" s="162">
        <f>_xll.BfX_C($C111,,E$99,"%H")</f>
        <v>1.0718580023580608</v>
      </c>
      <c r="F111" s="162">
        <f>_xll.BfX_C($C111,,F$99,"%H")</f>
        <v>1.074114730627669</v>
      </c>
      <c r="G111" s="162">
        <f>_xll.BfX_C($C111,,G$99,"%H")</f>
        <v>1.076378430822478</v>
      </c>
      <c r="H111" s="162">
        <f>_xll.BfX_C($C111,,H$99,"%H")</f>
        <v>1.0786491474359359</v>
      </c>
      <c r="I111" s="162">
        <f>_xll.BfX_C($C111,,I$99,"%H")</f>
        <v>1.0809269253408964</v>
      </c>
      <c r="J111" s="162">
        <f>_xll.BfX_C($C111,,J$99,"%H")</f>
        <v>1.0832118097936692</v>
      </c>
      <c r="K111" s="162">
        <f>_xll.BfX_C($C111,,K$99,"%H")</f>
        <v>1.0855038464381284</v>
      </c>
      <c r="L111" s="162">
        <f>_xll.BfX_C($C111,,L$99,"%H")</f>
        <v>1.0878030813098671</v>
      </c>
      <c r="M111" s="162">
        <f>_xll.BfX_C($C111,,M$99,"%H")</f>
        <v>1.0901095608404097</v>
      </c>
      <c r="N111" s="99">
        <f>_xll.BfX_C($C111,,N$99,"%H")</f>
        <v>1.0924233318614782</v>
      </c>
    </row>
    <row r="117" spans="2:7" ht="16.5" thickBot="1" x14ac:dyDescent="0.35"/>
    <row r="118" spans="2:7" x14ac:dyDescent="0.3">
      <c r="B118" s="198" t="str">
        <f ca="1">MID(CELL("filename",A5),FIND("]",CELL("filename",A5))+1,1256)</f>
        <v>Weather</v>
      </c>
      <c r="C118" s="199" t="s">
        <v>720</v>
      </c>
      <c r="D118" s="199" t="str">
        <f>_xll.BfX_CRC(B15:B20)</f>
        <v>BfX393824420CRC</v>
      </c>
      <c r="E118" s="199"/>
      <c r="F118" s="199"/>
      <c r="G118" s="200"/>
    </row>
    <row r="119" spans="2:7" ht="16.5" thickBot="1" x14ac:dyDescent="0.35">
      <c r="B119" s="201" t="str">
        <f ca="1">MID(CELL("filename",A6),FIND("]",CELL("filename",A6))+1,1256)</f>
        <v>Weather</v>
      </c>
      <c r="C119" s="202" t="s">
        <v>667</v>
      </c>
      <c r="D119" s="202" t="str">
        <f>_xll.BfX_CRC(B98:N111)</f>
        <v>BfX629774958CRC</v>
      </c>
      <c r="E119" s="202"/>
      <c r="F119" s="202"/>
      <c r="G119" s="203"/>
    </row>
    <row r="120" spans="2:7" x14ac:dyDescent="0.3">
      <c r="B120" s="198" t="s">
        <v>761</v>
      </c>
      <c r="C120" s="199"/>
      <c r="D120" s="199"/>
      <c r="E120" s="199"/>
      <c r="F120" s="199"/>
      <c r="G120" s="200"/>
    </row>
    <row r="121" spans="2:7" x14ac:dyDescent="0.3">
      <c r="B121" s="201" t="s">
        <v>759</v>
      </c>
      <c r="C121" s="202"/>
      <c r="D121" s="202"/>
      <c r="E121" s="202"/>
      <c r="F121" s="202"/>
      <c r="G121" s="203"/>
    </row>
    <row r="122" spans="2:7" ht="16.5" thickBot="1" x14ac:dyDescent="0.35">
      <c r="B122" s="204" t="s">
        <v>760</v>
      </c>
      <c r="C122" s="205"/>
      <c r="D122" s="205"/>
      <c r="E122" s="205"/>
      <c r="F122" s="205"/>
      <c r="G122" s="206"/>
    </row>
  </sheetData>
  <conditionalFormatting sqref="D69:R93">
    <cfRule type="colorScale" priority="2">
      <colorScale>
        <cfvo type="min"/>
        <cfvo type="percentile" val="50"/>
        <cfvo type="max"/>
        <color rgb="FFF8696B"/>
        <color rgb="FFFFEB84"/>
        <color rgb="FF63BE7B"/>
      </colorScale>
    </cfRule>
  </conditionalFormatting>
  <conditionalFormatting sqref="D100:N11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16"/>
  <sheetViews>
    <sheetView topLeftCell="A276" zoomScale="70" zoomScaleNormal="70" workbookViewId="0">
      <selection activeCell="E412" sqref="E412"/>
    </sheetView>
  </sheetViews>
  <sheetFormatPr defaultRowHeight="15.75" x14ac:dyDescent="0.3"/>
  <cols>
    <col min="2" max="2" width="16.109375" style="12" customWidth="1"/>
    <col min="3" max="3" width="11.6640625" customWidth="1"/>
    <col min="4" max="4" width="11.33203125" customWidth="1"/>
    <col min="5" max="5" width="10.5546875" customWidth="1"/>
    <col min="6" max="6" width="11.5546875" customWidth="1"/>
    <col min="7" max="7" width="17.109375" customWidth="1"/>
    <col min="8" max="10" width="10" bestFit="1" customWidth="1"/>
  </cols>
  <sheetData>
    <row r="1" spans="1:6" x14ac:dyDescent="0.3">
      <c r="A1">
        <v>14</v>
      </c>
      <c r="B1" s="12" t="s">
        <v>176</v>
      </c>
    </row>
    <row r="3" spans="1:6" s="2" customFormat="1" x14ac:dyDescent="0.3">
      <c r="A3" s="2" t="s">
        <v>179</v>
      </c>
      <c r="B3" s="32" t="s">
        <v>180</v>
      </c>
    </row>
    <row r="4" spans="1:6" x14ac:dyDescent="0.3">
      <c r="B4" s="12" t="s">
        <v>218</v>
      </c>
    </row>
    <row r="5" spans="1:6" x14ac:dyDescent="0.3">
      <c r="B5" s="12" t="s">
        <v>575</v>
      </c>
    </row>
    <row r="9" spans="1:6" s="2" customFormat="1" x14ac:dyDescent="0.3">
      <c r="A9" s="2" t="s">
        <v>181</v>
      </c>
      <c r="B9" s="32" t="s">
        <v>219</v>
      </c>
    </row>
    <row r="13" spans="1:6" x14ac:dyDescent="0.3">
      <c r="F13" s="30"/>
    </row>
    <row r="14" spans="1:6" x14ac:dyDescent="0.3">
      <c r="F14" s="30"/>
    </row>
    <row r="15" spans="1:6" x14ac:dyDescent="0.3">
      <c r="F15" s="30"/>
    </row>
    <row r="16" spans="1:6" x14ac:dyDescent="0.3">
      <c r="F16" s="30"/>
    </row>
    <row r="17" spans="2:7" x14ac:dyDescent="0.3">
      <c r="F17" s="30"/>
    </row>
    <row r="18" spans="2:7" x14ac:dyDescent="0.3">
      <c r="F18" s="30"/>
    </row>
    <row r="19" spans="2:7" x14ac:dyDescent="0.3">
      <c r="F19" s="30"/>
    </row>
    <row r="20" spans="2:7" x14ac:dyDescent="0.3">
      <c r="F20" s="30"/>
    </row>
    <row r="21" spans="2:7" x14ac:dyDescent="0.3">
      <c r="B21" s="12" t="s">
        <v>255</v>
      </c>
      <c r="E21" s="31" t="s">
        <v>213</v>
      </c>
      <c r="F21" s="30"/>
      <c r="G21" s="31" t="s">
        <v>527</v>
      </c>
    </row>
    <row r="22" spans="2:7" x14ac:dyDescent="0.3">
      <c r="F22" s="30"/>
    </row>
    <row r="23" spans="2:7" x14ac:dyDescent="0.3">
      <c r="F23" s="30"/>
    </row>
    <row r="24" spans="2:7" x14ac:dyDescent="0.3">
      <c r="F24" s="30"/>
    </row>
    <row r="25" spans="2:7" x14ac:dyDescent="0.3">
      <c r="F25" s="30"/>
    </row>
    <row r="26" spans="2:7" x14ac:dyDescent="0.3">
      <c r="F26" s="30"/>
    </row>
    <row r="27" spans="2:7" x14ac:dyDescent="0.3">
      <c r="F27" s="30"/>
    </row>
    <row r="28" spans="2:7" x14ac:dyDescent="0.3">
      <c r="F28" s="30"/>
    </row>
    <row r="29" spans="2:7" x14ac:dyDescent="0.3">
      <c r="F29" s="30"/>
    </row>
    <row r="30" spans="2:7" x14ac:dyDescent="0.3">
      <c r="F30" s="30"/>
    </row>
    <row r="31" spans="2:7" x14ac:dyDescent="0.3">
      <c r="F31" s="30"/>
    </row>
    <row r="32" spans="2:7" x14ac:dyDescent="0.3">
      <c r="F32" s="30"/>
    </row>
    <row r="33" spans="2:8" x14ac:dyDescent="0.3">
      <c r="F33" s="30"/>
      <c r="H33" s="12" t="s">
        <v>211</v>
      </c>
    </row>
    <row r="34" spans="2:8" x14ac:dyDescent="0.3">
      <c r="B34" s="12" t="s">
        <v>209</v>
      </c>
      <c r="E34" t="s">
        <v>210</v>
      </c>
      <c r="F34" s="30"/>
    </row>
    <row r="35" spans="2:8" x14ac:dyDescent="0.3">
      <c r="F35" s="30"/>
    </row>
    <row r="36" spans="2:8" x14ac:dyDescent="0.3">
      <c r="F36" s="30"/>
    </row>
    <row r="37" spans="2:8" x14ac:dyDescent="0.3">
      <c r="F37" s="30"/>
    </row>
    <row r="38" spans="2:8" x14ac:dyDescent="0.3">
      <c r="F38" s="30"/>
    </row>
    <row r="39" spans="2:8" x14ac:dyDescent="0.3">
      <c r="F39" s="30"/>
    </row>
    <row r="40" spans="2:8" x14ac:dyDescent="0.3">
      <c r="F40" s="30"/>
    </row>
    <row r="41" spans="2:8" x14ac:dyDescent="0.3">
      <c r="F41" s="30"/>
    </row>
    <row r="42" spans="2:8" x14ac:dyDescent="0.3">
      <c r="F42" s="30"/>
    </row>
    <row r="43" spans="2:8" x14ac:dyDescent="0.3">
      <c r="F43" s="30"/>
    </row>
    <row r="44" spans="2:8" x14ac:dyDescent="0.3">
      <c r="F44" s="30"/>
    </row>
    <row r="45" spans="2:8" x14ac:dyDescent="0.3">
      <c r="F45" s="30"/>
    </row>
    <row r="46" spans="2:8" x14ac:dyDescent="0.3">
      <c r="F46" s="30"/>
      <c r="H46" s="12" t="s">
        <v>216</v>
      </c>
    </row>
    <row r="47" spans="2:8" x14ac:dyDescent="0.3">
      <c r="E47" s="12" t="s">
        <v>214</v>
      </c>
      <c r="F47" s="30"/>
    </row>
    <row r="48" spans="2:8" x14ac:dyDescent="0.3">
      <c r="B48" s="12" t="s">
        <v>212</v>
      </c>
      <c r="F48" s="30"/>
    </row>
    <row r="49" spans="2:8" x14ac:dyDescent="0.3">
      <c r="F49" s="30"/>
    </row>
    <row r="50" spans="2:8" x14ac:dyDescent="0.3">
      <c r="F50" s="30"/>
    </row>
    <row r="51" spans="2:8" x14ac:dyDescent="0.3">
      <c r="F51" s="30"/>
    </row>
    <row r="52" spans="2:8" x14ac:dyDescent="0.3">
      <c r="F52" s="30"/>
    </row>
    <row r="53" spans="2:8" x14ac:dyDescent="0.3">
      <c r="F53" s="30"/>
    </row>
    <row r="54" spans="2:8" x14ac:dyDescent="0.3">
      <c r="F54" s="30"/>
      <c r="H54" s="105" t="s">
        <v>529</v>
      </c>
    </row>
    <row r="55" spans="2:8" x14ac:dyDescent="0.3">
      <c r="F55" s="30"/>
    </row>
    <row r="56" spans="2:8" x14ac:dyDescent="0.3">
      <c r="F56" s="30"/>
    </row>
    <row r="57" spans="2:8" x14ac:dyDescent="0.3">
      <c r="F57" s="30"/>
    </row>
    <row r="58" spans="2:8" x14ac:dyDescent="0.3">
      <c r="F58" s="30"/>
    </row>
    <row r="59" spans="2:8" x14ac:dyDescent="0.3">
      <c r="F59" s="30"/>
    </row>
    <row r="60" spans="2:8" x14ac:dyDescent="0.3">
      <c r="B60" s="12" t="s">
        <v>215</v>
      </c>
      <c r="E60" s="12" t="s">
        <v>217</v>
      </c>
      <c r="F60" s="30"/>
      <c r="H60" s="12" t="s">
        <v>528</v>
      </c>
    </row>
    <row r="61" spans="2:8" x14ac:dyDescent="0.3">
      <c r="B61" s="12" t="s">
        <v>576</v>
      </c>
      <c r="F61" s="30"/>
    </row>
    <row r="62" spans="2:8" x14ac:dyDescent="0.3">
      <c r="F62" s="30"/>
    </row>
    <row r="68" spans="1:8" s="2" customFormat="1" x14ac:dyDescent="0.3">
      <c r="A68" s="2" t="s">
        <v>181</v>
      </c>
      <c r="B68" s="32" t="s">
        <v>256</v>
      </c>
    </row>
    <row r="69" spans="1:8" x14ac:dyDescent="0.3">
      <c r="B69" s="12" t="s">
        <v>605</v>
      </c>
    </row>
    <row r="70" spans="1:8" x14ac:dyDescent="0.3">
      <c r="B70" s="12" t="s">
        <v>393</v>
      </c>
    </row>
    <row r="73" spans="1:8" x14ac:dyDescent="0.3">
      <c r="B73" s="12" t="s">
        <v>394</v>
      </c>
    </row>
    <row r="74" spans="1:8" x14ac:dyDescent="0.3">
      <c r="B74" s="12" t="s">
        <v>177</v>
      </c>
    </row>
    <row r="75" spans="1:8" x14ac:dyDescent="0.3">
      <c r="B75" s="12" t="s">
        <v>178</v>
      </c>
    </row>
    <row r="77" spans="1:8" x14ac:dyDescent="0.3">
      <c r="B77" s="12" t="s">
        <v>206</v>
      </c>
    </row>
    <row r="78" spans="1:8" ht="24.75" x14ac:dyDescent="0.3">
      <c r="B78" s="33" t="s">
        <v>194</v>
      </c>
      <c r="C78" s="27" t="s">
        <v>195</v>
      </c>
      <c r="D78" s="27" t="s">
        <v>196</v>
      </c>
      <c r="E78" s="27" t="s">
        <v>197</v>
      </c>
      <c r="F78" s="27" t="s">
        <v>198</v>
      </c>
      <c r="G78" s="27"/>
      <c r="H78" s="27"/>
    </row>
    <row r="79" spans="1:8" ht="24.75" x14ac:dyDescent="0.3">
      <c r="B79" s="34" t="s">
        <v>199</v>
      </c>
      <c r="C79" s="29" t="s">
        <v>200</v>
      </c>
      <c r="D79" s="29">
        <v>180</v>
      </c>
      <c r="E79" s="29" t="s">
        <v>201</v>
      </c>
      <c r="F79" s="28" t="s">
        <v>202</v>
      </c>
      <c r="G79" s="28"/>
      <c r="H79" s="28"/>
    </row>
    <row r="80" spans="1:8" x14ac:dyDescent="0.3">
      <c r="B80" s="34"/>
      <c r="C80" s="29"/>
      <c r="D80" s="29"/>
      <c r="E80" s="29"/>
      <c r="F80" s="28" t="s">
        <v>203</v>
      </c>
      <c r="G80" s="28"/>
      <c r="H80" s="28"/>
    </row>
    <row r="81" spans="1:9" x14ac:dyDescent="0.3">
      <c r="B81" s="34"/>
      <c r="C81" s="29"/>
      <c r="D81" s="29"/>
      <c r="E81" s="29"/>
      <c r="F81" s="28" t="s">
        <v>204</v>
      </c>
      <c r="G81" s="28"/>
      <c r="H81" s="28"/>
    </row>
    <row r="82" spans="1:9" x14ac:dyDescent="0.3">
      <c r="B82" s="34"/>
      <c r="C82" s="29"/>
      <c r="D82" s="29"/>
      <c r="E82" s="29"/>
      <c r="F82" s="28" t="s">
        <v>205</v>
      </c>
      <c r="G82" s="28"/>
      <c r="H82" s="28"/>
    </row>
    <row r="83" spans="1:9" x14ac:dyDescent="0.3">
      <c r="B83" s="105"/>
      <c r="C83" s="105"/>
      <c r="D83" s="105"/>
      <c r="E83" s="105"/>
      <c r="F83" s="105"/>
      <c r="G83" s="105"/>
      <c r="H83" s="105"/>
      <c r="I83" s="105"/>
    </row>
    <row r="84" spans="1:9" s="105" customFormat="1" x14ac:dyDescent="0.3"/>
    <row r="85" spans="1:9" s="105" customFormat="1" x14ac:dyDescent="0.3">
      <c r="B85" s="105" t="s">
        <v>615</v>
      </c>
    </row>
    <row r="86" spans="1:9" s="105" customFormat="1" x14ac:dyDescent="0.3">
      <c r="B86" s="105" t="s">
        <v>616</v>
      </c>
    </row>
    <row r="87" spans="1:9" s="105" customFormat="1" x14ac:dyDescent="0.3"/>
    <row r="88" spans="1:9" s="2" customFormat="1" x14ac:dyDescent="0.3">
      <c r="A88" s="2" t="s">
        <v>181</v>
      </c>
      <c r="B88" s="32" t="s">
        <v>182</v>
      </c>
    </row>
    <row r="89" spans="1:9" x14ac:dyDescent="0.3">
      <c r="B89" s="12" t="s">
        <v>183</v>
      </c>
    </row>
    <row r="90" spans="1:9" x14ac:dyDescent="0.3">
      <c r="B90" s="12" t="s">
        <v>257</v>
      </c>
    </row>
    <row r="91" spans="1:9" x14ac:dyDescent="0.3">
      <c r="B91" s="12" t="s">
        <v>395</v>
      </c>
    </row>
    <row r="92" spans="1:9" s="105" customFormat="1" x14ac:dyDescent="0.3">
      <c r="B92" s="12" t="s">
        <v>614</v>
      </c>
    </row>
    <row r="93" spans="1:9" x14ac:dyDescent="0.3">
      <c r="B93" s="12" t="s">
        <v>186</v>
      </c>
    </row>
    <row r="94" spans="1:9" x14ac:dyDescent="0.3">
      <c r="B94" s="12" t="s">
        <v>258</v>
      </c>
    </row>
    <row r="95" spans="1:9" x14ac:dyDescent="0.3">
      <c r="B95" s="12" t="s">
        <v>259</v>
      </c>
    </row>
    <row r="96" spans="1:9" x14ac:dyDescent="0.3">
      <c r="B96" s="12" t="s">
        <v>260</v>
      </c>
    </row>
    <row r="97" spans="1:8" x14ac:dyDescent="0.3">
      <c r="B97" s="12" t="s">
        <v>261</v>
      </c>
    </row>
    <row r="98" spans="1:8" s="105" customFormat="1" x14ac:dyDescent="0.3">
      <c r="B98" s="12"/>
    </row>
    <row r="99" spans="1:8" s="2" customFormat="1" x14ac:dyDescent="0.3">
      <c r="A99" s="2" t="s">
        <v>207</v>
      </c>
      <c r="B99" s="32" t="s">
        <v>530</v>
      </c>
    </row>
    <row r="100" spans="1:8" s="105" customFormat="1" x14ac:dyDescent="0.3">
      <c r="A100" s="2"/>
      <c r="B100" s="12" t="s">
        <v>536</v>
      </c>
    </row>
    <row r="101" spans="1:8" s="105" customFormat="1" x14ac:dyDescent="0.3">
      <c r="A101" s="2"/>
      <c r="B101" s="12" t="s">
        <v>534</v>
      </c>
    </row>
    <row r="102" spans="1:8" s="105" customFormat="1" x14ac:dyDescent="0.3">
      <c r="A102" s="2"/>
      <c r="B102" s="12"/>
    </row>
    <row r="103" spans="1:8" s="105" customFormat="1" x14ac:dyDescent="0.3">
      <c r="A103" s="2"/>
      <c r="C103" s="12" t="s">
        <v>535</v>
      </c>
      <c r="D103" s="105" t="s">
        <v>533</v>
      </c>
    </row>
    <row r="104" spans="1:8" s="105" customFormat="1" x14ac:dyDescent="0.3">
      <c r="A104" s="2"/>
      <c r="B104" s="12" t="s">
        <v>537</v>
      </c>
      <c r="C104" s="105">
        <v>21.13</v>
      </c>
      <c r="D104" s="164">
        <f>_xll.BfX_D("in",785,"fps",74,"yd",0.021,"A")</f>
        <v>21.191475983132818</v>
      </c>
      <c r="E104" s="21" t="str">
        <f ca="1">_xll.BfX_Cell(D104)</f>
        <v>=BfX_D("in";785;"fps";74;"yd";0,021;"A")</v>
      </c>
      <c r="F104" s="21"/>
      <c r="G104" s="21"/>
      <c r="H104" s="21"/>
    </row>
    <row r="105" spans="1:8" s="105" customFormat="1" x14ac:dyDescent="0.3">
      <c r="A105" s="2"/>
      <c r="B105" s="12" t="s">
        <v>538</v>
      </c>
      <c r="C105" s="105">
        <v>0.35499999999999998</v>
      </c>
      <c r="D105" s="165">
        <f>_xll.BfX_Tx(785,"fps",74,"yd",0.021,"A")</f>
        <v>0.35550584216152986</v>
      </c>
      <c r="E105" s="21" t="str">
        <f ca="1">_xll.BfX_Cell(D105)</f>
        <v>=BfX_Tx(785;"fps";74;"yd";0,021;"A")</v>
      </c>
      <c r="F105" s="21"/>
      <c r="G105" s="21"/>
      <c r="H105" s="21"/>
    </row>
    <row r="106" spans="1:8" s="105" customFormat="1" x14ac:dyDescent="0.3">
      <c r="A106" s="2"/>
      <c r="B106" s="12" t="s">
        <v>539</v>
      </c>
      <c r="C106" s="105">
        <v>505</v>
      </c>
      <c r="D106" s="163">
        <f>_xll.BfX_Vx("fps",785,"fps",74,"yd",0.021,"A")</f>
        <v>504.87276875081699</v>
      </c>
      <c r="E106" s="21" t="str">
        <f ca="1">_xll.BfX_Cell(D106)</f>
        <v>=BfX_Vx("fps";785;"fps";74;"yd";0,021;"A")</v>
      </c>
      <c r="F106" s="21"/>
      <c r="G106" s="21"/>
      <c r="H106" s="21"/>
    </row>
    <row r="108" spans="1:8" s="2" customFormat="1" x14ac:dyDescent="0.3">
      <c r="A108" s="2" t="s">
        <v>234</v>
      </c>
      <c r="B108" s="32" t="s">
        <v>399</v>
      </c>
    </row>
    <row r="109" spans="1:8" x14ac:dyDescent="0.3">
      <c r="B109" s="12" t="s">
        <v>262</v>
      </c>
    </row>
    <row r="110" spans="1:8" x14ac:dyDescent="0.3">
      <c r="B110" s="12" t="s">
        <v>184</v>
      </c>
    </row>
    <row r="111" spans="1:8" x14ac:dyDescent="0.3">
      <c r="B111" s="35">
        <f>_xll.BfX_Vx(740,312,0.489)</f>
        <v>562.11940794045915</v>
      </c>
      <c r="C111" t="s">
        <v>45</v>
      </c>
      <c r="D111" s="21" t="str">
        <f ca="1">_xll.BfX_Cell(B111)</f>
        <v>=BfX_Vx(740;312;0,489)</v>
      </c>
      <c r="E111" s="21"/>
      <c r="F111" s="21"/>
    </row>
    <row r="112" spans="1:8" x14ac:dyDescent="0.3">
      <c r="B112" s="12" t="s">
        <v>185</v>
      </c>
    </row>
    <row r="113" spans="2:11" x14ac:dyDescent="0.3">
      <c r="B113" s="35">
        <f>_xll.BfX_Vx(740,312,0.489,"GP")</f>
        <v>562.11940794045915</v>
      </c>
      <c r="C113" t="s">
        <v>45</v>
      </c>
      <c r="D113" s="21" t="str">
        <f ca="1">_xll.BfX_Cell(B113)</f>
        <v>=BfX_Vx(740;312;0,489;"GP")</v>
      </c>
      <c r="E113" s="21"/>
      <c r="F113" s="21"/>
    </row>
    <row r="114" spans="2:11" s="105" customFormat="1" x14ac:dyDescent="0.3">
      <c r="B114" s="12" t="s">
        <v>396</v>
      </c>
    </row>
    <row r="115" spans="2:11" s="105" customFormat="1" x14ac:dyDescent="0.3">
      <c r="B115" s="35">
        <f>_xll.BfX_Vx(740,312,0.3,"G7")</f>
        <v>597.11640540309179</v>
      </c>
      <c r="C115" s="105" t="s">
        <v>45</v>
      </c>
      <c r="D115" s="21" t="str">
        <f ca="1">_xll.BfX_Cell(B115)</f>
        <v>=BfX_Vx(740;312;0,3;"G7")</v>
      </c>
      <c r="E115" s="21"/>
      <c r="F115" s="21"/>
    </row>
    <row r="116" spans="2:11" s="105" customFormat="1" x14ac:dyDescent="0.3"/>
    <row r="117" spans="2:11" x14ac:dyDescent="0.3">
      <c r="B117" s="12" t="s">
        <v>397</v>
      </c>
    </row>
    <row r="118" spans="2:11" s="105" customFormat="1" x14ac:dyDescent="0.3">
      <c r="B118" s="142">
        <v>9</v>
      </c>
      <c r="C118" s="21" t="str">
        <f>_xll.BfX_Help2(B118)</f>
        <v>=================================Drag functions=================================</v>
      </c>
      <c r="D118" s="21"/>
      <c r="E118" s="21"/>
      <c r="F118" s="21"/>
      <c r="G118" s="21"/>
      <c r="H118" s="21"/>
      <c r="I118" s="21"/>
    </row>
    <row r="119" spans="2:11" s="105" customFormat="1" x14ac:dyDescent="0.3">
      <c r="B119" s="142">
        <v>10</v>
      </c>
      <c r="C119" s="21" t="str">
        <f>_xll.BfX_Help2(B119)</f>
        <v>Pejsa, use G1 bc,  VLD / boat tail bullet (default)                            -&gt;  GP</v>
      </c>
      <c r="D119" s="21"/>
      <c r="E119" s="21"/>
      <c r="F119" s="21"/>
      <c r="G119" s="21"/>
      <c r="H119" s="21"/>
      <c r="I119" s="21"/>
    </row>
    <row r="120" spans="2:11" s="105" customFormat="1" x14ac:dyDescent="0.3">
      <c r="B120" s="142">
        <v>11</v>
      </c>
      <c r="C120" s="21" t="str">
        <f>_xll.BfX_Help2(B120)</f>
        <v>G1                                                                             -&gt;  G1</v>
      </c>
      <c r="D120" s="21"/>
      <c r="E120" s="21"/>
      <c r="F120" s="21"/>
      <c r="G120" s="21"/>
      <c r="H120" s="21"/>
      <c r="I120" s="21"/>
    </row>
    <row r="121" spans="2:11" s="105" customFormat="1" x14ac:dyDescent="0.3">
      <c r="B121" s="142">
        <v>12</v>
      </c>
      <c r="C121" s="21" t="str">
        <f>_xll.BfX_Help2(B121)</f>
        <v>G2                                                                             -&gt;  G2</v>
      </c>
      <c r="D121" s="21"/>
      <c r="E121" s="21"/>
      <c r="F121" s="21"/>
      <c r="G121" s="21"/>
      <c r="H121" s="21"/>
      <c r="I121" s="21"/>
      <c r="J121" s="21" t="str">
        <f ca="1">_xll.BfX_Cell(C121)</f>
        <v>=BfX_Help2(B121)</v>
      </c>
      <c r="K121" s="21"/>
    </row>
    <row r="122" spans="2:11" s="105" customFormat="1" x14ac:dyDescent="0.3">
      <c r="B122" s="142">
        <v>13</v>
      </c>
      <c r="C122" s="21" t="str">
        <f>_xll.BfX_Help2(B122)</f>
        <v>G5                                                                             -&gt;  G5</v>
      </c>
      <c r="D122" s="21"/>
      <c r="E122" s="21"/>
      <c r="F122" s="21"/>
      <c r="G122" s="21"/>
      <c r="H122" s="21"/>
      <c r="I122" s="21"/>
    </row>
    <row r="123" spans="2:11" s="105" customFormat="1" x14ac:dyDescent="0.3">
      <c r="B123" s="142">
        <v>14</v>
      </c>
      <c r="C123" s="21" t="str">
        <f>_xll.BfX_Help2(B123)</f>
        <v>G6                                                                             -&gt;  G6</v>
      </c>
      <c r="D123" s="21"/>
      <c r="E123" s="21"/>
      <c r="F123" s="21"/>
      <c r="G123" s="21"/>
      <c r="H123" s="21"/>
      <c r="I123" s="21"/>
    </row>
    <row r="124" spans="2:11" s="105" customFormat="1" x14ac:dyDescent="0.3">
      <c r="B124" s="142">
        <v>15</v>
      </c>
      <c r="C124" s="21" t="str">
        <f>_xll.BfX_Help2(B124)</f>
        <v>G7, VLD /boat tail bullet                                                      -&gt;  G7</v>
      </c>
      <c r="D124" s="21"/>
      <c r="E124" s="21"/>
      <c r="F124" s="21"/>
      <c r="G124" s="21"/>
      <c r="H124" s="21"/>
      <c r="I124" s="21"/>
    </row>
    <row r="125" spans="2:11" s="105" customFormat="1" x14ac:dyDescent="0.3">
      <c r="B125" s="142">
        <v>16</v>
      </c>
      <c r="C125" s="21" t="str">
        <f>_xll.BfX_Help2(B125)</f>
        <v>G8                                                                             -&gt;  G8</v>
      </c>
      <c r="D125" s="21"/>
      <c r="E125" s="21"/>
      <c r="F125" s="21"/>
      <c r="G125" s="21"/>
      <c r="H125" s="21"/>
      <c r="I125" s="21"/>
    </row>
    <row r="126" spans="2:11" s="105" customFormat="1" x14ac:dyDescent="0.3">
      <c r="B126" s="142">
        <v>17</v>
      </c>
      <c r="C126" s="21" t="str">
        <f>_xll.BfX_Help2(B126)</f>
        <v>GS, sphere (e.g. shotgun)                                                      -&gt;  GS</v>
      </c>
      <c r="D126" s="21"/>
      <c r="E126" s="21"/>
      <c r="F126" s="21"/>
      <c r="G126" s="21"/>
      <c r="H126" s="21"/>
      <c r="I126" s="21"/>
    </row>
    <row r="127" spans="2:11" s="105" customFormat="1" x14ac:dyDescent="0.3">
      <c r="B127" s="142">
        <v>18</v>
      </c>
      <c r="C127" s="21" t="str">
        <f>_xll.BfX_Help2(B127)</f>
        <v>Ingalls / Mayevski                                                             -&gt;  GIM</v>
      </c>
      <c r="D127" s="21"/>
      <c r="E127" s="21"/>
      <c r="F127" s="21"/>
      <c r="G127" s="21"/>
      <c r="H127" s="21"/>
      <c r="I127" s="21"/>
    </row>
    <row r="128" spans="2:11" s="105" customFormat="1" x14ac:dyDescent="0.3">
      <c r="B128" s="142">
        <v>19</v>
      </c>
      <c r="C128" s="21" t="str">
        <f>_xll.BfX_Help2(B128)</f>
        <v>RA4, small bore                                                                -&gt;  RA4</v>
      </c>
      <c r="D128" s="21"/>
      <c r="E128" s="21"/>
      <c r="F128" s="21"/>
      <c r="G128" s="21"/>
      <c r="H128" s="21"/>
      <c r="I128" s="21"/>
    </row>
    <row r="129" spans="1:9" s="105" customFormat="1" x14ac:dyDescent="0.3">
      <c r="B129" s="142">
        <v>20</v>
      </c>
      <c r="C129" s="21" t="str">
        <f>_xll.BfX_Help2(B129)</f>
        <v>Air rifle, consistent with Chairgun                                            -&gt;  A</v>
      </c>
      <c r="D129" s="21"/>
      <c r="E129" s="21"/>
      <c r="F129" s="21"/>
      <c r="G129" s="21"/>
      <c r="H129" s="21"/>
      <c r="I129" s="21"/>
    </row>
    <row r="130" spans="1:9" s="105" customFormat="1" x14ac:dyDescent="0.3">
      <c r="B130" s="142">
        <v>21</v>
      </c>
      <c r="C130" s="21" t="str">
        <f>_xll.BfX_Help2(B130)</f>
        <v>====================================Distance====================================</v>
      </c>
      <c r="D130" s="21"/>
      <c r="E130" s="21"/>
      <c r="F130" s="21"/>
      <c r="G130" s="21"/>
      <c r="H130" s="21"/>
      <c r="I130" s="21"/>
    </row>
    <row r="131" spans="1:9" s="105" customFormat="1" x14ac:dyDescent="0.3">
      <c r="B131" s="142">
        <v>22</v>
      </c>
      <c r="C131" s="21" t="str">
        <f>_xll.BfX_Help2(B131)</f>
        <v>km                                                                             -&gt;  km</v>
      </c>
      <c r="D131" s="21"/>
      <c r="E131" s="21"/>
      <c r="F131" s="21"/>
      <c r="G131" s="21"/>
      <c r="H131" s="21"/>
      <c r="I131" s="21"/>
    </row>
    <row r="132" spans="1:9" s="105" customFormat="1" x14ac:dyDescent="0.3">
      <c r="B132" s="142">
        <v>23</v>
      </c>
      <c r="C132" s="21" t="str">
        <f>_xll.BfX_Help2(B132)</f>
        <v>m (default)                                                                    -&gt;  m</v>
      </c>
      <c r="D132" s="21"/>
      <c r="E132" s="21"/>
      <c r="F132" s="21"/>
      <c r="G132" s="21"/>
      <c r="H132" s="21"/>
      <c r="I132" s="21"/>
    </row>
    <row r="133" spans="1:9" s="105" customFormat="1" x14ac:dyDescent="0.3">
      <c r="B133" s="12"/>
    </row>
    <row r="134" spans="1:9" s="2" customFormat="1" x14ac:dyDescent="0.3">
      <c r="A134" s="2" t="s">
        <v>235</v>
      </c>
      <c r="B134" s="32" t="s">
        <v>236</v>
      </c>
    </row>
    <row r="135" spans="1:9" x14ac:dyDescent="0.3">
      <c r="B135" s="12" t="s">
        <v>226</v>
      </c>
    </row>
    <row r="137" spans="1:9" x14ac:dyDescent="0.3">
      <c r="B137" s="12" t="s">
        <v>193</v>
      </c>
      <c r="D137" t="s">
        <v>230</v>
      </c>
      <c r="E137" t="s">
        <v>104</v>
      </c>
      <c r="F137" t="s">
        <v>229</v>
      </c>
      <c r="G137" s="12" t="s">
        <v>192</v>
      </c>
    </row>
    <row r="138" spans="1:9" x14ac:dyDescent="0.3">
      <c r="B138" s="12" t="s">
        <v>231</v>
      </c>
    </row>
    <row r="140" spans="1:9" x14ac:dyDescent="0.3">
      <c r="B140" s="12" t="s">
        <v>227</v>
      </c>
    </row>
    <row r="141" spans="1:9" x14ac:dyDescent="0.3">
      <c r="B141" s="12" t="s">
        <v>263</v>
      </c>
    </row>
    <row r="142" spans="1:9" x14ac:dyDescent="0.3">
      <c r="B142" s="12" t="s">
        <v>228</v>
      </c>
    </row>
    <row r="144" spans="1:9" x14ac:dyDescent="0.3">
      <c r="B144" s="36" t="s">
        <v>37</v>
      </c>
      <c r="C144" s="24">
        <v>740</v>
      </c>
      <c r="D144" s="24" t="s">
        <v>52</v>
      </c>
      <c r="E144" s="25"/>
      <c r="F144" s="25"/>
      <c r="G144" s="25"/>
    </row>
    <row r="145" spans="2:8" x14ac:dyDescent="0.3">
      <c r="B145" s="48"/>
      <c r="C145" s="330" t="s">
        <v>220</v>
      </c>
      <c r="D145" s="331"/>
      <c r="E145" s="45" t="s">
        <v>191</v>
      </c>
      <c r="F145" s="45" t="s">
        <v>190</v>
      </c>
      <c r="G145" s="45" t="s">
        <v>187</v>
      </c>
    </row>
    <row r="146" spans="2:8" x14ac:dyDescent="0.3">
      <c r="B146" s="49"/>
      <c r="C146" s="46"/>
      <c r="D146" s="47"/>
      <c r="E146" s="50">
        <v>0.48199999999999998</v>
      </c>
      <c r="F146" s="50">
        <v>0.50486029809098809</v>
      </c>
      <c r="G146" s="50">
        <v>0.247</v>
      </c>
      <c r="H146" s="44" t="s">
        <v>232</v>
      </c>
    </row>
    <row r="147" spans="2:8" x14ac:dyDescent="0.3">
      <c r="B147" s="37" t="s">
        <v>188</v>
      </c>
      <c r="C147" s="26" t="s">
        <v>225</v>
      </c>
      <c r="D147" s="26" t="s">
        <v>221</v>
      </c>
      <c r="E147" s="26" t="s">
        <v>221</v>
      </c>
      <c r="F147" s="26" t="s">
        <v>224</v>
      </c>
      <c r="G147" s="26" t="s">
        <v>189</v>
      </c>
      <c r="H147" s="44"/>
    </row>
    <row r="148" spans="2:8" x14ac:dyDescent="0.3">
      <c r="B148" s="38">
        <v>0</v>
      </c>
      <c r="C148" s="41">
        <f>IF(v0*mtf&gt;2800,0.475,IF(v0*mtf&gt;2200,0.496,IF(v0&gt;1600,0.494,0.494)))</f>
        <v>0.496</v>
      </c>
      <c r="D148" s="26">
        <f>_xll.BfX_Vx(v0,$B148,C148,"G1")</f>
        <v>740</v>
      </c>
      <c r="E148" s="26">
        <f>_xll.BfX_Vx(v0,$B148,_c1_G1,"G1")</f>
        <v>740</v>
      </c>
      <c r="F148" s="26">
        <f>_xll.BfX_Vx(v0,$B148,_c2_G1,"GP")</f>
        <v>740</v>
      </c>
      <c r="G148" s="26">
        <f>_xll.BfX_Vx(v0,$B148,cG7_,"G7")</f>
        <v>740</v>
      </c>
      <c r="H148" s="44"/>
    </row>
    <row r="149" spans="2:8" x14ac:dyDescent="0.3">
      <c r="B149" s="38">
        <v>100</v>
      </c>
      <c r="C149" s="41">
        <f t="shared" ref="C149:C172" si="0">IF(D148*mtf&gt;2800,0.475,IF(D148*mtf&gt;2200,0.496,IF(D148&gt;1600,0.494,0.494)))</f>
        <v>0.496</v>
      </c>
      <c r="D149" s="26">
        <f>_xll.BfX_Vx(D148,$B150-$B149,C149,"G1")</f>
        <v>682.8881159356805</v>
      </c>
      <c r="E149" s="26">
        <f>_xll.BfX_Vx(v0,$B149,_c1_G1,"G1")</f>
        <v>681.2676160345718</v>
      </c>
      <c r="F149" s="26">
        <f>_xll.BfX_Vx(v0,$B149,_c2_G1,"GP")</f>
        <v>682.16488483822695</v>
      </c>
      <c r="G149" s="26">
        <f>_xll.BfX_Vx(v0,$B149,cG7_,"G7")</f>
        <v>682.36889303208932</v>
      </c>
      <c r="H149" s="44"/>
    </row>
    <row r="150" spans="2:8" x14ac:dyDescent="0.3">
      <c r="B150" s="38">
        <v>200</v>
      </c>
      <c r="C150" s="41">
        <f t="shared" si="0"/>
        <v>0.496</v>
      </c>
      <c r="D150" s="26">
        <f>_xll.BfX_Vx(D149,$B151-$B150,C150,"G1")</f>
        <v>628.33428037439296</v>
      </c>
      <c r="E150" s="26">
        <f>_xll.BfX_Vx(v0,$B150,_c1_G1,"G1")</f>
        <v>625.24367093230319</v>
      </c>
      <c r="F150" s="26">
        <f>_xll.BfX_Vx(v0,$B150,_c2_G1,"GP")</f>
        <v>626.68272092447353</v>
      </c>
      <c r="G150" s="26">
        <f>_xll.BfX_Vx(v0,$B150,cG7_,"G7")</f>
        <v>627.30238340981327</v>
      </c>
      <c r="H150" s="44"/>
    </row>
    <row r="151" spans="2:8" x14ac:dyDescent="0.3">
      <c r="B151" s="38">
        <v>300</v>
      </c>
      <c r="C151" s="41">
        <f t="shared" si="0"/>
        <v>0.49399999999999999</v>
      </c>
      <c r="D151" s="26">
        <f>_xll.BfX_Vx(D150,$B152-$B151,C151,"G1")</f>
        <v>576.25322423042292</v>
      </c>
      <c r="E151" s="26">
        <f>_xll.BfX_Vx(v0,$B151,_c1_G1,"G1")</f>
        <v>572.06954477360284</v>
      </c>
      <c r="F151" s="26">
        <f>_xll.BfX_Vx(v0,$B151,_c2_G1,"GP")</f>
        <v>573.55350825873927</v>
      </c>
      <c r="G151" s="26">
        <f>_xll.BfX_Vx(v0,$B151,cG7_,"G7")</f>
        <v>574.77845201127934</v>
      </c>
      <c r="H151" s="44"/>
    </row>
    <row r="152" spans="2:8" x14ac:dyDescent="0.3">
      <c r="B152" s="38">
        <v>400</v>
      </c>
      <c r="C152" s="41">
        <f t="shared" si="0"/>
        <v>0.49399999999999999</v>
      </c>
      <c r="D152" s="26">
        <f>_xll.BfX_Vx(D151,$B153-$B152,C152,"G1")</f>
        <v>527.00266555902977</v>
      </c>
      <c r="E152" s="26">
        <f>_xll.BfX_Vx(v0,$B152,_c1_G1,"G1")</f>
        <v>521.89102947796891</v>
      </c>
      <c r="F152" s="26">
        <f>_xll.BfX_Vx(v0,$B152,_c2_G1,"GP")</f>
        <v>522.77724684102441</v>
      </c>
      <c r="G152" s="26">
        <f>_xll.BfX_Vx(v0,$B152,cG7_,"G7")</f>
        <v>524.70275395171006</v>
      </c>
      <c r="H152" s="44"/>
    </row>
    <row r="153" spans="2:8" x14ac:dyDescent="0.3">
      <c r="B153" s="38">
        <v>500</v>
      </c>
      <c r="C153" s="41">
        <f t="shared" si="0"/>
        <v>0.49399999999999999</v>
      </c>
      <c r="D153" s="26">
        <f>_xll.BfX_Vx(D152,$B154-$B153,C153,"G1")</f>
        <v>481.07820635513417</v>
      </c>
      <c r="E153" s="26">
        <f>_xll.BfX_Vx(v0,$B153,_c1_G1,"G1")</f>
        <v>475.26596711770833</v>
      </c>
      <c r="F153" s="26">
        <f>_xll.BfX_Vx(v0,$B153,_c2_G1,"GP")</f>
        <v>474.35393667132905</v>
      </c>
      <c r="G153" s="26">
        <f>_xll.BfX_Vx(v0,$B153,cG7_,"G7")</f>
        <v>476.52838093917626</v>
      </c>
      <c r="H153" s="44"/>
    </row>
    <row r="154" spans="2:8" x14ac:dyDescent="0.3">
      <c r="B154" s="38">
        <v>600</v>
      </c>
      <c r="C154" s="41">
        <f t="shared" si="0"/>
        <v>0.49399999999999999</v>
      </c>
      <c r="D154" s="26">
        <f>_xll.BfX_Vx(D153,$B155-$B154,C154,"G1")</f>
        <v>438.93186550061114</v>
      </c>
      <c r="E154" s="26">
        <f>_xll.BfX_Vx(v0,$B154,_c1_G1,"G1")</f>
        <v>432.7014933774031</v>
      </c>
      <c r="F154" s="26">
        <f>_xll.BfX_Vx(v0,$B154,_c2_G1,"GP")</f>
        <v>428.28357774965286</v>
      </c>
      <c r="G154" s="26">
        <f>_xll.BfX_Vx(v0,$B154,cG7_,"G7")</f>
        <v>430.19465198252033</v>
      </c>
      <c r="H154" s="44"/>
    </row>
    <row r="155" spans="2:8" x14ac:dyDescent="0.3">
      <c r="B155" s="38">
        <v>700</v>
      </c>
      <c r="C155" s="41">
        <f t="shared" si="0"/>
        <v>0.49399999999999999</v>
      </c>
      <c r="D155" s="26">
        <f>_xll.BfX_Vx(D154,$B156-$B155,C155,"G1")</f>
        <v>401.29365020387127</v>
      </c>
      <c r="E155" s="26">
        <f>_xll.BfX_Vx(v0,$B155,_c1_G1,"G1")</f>
        <v>394.96186838064227</v>
      </c>
      <c r="F155" s="26">
        <f>_xll.BfX_Vx(v0,$B155,_c2_G1,"GP")</f>
        <v>385.58889039908138</v>
      </c>
      <c r="G155" s="26">
        <f>_xll.BfX_Vx(v0,$B155,cG7_,"G7")</f>
        <v>386.36147883850447</v>
      </c>
      <c r="H155" s="44"/>
    </row>
    <row r="156" spans="2:8" x14ac:dyDescent="0.3">
      <c r="B156" s="38">
        <v>800</v>
      </c>
      <c r="C156" s="41">
        <f t="shared" si="0"/>
        <v>0.49399999999999999</v>
      </c>
      <c r="D156" s="26">
        <f>_xll.BfX_Vx(D155,$B157-$B156,C156,"G1")</f>
        <v>369.02455437699871</v>
      </c>
      <c r="E156" s="26">
        <f>_xll.BfX_Vx(v0,$B156,_c1_G1,"G1")</f>
        <v>363.02196639081041</v>
      </c>
      <c r="F156" s="26">
        <f>_xll.BfX_Vx(v0,$B156,_c2_G1,"GP")</f>
        <v>348.4394187745155</v>
      </c>
      <c r="G156" s="26">
        <f>_xll.BfX_Vx(v0,$B156,cG7_,"G7")</f>
        <v>345.61768450840265</v>
      </c>
      <c r="H156" s="44"/>
    </row>
    <row r="157" spans="2:8" x14ac:dyDescent="0.3">
      <c r="B157" s="38">
        <v>900</v>
      </c>
      <c r="C157" s="41">
        <f t="shared" si="0"/>
        <v>0.49399999999999999</v>
      </c>
      <c r="D157" s="26">
        <f>_xll.BfX_Vx(D156,$B158-$B157,C157,"G1")</f>
        <v>342.59170569447861</v>
      </c>
      <c r="E157" s="26">
        <f>_xll.BfX_Vx(v0,$B157,_c1_G1,"G1")</f>
        <v>337.4159946076918</v>
      </c>
      <c r="F157" s="26">
        <f>_xll.BfX_Vx(v0,$B157,_c2_G1,"GP")</f>
        <v>321.55565312961329</v>
      </c>
      <c r="G157" s="26">
        <f>_xll.BfX_Vx(v0,$B157,cG7_,"G7")</f>
        <v>319.72909700842996</v>
      </c>
      <c r="H157" s="44"/>
    </row>
    <row r="158" spans="2:8" x14ac:dyDescent="0.3">
      <c r="B158" s="38">
        <v>1000</v>
      </c>
      <c r="C158" s="41">
        <f t="shared" si="0"/>
        <v>0.49399999999999999</v>
      </c>
      <c r="D158" s="26">
        <f>_xll.BfX_Vx(D157,$B159-$B158,C158,"G1")</f>
        <v>322.29199200450563</v>
      </c>
      <c r="E158" s="26">
        <f>_xll.BfX_Vx(v0,$B158,_c1_G1,"G1")</f>
        <v>317.80335280042476</v>
      </c>
      <c r="F158" s="26">
        <f>_xll.BfX_Vx(v0,$B158,_c2_G1,"GP")</f>
        <v>301.42238200651707</v>
      </c>
      <c r="G158" s="26">
        <f>_xll.BfX_Vx(v0,$B158,cG7_,"G7")</f>
        <v>305.80826832668271</v>
      </c>
      <c r="H158" s="44"/>
    </row>
    <row r="159" spans="2:8" x14ac:dyDescent="0.3">
      <c r="B159" s="38">
        <v>1100</v>
      </c>
      <c r="C159" s="41">
        <f t="shared" si="0"/>
        <v>0.49399999999999999</v>
      </c>
      <c r="D159" s="26">
        <f>_xll.BfX_Vx(D158,$B160-$B159,C159,"G1")</f>
        <v>306.11490579736272</v>
      </c>
      <c r="E159" s="26">
        <f>_xll.BfX_Vx(v0,$B159,_c1_G1,"G1")</f>
        <v>302.10923583149321</v>
      </c>
      <c r="F159" s="26">
        <f>_xll.BfX_Vx(v0,$B159,_c2_G1,"GP")</f>
        <v>285.53995902457825</v>
      </c>
      <c r="G159" s="26">
        <f>_xll.BfX_Vx(v0,$B159,cG7_,"G7")</f>
        <v>294.31599762371485</v>
      </c>
      <c r="H159" s="44"/>
    </row>
    <row r="160" spans="2:8" x14ac:dyDescent="0.3">
      <c r="B160" s="38">
        <v>1200</v>
      </c>
      <c r="C160" s="41">
        <f t="shared" si="0"/>
        <v>0.49399999999999999</v>
      </c>
      <c r="D160" s="26">
        <f>_xll.BfX_Vx(D159,$B161-$B160,C160,"G1")</f>
        <v>292.78645852948233</v>
      </c>
      <c r="E160" s="26">
        <f>_xll.BfX_Vx(v0,$B160,_c1_G1,"G1")</f>
        <v>289.13982348352965</v>
      </c>
      <c r="F160" s="26">
        <f>_xll.BfX_Vx(v0,$B160,_c2_G1,"GP")</f>
        <v>272.53386310342449</v>
      </c>
      <c r="G160" s="26">
        <f>_xll.BfX_Vx(v0,$B160,cG7_,"G7")</f>
        <v>283.80605119405186</v>
      </c>
      <c r="H160" s="44"/>
    </row>
    <row r="161" spans="2:10" x14ac:dyDescent="0.3">
      <c r="B161" s="38">
        <v>1300</v>
      </c>
      <c r="C161" s="41">
        <f t="shared" si="0"/>
        <v>0.49399999999999999</v>
      </c>
      <c r="D161" s="26">
        <f>_xll.BfX_Vx(D160,$B162-$B161,C161,"G1")</f>
        <v>281.50628067158567</v>
      </c>
      <c r="E161" s="26">
        <f>_xll.BfX_Vx(v0,$B161,_c1_G1,"G1")</f>
        <v>278.05936278576809</v>
      </c>
      <c r="F161" s="26">
        <f>_xll.BfX_Vx(v0,$B161,_c2_G1,"GP")</f>
        <v>260.72354394821207</v>
      </c>
      <c r="G161" s="26">
        <f>_xll.BfX_Vx(v0,$B161,cG7_,"G7")</f>
        <v>274.08291624154856</v>
      </c>
      <c r="H161" s="44"/>
    </row>
    <row r="162" spans="2:10" x14ac:dyDescent="0.3">
      <c r="B162" s="38">
        <v>1400</v>
      </c>
      <c r="C162" s="41">
        <f t="shared" si="0"/>
        <v>0.49399999999999999</v>
      </c>
      <c r="D162" s="26">
        <f>_xll.BfX_Vx(D161,$B163-$B162,C162,"G1")</f>
        <v>271.44278264165075</v>
      </c>
      <c r="E162" s="26">
        <f>_xll.BfX_Vx(v0,$B162,_c1_G1,"G1")</f>
        <v>268.07908115201144</v>
      </c>
      <c r="F162" s="26">
        <f>_xll.BfX_Vx(v0,$B162,_c2_G1,"GP")</f>
        <v>249.42502775560996</v>
      </c>
      <c r="G162" s="26">
        <f>_xll.BfX_Vx(v0,$B162,cG7_,"G7")</f>
        <v>264.89966042219095</v>
      </c>
      <c r="H162" s="44"/>
    </row>
    <row r="163" spans="2:10" x14ac:dyDescent="0.3">
      <c r="B163" s="38">
        <v>1500</v>
      </c>
      <c r="C163" s="41">
        <f t="shared" si="0"/>
        <v>0.49399999999999999</v>
      </c>
      <c r="D163" s="26">
        <f>_xll.BfX_Vx(D162,$B164-$B163,C163,"G1")</f>
        <v>262.28083156781952</v>
      </c>
      <c r="E163" s="26">
        <f>_xll.BfX_Vx(v0,$B163,_c1_G1,"G1")</f>
        <v>258.99628897265683</v>
      </c>
      <c r="F163" s="26">
        <f>_xll.BfX_Vx(v0,$B163,_c2_G1,"GP")</f>
        <v>238.61613542367405</v>
      </c>
      <c r="G163" s="26">
        <f>_xll.BfX_Vx(v0,$B163,cG7_,"G7")</f>
        <v>256.11865034254015</v>
      </c>
      <c r="H163" s="44"/>
    </row>
    <row r="164" spans="2:10" x14ac:dyDescent="0.3">
      <c r="B164" s="38">
        <v>1600</v>
      </c>
      <c r="C164" s="41">
        <f t="shared" si="0"/>
        <v>0.49399999999999999</v>
      </c>
      <c r="D164" s="26">
        <f>_xll.BfX_Vx(D163,$B165-$B164,C164,"G1")</f>
        <v>253.89624961842142</v>
      </c>
      <c r="E164" s="26">
        <f>_xll.BfX_Vx(v0,$B164,_c1_G1,"G1")</f>
        <v>250.68692239043008</v>
      </c>
      <c r="F164" s="26">
        <f>_xll.BfX_Vx(v0,$B164,_c2_G1,"GP")</f>
        <v>228.27564898706737</v>
      </c>
      <c r="G164" s="26">
        <f>_xll.BfX_Vx(v0,$B164,cG7_,"G7")</f>
        <v>247.64837176700482</v>
      </c>
      <c r="H164" s="44"/>
    </row>
    <row r="165" spans="2:10" x14ac:dyDescent="0.3">
      <c r="B165" s="38">
        <v>1700</v>
      </c>
      <c r="C165" s="41">
        <f t="shared" si="0"/>
        <v>0.49399999999999999</v>
      </c>
      <c r="D165" s="26">
        <f>_xll.BfX_Vx(D164,$B166-$B165,C165,"G1")</f>
        <v>246.14920395800732</v>
      </c>
      <c r="E165" s="26">
        <f>_xll.BfX_Vx(v0,$B165,_c1_G1,"G1")</f>
        <v>242.93070095913689</v>
      </c>
      <c r="F165" s="26">
        <f>_xll.BfX_Vx(v0,$B165,_c2_G1,"GP")</f>
        <v>218.38326996597891</v>
      </c>
      <c r="G165" s="26">
        <f>_xll.BfX_Vx(v0,$B165,cG7_,"G7")</f>
        <v>239.47713661806495</v>
      </c>
      <c r="H165" s="44"/>
    </row>
    <row r="166" spans="2:10" x14ac:dyDescent="0.3">
      <c r="B166" s="38">
        <v>1800</v>
      </c>
      <c r="C166" s="41">
        <f t="shared" si="0"/>
        <v>0.49399999999999999</v>
      </c>
      <c r="D166" s="26">
        <f>_xll.BfX_Vx(D165,$B167-$B166,C166,"G1")</f>
        <v>238.78434546854754</v>
      </c>
      <c r="E166" s="26">
        <f>_xll.BfX_Vx(v0,$B166,_c1_G1,"G1")</f>
        <v>235.53596754799329</v>
      </c>
      <c r="F166" s="26">
        <f>_xll.BfX_Vx(v0,$B166,_c2_G1,"GP")</f>
        <v>208.91957952000172</v>
      </c>
      <c r="G166" s="26">
        <f>_xll.BfX_Vx(v0,$B166,cG7_,"G7")</f>
        <v>231.59372238212225</v>
      </c>
      <c r="H166" s="44"/>
    </row>
    <row r="167" spans="2:10" x14ac:dyDescent="0.3">
      <c r="B167" s="38">
        <v>1900</v>
      </c>
      <c r="C167" s="41">
        <f t="shared" si="0"/>
        <v>0.49399999999999999</v>
      </c>
      <c r="D167" s="26">
        <f>_xll.BfX_Vx(D166,$B168-$B167,C167,"G1")</f>
        <v>231.75132318884687</v>
      </c>
      <c r="E167" s="26">
        <f>_xll.BfX_Vx(v0,$B167,_c1_G1,"G1")</f>
        <v>228.48010805719355</v>
      </c>
      <c r="F167" s="26">
        <f>_xll.BfX_Vx(v0,$B167,_c2_G1,"GP")</f>
        <v>199.86600032875222</v>
      </c>
      <c r="G167" s="26">
        <f>_xll.BfX_Vx(v0,$B167,cG7_,"G7")</f>
        <v>223.98735253727881</v>
      </c>
      <c r="H167" s="44"/>
    </row>
    <row r="168" spans="2:10" x14ac:dyDescent="0.3">
      <c r="B168" s="38">
        <v>2000</v>
      </c>
      <c r="C168" s="41">
        <f t="shared" si="0"/>
        <v>0.49399999999999999</v>
      </c>
      <c r="D168" s="26">
        <f>_xll.BfX_Vx(D167,$B169-$B168,C168,"G1")</f>
        <v>225.03031738154866</v>
      </c>
      <c r="E168" s="26">
        <f>_xll.BfX_Vx(v0,$B168,_c1_G1,"G1")</f>
        <v>221.74254206364776</v>
      </c>
      <c r="F168" s="26">
        <f>_xll.BfX_Vx(v0,$B168,_c2_G1,"GP")</f>
        <v>191.20476012440162</v>
      </c>
      <c r="G168" s="26">
        <f>_xll.BfX_Vx(v0,$B168,cG7_,"G7")</f>
        <v>216.64767784693365</v>
      </c>
      <c r="H168" s="44"/>
    </row>
    <row r="169" spans="2:10" x14ac:dyDescent="0.3">
      <c r="B169" s="38">
        <v>2100</v>
      </c>
      <c r="C169" s="41">
        <f t="shared" si="0"/>
        <v>0.49399999999999999</v>
      </c>
      <c r="D169" s="26">
        <f>_xll.BfX_Vx(D168,$B170-$B169,C169,"G1")</f>
        <v>218.60297405395633</v>
      </c>
      <c r="E169" s="26">
        <f>_xll.BfX_Vx(v0,$B169,_c1_G1,"G1")</f>
        <v>215.30423634272293</v>
      </c>
      <c r="F169" s="26">
        <f>_xll.BfX_Vx(v0,$B169,_c2_G1,"GP")</f>
        <v>182.91885680453396</v>
      </c>
      <c r="G169" s="26">
        <f>_xll.BfX_Vx(v0,$B169,cG7_,"G7")</f>
        <v>209.56475847900305</v>
      </c>
      <c r="H169" s="44"/>
    </row>
    <row r="170" spans="2:10" x14ac:dyDescent="0.3">
      <c r="B170" s="38">
        <v>2200</v>
      </c>
      <c r="C170" s="41">
        <f t="shared" si="0"/>
        <v>0.49399999999999999</v>
      </c>
      <c r="D170" s="26">
        <f>_xll.BfX_Vx(D169,$B171-$B170,C170,"G1")</f>
        <v>212.45227633079034</v>
      </c>
      <c r="E170" s="26">
        <f>_xll.BfX_Vx(v0,$B170,_c1_G1,"G1")</f>
        <v>209.14756687921141</v>
      </c>
      <c r="F170" s="26">
        <f>_xll.BfX_Vx(v0,$B170,_c2_G1,"GP")</f>
        <v>174.99202505684647</v>
      </c>
      <c r="G170" s="26">
        <f>_xll.BfX_Vx(v0,$B170,cG7_,"G7")</f>
        <v>202.72747871190137</v>
      </c>
      <c r="H170" s="44"/>
    </row>
    <row r="171" spans="2:10" x14ac:dyDescent="0.3">
      <c r="B171" s="38">
        <v>2300</v>
      </c>
      <c r="C171" s="41">
        <f t="shared" si="0"/>
        <v>0.49399999999999999</v>
      </c>
      <c r="D171" s="26">
        <f>_xll.BfX_Vx(D170,$B172-$B171,C171,"G1")</f>
        <v>206.55807677635323</v>
      </c>
      <c r="E171" s="26">
        <f>_xll.BfX_Vx(v0,$B171,_c1_G1,"G1")</f>
        <v>203.22194443831665</v>
      </c>
      <c r="F171" s="26">
        <f>_xll.BfX_Vx(v0,$B171,_c2_G1,"GP")</f>
        <v>167.40870443017636</v>
      </c>
      <c r="G171" s="26">
        <f>_xll.BfX_Vx(v0,$B171,cG7_,"G7")</f>
        <v>196.11557048678662</v>
      </c>
      <c r="H171" s="44"/>
    </row>
    <row r="172" spans="2:10" x14ac:dyDescent="0.3">
      <c r="B172" s="39">
        <v>2400</v>
      </c>
      <c r="C172" s="42">
        <f t="shared" si="0"/>
        <v>0.49399999999999999</v>
      </c>
      <c r="D172" s="23"/>
      <c r="E172" s="23">
        <f>_xll.BfX_Vx(v0,$B172,_c1_G1,"G1")</f>
        <v>197.46361446467122</v>
      </c>
      <c r="F172" s="23">
        <f>_xll.BfX_Vx(v0,$B172,_c2_G1,"GP")</f>
        <v>160.15400878917742</v>
      </c>
      <c r="G172" s="23">
        <f>_xll.BfX_Vx(v0,$B172,cG7_,"G7")</f>
        <v>189.71930806684404</v>
      </c>
      <c r="H172" s="44"/>
    </row>
    <row r="174" spans="2:10" x14ac:dyDescent="0.3">
      <c r="C174" t="s">
        <v>264</v>
      </c>
    </row>
    <row r="175" spans="2:10" x14ac:dyDescent="0.3">
      <c r="C175" s="43" t="str">
        <f ca="1">_xll.BfX_Cell(C172)</f>
        <v>=IF(D171*mtf&gt;2800;0,475;IF(D171*mtf&gt;2200;0,496;IF(D171&gt;1600;0,494;0,494)))</v>
      </c>
      <c r="D175" s="43"/>
      <c r="E175" s="43"/>
      <c r="F175" s="43"/>
      <c r="G175" s="43"/>
      <c r="H175" s="43"/>
      <c r="I175" s="43"/>
      <c r="J175" s="43"/>
    </row>
    <row r="176" spans="2:10" x14ac:dyDescent="0.3">
      <c r="C176" s="43" t="s">
        <v>223</v>
      </c>
      <c r="D176" s="43">
        <v>3.2808399000000001</v>
      </c>
      <c r="E176" s="43" t="s">
        <v>222</v>
      </c>
      <c r="F176" s="43"/>
      <c r="G176" s="43"/>
      <c r="H176" s="43"/>
      <c r="I176" s="43"/>
      <c r="J176" s="43"/>
    </row>
    <row r="177" spans="1:10" ht="15.75" customHeight="1" x14ac:dyDescent="0.3">
      <c r="C177" t="s">
        <v>265</v>
      </c>
    </row>
    <row r="178" spans="1:10" ht="15.75" customHeight="1" x14ac:dyDescent="0.3">
      <c r="C178" t="s">
        <v>245</v>
      </c>
    </row>
    <row r="179" spans="1:10" ht="15.75" customHeight="1" x14ac:dyDescent="0.3">
      <c r="C179" s="43" t="str">
        <f ca="1">_xll.BfX_Cell(D171)</f>
        <v>=BfX_Vx(D170;$B172-$B171;C171;"G1")</v>
      </c>
      <c r="D179" s="43"/>
      <c r="E179" s="43"/>
      <c r="F179" s="43"/>
      <c r="G179" s="43"/>
      <c r="H179" s="43"/>
      <c r="I179" s="43"/>
      <c r="J179" s="43"/>
    </row>
    <row r="180" spans="1:10" ht="15.75" customHeight="1" x14ac:dyDescent="0.3"/>
    <row r="181" spans="1:10" ht="15.75" customHeight="1" x14ac:dyDescent="0.3"/>
    <row r="182" spans="1:10" x14ac:dyDescent="0.3">
      <c r="B182" s="40"/>
    </row>
    <row r="183" spans="1:10" s="2" customFormat="1" x14ac:dyDescent="0.3">
      <c r="A183" s="2" t="s">
        <v>237</v>
      </c>
      <c r="B183" s="32" t="s">
        <v>238</v>
      </c>
    </row>
    <row r="185" spans="1:10" s="2" customFormat="1" x14ac:dyDescent="0.3">
      <c r="A185"/>
      <c r="B185" t="s">
        <v>266</v>
      </c>
    </row>
    <row r="186" spans="1:10" s="2" customFormat="1" x14ac:dyDescent="0.3">
      <c r="A186"/>
      <c r="B186" t="s">
        <v>240</v>
      </c>
    </row>
    <row r="187" spans="1:10" s="2" customFormat="1" x14ac:dyDescent="0.3">
      <c r="A187"/>
      <c r="B187" t="s">
        <v>239</v>
      </c>
    </row>
    <row r="188" spans="1:10" s="2" customFormat="1" x14ac:dyDescent="0.3">
      <c r="A188"/>
      <c r="B188" t="s">
        <v>248</v>
      </c>
    </row>
    <row r="189" spans="1:10" x14ac:dyDescent="0.3">
      <c r="B189" s="12" t="s">
        <v>382</v>
      </c>
    </row>
    <row r="190" spans="1:10" x14ac:dyDescent="0.3">
      <c r="B190" s="12" t="s">
        <v>283</v>
      </c>
    </row>
    <row r="193" spans="1:10" x14ac:dyDescent="0.3">
      <c r="B193" s="12" t="s">
        <v>284</v>
      </c>
    </row>
    <row r="194" spans="1:10" x14ac:dyDescent="0.3">
      <c r="B194" s="12" t="s">
        <v>249</v>
      </c>
    </row>
    <row r="195" spans="1:10" x14ac:dyDescent="0.3">
      <c r="B195" s="12" t="s">
        <v>251</v>
      </c>
    </row>
    <row r="196" spans="1:10" s="20" customFormat="1" x14ac:dyDescent="0.3">
      <c r="B196" s="12" t="s">
        <v>250</v>
      </c>
    </row>
    <row r="197" spans="1:10" s="2" customFormat="1" x14ac:dyDescent="0.3">
      <c r="A197"/>
    </row>
    <row r="198" spans="1:10" s="20" customFormat="1" x14ac:dyDescent="0.3">
      <c r="B198" s="57"/>
      <c r="C198" s="58" t="s">
        <v>63</v>
      </c>
      <c r="D198" s="60">
        <v>3</v>
      </c>
      <c r="E198" s="59" t="s">
        <v>137</v>
      </c>
      <c r="G198" s="57"/>
      <c r="H198" s="58" t="s">
        <v>63</v>
      </c>
      <c r="I198" s="60">
        <v>3</v>
      </c>
      <c r="J198" s="59" t="s">
        <v>137</v>
      </c>
    </row>
    <row r="199" spans="1:10" s="20" customFormat="1" x14ac:dyDescent="0.3">
      <c r="B199" s="46"/>
      <c r="C199" s="43" t="s">
        <v>136</v>
      </c>
      <c r="D199" s="55">
        <v>500</v>
      </c>
      <c r="E199" s="47" t="s">
        <v>76</v>
      </c>
      <c r="G199" s="46"/>
      <c r="H199" s="43" t="s">
        <v>136</v>
      </c>
      <c r="I199" s="55">
        <v>1000</v>
      </c>
      <c r="J199" s="47" t="s">
        <v>76</v>
      </c>
    </row>
    <row r="200" spans="1:10" s="2" customFormat="1" x14ac:dyDescent="0.3">
      <c r="A200"/>
      <c r="B200" s="52"/>
      <c r="C200" s="150" t="s">
        <v>241</v>
      </c>
      <c r="D200" s="150" t="s">
        <v>242</v>
      </c>
      <c r="E200" s="151" t="s">
        <v>211</v>
      </c>
      <c r="F200" s="68"/>
      <c r="G200" s="45"/>
      <c r="H200" s="150" t="s">
        <v>241</v>
      </c>
      <c r="I200" s="150" t="s">
        <v>242</v>
      </c>
      <c r="J200" s="151" t="s">
        <v>211</v>
      </c>
    </row>
    <row r="201" spans="1:10" s="2" customFormat="1" x14ac:dyDescent="0.3">
      <c r="A201"/>
      <c r="B201" s="41" t="s">
        <v>243</v>
      </c>
      <c r="C201" s="53">
        <f>_xll.BfX_E("moa",v0,s,"cm",0,zx,_c1_G1,"g1")</f>
        <v>21.09459760701024</v>
      </c>
      <c r="D201" s="53">
        <f>_xll.BfX_E("moa",v0,s,"cm",0,zx,_c2_G1,"gp")</f>
        <v>21.025249880544894</v>
      </c>
      <c r="E201" s="54">
        <f>_xll.BfX_E("moa",v0,s,"cm",0,zx,cG7_,"g7")</f>
        <v>20.973680945026288</v>
      </c>
      <c r="G201" s="41" t="s">
        <v>243</v>
      </c>
      <c r="H201" s="53">
        <f>_xll.BfX_E("moa",v0,s,"cm",0,zx2_,_c1_G1,"g1")</f>
        <v>60.784739299186548</v>
      </c>
      <c r="I201" s="53">
        <f>_xll.BfX_E("moa",v0,s,"cm",0,zx2_,_c2_G1,"gp")</f>
        <v>61.937508771863712</v>
      </c>
      <c r="J201" s="54">
        <f>_xll.BfX_E("moa",v0,s,"cm",0,zx2_,cG7_,"g7")</f>
        <v>61.799391818159265</v>
      </c>
    </row>
    <row r="202" spans="1:10" s="20" customFormat="1" x14ac:dyDescent="0.3">
      <c r="B202" s="41" t="s">
        <v>244</v>
      </c>
      <c r="C202" s="43">
        <f>_xll.BfX_E(v0,s,"cm",0,zx,_c1_G1,"g1")</f>
        <v>6.1361697104274256E-3</v>
      </c>
      <c r="D202" s="43">
        <f>_xll.BfX_E(v0,s,"cm",0,zx,_c2_G1,"gp")</f>
        <v>6.115997274500881E-3</v>
      </c>
      <c r="E202" s="47">
        <f>_xll.BfX_E(v0,s,"cm",0,zx,cG7_,"g7")</f>
        <v>6.1009964792250754E-3</v>
      </c>
      <c r="G202" s="41" t="s">
        <v>244</v>
      </c>
      <c r="H202" s="43">
        <f>_xll.BfX_E(v0,s,"cm",0,zx2_,_c1_G1,"g1")</f>
        <v>1.7681563928953262E-2</v>
      </c>
      <c r="I202" s="43">
        <f>_xll.BfX_E(v0,s,"cm",0,zx2_,_c2_G1,"gp")</f>
        <v>1.8016890975864851E-2</v>
      </c>
      <c r="J202" s="47">
        <f>_xll.BfX_E(v0,s,"cm",0,zx2_,cG7_,"g7")</f>
        <v>1.7976714382615399E-2</v>
      </c>
    </row>
    <row r="203" spans="1:10" s="20" customFormat="1" x14ac:dyDescent="0.3">
      <c r="B203" s="41"/>
      <c r="C203" s="330" t="s">
        <v>400</v>
      </c>
      <c r="D203" s="332"/>
      <c r="E203" s="331"/>
      <c r="G203" s="41"/>
      <c r="H203" s="330" t="s">
        <v>400</v>
      </c>
      <c r="I203" s="332"/>
      <c r="J203" s="331"/>
    </row>
    <row r="204" spans="1:10" s="20" customFormat="1" x14ac:dyDescent="0.3">
      <c r="B204" s="41" t="s">
        <v>241</v>
      </c>
      <c r="C204" s="61">
        <f>_xll.BfX_Ze("cm",v0,s,"cm",C$202,zx,_c1_G1,"g1")</f>
        <v>-1.9428902930940239E-14</v>
      </c>
      <c r="D204" s="61">
        <f>_xll.BfX_Ze("cm",v0,s,"cm",D$202,zx,_c1_G1,"g1")</f>
        <v>-1.0086596497740101</v>
      </c>
      <c r="E204" s="62">
        <f>_xll.BfX_Ze("cm",v0,s,"cm",E$202,zx,_c1_G1,"g1")</f>
        <v>-1.7587274010588432</v>
      </c>
      <c r="F204" s="56"/>
      <c r="G204" s="63" t="s">
        <v>241</v>
      </c>
      <c r="H204" s="61">
        <f>_xll.BfX_Ze("cm",v0,s,"cm",H$202,zx2_,_c1_G1,"g1")</f>
        <v>1.1379786002407855E-13</v>
      </c>
      <c r="I204" s="61">
        <f>_xll.BfX_Ze("cm",v0,s,"cm",I$202,zx2_,_c1_G1,"g1")</f>
        <v>33.543390624679972</v>
      </c>
      <c r="J204" s="62">
        <f>_xll.BfX_Ze("cm",v0,s,"cm",J$202,zx2_,_c1_G1,"g1")</f>
        <v>29.52442975895455</v>
      </c>
    </row>
    <row r="205" spans="1:10" s="20" customFormat="1" x14ac:dyDescent="0.3">
      <c r="B205" s="41" t="s">
        <v>242</v>
      </c>
      <c r="C205" s="61">
        <f>_xll.BfX_Ze("cm",v0,s,"cm",C$202,zx,_c2_G1,"gp")</f>
        <v>1.0086596497739713</v>
      </c>
      <c r="D205" s="61">
        <f>_xll.BfX_Ze("cm",v0,s,"cm",D$202,zx,_c2_G1,"gp")</f>
        <v>-1.9428902930940239E-14</v>
      </c>
      <c r="E205" s="62">
        <f>_xll.BfX_Ze("cm",v0,s,"cm",E$202,zx,_c2_G1,"gp")</f>
        <v>-0.75006775128485248</v>
      </c>
      <c r="F205" s="56"/>
      <c r="G205" s="63" t="s">
        <v>242</v>
      </c>
      <c r="H205" s="61">
        <f>_xll.BfX_Ze("cm",v0,s,"cm",H$202,zx2_,_c2_G1,"gp")</f>
        <v>-33.543390624679745</v>
      </c>
      <c r="I205" s="61">
        <f>_xll.BfX_Ze("cm",v0,s,"cm",I$202,zx2_,_c2_G1,"gp")</f>
        <v>1.1379786002407855E-13</v>
      </c>
      <c r="J205" s="62">
        <f>_xll.BfX_Ze("cm",v0,s,"cm",J$202,zx2_,_c2_G1,"gp")</f>
        <v>-4.0189608657253046</v>
      </c>
    </row>
    <row r="206" spans="1:10" s="20" customFormat="1" x14ac:dyDescent="0.3">
      <c r="B206" s="42" t="s">
        <v>211</v>
      </c>
      <c r="C206" s="64">
        <f>_xll.BfX_Ze("cm",v0,s,"cm",C$202,zx,cG7_,"g7")</f>
        <v>1.7587274010588043</v>
      </c>
      <c r="D206" s="64">
        <f>_xll.BfX_Ze("cm",v0,s,"cm",D$202,zx,cG7_,"g7")</f>
        <v>0.75006775128481362</v>
      </c>
      <c r="E206" s="65">
        <f>_xll.BfX_Ze("cm",v0,s,"cm",E$202,zx,cG7_,"g7")</f>
        <v>-1.9428902930940239E-14</v>
      </c>
      <c r="F206" s="56"/>
      <c r="G206" s="66" t="s">
        <v>211</v>
      </c>
      <c r="H206" s="64">
        <f>_xll.BfX_Ze("cm",v0,s,"cm",H$202,zx2_,cG7_,"g7")</f>
        <v>-29.52442975895433</v>
      </c>
      <c r="I206" s="64">
        <f>_xll.BfX_Ze("cm",v0,s,"cm",I$202,zx2_,cG7_,"g7")</f>
        <v>4.018960865725532</v>
      </c>
      <c r="J206" s="65">
        <f>_xll.BfX_Ze("cm",v0,s,"cm",J$202,zx2_,cG7_,"g7")</f>
        <v>1.1379786002407855E-13</v>
      </c>
    </row>
    <row r="207" spans="1:10" s="2" customFormat="1" x14ac:dyDescent="0.3">
      <c r="A207"/>
      <c r="B207" t="s">
        <v>252</v>
      </c>
      <c r="C207"/>
      <c r="D207"/>
      <c r="E207"/>
      <c r="F207"/>
      <c r="G207"/>
      <c r="H207"/>
      <c r="I207"/>
      <c r="J207"/>
    </row>
    <row r="208" spans="1:10" s="2" customFormat="1" x14ac:dyDescent="0.3">
      <c r="A208"/>
      <c r="B208"/>
    </row>
    <row r="209" spans="1:10" s="2" customFormat="1" x14ac:dyDescent="0.3">
      <c r="A209"/>
      <c r="B209" t="s">
        <v>246</v>
      </c>
    </row>
    <row r="210" spans="1:10" s="20" customFormat="1" x14ac:dyDescent="0.3">
      <c r="B210" t="s">
        <v>275</v>
      </c>
      <c r="G210" s="20" t="str">
        <f ca="1">_xll.BfX_Cell(I210)</f>
        <v>=0,3/1000/(2*3,14)*360*60</v>
      </c>
      <c r="I210" s="43">
        <f>0.3/1000/(2*3.14)*360*60</f>
        <v>1.0318471337579616</v>
      </c>
      <c r="J210" s="20" t="s">
        <v>253</v>
      </c>
    </row>
    <row r="211" spans="1:10" s="20" customFormat="1" x14ac:dyDescent="0.3">
      <c r="B211" t="s">
        <v>279</v>
      </c>
      <c r="G211" s="56"/>
    </row>
    <row r="212" spans="1:10" s="20" customFormat="1" x14ac:dyDescent="0.3">
      <c r="B212" t="s">
        <v>280</v>
      </c>
      <c r="G212" s="56"/>
    </row>
    <row r="213" spans="1:10" s="20" customFormat="1" x14ac:dyDescent="0.3">
      <c r="B213"/>
      <c r="G213" s="56"/>
    </row>
    <row r="214" spans="1:10" s="2" customFormat="1" x14ac:dyDescent="0.3">
      <c r="A214"/>
      <c r="B214" t="s">
        <v>254</v>
      </c>
    </row>
    <row r="215" spans="1:10" s="20" customFormat="1" x14ac:dyDescent="0.3">
      <c r="B215" t="s">
        <v>247</v>
      </c>
    </row>
    <row r="216" spans="1:10" s="20" customFormat="1" x14ac:dyDescent="0.3">
      <c r="B216" s="105" t="s">
        <v>383</v>
      </c>
    </row>
    <row r="217" spans="1:10" s="20" customFormat="1" x14ac:dyDescent="0.3"/>
    <row r="218" spans="1:10" s="2" customFormat="1" x14ac:dyDescent="0.3">
      <c r="A218" s="2" t="s">
        <v>278</v>
      </c>
      <c r="B218" s="2" t="s">
        <v>277</v>
      </c>
    </row>
    <row r="219" spans="1:10" s="2" customFormat="1" x14ac:dyDescent="0.3">
      <c r="A219"/>
      <c r="B219" s="72" t="s">
        <v>49</v>
      </c>
      <c r="C219" s="73" t="s">
        <v>281</v>
      </c>
      <c r="D219" s="74" t="s">
        <v>282</v>
      </c>
      <c r="E219" s="75"/>
      <c r="F219" s="76"/>
    </row>
    <row r="220" spans="1:10" s="2" customFormat="1" x14ac:dyDescent="0.3">
      <c r="A220"/>
      <c r="B220" s="77"/>
      <c r="C220" s="69"/>
      <c r="D220" s="77" t="s">
        <v>241</v>
      </c>
      <c r="E220" s="69" t="s">
        <v>242</v>
      </c>
      <c r="F220" s="78" t="s">
        <v>211</v>
      </c>
    </row>
    <row r="221" spans="1:10" s="2" customFormat="1" x14ac:dyDescent="0.3">
      <c r="A221"/>
      <c r="B221" s="70">
        <v>0</v>
      </c>
      <c r="C221" s="61">
        <v>1</v>
      </c>
      <c r="D221" s="70">
        <f>_xll.BfX_Y("cm",v0,x_,vw_,B221,_c1_G1,"g1")</f>
        <v>0</v>
      </c>
      <c r="E221" s="61">
        <f>_xll.BfX_Y("cm",v0,x_,vw_,B221,_c2_G1,"gp")</f>
        <v>0</v>
      </c>
      <c r="F221" s="62">
        <f>_xll.BfX_Y("cm",v0,x_,vw_,B221,cG7_,"g7")</f>
        <v>0</v>
      </c>
    </row>
    <row r="222" spans="1:10" s="2" customFormat="1" x14ac:dyDescent="0.3">
      <c r="A222"/>
      <c r="B222" s="70">
        <v>100</v>
      </c>
      <c r="C222" s="61">
        <v>1</v>
      </c>
      <c r="D222" s="70">
        <f>_xll.BfX_Y("cm",v0,x_,vw_,B222,_c1_G1,"g1")</f>
        <v>0.57094754127368696</v>
      </c>
      <c r="E222" s="61">
        <f>_xll.BfX_Y("cm",v0,x_,vw_,B222,_c2_G1,"gp")</f>
        <v>0.56119664619825449</v>
      </c>
      <c r="F222" s="62">
        <f>_xll.BfX_Y("cm",v0,x_,vw_,B222,cG7_,"g7")</f>
        <v>0.55948747814226019</v>
      </c>
    </row>
    <row r="223" spans="1:10" s="2" customFormat="1" x14ac:dyDescent="0.3">
      <c r="A223"/>
      <c r="B223" s="70">
        <v>200</v>
      </c>
      <c r="C223" s="61">
        <v>1</v>
      </c>
      <c r="D223" s="70">
        <f>_xll.BfX_Y("cm",v0,x_,vw_,B223,_c1_G1,"g1")</f>
        <v>2.3800433984484912</v>
      </c>
      <c r="E223" s="61">
        <f>_xll.BfX_Y("cm",v0,x_,vw_,B223,_c2_G1,"gp")</f>
        <v>2.3420484658697807</v>
      </c>
      <c r="F223" s="62">
        <f>_xll.BfX_Y("cm",v0,x_,vw_,B223,cG7_,"g7")</f>
        <v>2.3309600342474535</v>
      </c>
    </row>
    <row r="224" spans="1:10" s="2" customFormat="1" x14ac:dyDescent="0.3">
      <c r="A224"/>
      <c r="B224" s="70">
        <v>300</v>
      </c>
      <c r="C224" s="61">
        <v>1</v>
      </c>
      <c r="D224" s="70">
        <f>_xll.BfX_Y("cm",v0,x_,vw_,B224,_c1_G1,"g1")</f>
        <v>5.5885021886422148</v>
      </c>
      <c r="E224" s="61">
        <f>_xll.BfX_Y("cm",v0,x_,vw_,B224,_c2_G1,"gp")</f>
        <v>5.5082708376057727</v>
      </c>
      <c r="F224" s="62">
        <f>_xll.BfX_Y("cm",v0,x_,vw_,B224,cG7_,"g7")</f>
        <v>5.4717114458183937</v>
      </c>
    </row>
    <row r="225" spans="1:6" s="2" customFormat="1" x14ac:dyDescent="0.3">
      <c r="A225"/>
      <c r="B225" s="70">
        <v>500</v>
      </c>
      <c r="C225" s="61">
        <v>1</v>
      </c>
      <c r="D225" s="70">
        <f>_xll.BfX_Y("cm",v0,x_,vw_,B225,_c1_G1,"g1")</f>
        <v>16.949660004796389</v>
      </c>
      <c r="E225" s="61">
        <f>_xll.BfX_Y("cm",v0,x_,vw_,B225,_c2_G1,"gp")</f>
        <v>16.824745399610954</v>
      </c>
      <c r="F225" s="62">
        <f>_xll.BfX_Y("cm",v0,x_,vw_,B225,cG7_,"g7")</f>
        <v>16.650609396481048</v>
      </c>
    </row>
    <row r="226" spans="1:6" s="2" customFormat="1" x14ac:dyDescent="0.3">
      <c r="A226"/>
      <c r="B226" s="70">
        <v>700</v>
      </c>
      <c r="C226" s="61">
        <v>1</v>
      </c>
      <c r="D226" s="70">
        <f>_xll.BfX_Y("cm",v0,x_,vw_,B226,_c1_G1,"g1")</f>
        <v>36.189562395233416</v>
      </c>
      <c r="E226" s="61">
        <f>_xll.BfX_Y("cm",v0,x_,vw_,B226,_c2_G1,"gp")</f>
        <v>36.602949327925728</v>
      </c>
      <c r="F226" s="62">
        <f>_xll.BfX_Y("cm",v0,x_,vw_,B226,cG7_,"g7")</f>
        <v>36.238888313383725</v>
      </c>
    </row>
    <row r="227" spans="1:6" s="2" customFormat="1" x14ac:dyDescent="0.3">
      <c r="A227"/>
      <c r="B227" s="70">
        <v>900</v>
      </c>
      <c r="C227" s="61">
        <v>1</v>
      </c>
      <c r="D227" s="70">
        <f>_xll.BfX_Y("cm",v0,x_,vw_,B227,_c1_G1,"g1")</f>
        <v>64.214070265402782</v>
      </c>
      <c r="E227" s="61">
        <f>_xll.BfX_Y("cm",v0,x_,vw_,B227,_c2_G1,"gp")</f>
        <v>66.834297025126489</v>
      </c>
      <c r="F227" s="62">
        <f>_xll.BfX_Y("cm",v0,x_,vw_,B227,cG7_,"g7")</f>
        <v>66.854132919450635</v>
      </c>
    </row>
    <row r="228" spans="1:6" s="2" customFormat="1" x14ac:dyDescent="0.3">
      <c r="A228"/>
      <c r="B228" s="71">
        <v>1000</v>
      </c>
      <c r="C228" s="64">
        <v>1</v>
      </c>
      <c r="D228" s="71">
        <f>_xll.BfX_Y("cm",v0,x_,vw_,B228,_c1_G1,"g1")</f>
        <v>81.270663141106667</v>
      </c>
      <c r="E228" s="64">
        <f>_xll.BfX_Y("cm",v0,x_,vw_,B228,_c2_G1,"gp")</f>
        <v>85.48057898162557</v>
      </c>
      <c r="F228" s="65">
        <f>_xll.BfX_Y("cm",v0,x_,vw_,B228,cG7_,"g7")</f>
        <v>85.348146098234693</v>
      </c>
    </row>
    <row r="229" spans="1:6" s="2" customFormat="1" x14ac:dyDescent="0.3">
      <c r="A229"/>
      <c r="B229"/>
    </row>
    <row r="230" spans="1:6" x14ac:dyDescent="0.3">
      <c r="A230" s="2" t="s">
        <v>531</v>
      </c>
      <c r="B230" s="32" t="s">
        <v>208</v>
      </c>
    </row>
    <row r="231" spans="1:6" x14ac:dyDescent="0.3">
      <c r="B231" s="12" t="s">
        <v>276</v>
      </c>
    </row>
    <row r="232" spans="1:6" x14ac:dyDescent="0.3">
      <c r="B232" s="12" t="s">
        <v>267</v>
      </c>
    </row>
    <row r="234" spans="1:6" x14ac:dyDescent="0.3">
      <c r="B234" s="32" t="s">
        <v>577</v>
      </c>
    </row>
    <row r="235" spans="1:6" x14ac:dyDescent="0.3">
      <c r="B235" s="32" t="s">
        <v>578</v>
      </c>
    </row>
    <row r="236" spans="1:6" x14ac:dyDescent="0.3">
      <c r="B236" s="32" t="s">
        <v>268</v>
      </c>
    </row>
    <row r="238" spans="1:6" x14ac:dyDescent="0.3">
      <c r="B238" s="12" t="s">
        <v>270</v>
      </c>
    </row>
    <row r="239" spans="1:6" x14ac:dyDescent="0.3">
      <c r="B239" s="12" t="s">
        <v>269</v>
      </c>
    </row>
    <row r="241" spans="1:17" x14ac:dyDescent="0.3">
      <c r="A241" s="2" t="s">
        <v>532</v>
      </c>
      <c r="B241" s="32" t="s">
        <v>274</v>
      </c>
    </row>
    <row r="242" spans="1:17" x14ac:dyDescent="0.3">
      <c r="B242" s="12" t="s">
        <v>271</v>
      </c>
    </row>
    <row r="243" spans="1:17" x14ac:dyDescent="0.3">
      <c r="B243" s="51" t="s">
        <v>233</v>
      </c>
    </row>
    <row r="245" spans="1:17" x14ac:dyDescent="0.3">
      <c r="B245" s="12" t="s">
        <v>272</v>
      </c>
    </row>
    <row r="246" spans="1:17" x14ac:dyDescent="0.3">
      <c r="B246" s="12" t="s">
        <v>273</v>
      </c>
      <c r="H246" s="105"/>
    </row>
    <row r="248" spans="1:17" x14ac:dyDescent="0.3">
      <c r="A248" s="2" t="s">
        <v>579</v>
      </c>
      <c r="B248" s="32" t="s">
        <v>580</v>
      </c>
      <c r="C248" s="61" t="str">
        <f>_xll.BfX_Cd()</f>
        <v>Cd=BfX_Cd(v0; df=GP) []</v>
      </c>
      <c r="D248" s="61"/>
      <c r="E248" s="61"/>
    </row>
    <row r="250" spans="1:17" x14ac:dyDescent="0.3">
      <c r="B250" s="12" t="s">
        <v>581</v>
      </c>
    </row>
    <row r="251" spans="1:17" s="105" customFormat="1" x14ac:dyDescent="0.3">
      <c r="B251" s="12" t="s">
        <v>619</v>
      </c>
    </row>
    <row r="252" spans="1:17" s="105" customFormat="1" x14ac:dyDescent="0.3">
      <c r="B252" s="12" t="s">
        <v>620</v>
      </c>
    </row>
    <row r="253" spans="1:17" s="105" customFormat="1" x14ac:dyDescent="0.3">
      <c r="B253" s="12"/>
    </row>
    <row r="254" spans="1:17" s="105" customFormat="1" x14ac:dyDescent="0.3">
      <c r="B254" s="12"/>
      <c r="D254" s="12" t="s">
        <v>583</v>
      </c>
    </row>
    <row r="255" spans="1:17" s="105" customFormat="1" x14ac:dyDescent="0.3">
      <c r="B255" s="12"/>
    </row>
    <row r="256" spans="1:17" ht="16.5" thickBot="1" x14ac:dyDescent="0.35">
      <c r="C256" t="s">
        <v>618</v>
      </c>
      <c r="E256" t="s">
        <v>241</v>
      </c>
      <c r="F256" t="s">
        <v>241</v>
      </c>
      <c r="G256" t="s">
        <v>582</v>
      </c>
      <c r="H256" t="s">
        <v>209</v>
      </c>
      <c r="I256" t="s">
        <v>210</v>
      </c>
      <c r="J256" t="s">
        <v>211</v>
      </c>
      <c r="K256" t="s">
        <v>212</v>
      </c>
      <c r="M256" t="s">
        <v>241</v>
      </c>
      <c r="N256" t="s">
        <v>215</v>
      </c>
      <c r="O256" t="s">
        <v>528</v>
      </c>
      <c r="P256" s="105"/>
      <c r="Q256" s="105"/>
    </row>
    <row r="257" spans="3:20" ht="16.5" thickBot="1" x14ac:dyDescent="0.35">
      <c r="C257" t="s">
        <v>617</v>
      </c>
      <c r="D257" s="167" t="s">
        <v>39</v>
      </c>
      <c r="E257" s="167" t="s">
        <v>242</v>
      </c>
      <c r="F257" s="167" t="s">
        <v>241</v>
      </c>
      <c r="G257" s="167" t="s">
        <v>582</v>
      </c>
      <c r="H257" s="167" t="s">
        <v>209</v>
      </c>
      <c r="I257" s="167" t="s">
        <v>210</v>
      </c>
      <c r="J257" s="167" t="s">
        <v>211</v>
      </c>
      <c r="K257" s="167" t="s">
        <v>212</v>
      </c>
      <c r="L257" s="167" t="s">
        <v>214</v>
      </c>
      <c r="M257" s="167" t="s">
        <v>613</v>
      </c>
      <c r="N257" s="167" t="s">
        <v>215</v>
      </c>
      <c r="O257" s="184" t="s">
        <v>528</v>
      </c>
      <c r="P257" s="105"/>
      <c r="Q257" s="105"/>
    </row>
    <row r="258" spans="3:20" x14ac:dyDescent="0.3">
      <c r="D258" s="185">
        <v>0</v>
      </c>
      <c r="E258" s="187">
        <f>_xll.BfX_Cd(D258,E$257)</f>
        <v>0.32688846785481207</v>
      </c>
      <c r="F258" s="187">
        <f>_xll.BfX_Cd($D258,F$257)</f>
        <v>0.26289999998674268</v>
      </c>
      <c r="G258" s="187">
        <f>_xll.BfX_Cd($D258,G$257)</f>
        <v>0.23029999998945813</v>
      </c>
      <c r="H258" s="187">
        <f>_xll.BfX_Cd($D258,H$257)</f>
        <v>0.17099999999063981</v>
      </c>
      <c r="I258" s="187">
        <f>_xll.BfX_Cd($D258,I$257)</f>
        <v>0.26170000002202448</v>
      </c>
      <c r="J258" s="187">
        <f>_xll.BfX_Cd($D258,J$257)</f>
        <v>0.11969999997944274</v>
      </c>
      <c r="K258" s="187">
        <f>_xll.BfX_Cd($D258,K$257)</f>
        <v>0.21049999999121424</v>
      </c>
      <c r="L258" s="187">
        <f>_xll.BfX_Cd($D258,L$257)</f>
        <v>0.46634179032599299</v>
      </c>
      <c r="M258" s="187">
        <f>_xll.BfX_Cd($D258,M$257)</f>
        <v>0.2250433914966217</v>
      </c>
      <c r="N258" s="187">
        <f>_xll.BfX_Cd($D258,N$257)</f>
        <v>0.22863917023428956</v>
      </c>
      <c r="O258" s="181">
        <f>_xll.BfX_Cd($D258,O$257)</f>
        <v>0.20019993792007032</v>
      </c>
      <c r="P258" s="105"/>
      <c r="Q258" s="105"/>
      <c r="S258" s="105"/>
      <c r="T258" s="105"/>
    </row>
    <row r="259" spans="3:20" x14ac:dyDescent="0.3">
      <c r="D259" s="185">
        <v>100</v>
      </c>
      <c r="E259" s="187">
        <f>_xll.BfX_Cd(D259,E$257)</f>
        <v>0.32688846785481207</v>
      </c>
      <c r="F259" s="187">
        <f>_xll.BfX_Cd($D259,F$257)</f>
        <v>0.22132759020349119</v>
      </c>
      <c r="G259" s="187">
        <f>_xll.BfX_Cd($D259,G$257)</f>
        <v>0.22061168654206276</v>
      </c>
      <c r="H259" s="187">
        <f>_xll.BfX_Cd($D259,H$257)</f>
        <v>0.17240177602685561</v>
      </c>
      <c r="I259" s="187">
        <f>_xll.BfX_Cd($D259,I$257)</f>
        <v>0.22834568201960534</v>
      </c>
      <c r="J259" s="187">
        <f>_xll.BfX_Cd($D259,J$257)</f>
        <v>0.11969999997944274</v>
      </c>
      <c r="K259" s="187">
        <f>_xll.BfX_Cd($D259,K$257)</f>
        <v>0.21049999999121424</v>
      </c>
      <c r="L259" s="187">
        <f>_xll.BfX_Cd($D259,L$257)</f>
        <v>0.48228649025800568</v>
      </c>
      <c r="M259" s="187">
        <f>_xll.BfX_Cd($D259,M$257)</f>
        <v>0.2250433914966217</v>
      </c>
      <c r="N259" s="187">
        <f>_xll.BfX_Cd($D259,N$257)</f>
        <v>0.22863917023428956</v>
      </c>
      <c r="O259" s="181">
        <f>_xll.BfX_Cd($D259,O$257)</f>
        <v>0.20019993792007032</v>
      </c>
      <c r="P259" s="105"/>
      <c r="Q259" s="105"/>
    </row>
    <row r="260" spans="3:20" x14ac:dyDescent="0.3">
      <c r="D260" s="185">
        <v>200</v>
      </c>
      <c r="E260" s="187">
        <f>_xll.BfX_Cd(D260,E$257)</f>
        <v>0.32688846785481207</v>
      </c>
      <c r="F260" s="187">
        <f>_xll.BfX_Cd($D260,F$257)</f>
        <v>0.20249201031792627</v>
      </c>
      <c r="G260" s="187">
        <f>_xll.BfX_Cd($D260,G$257)</f>
        <v>0.18447958656211963</v>
      </c>
      <c r="H260" s="187">
        <f>_xll.BfX_Cd($D260,H$257)</f>
        <v>0.15389617740609426</v>
      </c>
      <c r="I260" s="187">
        <f>_xll.BfX_Cd($D260,I$257)</f>
        <v>0.21217893888197267</v>
      </c>
      <c r="J260" s="187">
        <f>_xll.BfX_Cd($D260,J$257)</f>
        <v>0.11969999997944274</v>
      </c>
      <c r="K260" s="187">
        <f>_xll.BfX_Cd($D260,K$257)</f>
        <v>0.21049999999121424</v>
      </c>
      <c r="L260" s="187">
        <f>_xll.BfX_Cd($D260,L$257)</f>
        <v>0.51840276428629328</v>
      </c>
      <c r="M260" s="187">
        <f>_xll.BfX_Cd($D260,M$257)</f>
        <v>0.2250433914966217</v>
      </c>
      <c r="N260" s="187">
        <f>_xll.BfX_Cd($D260,N$257)</f>
        <v>0.22863917023428956</v>
      </c>
      <c r="O260" s="181">
        <f>_xll.BfX_Cd($D260,O$257)</f>
        <v>0.20019993792007032</v>
      </c>
      <c r="P260" s="105"/>
      <c r="Q260" s="105"/>
    </row>
    <row r="261" spans="3:20" x14ac:dyDescent="0.3">
      <c r="D261" s="185">
        <v>210</v>
      </c>
      <c r="E261" s="187">
        <f>_xll.BfX_Cd(D261,E$257)</f>
        <v>0.32688846785481207</v>
      </c>
      <c r="F261" s="187">
        <f>_xll.BfX_Cd($D261,F$257)</f>
        <v>0.20324978910256675</v>
      </c>
      <c r="G261" s="187">
        <f>_xll.BfX_Cd($D261,G$257)</f>
        <v>0.1805168417303169</v>
      </c>
      <c r="H261" s="187">
        <f>_xll.BfX_Cd($D261,H$257)</f>
        <v>0.15198409537945201</v>
      </c>
      <c r="I261" s="187">
        <f>_xll.BfX_Cd($D261,I$257)</f>
        <v>0.21108507160643986</v>
      </c>
      <c r="J261" s="187">
        <f>_xll.BfX_Cd($D261,J$257)</f>
        <v>0.11987085550433693</v>
      </c>
      <c r="K261" s="187">
        <f>_xll.BfX_Cd($D261,K$257)</f>
        <v>0.21049999999121424</v>
      </c>
      <c r="L261" s="187">
        <f>_xll.BfX_Cd($D261,L$257)</f>
        <v>0.53898696329179863</v>
      </c>
      <c r="M261" s="187">
        <f>_xll.BfX_Cd($D261,M$257)</f>
        <v>0.2250433914966217</v>
      </c>
      <c r="N261" s="187">
        <f>_xll.BfX_Cd($D261,N$257)</f>
        <v>0.22863917023428956</v>
      </c>
      <c r="O261" s="181">
        <f>_xll.BfX_Cd($D261,O$257)</f>
        <v>0.20019993792007032</v>
      </c>
      <c r="P261" s="105"/>
      <c r="Q261" s="105"/>
    </row>
    <row r="262" spans="3:20" x14ac:dyDescent="0.3">
      <c r="D262" s="185">
        <v>220</v>
      </c>
      <c r="E262" s="187">
        <f>_xll.BfX_Cd(D262,E$257)</f>
        <v>0.32688846785481207</v>
      </c>
      <c r="F262" s="187">
        <f>_xll.BfX_Cd($D262,F$257)</f>
        <v>0.20832127587508295</v>
      </c>
      <c r="G262" s="187">
        <f>_xll.BfX_Cd($D262,G$257)</f>
        <v>0.17681777886363323</v>
      </c>
      <c r="H262" s="187">
        <f>_xll.BfX_Cd($D262,H$257)</f>
        <v>0.15018310885433397</v>
      </c>
      <c r="I262" s="187">
        <f>_xll.BfX_Cd($D262,I$257)</f>
        <v>0.21004735294081908</v>
      </c>
      <c r="J262" s="187">
        <f>_xll.BfX_Cd($D262,J$257)</f>
        <v>0.12026188366987701</v>
      </c>
      <c r="K262" s="187">
        <f>_xll.BfX_Cd($D262,K$257)</f>
        <v>0.21049999999121424</v>
      </c>
      <c r="L262" s="187">
        <f>_xll.BfX_Cd($D262,L$257)</f>
        <v>0.55937411617147126</v>
      </c>
      <c r="M262" s="187">
        <f>_xll.BfX_Cd($D262,M$257)</f>
        <v>0.2250433914966217</v>
      </c>
      <c r="N262" s="187">
        <f>_xll.BfX_Cd($D262,N$257)</f>
        <v>0.22863917023428956</v>
      </c>
      <c r="O262" s="181">
        <f>_xll.BfX_Cd($D262,O$257)</f>
        <v>0.20019993792007032</v>
      </c>
      <c r="P262" s="105"/>
      <c r="Q262" s="105"/>
    </row>
    <row r="263" spans="3:20" x14ac:dyDescent="0.3">
      <c r="D263" s="185">
        <v>230</v>
      </c>
      <c r="E263" s="187">
        <f>_xll.BfX_Cd(D263,E$257)</f>
        <v>0.32688846785481207</v>
      </c>
      <c r="F263" s="187">
        <f>_xll.BfX_Cd($D263,F$257)</f>
        <v>0.21328547349877405</v>
      </c>
      <c r="G263" s="187">
        <f>_xll.BfX_Cd($D263,G$257)</f>
        <v>0.17335401512726145</v>
      </c>
      <c r="H263" s="187">
        <f>_xll.BfX_Cd($D263,H$257)</f>
        <v>0.14848213591088494</v>
      </c>
      <c r="I263" s="187">
        <f>_xll.BfX_Cd($D263,I$257)</f>
        <v>0.21054166863598339</v>
      </c>
      <c r="J263" s="187">
        <f>_xll.BfX_Cd($D263,J$257)</f>
        <v>0.12063671865015992</v>
      </c>
      <c r="K263" s="187">
        <f>_xll.BfX_Cd($D263,K$257)</f>
        <v>0.21049999999121424</v>
      </c>
      <c r="L263" s="187">
        <f>_xll.BfX_Cd($D263,L$257)</f>
        <v>0.57957494629062845</v>
      </c>
      <c r="M263" s="187">
        <f>_xll.BfX_Cd($D263,M$257)</f>
        <v>0.2250433914966217</v>
      </c>
      <c r="N263" s="187">
        <f>_xll.BfX_Cd($D263,N$257)</f>
        <v>0.22863917023428956</v>
      </c>
      <c r="O263" s="181">
        <f>_xll.BfX_Cd($D263,O$257)</f>
        <v>0.20019993792007032</v>
      </c>
      <c r="P263" s="105"/>
      <c r="Q263" s="105"/>
    </row>
    <row r="264" spans="3:20" x14ac:dyDescent="0.3">
      <c r="D264" s="185">
        <v>240</v>
      </c>
      <c r="E264" s="187">
        <f>_xll.BfX_Cd(D264,E$257)</f>
        <v>0.32688846785481207</v>
      </c>
      <c r="F264" s="187">
        <f>_xll.BfX_Cd($D264,F$257)</f>
        <v>0.21814917483791305</v>
      </c>
      <c r="G264" s="187">
        <f>_xll.BfX_Cd($D264,G$257)</f>
        <v>0.17010129116292674</v>
      </c>
      <c r="H264" s="187">
        <f>_xll.BfX_Cd($D264,H$257)</f>
        <v>0.14687162263184256</v>
      </c>
      <c r="I264" s="187">
        <f>_xll.BfX_Cd($D264,I$257)</f>
        <v>0.2120972118107298</v>
      </c>
      <c r="J264" s="187">
        <f>_xll.BfX_Cd($D264,J$257)</f>
        <v>0.12099669299228356</v>
      </c>
      <c r="K264" s="187">
        <f>_xll.BfX_Cd($D264,K$257)</f>
        <v>0.21049999999121424</v>
      </c>
      <c r="L264" s="187">
        <f>_xll.BfX_Cd($D264,L$257)</f>
        <v>0.5995991539290807</v>
      </c>
      <c r="M264" s="187">
        <f>_xll.BfX_Cd($D264,M$257)</f>
        <v>0.2250433914966217</v>
      </c>
      <c r="N264" s="187">
        <f>_xll.BfX_Cd($D264,N$257)</f>
        <v>0.22863917023428956</v>
      </c>
      <c r="O264" s="181">
        <f>_xll.BfX_Cd($D264,O$257)</f>
        <v>0.20019993792007032</v>
      </c>
      <c r="P264" s="105"/>
      <c r="Q264" s="105"/>
    </row>
    <row r="265" spans="3:20" x14ac:dyDescent="0.3">
      <c r="D265" s="185">
        <v>250</v>
      </c>
      <c r="E265" s="187">
        <f>_xll.BfX_Cd(D265,E$257)</f>
        <v>0.32688846785481207</v>
      </c>
      <c r="F265" s="187">
        <f>_xll.BfX_Cd($D265,F$257)</f>
        <v>0.22291847982947371</v>
      </c>
      <c r="G265" s="187">
        <f>_xll.BfX_Cd($D265,G$257)</f>
        <v>0.1650709824291266</v>
      </c>
      <c r="H265" s="187">
        <f>_xll.BfX_Cd($D265,H$257)</f>
        <v>0.14188849400048442</v>
      </c>
      <c r="I265" s="187">
        <f>_xll.BfX_Cd($D265,I$257)</f>
        <v>0.21360004287671708</v>
      </c>
      <c r="J265" s="187">
        <f>_xll.BfX_Cd($D265,J$257)</f>
        <v>0.12134297955434437</v>
      </c>
      <c r="K265" s="187">
        <f>_xll.BfX_Cd($D265,K$257)</f>
        <v>0.21049999999121424</v>
      </c>
      <c r="L265" s="187">
        <f>_xll.BfX_Cd($D265,L$257)</f>
        <v>0.61945555236074556</v>
      </c>
      <c r="M265" s="187">
        <f>_xll.BfX_Cd($D265,M$257)</f>
        <v>0.23427235946987424</v>
      </c>
      <c r="N265" s="187">
        <f>_xll.BfX_Cd($D265,N$257)</f>
        <v>0.22863917023428956</v>
      </c>
      <c r="O265" s="181">
        <f>_xll.BfX_Cd($D265,O$257)</f>
        <v>0.20019993792007032</v>
      </c>
    </row>
    <row r="266" spans="3:20" x14ac:dyDescent="0.3">
      <c r="D266" s="185">
        <v>260</v>
      </c>
      <c r="E266" s="187">
        <f>_xll.BfX_Cd(D266,E$257)</f>
        <v>0.32688846785481207</v>
      </c>
      <c r="F266" s="187">
        <f>_xll.BfX_Cd($D266,F$257)</f>
        <v>0.23753496318031508</v>
      </c>
      <c r="G266" s="187">
        <f>_xll.BfX_Cd($D266,G$257)</f>
        <v>0.16616817106393966</v>
      </c>
      <c r="H266" s="187">
        <f>_xll.BfX_Cd($D266,H$257)</f>
        <v>0.14539759995663062</v>
      </c>
      <c r="I266" s="187">
        <f>_xll.BfX_Cd($D266,I$257)</f>
        <v>0.21505395311962755</v>
      </c>
      <c r="J266" s="187">
        <f>_xll.BfX_Cd($D266,J$257)</f>
        <v>0.12167661616828626</v>
      </c>
      <c r="K266" s="187">
        <f>_xll.BfX_Cd($D266,K$257)</f>
        <v>0.21049999999121424</v>
      </c>
      <c r="L266" s="187">
        <f>_xll.BfX_Cd($D266,L$257)</f>
        <v>0.63915218112254102</v>
      </c>
      <c r="M266" s="187">
        <f>_xll.BfX_Cd($D266,M$257)</f>
        <v>0.24364325384866925</v>
      </c>
      <c r="N266" s="187">
        <f>_xll.BfX_Cd($D266,N$257)</f>
        <v>0.23060131929181391</v>
      </c>
      <c r="O266" s="181">
        <f>_xll.BfX_Cd($D266,O$257)</f>
        <v>0.20019993792007032</v>
      </c>
    </row>
    <row r="267" spans="3:20" x14ac:dyDescent="0.3">
      <c r="D267" s="185">
        <v>265</v>
      </c>
      <c r="E267" s="187">
        <f>_xll.BfX_Cd(D267,E$257)</f>
        <v>0.32688846785481207</v>
      </c>
      <c r="F267" s="187">
        <f>_xll.BfX_Cd($D267,F$257)</f>
        <v>0.24513723540015894</v>
      </c>
      <c r="G267" s="187">
        <f>_xll.BfX_Cd($D267,G$257)</f>
        <v>0.16715546870047296</v>
      </c>
      <c r="H267" s="187">
        <f>_xll.BfX_Cd($D267,H$257)</f>
        <v>0.14782263093220338</v>
      </c>
      <c r="I267" s="187">
        <f>_xll.BfX_Cd($D267,I$257)</f>
        <v>0.21576363506831861</v>
      </c>
      <c r="J267" s="187">
        <f>_xll.BfX_Cd($D267,J$257)</f>
        <v>0.12183898316127718</v>
      </c>
      <c r="K267" s="187">
        <f>_xll.BfX_Cd($D267,K$257)</f>
        <v>0.21049999999121424</v>
      </c>
      <c r="L267" s="187">
        <f>_xll.BfX_Cd($D267,L$257)</f>
        <v>0.6489429063608485</v>
      </c>
      <c r="M267" s="187">
        <f>_xll.BfX_Cd($D267,M$257)</f>
        <v>0.24832870103806673</v>
      </c>
      <c r="N267" s="187">
        <f>_xll.BfX_Cd($D267,N$257)</f>
        <v>0.23216486073518799</v>
      </c>
      <c r="O267" s="181">
        <f>_xll.BfX_Cd($D267,O$257)</f>
        <v>0.20019993792007032</v>
      </c>
    </row>
    <row r="268" spans="3:20" x14ac:dyDescent="0.3">
      <c r="D268" s="185">
        <v>270</v>
      </c>
      <c r="E268" s="187">
        <f>_xll.BfX_Cd(D268,E$257)</f>
        <v>0.32688846785481207</v>
      </c>
      <c r="F268" s="187">
        <f>_xll.BfX_Cd($D268,F$257)</f>
        <v>0.25283388389846695</v>
      </c>
      <c r="G268" s="187">
        <f>_xll.BfX_Cd($D268,G$257)</f>
        <v>0.16813001351044182</v>
      </c>
      <c r="H268" s="187">
        <f>_xll.BfX_Cd($D268,H$257)</f>
        <v>0.15024164665175066</v>
      </c>
      <c r="I268" s="187">
        <f>_xll.BfX_Cd($D268,I$257)</f>
        <v>0.21646232781333952</v>
      </c>
      <c r="J268" s="187">
        <f>_xll.BfX_Cd($D268,J$257)</f>
        <v>0.12317773039379762</v>
      </c>
      <c r="K268" s="187">
        <f>_xll.BfX_Cd($D268,K$257)</f>
        <v>0.21049999999121424</v>
      </c>
      <c r="L268" s="187">
        <f>_xll.BfX_Cd($D268,L$257)</f>
        <v>0.6586964010256634</v>
      </c>
      <c r="M268" s="187">
        <f>_xll.BfX_Cd($D268,M$257)</f>
        <v>0.25301414822746421</v>
      </c>
      <c r="N268" s="187">
        <f>_xll.BfX_Cd($D268,N$257)</f>
        <v>0.23370948080381324</v>
      </c>
      <c r="O268" s="181">
        <f>_xll.BfX_Cd($D268,O$257)</f>
        <v>0.20019993792007032</v>
      </c>
    </row>
    <row r="269" spans="3:20" x14ac:dyDescent="0.3">
      <c r="D269" s="185">
        <v>275</v>
      </c>
      <c r="E269" s="187">
        <f>_xll.BfX_Cd(D269,E$257)</f>
        <v>0.32932748367358489</v>
      </c>
      <c r="F269" s="187">
        <f>_xll.BfX_Cd($D269,F$257)</f>
        <v>0.26062430000518866</v>
      </c>
      <c r="G269" s="187">
        <f>_xll.BfX_Cd($D269,G$257)</f>
        <v>0.16909220188556731</v>
      </c>
      <c r="H269" s="187">
        <f>_xll.BfX_Cd($D269,H$257)</f>
        <v>0.15265477303163025</v>
      </c>
      <c r="I269" s="187">
        <f>_xll.BfX_Cd($D269,I$257)</f>
        <v>0.21715040037356456</v>
      </c>
      <c r="J269" s="187">
        <f>_xll.BfX_Cd($D269,J$257)</f>
        <v>0.12455771564795537</v>
      </c>
      <c r="K269" s="187">
        <f>_xll.BfX_Cd($D269,K$257)</f>
        <v>0.21049999999121424</v>
      </c>
      <c r="L269" s="187">
        <f>_xll.BfX_Cd($D269,L$257)</f>
        <v>0.66841349232840963</v>
      </c>
      <c r="M269" s="187">
        <f>_xll.BfX_Cd($D269,M$257)</f>
        <v>0.25769959541686172</v>
      </c>
      <c r="N269" s="187">
        <f>_xll.BfX_Cd($D269,N$257)</f>
        <v>0.23523575262063734</v>
      </c>
      <c r="O269" s="181">
        <f>_xll.BfX_Cd($D269,O$257)</f>
        <v>0.20019993792007032</v>
      </c>
    </row>
    <row r="270" spans="3:20" x14ac:dyDescent="0.3">
      <c r="D270" s="185">
        <v>280</v>
      </c>
      <c r="E270" s="187">
        <f>_xll.BfX_Cd(D270,E$257)</f>
        <v>0.34761938616270649</v>
      </c>
      <c r="F270" s="187">
        <f>_xll.BfX_Cd($D270,F$257)</f>
        <v>0.26850789003916919</v>
      </c>
      <c r="G270" s="187">
        <f>_xll.BfX_Cd($D270,G$257)</f>
        <v>0.17004241095564884</v>
      </c>
      <c r="H270" s="187">
        <f>_xll.BfX_Cd($D270,H$257)</f>
        <v>0.15506213111312475</v>
      </c>
      <c r="I270" s="187">
        <f>_xll.BfX_Cd($D270,I$257)</f>
        <v>0.21782820293922409</v>
      </c>
      <c r="J270" s="187">
        <f>_xll.BfX_Cd($D270,J$257)</f>
        <v>0.12592787883434378</v>
      </c>
      <c r="K270" s="187">
        <f>_xll.BfX_Cd($D270,K$257)</f>
        <v>0.21049999999121424</v>
      </c>
      <c r="L270" s="187">
        <f>_xll.BfX_Cd($D270,L$257)</f>
        <v>0.67809497441865962</v>
      </c>
      <c r="M270" s="187">
        <f>_xll.BfX_Cd($D270,M$257)</f>
        <v>0.26238504260625917</v>
      </c>
      <c r="N270" s="187">
        <f>_xll.BfX_Cd($D270,N$257)</f>
        <v>0.23674422190099714</v>
      </c>
      <c r="O270" s="181">
        <f>_xll.BfX_Cd($D270,O$257)</f>
        <v>0.20019993792007032</v>
      </c>
    </row>
    <row r="271" spans="3:20" x14ac:dyDescent="0.3">
      <c r="D271" s="185">
        <v>285</v>
      </c>
      <c r="E271" s="187">
        <f>_xll.BfX_Cd(D271,E$257)</f>
        <v>0.36657637676310872</v>
      </c>
      <c r="F271" s="187">
        <f>_xll.BfX_Cd($D271,F$257)</f>
        <v>0.27696438789160971</v>
      </c>
      <c r="G271" s="187">
        <f>_xll.BfX_Cd($D271,G$257)</f>
        <v>0.17098099984989598</v>
      </c>
      <c r="H271" s="187">
        <f>_xll.BfX_Cd($D271,H$257)</f>
        <v>0.15746383733480221</v>
      </c>
      <c r="I271" s="187">
        <f>_xll.BfX_Cd($D271,I$257)</f>
        <v>0.21849606814941822</v>
      </c>
      <c r="J271" s="187">
        <f>_xll.BfX_Cd($D271,J$257)</f>
        <v>0.12887287988795526</v>
      </c>
      <c r="K271" s="187">
        <f>_xll.BfX_Cd($D271,K$257)</f>
        <v>0.21049999999121424</v>
      </c>
      <c r="L271" s="187">
        <f>_xll.BfX_Cd($D271,L$257)</f>
        <v>0.68774161027149938</v>
      </c>
      <c r="M271" s="187">
        <f>_xll.BfX_Cd($D271,M$257)</f>
        <v>0.26707048979565667</v>
      </c>
      <c r="N271" s="187">
        <f>_xll.BfX_Cd($D271,N$257)</f>
        <v>0.23823540872676577</v>
      </c>
      <c r="O271" s="181">
        <f>_xll.BfX_Cd($D271,O$257)</f>
        <v>0.20019993792007032</v>
      </c>
    </row>
    <row r="272" spans="3:20" x14ac:dyDescent="0.3">
      <c r="D272" s="185">
        <v>290</v>
      </c>
      <c r="E272" s="187">
        <f>_xll.BfX_Cd(D272,E$257)</f>
        <v>0.38621033204820743</v>
      </c>
      <c r="F272" s="187">
        <f>_xll.BfX_Cd($D272,F$257)</f>
        <v>0.29199922579166576</v>
      </c>
      <c r="G272" s="187">
        <f>_xll.BfX_Cd($D272,G$257)</f>
        <v>0.17190831085510191</v>
      </c>
      <c r="H272" s="187">
        <f>_xll.BfX_Cd($D272,H$257)</f>
        <v>0.15986000378515203</v>
      </c>
      <c r="I272" s="187">
        <f>_xll.BfX_Cd($D272,I$257)</f>
        <v>0.21915431226220389</v>
      </c>
      <c r="J272" s="187">
        <f>_xll.BfX_Cd($D272,J$257)</f>
        <v>0.13187416675222877</v>
      </c>
      <c r="K272" s="187">
        <f>_xll.BfX_Cd($D272,K$257)</f>
        <v>0.21049999999121424</v>
      </c>
      <c r="L272" s="187">
        <f>_xll.BfX_Cd($D272,L$257)</f>
        <v>0.69735413343597097</v>
      </c>
      <c r="M272" s="187">
        <f>_xll.BfX_Cd($D272,M$257)</f>
        <v>0.27175593698505418</v>
      </c>
      <c r="N272" s="187">
        <f>_xll.BfX_Cd($D272,N$257)</f>
        <v>0.23970980917669882</v>
      </c>
      <c r="O272" s="181">
        <f>_xll.BfX_Cd($D272,O$257)</f>
        <v>0.20019993792007032</v>
      </c>
    </row>
    <row r="273" spans="1:15" x14ac:dyDescent="0.3">
      <c r="D273" s="185">
        <v>295</v>
      </c>
      <c r="E273" s="187">
        <f>_xll.BfX_Cd(D273,E$257)</f>
        <v>0.40653312859141816</v>
      </c>
      <c r="F273" s="187">
        <f>_xll.BfX_Cd($D273,F$257)</f>
        <v>0.30757215045590591</v>
      </c>
      <c r="G273" s="187">
        <f>_xll.BfX_Cd($D273,G$257)</f>
        <v>0.17282467048071984</v>
      </c>
      <c r="H273" s="187">
        <f>_xll.BfX_Cd($D273,H$257)</f>
        <v>0.16225073843724064</v>
      </c>
      <c r="I273" s="187">
        <f>_xll.BfX_Cd($D273,I$257)</f>
        <v>0.21980323622797424</v>
      </c>
      <c r="J273" s="187">
        <f>_xll.BfX_Cd($D273,J$257)</f>
        <v>0.13489225216251169</v>
      </c>
      <c r="K273" s="187">
        <f>_xll.BfX_Cd($D273,K$257)</f>
        <v>0.21049999999121424</v>
      </c>
      <c r="L273" s="187">
        <f>_xll.BfX_Cd($D273,L$257)</f>
        <v>0.70693324965703597</v>
      </c>
      <c r="M273" s="187">
        <f>_xll.BfX_Cd($D273,M$257)</f>
        <v>0.27644138417445163</v>
      </c>
      <c r="N273" s="187">
        <f>_xll.BfX_Cd($D273,N$257)</f>
        <v>0.24116789682690237</v>
      </c>
      <c r="O273" s="181">
        <f>_xll.BfX_Cd($D273,O$257)</f>
        <v>0.20019993792007032</v>
      </c>
    </row>
    <row r="274" spans="1:15" x14ac:dyDescent="0.3">
      <c r="D274" s="185">
        <v>300</v>
      </c>
      <c r="E274" s="187">
        <f>_xll.BfX_Cd(D274,E$257)</f>
        <v>0.42755664296615686</v>
      </c>
      <c r="F274" s="187">
        <f>_xll.BfX_Cd($D274,F$257)</f>
        <v>0.32369280895298447</v>
      </c>
      <c r="G274" s="187">
        <f>_xll.BfX_Cd($D274,G$257)</f>
        <v>0.17373039043976873</v>
      </c>
      <c r="H274" s="187">
        <f>_xll.BfX_Cd($D274,H$257)</f>
        <v>0.16542651180104728</v>
      </c>
      <c r="I274" s="187">
        <f>_xll.BfX_Cd($D274,I$257)</f>
        <v>0.22044312667561677</v>
      </c>
      <c r="J274" s="187">
        <f>_xll.BfX_Cd($D274,J$257)</f>
        <v>0.13792694301801217</v>
      </c>
      <c r="K274" s="187">
        <f>_xll.BfX_Cd($D274,K$257)</f>
        <v>0.21049999999121424</v>
      </c>
      <c r="L274" s="187">
        <f>_xll.BfX_Cd($D274,L$257)</f>
        <v>0.71647963838219642</v>
      </c>
      <c r="M274" s="187">
        <f>_xll.BfX_Cd($D274,M$257)</f>
        <v>0.29080973668501692</v>
      </c>
      <c r="N274" s="187">
        <f>_xll.BfX_Cd($D274,N$257)</f>
        <v>0.24261012413378527</v>
      </c>
      <c r="O274" s="181">
        <f>_xll.BfX_Cd($D274,O$257)</f>
        <v>0.20019993792007032</v>
      </c>
    </row>
    <row r="275" spans="1:15" x14ac:dyDescent="0.3">
      <c r="A275" s="12"/>
      <c r="D275" s="185">
        <v>305</v>
      </c>
      <c r="E275" s="187">
        <f>_xll.BfX_Cd(D275,E$257)</f>
        <v>0.44929275174583916</v>
      </c>
      <c r="F275" s="187">
        <f>_xll.BfX_Cd($D275,F$257)</f>
        <v>0.34037085481308649</v>
      </c>
      <c r="G275" s="187">
        <f>_xll.BfX_Cd($D275,G$257)</f>
        <v>0.18031367269586585</v>
      </c>
      <c r="H275" s="187">
        <f>_xll.BfX_Cd($D275,H$257)</f>
        <v>0.17814954496993848</v>
      </c>
      <c r="I275" s="187">
        <f>_xll.BfX_Cd($D275,I$257)</f>
        <v>0.22107425681986501</v>
      </c>
      <c r="J275" s="187">
        <f>_xll.BfX_Cd($D275,J$257)</f>
        <v>0.14344072943760283</v>
      </c>
      <c r="K275" s="187">
        <f>_xll.BfX_Cd($D275,K$257)</f>
        <v>0.21049999999121424</v>
      </c>
      <c r="L275" s="187">
        <f>_xll.BfX_Cd($D275,L$257)</f>
        <v>0.72599395416275692</v>
      </c>
      <c r="M275" s="187">
        <f>_xll.BfX_Cd($D275,M$257)</f>
        <v>0.30559391130787883</v>
      </c>
      <c r="N275" s="187">
        <f>_xll.BfX_Cd($D275,N$257)</f>
        <v>0.24886242229821148</v>
      </c>
      <c r="O275" s="181">
        <f>_xll.BfX_Cd($D275,O$257)</f>
        <v>0.20019993792007032</v>
      </c>
    </row>
    <row r="276" spans="1:15" x14ac:dyDescent="0.3">
      <c r="D276" s="185">
        <v>310</v>
      </c>
      <c r="E276" s="187">
        <f>_xll.BfX_Cd(D276,E$257)</f>
        <v>0.47175333150388071</v>
      </c>
      <c r="F276" s="187">
        <f>_xll.BfX_Cd($D276,F$257)</f>
        <v>0.35761594792443591</v>
      </c>
      <c r="G276" s="187">
        <f>_xll.BfX_Cd($D276,G$257)</f>
        <v>0.19043180873066207</v>
      </c>
      <c r="H276" s="187">
        <f>_xll.BfX_Cd($D276,H$257)</f>
        <v>0.19162009612723291</v>
      </c>
      <c r="I276" s="187">
        <f>_xll.BfX_Cd($D276,I$257)</f>
        <v>0.23628815210384838</v>
      </c>
      <c r="J276" s="187">
        <f>_xll.BfX_Cd($D276,J$257)</f>
        <v>0.15466434339765484</v>
      </c>
      <c r="K276" s="187">
        <f>_xll.BfX_Cd($D276,K$257)</f>
        <v>0.21049999999121424</v>
      </c>
      <c r="L276" s="187">
        <f>_xll.BfX_Cd($D276,L$257)</f>
        <v>0.75867405685423228</v>
      </c>
      <c r="M276" s="187">
        <f>_xll.BfX_Cd($D276,M$257)</f>
        <v>0.32087084687345696</v>
      </c>
      <c r="N276" s="187">
        <f>_xll.BfX_Cd($D276,N$257)</f>
        <v>0.26632395357590499</v>
      </c>
      <c r="O276" s="181">
        <f>_xll.BfX_Cd($D276,O$257)</f>
        <v>0.20019993792007032</v>
      </c>
    </row>
    <row r="277" spans="1:15" x14ac:dyDescent="0.3">
      <c r="D277" s="185">
        <v>315</v>
      </c>
      <c r="E277" s="187">
        <f>_xll.BfX_Cd(D277,E$257)</f>
        <v>0.49495025881369736</v>
      </c>
      <c r="F277" s="187">
        <f>_xll.BfX_Cd($D277,F$257)</f>
        <v>0.37543775443313315</v>
      </c>
      <c r="G277" s="187">
        <f>_xll.BfX_Cd($D277,G$257)</f>
        <v>0.20094209958905102</v>
      </c>
      <c r="H277" s="187">
        <f>_xll.BfX_Cd($D277,H$257)</f>
        <v>0.20586895821528772</v>
      </c>
      <c r="I277" s="187">
        <f>_xll.BfX_Cd($D277,I$257)</f>
        <v>0.24526674096123111</v>
      </c>
      <c r="J277" s="187">
        <f>_xll.BfX_Cd($D277,J$257)</f>
        <v>0.16656525472774475</v>
      </c>
      <c r="K277" s="187">
        <f>_xll.BfX_Cd($D277,K$257)</f>
        <v>0.2191899542596604</v>
      </c>
      <c r="L277" s="187">
        <f>_xll.BfX_Cd($D277,L$257)</f>
        <v>0.76849077677444422</v>
      </c>
      <c r="M277" s="187">
        <f>_xll.BfX_Cd($D277,M$257)</f>
        <v>0.33664862142999269</v>
      </c>
      <c r="N277" s="187">
        <f>_xll.BfX_Cd($D277,N$257)</f>
        <v>0.28470159473651924</v>
      </c>
      <c r="O277" s="181">
        <f>_xll.BfX_Cd($D277,O$257)</f>
        <v>0.20019993792007032</v>
      </c>
    </row>
    <row r="278" spans="1:15" x14ac:dyDescent="0.3">
      <c r="D278" s="185">
        <v>320</v>
      </c>
      <c r="E278" s="187">
        <f>_xll.BfX_Cd(D278,E$257)</f>
        <v>0.51889541024870478</v>
      </c>
      <c r="F278" s="187">
        <f>_xll.BfX_Cd($D278,F$257)</f>
        <v>0.39384594664615991</v>
      </c>
      <c r="G278" s="187">
        <f>_xll.BfX_Cd($D278,G$257)</f>
        <v>0.23061478890493187</v>
      </c>
      <c r="H278" s="187">
        <f>_xll.BfX_Cd($D278,H$257)</f>
        <v>0.2264028299570125</v>
      </c>
      <c r="I278" s="187">
        <f>_xll.BfX_Cd($D278,I$257)</f>
        <v>0.25738174707239253</v>
      </c>
      <c r="J278" s="187">
        <f>_xll.BfX_Cd($D278,J$257)</f>
        <v>0.17917260495783152</v>
      </c>
      <c r="K278" s="187">
        <f>_xll.BfX_Cd($D278,K$257)</f>
        <v>0.23985858363368523</v>
      </c>
      <c r="L278" s="187">
        <f>_xll.BfX_Cd($D278,L$257)</f>
        <v>0.77827692455448827</v>
      </c>
      <c r="M278" s="187">
        <f>_xll.BfX_Cd($D278,M$257)</f>
        <v>0.35293531302572717</v>
      </c>
      <c r="N278" s="187">
        <f>_xll.BfX_Cd($D278,N$257)</f>
        <v>0.30402771718150895</v>
      </c>
      <c r="O278" s="181">
        <f>_xll.BfX_Cd($D278,O$257)</f>
        <v>0.20019993792007032</v>
      </c>
    </row>
    <row r="279" spans="1:15" x14ac:dyDescent="0.3">
      <c r="D279" s="185">
        <v>325</v>
      </c>
      <c r="E279" s="187">
        <f>_xll.BfX_Cd(D279,E$257)</f>
        <v>0.54360066238231863</v>
      </c>
      <c r="F279" s="187">
        <f>_xll.BfX_Cd($D279,F$257)</f>
        <v>0.41285020293740565</v>
      </c>
      <c r="G279" s="187">
        <f>_xll.BfX_Cd($D279,G$257)</f>
        <v>0.27547157442504222</v>
      </c>
      <c r="H279" s="187">
        <f>_xll.BfX_Cd($D279,H$257)</f>
        <v>0.25058197354416073</v>
      </c>
      <c r="I279" s="187">
        <f>_xll.BfX_Cd($D279,I$257)</f>
        <v>0.28086958919223376</v>
      </c>
      <c r="J279" s="187">
        <f>_xll.BfX_Cd($D279,J$257)</f>
        <v>0.2231205013391421</v>
      </c>
      <c r="K279" s="187">
        <f>_xll.BfX_Cd($D279,K$257)</f>
        <v>0.27148415299084855</v>
      </c>
      <c r="L279" s="187">
        <f>_xll.BfX_Cd($D279,L$257)</f>
        <v>0.78803307091912511</v>
      </c>
      <c r="M279" s="187">
        <f>_xll.BfX_Cd($D279,M$257)</f>
        <v>0.36973899970890173</v>
      </c>
      <c r="N279" s="187">
        <f>_xll.BfX_Cd($D279,N$257)</f>
        <v>0.32433529933922639</v>
      </c>
      <c r="O279" s="181">
        <f>_xll.BfX_Cd($D279,O$257)</f>
        <v>0.20019993792007032</v>
      </c>
    </row>
    <row r="280" spans="1:15" x14ac:dyDescent="0.3">
      <c r="D280" s="185">
        <v>330</v>
      </c>
      <c r="E280" s="187">
        <f>_xll.BfX_Cd(D280,E$257)</f>
        <v>0.56907789178795476</v>
      </c>
      <c r="F280" s="187">
        <f>_xll.BfX_Cd($D280,F$257)</f>
        <v>0.43246020765657334</v>
      </c>
      <c r="G280" s="187">
        <f>_xll.BfX_Cd($D280,G$257)</f>
        <v>0.32816171608716116</v>
      </c>
      <c r="H280" s="187">
        <f>_xll.BfX_Cd($D280,H$257)</f>
        <v>0.27691404256653901</v>
      </c>
      <c r="I280" s="187">
        <f>_xll.BfX_Cd($D280,I$257)</f>
        <v>0.30609246101834775</v>
      </c>
      <c r="J280" s="187">
        <f>_xll.BfX_Cd($D280,J$257)</f>
        <v>0.28324679243385958</v>
      </c>
      <c r="K280" s="187">
        <f>_xll.BfX_Cd($D280,K$257)</f>
        <v>0.31761492281422987</v>
      </c>
      <c r="L280" s="187">
        <f>_xll.BfX_Cd($D280,L$257)</f>
        <v>0.79775976733391651</v>
      </c>
      <c r="M280" s="187">
        <f>_xll.BfX_Cd($D280,M$257)</f>
        <v>0.38706775952775752</v>
      </c>
      <c r="N280" s="187">
        <f>_xll.BfX_Cd($D280,N$257)</f>
        <v>0.34565792829638975</v>
      </c>
      <c r="O280" s="181">
        <f>_xll.BfX_Cd($D280,O$257)</f>
        <v>0.20019993792007032</v>
      </c>
    </row>
    <row r="281" spans="1:15" x14ac:dyDescent="0.3">
      <c r="D281" s="185">
        <v>335</v>
      </c>
      <c r="E281" s="187">
        <f>_xll.BfX_Cd(D281,E$257)</f>
        <v>0.59533897503902888</v>
      </c>
      <c r="F281" s="187">
        <f>_xll.BfX_Cd($D281,F$257)</f>
        <v>0.45268565104083508</v>
      </c>
      <c r="G281" s="187">
        <f>_xll.BfX_Cd($D281,G$257)</f>
        <v>0.38990245459464545</v>
      </c>
      <c r="H281" s="187">
        <f>_xll.BfX_Cd($D281,H$257)</f>
        <v>0.30555370258838449</v>
      </c>
      <c r="I281" s="187">
        <f>_xll.BfX_Cd($D281,I$257)</f>
        <v>0.33314929854045761</v>
      </c>
      <c r="J281" s="187">
        <f>_xll.BfX_Cd($D281,J$257)</f>
        <v>0.32783184840513641</v>
      </c>
      <c r="K281" s="187">
        <f>_xll.BfX_Cd($D281,K$257)</f>
        <v>0.37070834855485119</v>
      </c>
      <c r="L281" s="187">
        <f>_xll.BfX_Cd($D281,L$257)</f>
        <v>0.80745754693673377</v>
      </c>
      <c r="M281" s="187">
        <f>_xll.BfX_Cd($D281,M$257)</f>
        <v>0.40492967053053586</v>
      </c>
      <c r="N281" s="187">
        <f>_xll.BfX_Cd($D281,N$257)</f>
        <v>0.36802980140853658</v>
      </c>
      <c r="O281" s="181">
        <f>_xll.BfX_Cd($D281,O$257)</f>
        <v>0.20019993792007032</v>
      </c>
    </row>
    <row r="282" spans="1:15" x14ac:dyDescent="0.3">
      <c r="D282" s="185">
        <v>340</v>
      </c>
      <c r="E282" s="187">
        <f>_xll.BfX_Cd(D282,E$257)</f>
        <v>0.62239578870895662</v>
      </c>
      <c r="F282" s="187">
        <f>_xll.BfX_Cd($D282,F$257)</f>
        <v>0.47353622912911258</v>
      </c>
      <c r="G282" s="187">
        <f>_xll.BfX_Cd($D282,G$257)</f>
        <v>0.39893054137297085</v>
      </c>
      <c r="H282" s="187">
        <f>_xll.BfX_Cd($D282,H$257)</f>
        <v>0.33666415189030313</v>
      </c>
      <c r="I282" s="187">
        <f>_xll.BfX_Cd($D282,I$257)</f>
        <v>0.3573883295396475</v>
      </c>
      <c r="J282" s="187">
        <f>_xll.BfX_Cd($D282,J$257)</f>
        <v>0.37712720388605786</v>
      </c>
      <c r="K282" s="187">
        <f>_xll.BfX_Cd($D282,K$257)</f>
        <v>0.40563648182064832</v>
      </c>
      <c r="L282" s="187">
        <f>_xll.BfX_Cd($D282,L$257)</f>
        <v>0.81712692541099741</v>
      </c>
      <c r="M282" s="187">
        <f>_xll.BfX_Cd($D282,M$257)</f>
        <v>0.42333281076547796</v>
      </c>
      <c r="N282" s="187">
        <f>_xll.BfX_Cd($D282,N$257)</f>
        <v>0.39148572789004982</v>
      </c>
      <c r="O282" s="181">
        <f>_xll.BfX_Cd($D282,O$257)</f>
        <v>0.20019993792007032</v>
      </c>
    </row>
    <row r="283" spans="1:15" x14ac:dyDescent="0.3">
      <c r="D283" s="185">
        <v>345</v>
      </c>
      <c r="E283" s="187">
        <f>_xll.BfX_Cd(D283,E$257)</f>
        <v>0.65026020937115381</v>
      </c>
      <c r="F283" s="187">
        <f>_xll.BfX_Cd($D283,F$257)</f>
        <v>0.49502164367886792</v>
      </c>
      <c r="G283" s="187">
        <f>_xll.BfX_Cd($D283,G$257)</f>
        <v>0.40269234430123124</v>
      </c>
      <c r="H283" s="187">
        <f>_xll.BfX_Cd($D283,H$257)</f>
        <v>0.37041745427827466</v>
      </c>
      <c r="I283" s="187">
        <f>_xll.BfX_Cd($D283,I$257)</f>
        <v>0.38058549025068039</v>
      </c>
      <c r="J283" s="187">
        <f>_xll.BfX_Cd($D283,J$257)</f>
        <v>0.40031261494461734</v>
      </c>
      <c r="K283" s="187">
        <f>_xll.BfX_Cd($D283,K$257)</f>
        <v>0.42506963606374809</v>
      </c>
      <c r="L283" s="187">
        <f>_xll.BfX_Cd($D283,L$257)</f>
        <v>0.8267684018050937</v>
      </c>
      <c r="M283" s="187">
        <f>_xll.BfX_Cd($D283,M$257)</f>
        <v>0.4422852582808251</v>
      </c>
      <c r="N283" s="187">
        <f>_xll.BfX_Cd($D283,N$257)</f>
        <v>0.41606113038431902</v>
      </c>
      <c r="O283" s="181">
        <f>_xll.BfX_Cd($D283,O$257)</f>
        <v>0.20019993792007032</v>
      </c>
    </row>
    <row r="284" spans="1:15" x14ac:dyDescent="0.3">
      <c r="D284" s="185">
        <v>350</v>
      </c>
      <c r="E284" s="187">
        <f>_xll.BfX_Cd(D284,E$257)</f>
        <v>0.67894411359903606</v>
      </c>
      <c r="F284" s="187">
        <f>_xll.BfX_Cd($D284,F$257)</f>
        <v>0.51715160208529343</v>
      </c>
      <c r="G284" s="187">
        <f>_xll.BfX_Cd($D284,G$257)</f>
        <v>0.40643472791267998</v>
      </c>
      <c r="H284" s="187">
        <f>_xll.BfX_Cd($D284,H$257)</f>
        <v>0.38331059669491646</v>
      </c>
      <c r="I284" s="187">
        <f>_xll.BfX_Cd($D284,I$257)</f>
        <v>0.40492174251458601</v>
      </c>
      <c r="J284" s="187">
        <f>_xll.BfX_Cd($D284,J$257)</f>
        <v>0.401923494896893</v>
      </c>
      <c r="K284" s="187">
        <f>_xll.BfX_Cd($D284,K$257)</f>
        <v>0.43982860500612603</v>
      </c>
      <c r="L284" s="187">
        <f>_xll.BfX_Cd($D284,L$257)</f>
        <v>0.8363824593020196</v>
      </c>
      <c r="M284" s="187">
        <f>_xll.BfX_Cd($D284,M$257)</f>
        <v>0.46179509112481854</v>
      </c>
      <c r="N284" s="187">
        <f>_xll.BfX_Cd($D284,N$257)</f>
        <v>0.44179204651457737</v>
      </c>
      <c r="O284" s="181">
        <f>_xll.BfX_Cd($D284,O$257)</f>
        <v>0.20019993792007032</v>
      </c>
    </row>
    <row r="285" spans="1:15" x14ac:dyDescent="0.3">
      <c r="D285" s="185">
        <v>355</v>
      </c>
      <c r="E285" s="187">
        <f>_xll.BfX_Cd(D285,E$257)</f>
        <v>0.70845937796601921</v>
      </c>
      <c r="F285" s="187">
        <f>_xll.BfX_Cd($D285,F$257)</f>
        <v>0.53993581730280016</v>
      </c>
      <c r="G285" s="187">
        <f>_xll.BfX_Cd($D285,G$257)</f>
        <v>0.41015806775996327</v>
      </c>
      <c r="H285" s="187">
        <f>_xll.BfX_Cd($D285,H$257)</f>
        <v>0.39374653276595634</v>
      </c>
      <c r="I285" s="187">
        <f>_xll.BfX_Cd($D285,I$257)</f>
        <v>0.42308931114885168</v>
      </c>
      <c r="J285" s="187">
        <f>_xll.BfX_Cd($D285,J$257)</f>
        <v>0.40351786959207303</v>
      </c>
      <c r="K285" s="187">
        <f>_xll.BfX_Cd($D285,K$257)</f>
        <v>0.44834872994565605</v>
      </c>
      <c r="L285" s="187">
        <f>_xll.BfX_Cd($D285,L$257)</f>
        <v>0.84596956594294259</v>
      </c>
      <c r="M285" s="187">
        <f>_xll.BfX_Cd($D285,M$257)</f>
        <v>0.48187038734569948</v>
      </c>
      <c r="N285" s="187">
        <f>_xll.BfX_Cd($D285,N$257)</f>
        <v>0.46871513041592988</v>
      </c>
      <c r="O285" s="181">
        <f>_xll.BfX_Cd($D285,O$257)</f>
        <v>0.20019993792007032</v>
      </c>
    </row>
    <row r="286" spans="1:15" x14ac:dyDescent="0.3">
      <c r="D286" s="185">
        <v>360</v>
      </c>
      <c r="E286" s="187">
        <f>_xll.BfX_Cd(D286,E$257)</f>
        <v>0.7388178790455191</v>
      </c>
      <c r="F286" s="187">
        <f>_xll.BfX_Cd($D286,F$257)</f>
        <v>0.56051958064509189</v>
      </c>
      <c r="G286" s="187">
        <f>_xll.BfX_Cd($D286,G$257)</f>
        <v>0.41112255027204792</v>
      </c>
      <c r="H286" s="187">
        <f>_xll.BfX_Cd($D286,H$257)</f>
        <v>0.40431466538759531</v>
      </c>
      <c r="I286" s="187">
        <f>_xll.BfX_Cd($D286,I$257)</f>
        <v>0.43095152262708897</v>
      </c>
      <c r="J286" s="187">
        <f>_xll.BfX_Cd($D286,J$257)</f>
        <v>0.40509613708594472</v>
      </c>
      <c r="K286" s="187">
        <f>_xll.BfX_Cd($D286,K$257)</f>
        <v>0.44822169800123141</v>
      </c>
      <c r="L286" s="187">
        <f>_xll.BfX_Cd($D286,L$257)</f>
        <v>0.85553017530804742</v>
      </c>
      <c r="M286" s="187">
        <f>_xll.BfX_Cd($D286,M$257)</f>
        <v>0.5025192249917092</v>
      </c>
      <c r="N286" s="187">
        <f>_xll.BfX_Cd($D286,N$257)</f>
        <v>0.49685635069274803</v>
      </c>
      <c r="O286" s="181">
        <f>_xll.BfX_Cd($D286,O$257)</f>
        <v>0.20019993792007032</v>
      </c>
    </row>
    <row r="287" spans="1:15" x14ac:dyDescent="0.3">
      <c r="D287" s="185">
        <v>365</v>
      </c>
      <c r="E287" s="187">
        <f>_xll.BfX_Cd(D287,E$257)</f>
        <v>0.77003149341095112</v>
      </c>
      <c r="F287" s="187">
        <f>_xll.BfX_Cd($D287,F$257)</f>
        <v>0.56953864393878495</v>
      </c>
      <c r="G287" s="187">
        <f>_xll.BfX_Cd($D287,G$257)</f>
        <v>0.41139247294375419</v>
      </c>
      <c r="H287" s="187">
        <f>_xll.BfX_Cd($D287,H$257)</f>
        <v>0.41501479819927789</v>
      </c>
      <c r="I287" s="187">
        <f>_xll.BfX_Cd($D287,I$257)</f>
        <v>0.43884836758430529</v>
      </c>
      <c r="J287" s="187">
        <f>_xll.BfX_Cd($D287,J$257)</f>
        <v>0.40665868046546416</v>
      </c>
      <c r="K287" s="187">
        <f>_xll.BfX_Cd($D287,K$257)</f>
        <v>0.44806678542162226</v>
      </c>
      <c r="L287" s="187">
        <f>_xll.BfX_Cd($D287,L$257)</f>
        <v>0.86506472715774829</v>
      </c>
      <c r="M287" s="187">
        <f>_xll.BfX_Cd($D287,M$257)</f>
        <v>0.52374968211108897</v>
      </c>
      <c r="N287" s="187">
        <f>_xll.BfX_Cd($D287,N$257)</f>
        <v>0.52224491066440015</v>
      </c>
      <c r="O287" s="181">
        <f>_xll.BfX_Cd($D287,O$257)</f>
        <v>0.20019993792007032</v>
      </c>
    </row>
    <row r="288" spans="1:15" x14ac:dyDescent="0.3">
      <c r="D288" s="185">
        <v>370</v>
      </c>
      <c r="E288" s="187">
        <f>_xll.BfX_Cd(D288,E$257)</f>
        <v>0.77487987648551582</v>
      </c>
      <c r="F288" s="187">
        <f>_xll.BfX_Cd($D288,F$257)</f>
        <v>0.57857715802593235</v>
      </c>
      <c r="G288" s="187">
        <f>_xll.BfX_Cd($D288,G$257)</f>
        <v>0.41147986140862008</v>
      </c>
      <c r="H288" s="187">
        <f>_xll.BfX_Cd($D288,H$257)</f>
        <v>0.4199030224188624</v>
      </c>
      <c r="I288" s="187">
        <f>_xll.BfX_Cd($D288,I$257)</f>
        <v>0.44677952100283025</v>
      </c>
      <c r="J288" s="187">
        <f>_xll.BfX_Cd($D288,J$257)</f>
        <v>0.40344169313440009</v>
      </c>
      <c r="K288" s="187">
        <f>_xll.BfX_Cd($D288,K$257)</f>
        <v>0.44791403301424049</v>
      </c>
      <c r="L288" s="187">
        <f>_xll.BfX_Cd($D288,L$257)</f>
        <v>0.87457364803708271</v>
      </c>
      <c r="M288" s="187">
        <f>_xll.BfX_Cd($D288,M$257)</f>
        <v>0.54556983675208004</v>
      </c>
      <c r="N288" s="187">
        <f>_xll.BfX_Cd($D288,N$257)</f>
        <v>0.54855870452690647</v>
      </c>
      <c r="O288" s="181">
        <f>_xll.BfX_Cd($D288,O$257)</f>
        <v>0.20019993792007032</v>
      </c>
    </row>
    <row r="289" spans="4:15" x14ac:dyDescent="0.3">
      <c r="D289" s="185">
        <v>375</v>
      </c>
      <c r="E289" s="187">
        <f>_xll.BfX_Cd(D289,E$257)</f>
        <v>0.77487987648551582</v>
      </c>
      <c r="F289" s="187">
        <f>_xll.BfX_Cd($D289,F$257)</f>
        <v>0.58763490114440009</v>
      </c>
      <c r="G289" s="187">
        <f>_xll.BfX_Cd($D289,G$257)</f>
        <v>0.41044033691119802</v>
      </c>
      <c r="H289" s="187">
        <f>_xll.BfX_Cd($D289,H$257)</f>
        <v>0.42163723462303548</v>
      </c>
      <c r="I289" s="187">
        <f>_xll.BfX_Cd($D289,I$257)</f>
        <v>0.44786775160047571</v>
      </c>
      <c r="J289" s="187">
        <f>_xll.BfX_Cd($D289,J$257)</f>
        <v>0.40126450636864774</v>
      </c>
      <c r="K289" s="187">
        <f>_xll.BfX_Cd($D289,K$257)</f>
        <v>0.44776338206846322</v>
      </c>
      <c r="L289" s="187">
        <f>_xll.BfX_Cd($D289,L$257)</f>
        <v>0.88405735184587286</v>
      </c>
      <c r="M289" s="187">
        <f>_xll.BfX_Cd($D289,M$257)</f>
        <v>0.56662541561212842</v>
      </c>
      <c r="N289" s="187">
        <f>_xll.BfX_Cd($D289,N$257)</f>
        <v>0.57211263084403186</v>
      </c>
      <c r="O289" s="181">
        <f>_xll.BfX_Cd($D289,O$257)</f>
        <v>0.20019993792007032</v>
      </c>
    </row>
    <row r="290" spans="4:15" x14ac:dyDescent="0.3">
      <c r="D290" s="185">
        <v>380</v>
      </c>
      <c r="E290" s="187">
        <f>_xll.BfX_Cd(D290,E$257)</f>
        <v>0.77487987648551582</v>
      </c>
      <c r="F290" s="187">
        <f>_xll.BfX_Cd($D290,F$257)</f>
        <v>0.5967116569869414</v>
      </c>
      <c r="G290" s="187">
        <f>_xll.BfX_Cd($D290,G$257)</f>
        <v>0.40941715559581426</v>
      </c>
      <c r="H290" s="187">
        <f>_xll.BfX_Cd($D290,H$257)</f>
        <v>0.4233554969998391</v>
      </c>
      <c r="I290" s="187">
        <f>_xll.BfX_Cd($D290,I$257)</f>
        <v>0.44805328756635959</v>
      </c>
      <c r="J290" s="187">
        <f>_xll.BfX_Cd($D290,J$257)</f>
        <v>0.39912767449419811</v>
      </c>
      <c r="K290" s="187">
        <f>_xll.BfX_Cd($D290,K$257)</f>
        <v>0.44671057300091732</v>
      </c>
      <c r="L290" s="187">
        <f>_xll.BfX_Cd($D290,L$257)</f>
        <v>0.89351624037701927</v>
      </c>
      <c r="M290" s="187">
        <f>_xll.BfX_Cd($D290,M$257)</f>
        <v>0.57418042115362355</v>
      </c>
      <c r="N290" s="187">
        <f>_xll.BfX_Cd($D290,N$257)</f>
        <v>0.57211263084403186</v>
      </c>
      <c r="O290" s="181">
        <f>_xll.BfX_Cd($D290,O$257)</f>
        <v>0.20019993792007032</v>
      </c>
    </row>
    <row r="291" spans="4:15" x14ac:dyDescent="0.3">
      <c r="D291" s="185">
        <v>385</v>
      </c>
      <c r="E291" s="187">
        <f>_xll.BfX_Cd(D291,E$257)</f>
        <v>0.77487987648551582</v>
      </c>
      <c r="F291" s="187">
        <f>_xll.BfX_Cd($D291,F$257)</f>
        <v>0.60580721449692332</v>
      </c>
      <c r="G291" s="187">
        <f>_xll.BfX_Cd($D291,G$257)</f>
        <v>0.40840985048871081</v>
      </c>
      <c r="H291" s="187">
        <f>_xll.BfX_Cd($D291,H$257)</f>
        <v>0.42505816324798817</v>
      </c>
      <c r="I291" s="187">
        <f>_xll.BfX_Cd($D291,I$257)</f>
        <v>0.44823647351634771</v>
      </c>
      <c r="J291" s="187">
        <f>_xll.BfX_Cd($D291,J$257)</f>
        <v>0.39702993312140267</v>
      </c>
      <c r="K291" s="187">
        <f>_xll.BfX_Cd($D291,K$257)</f>
        <v>0.44514187184393428</v>
      </c>
      <c r="L291" s="187">
        <f>_xll.BfX_Cd($D291,L$257)</f>
        <v>0.902950703825109</v>
      </c>
      <c r="M291" s="187">
        <f>_xll.BfX_Cd($D291,M$257)</f>
        <v>0.58173542669511857</v>
      </c>
      <c r="N291" s="187">
        <f>_xll.BfX_Cd($D291,N$257)</f>
        <v>0.57211263084403186</v>
      </c>
      <c r="O291" s="181">
        <f>_xll.BfX_Cd($D291,O$257)</f>
        <v>0.20019993792007032</v>
      </c>
    </row>
    <row r="292" spans="4:15" x14ac:dyDescent="0.3">
      <c r="D292" s="185">
        <v>390</v>
      </c>
      <c r="E292" s="187">
        <f>_xll.BfX_Cd(D292,E$257)</f>
        <v>0.77487987648551582</v>
      </c>
      <c r="F292" s="187">
        <f>_xll.BfX_Cd($D292,F$257)</f>
        <v>0.61492136767425976</v>
      </c>
      <c r="G292" s="187">
        <f>_xll.BfX_Cd($D292,G$257)</f>
        <v>0.40741797380559636</v>
      </c>
      <c r="H292" s="187">
        <f>_xll.BfX_Cd($D292,H$257)</f>
        <v>0.42674557475072394</v>
      </c>
      <c r="I292" s="187">
        <f>_xll.BfX_Cd($D292,I$257)</f>
        <v>0.44841736916243169</v>
      </c>
      <c r="J292" s="187">
        <f>_xll.BfX_Cd($D292,J$257)</f>
        <v>0.39497007323961442</v>
      </c>
      <c r="K292" s="187">
        <f>_xll.BfX_Cd($D292,K$257)</f>
        <v>0.44359881523807054</v>
      </c>
      <c r="L292" s="187">
        <f>_xll.BfX_Cd($D292,L$257)</f>
        <v>0.9123611212673326</v>
      </c>
      <c r="M292" s="187">
        <f>_xll.BfX_Cd($D292,M$257)</f>
        <v>0.58929043223661359</v>
      </c>
      <c r="N292" s="187">
        <f>_xll.BfX_Cd($D292,N$257)</f>
        <v>0.57211263084403186</v>
      </c>
      <c r="O292" s="181">
        <f>_xll.BfX_Cd($D292,O$257)</f>
        <v>0.20019993792007032</v>
      </c>
    </row>
    <row r="293" spans="4:15" x14ac:dyDescent="0.3">
      <c r="D293" s="185">
        <v>395</v>
      </c>
      <c r="E293" s="187">
        <f>_xll.BfX_Cd(D293,E$257)</f>
        <v>0.77487987648551582</v>
      </c>
      <c r="F293" s="187">
        <f>_xll.BfX_Cd($D293,F$257)</f>
        <v>0.62405391539091615</v>
      </c>
      <c r="G293" s="187">
        <f>_xll.BfX_Cd($D293,G$257)</f>
        <v>0.40628602947149522</v>
      </c>
      <c r="H293" s="187">
        <f>_xll.BfX_Cd($D293,H$257)</f>
        <v>0.4284180611563671</v>
      </c>
      <c r="I293" s="187">
        <f>_xll.BfX_Cd($D293,I$257)</f>
        <v>0.44859603195782538</v>
      </c>
      <c r="J293" s="187">
        <f>_xll.BfX_Cd($D293,J$257)</f>
        <v>0.39294693811875575</v>
      </c>
      <c r="K293" s="187">
        <f>_xll.BfX_Cd($D293,K$257)</f>
        <v>0.44132596559211468</v>
      </c>
      <c r="L293" s="187">
        <f>_xll.BfX_Cd($D293,L$257)</f>
        <v>0.92174786111855933</v>
      </c>
      <c r="M293" s="187">
        <f>_xll.BfX_Cd($D293,M$257)</f>
        <v>0.59684543777810861</v>
      </c>
      <c r="N293" s="187">
        <f>_xll.BfX_Cd($D293,N$257)</f>
        <v>0.57211263084403186</v>
      </c>
      <c r="O293" s="181">
        <f>_xll.BfX_Cd($D293,O$257)</f>
        <v>0.20019993792007032</v>
      </c>
    </row>
    <row r="294" spans="4:15" x14ac:dyDescent="0.3">
      <c r="D294" s="185">
        <v>400</v>
      </c>
      <c r="E294" s="187">
        <f>_xll.BfX_Cd(D294,E$257)</f>
        <v>0.77487987648551582</v>
      </c>
      <c r="F294" s="187">
        <f>_xll.BfX_Cd($D294,F$257)</f>
        <v>0.63320466121539876</v>
      </c>
      <c r="G294" s="187">
        <f>_xll.BfX_Cd($D294,G$257)</f>
        <v>0.40459076644721326</v>
      </c>
      <c r="H294" s="187">
        <f>_xll.BfX_Cd($D294,H$257)</f>
        <v>0.43007594092453139</v>
      </c>
      <c r="I294" s="187">
        <f>_xll.BfX_Cd($D294,I$257)</f>
        <v>0.4487725172097547</v>
      </c>
      <c r="J294" s="187">
        <f>_xll.BfX_Cd($D294,J$257)</f>
        <v>0.39095942042094373</v>
      </c>
      <c r="K294" s="187">
        <f>_xll.BfX_Cd($D294,K$257)</f>
        <v>0.43889660968974586</v>
      </c>
      <c r="L294" s="187">
        <f>_xll.BfX_Cd($D294,L$257)</f>
        <v>0.9311112815622643</v>
      </c>
      <c r="M294" s="187">
        <f>_xll.BfX_Cd($D294,M$257)</f>
        <v>0.60440044331960363</v>
      </c>
      <c r="N294" s="187">
        <f>_xll.BfX_Cd($D294,N$257)</f>
        <v>0.57211263084403186</v>
      </c>
      <c r="O294" s="181">
        <f>_xll.BfX_Cd($D294,O$257)</f>
        <v>0.20019993792007032</v>
      </c>
    </row>
    <row r="295" spans="4:15" x14ac:dyDescent="0.3">
      <c r="D295" s="185">
        <v>405</v>
      </c>
      <c r="E295" s="187">
        <f>_xll.BfX_Cd(D295,E$257)</f>
        <v>0.77487987648551582</v>
      </c>
      <c r="F295" s="187">
        <f>_xll.BfX_Cd($D295,F$257)</f>
        <v>0.63964088473189862</v>
      </c>
      <c r="G295" s="187">
        <f>_xll.BfX_Cd($D295,G$257)</f>
        <v>0.40292350562090773</v>
      </c>
      <c r="H295" s="187">
        <f>_xll.BfX_Cd($D295,H$257)</f>
        <v>0.43171952184042944</v>
      </c>
      <c r="I295" s="187">
        <f>_xll.BfX_Cd($D295,I$257)</f>
        <v>0.44894687818528484</v>
      </c>
      <c r="J295" s="187">
        <f>_xll.BfX_Cd($D295,J$257)</f>
        <v>0.38900645950550961</v>
      </c>
      <c r="K295" s="187">
        <f>_xll.BfX_Cd($D295,K$257)</f>
        <v>0.43651055785887938</v>
      </c>
      <c r="L295" s="187">
        <f>_xll.BfX_Cd($D295,L$257)</f>
        <v>0.94045173095887524</v>
      </c>
      <c r="M295" s="187">
        <f>_xll.BfX_Cd($D295,M$257)</f>
        <v>0.61195544886109865</v>
      </c>
      <c r="N295" s="187">
        <f>_xll.BfX_Cd($D295,N$257)</f>
        <v>0.57211263084403186</v>
      </c>
      <c r="O295" s="181">
        <f>_xll.BfX_Cd($D295,O$257)</f>
        <v>0.20019993792007032</v>
      </c>
    </row>
    <row r="296" spans="4:15" x14ac:dyDescent="0.3">
      <c r="D296" s="185">
        <v>410</v>
      </c>
      <c r="E296" s="187">
        <f>_xll.BfX_Cd(D296,E$257)</f>
        <v>0.77487987648551582</v>
      </c>
      <c r="F296" s="187">
        <f>_xll.BfX_Cd($D296,F$257)</f>
        <v>0.64228165900392731</v>
      </c>
      <c r="G296" s="187">
        <f>_xll.BfX_Cd($D296,G$257)</f>
        <v>0.40128344721925496</v>
      </c>
      <c r="H296" s="187">
        <f>_xll.BfX_Cd($D296,H$257)</f>
        <v>0.43334910149950573</v>
      </c>
      <c r="I296" s="187">
        <f>_xll.BfX_Cd($D296,I$257)</f>
        <v>0.44911916621069442</v>
      </c>
      <c r="J296" s="187">
        <f>_xll.BfX_Cd($D296,J$257)</f>
        <v>0.38708703891225155</v>
      </c>
      <c r="K296" s="187">
        <f>_xll.BfX_Cd($D296,K$257)</f>
        <v>0.43416651770617082</v>
      </c>
      <c r="L296" s="187">
        <f>_xll.BfX_Cd($D296,L$257)</f>
        <v>0.94976954823298754</v>
      </c>
      <c r="M296" s="187">
        <f>_xll.BfX_Cd($D296,M$257)</f>
        <v>0.61951045440259378</v>
      </c>
      <c r="N296" s="187">
        <f>_xll.BfX_Cd($D296,N$257)</f>
        <v>0.57211263084403186</v>
      </c>
      <c r="O296" s="181">
        <f>_xll.BfX_Cd($D296,O$257)</f>
        <v>0.20019993792007032</v>
      </c>
    </row>
    <row r="297" spans="4:15" x14ac:dyDescent="0.3">
      <c r="D297" s="185">
        <v>415</v>
      </c>
      <c r="E297" s="187">
        <f>_xll.BfX_Cd(D297,E$257)</f>
        <v>0.77487987648551582</v>
      </c>
      <c r="F297" s="187">
        <f>_xll.BfX_Cd($D297,F$257)</f>
        <v>0.64490112799875143</v>
      </c>
      <c r="G297" s="187">
        <f>_xll.BfX_Cd($D297,G$257)</f>
        <v>0.39966982371026527</v>
      </c>
      <c r="H297" s="187">
        <f>_xll.BfX_Cd($D297,H$257)</f>
        <v>0.4349649677644471</v>
      </c>
      <c r="I297" s="187">
        <f>_xll.BfX_Cd($D297,I$257)</f>
        <v>0.44928943076486116</v>
      </c>
      <c r="J297" s="187">
        <f>_xll.BfX_Cd($D297,J$257)</f>
        <v>0.38520018400912182</v>
      </c>
      <c r="K297" s="187">
        <f>_xll.BfX_Cd($D297,K$257)</f>
        <v>0.43186325056752584</v>
      </c>
      <c r="L297" s="187">
        <f>_xll.BfX_Cd($D297,L$257)</f>
        <v>0.95906506324078333</v>
      </c>
      <c r="M297" s="187">
        <f>_xll.BfX_Cd($D297,M$257)</f>
        <v>0.6270654599440888</v>
      </c>
      <c r="N297" s="187">
        <f>_xll.BfX_Cd($D297,N$257)</f>
        <v>0.57211263084403186</v>
      </c>
      <c r="O297" s="181">
        <f>_xll.BfX_Cd($D297,O$257)</f>
        <v>0.20019993792007032</v>
      </c>
    </row>
    <row r="298" spans="4:15" x14ac:dyDescent="0.3">
      <c r="D298" s="185">
        <v>420</v>
      </c>
      <c r="E298" s="187">
        <f>_xll.BfX_Cd(D298,E$257)</f>
        <v>0.77487987648551582</v>
      </c>
      <c r="F298" s="187">
        <f>_xll.BfX_Cd($D298,F$257)</f>
        <v>0.6474997172214958</v>
      </c>
      <c r="G298" s="187">
        <f>_xll.BfX_Cd($D298,G$257)</f>
        <v>0.39808189813368605</v>
      </c>
      <c r="H298" s="187">
        <f>_xll.BfX_Cd($D298,H$257)</f>
        <v>0.43656739919645826</v>
      </c>
      <c r="I298" s="187">
        <f>_xll.BfX_Cd($D298,I$257)</f>
        <v>0.4478033823730157</v>
      </c>
      <c r="J298" s="187">
        <f>_xll.BfX_Cd($D298,J$257)</f>
        <v>0.38334495979176825</v>
      </c>
      <c r="K298" s="187">
        <f>_xll.BfX_Cd($D298,K$257)</f>
        <v>0.42959956865925475</v>
      </c>
      <c r="L298" s="187">
        <f>_xll.BfX_Cd($D298,L$257)</f>
        <v>0.96833859711889447</v>
      </c>
      <c r="M298" s="187">
        <f>_xll.BfX_Cd($D298,M$257)</f>
        <v>0.63334480263129378</v>
      </c>
      <c r="N298" s="187">
        <f>_xll.BfX_Cd($D298,N$257)</f>
        <v>0.57211263084403186</v>
      </c>
      <c r="O298" s="181">
        <f>_xll.BfX_Cd($D298,O$257)</f>
        <v>0.20019993792007032</v>
      </c>
    </row>
    <row r="299" spans="4:15" x14ac:dyDescent="0.3">
      <c r="D299" s="185">
        <v>425</v>
      </c>
      <c r="E299" s="187">
        <f>_xll.BfX_Cd(D299,E$257)</f>
        <v>0.77487987648551582</v>
      </c>
      <c r="F299" s="187">
        <f>_xll.BfX_Cd($D299,F$257)</f>
        <v>0.65007783873393477</v>
      </c>
      <c r="G299" s="187">
        <f>_xll.BfX_Cd($D299,G$257)</f>
        <v>0.39651896253656527</v>
      </c>
      <c r="H299" s="187">
        <f>_xll.BfX_Cd($D299,H$257)</f>
        <v>0.43815666546253984</v>
      </c>
      <c r="I299" s="187">
        <f>_xll.BfX_Cd($D299,I$257)</f>
        <v>0.4457179406713605</v>
      </c>
      <c r="J299" s="187">
        <f>_xll.BfX_Cd($D299,J$257)</f>
        <v>0.38152046882344914</v>
      </c>
      <c r="K299" s="187">
        <f>_xll.BfX_Cd($D299,K$257)</f>
        <v>0.42737433241212663</v>
      </c>
      <c r="L299" s="187">
        <f>_xll.BfX_Cd($D299,L$257)</f>
        <v>0.97759046261585425</v>
      </c>
      <c r="M299" s="187">
        <f>_xll.BfX_Cd($D299,M$257)</f>
        <v>0.63334480263129378</v>
      </c>
      <c r="N299" s="187">
        <f>_xll.BfX_Cd($D299,N$257)</f>
        <v>0.57278605949039885</v>
      </c>
      <c r="O299" s="181">
        <f>_xll.BfX_Cd($D299,O$257)</f>
        <v>0.20019993792007032</v>
      </c>
    </row>
    <row r="300" spans="4:15" x14ac:dyDescent="0.3">
      <c r="D300" s="185">
        <v>430</v>
      </c>
      <c r="E300" s="187">
        <f>_xll.BfX_Cd(D300,E$257)</f>
        <v>0.77190006439143966</v>
      </c>
      <c r="F300" s="187">
        <f>_xll.BfX_Cd($D300,F$257)</f>
        <v>0.65263589173180048</v>
      </c>
      <c r="G300" s="187">
        <f>_xll.BfX_Cd($D300,G$257)</f>
        <v>0.39498033650619996</v>
      </c>
      <c r="H300" s="187">
        <f>_xll.BfX_Cd($D300,H$257)</f>
        <v>0.43973302772036893</v>
      </c>
      <c r="I300" s="187">
        <f>_xll.BfX_Cd($D300,I$257)</f>
        <v>0.44366643310941756</v>
      </c>
      <c r="J300" s="187">
        <f>_xll.BfX_Cd($D300,J$257)</f>
        <v>0.37972584930483488</v>
      </c>
      <c r="K300" s="187">
        <f>_xll.BfX_Cd($D300,K$257)</f>
        <v>0.42518644797458138</v>
      </c>
      <c r="L300" s="187">
        <f>_xll.BfX_Cd($D300,L$257)</f>
        <v>0.98461494092261836</v>
      </c>
      <c r="M300" s="187">
        <f>_xll.BfX_Cd($D300,M$257)</f>
        <v>0.63334480263129378</v>
      </c>
      <c r="N300" s="187">
        <f>_xll.BfX_Cd($D300,N$257)</f>
        <v>0.57098904460863908</v>
      </c>
      <c r="O300" s="181">
        <f>_xll.BfX_Cd($D300,O$257)</f>
        <v>0.20019993792007032</v>
      </c>
    </row>
    <row r="301" spans="4:15" x14ac:dyDescent="0.3">
      <c r="D301" s="185">
        <v>435</v>
      </c>
      <c r="E301" s="187">
        <f>_xll.BfX_Cd(D301,E$257)</f>
        <v>0.76745103560943673</v>
      </c>
      <c r="F301" s="187">
        <f>_xll.BfX_Cd($D301,F$257)</f>
        <v>0.65517426309089932</v>
      </c>
      <c r="G301" s="187">
        <f>_xll.BfX_Cd($D301,G$257)</f>
        <v>0.39346536579335423</v>
      </c>
      <c r="H301" s="187">
        <f>_xll.BfX_Cd($D301,H$257)</f>
        <v>0.4409747286494009</v>
      </c>
      <c r="I301" s="187">
        <f>_xll.BfX_Cd($D301,I$257)</f>
        <v>0.44164792246018614</v>
      </c>
      <c r="J301" s="187">
        <f>_xll.BfX_Cd($D301,J$257)</f>
        <v>0.37796027326410087</v>
      </c>
      <c r="K301" s="187">
        <f>_xll.BfX_Cd($D301,K$257)</f>
        <v>0.42303486487254183</v>
      </c>
      <c r="L301" s="187">
        <f>_xll.BfX_Cd($D301,L$257)</f>
        <v>0.98689415615589093</v>
      </c>
      <c r="M301" s="187">
        <f>_xll.BfX_Cd($D301,M$257)</f>
        <v>0.63334480263129378</v>
      </c>
      <c r="N301" s="187">
        <f>_xll.BfX_Cd($D301,N$257)</f>
        <v>0.56921834542301519</v>
      </c>
      <c r="O301" s="181">
        <f>_xll.BfX_Cd($D301,O$257)</f>
        <v>0.20019993792007032</v>
      </c>
    </row>
    <row r="302" spans="4:15" x14ac:dyDescent="0.3">
      <c r="D302" s="185">
        <v>440</v>
      </c>
      <c r="E302" s="187">
        <f>_xll.BfX_Cd(D302,E$257)</f>
        <v>0.76307805963924336</v>
      </c>
      <c r="F302" s="187">
        <f>_xll.BfX_Cd($D302,F$257)</f>
        <v>0.65769332788405999</v>
      </c>
      <c r="G302" s="187">
        <f>_xll.BfX_Cd($D302,G$257)</f>
        <v>0.39197342101922489</v>
      </c>
      <c r="H302" s="187">
        <f>_xll.BfX_Cd($D302,H$257)</f>
        <v>0.44081005239212845</v>
      </c>
      <c r="I302" s="187">
        <f>_xll.BfX_Cd($D302,I$257)</f>
        <v>0.43966150777432522</v>
      </c>
      <c r="J302" s="187">
        <f>_xll.BfX_Cd($D302,J$257)</f>
        <v>0.37597052369771272</v>
      </c>
      <c r="K302" s="187">
        <f>_xll.BfX_Cd($D302,K$257)</f>
        <v>0.42091857381432779</v>
      </c>
      <c r="L302" s="187">
        <f>_xll.BfX_Cd($D302,L$257)</f>
        <v>0.98915250848957204</v>
      </c>
      <c r="M302" s="187">
        <f>_xll.BfX_Cd($D302,M$257)</f>
        <v>0.63334480263129378</v>
      </c>
      <c r="N302" s="187">
        <f>_xll.BfX_Cd($D302,N$257)</f>
        <v>0.56747328066023017</v>
      </c>
      <c r="O302" s="181">
        <f>_xll.BfX_Cd($D302,O$257)</f>
        <v>0.20019993792007032</v>
      </c>
    </row>
    <row r="303" spans="4:15" x14ac:dyDescent="0.3">
      <c r="D303" s="185">
        <v>445</v>
      </c>
      <c r="E303" s="187">
        <f>_xll.BfX_Cd(D303,E$257)</f>
        <v>0.75877899410789595</v>
      </c>
      <c r="F303" s="187">
        <f>_xll.BfX_Cd($D303,F$257)</f>
        <v>0.66019344987078066</v>
      </c>
      <c r="G303" s="187">
        <f>_xll.BfX_Cd($D303,G$257)</f>
        <v>0.3905038964601758</v>
      </c>
      <c r="H303" s="187">
        <f>_xll.BfX_Cd($D303,H$257)</f>
        <v>0.44064729738122832</v>
      </c>
      <c r="I303" s="187">
        <f>_xll.BfX_Cd($D303,I$257)</f>
        <v>0.43770632258274067</v>
      </c>
      <c r="J303" s="187">
        <f>_xll.BfX_Cd($D303,J$257)</f>
        <v>0.37338342624691828</v>
      </c>
      <c r="K303" s="187">
        <f>_xll.BfX_Cd($D303,K$257)</f>
        <v>0.41883660463014388</v>
      </c>
      <c r="L303" s="187">
        <f>_xll.BfX_Cd($D303,L$257)</f>
        <v>0.99139042274942757</v>
      </c>
      <c r="M303" s="187">
        <f>_xll.BfX_Cd($D303,M$257)</f>
        <v>0.63334480263129378</v>
      </c>
      <c r="N303" s="187">
        <f>_xll.BfX_Cd($D303,N$257)</f>
        <v>0.56575319417185366</v>
      </c>
      <c r="O303" s="181">
        <f>_xll.BfX_Cd($D303,O$257)</f>
        <v>0.20019993792007032</v>
      </c>
    </row>
    <row r="304" spans="4:15" x14ac:dyDescent="0.3">
      <c r="D304" s="185">
        <v>450</v>
      </c>
      <c r="E304" s="187">
        <f>_xll.BfX_Cd(D304,E$257)</f>
        <v>0.75455178019099334</v>
      </c>
      <c r="F304" s="187">
        <f>_xll.BfX_Cd($D304,F$257)</f>
        <v>0.66267498196131025</v>
      </c>
      <c r="G304" s="187">
        <f>_xll.BfX_Cd($D304,G$257)</f>
        <v>0.38905620890474474</v>
      </c>
      <c r="H304" s="187">
        <f>_xll.BfX_Cd($D304,H$257)</f>
        <v>0.44048641998888466</v>
      </c>
      <c r="I304" s="187">
        <f>_xll.BfX_Cd($D304,I$257)</f>
        <v>0.4357815332072747</v>
      </c>
      <c r="J304" s="187">
        <f>_xll.BfX_Cd($D304,J$257)</f>
        <v>0.37084274083481128</v>
      </c>
      <c r="K304" s="187">
        <f>_xll.BfX_Cd($D304,K$257)</f>
        <v>0.41678802433647982</v>
      </c>
      <c r="L304" s="187">
        <f>_xll.BfX_Cd($D304,L$257)</f>
        <v>0.99360831045507092</v>
      </c>
      <c r="M304" s="187">
        <f>_xll.BfX_Cd($D304,M$257)</f>
        <v>0.63334480263129378</v>
      </c>
      <c r="N304" s="187">
        <f>_xll.BfX_Cd($D304,N$257)</f>
        <v>0.56405745373775051</v>
      </c>
      <c r="O304" s="181">
        <f>_xll.BfX_Cd($D304,O$257)</f>
        <v>0.20019993792007032</v>
      </c>
    </row>
    <row r="305" spans="4:15" x14ac:dyDescent="0.3">
      <c r="D305" s="185">
        <v>455</v>
      </c>
      <c r="E305" s="187">
        <f>_xll.BfX_Cd(D305,E$257)</f>
        <v>0.7503944384696738</v>
      </c>
      <c r="F305" s="187">
        <f>_xll.BfX_Cd($D305,F$257)</f>
        <v>0.66327540093290471</v>
      </c>
      <c r="G305" s="187">
        <f>_xll.BfX_Cd($D305,G$257)</f>
        <v>0.38702575328669908</v>
      </c>
      <c r="H305" s="187">
        <f>_xll.BfX_Cd($D305,H$257)</f>
        <v>0.44032737804905719</v>
      </c>
      <c r="I305" s="187">
        <f>_xll.BfX_Cd($D305,I$257)</f>
        <v>0.4338863371718753</v>
      </c>
      <c r="J305" s="187">
        <f>_xll.BfX_Cd($D305,J$257)</f>
        <v>0.36834713288237525</v>
      </c>
      <c r="K305" s="187">
        <f>_xll.BfX_Cd($D305,K$257)</f>
        <v>0.41477193531655909</v>
      </c>
      <c r="L305" s="187">
        <f>_xll.BfX_Cd($D305,L$257)</f>
        <v>0.99580657037932652</v>
      </c>
      <c r="M305" s="187">
        <f>_xll.BfX_Cd($D305,M$257)</f>
        <v>0.63334480263129378</v>
      </c>
      <c r="N305" s="187">
        <f>_xll.BfX_Cd($D305,N$257)</f>
        <v>0.56238544993907014</v>
      </c>
      <c r="O305" s="181">
        <f>_xll.BfX_Cd($D305,O$257)</f>
        <v>0.20019993792007032</v>
      </c>
    </row>
    <row r="306" spans="4:15" x14ac:dyDescent="0.3">
      <c r="D306" s="185">
        <v>460</v>
      </c>
      <c r="E306" s="187">
        <f>_xll.BfX_Cd(D306,E$257)</f>
        <v>0.74630506503595662</v>
      </c>
      <c r="F306" s="187">
        <f>_xll.BfX_Cd($D306,F$257)</f>
        <v>0.66301802093852524</v>
      </c>
      <c r="G306" s="187">
        <f>_xll.BfX_Cd($D306,G$257)</f>
        <v>0.38416707346966639</v>
      </c>
      <c r="H306" s="187">
        <f>_xll.BfX_Cd($D306,H$257)</f>
        <v>0.44017013079306538</v>
      </c>
      <c r="I306" s="187">
        <f>_xll.BfX_Cd($D306,I$257)</f>
        <v>0.43201996170723778</v>
      </c>
      <c r="J306" s="187">
        <f>_xll.BfX_Cd($D306,J$257)</f>
        <v>0.36589532030584915</v>
      </c>
      <c r="K306" s="187">
        <f>_xll.BfX_Cd($D306,K$257)</f>
        <v>0.41278747360868856</v>
      </c>
      <c r="L306" s="187">
        <f>_xll.BfX_Cd($D306,L$257)</f>
        <v>0.99798558907821544</v>
      </c>
      <c r="M306" s="187">
        <f>_xll.BfX_Cd($D306,M$257)</f>
        <v>0.63334480263129378</v>
      </c>
      <c r="N306" s="187">
        <f>_xll.BfX_Cd($D306,N$257)</f>
        <v>0.56073659509603813</v>
      </c>
      <c r="O306" s="181">
        <f>_xll.BfX_Cd($D306,O$257)</f>
        <v>0.20019993792007032</v>
      </c>
    </row>
    <row r="307" spans="4:15" x14ac:dyDescent="0.3">
      <c r="D307" s="185">
        <v>465</v>
      </c>
      <c r="E307" s="187">
        <f>_xll.BfX_Cd(D307,E$257)</f>
        <v>0.74228182782904162</v>
      </c>
      <c r="F307" s="187">
        <f>_xll.BfX_Cd($D307,F$257)</f>
        <v>0.66276352174616593</v>
      </c>
      <c r="G307" s="187">
        <f>_xll.BfX_Cd($D307,G$257)</f>
        <v>0.38136007328426935</v>
      </c>
      <c r="H307" s="187">
        <f>_xll.BfX_Cd($D307,H$257)</f>
        <v>0.44001463878867564</v>
      </c>
      <c r="I307" s="187">
        <f>_xll.BfX_Cd($D307,I$257)</f>
        <v>0.43018166234247135</v>
      </c>
      <c r="J307" s="187">
        <f>_xll.BfX_Cd($D307,J$257)</f>
        <v>0.36348607090842444</v>
      </c>
      <c r="K307" s="187">
        <f>_xll.BfX_Cd($D307,K$257)</f>
        <v>0.41083380729501445</v>
      </c>
      <c r="L307" s="187">
        <f>_xll.BfX_Cd($D307,L$257)</f>
        <v>1.0001457413934065</v>
      </c>
      <c r="M307" s="187">
        <f>_xll.BfX_Cd($D307,M$257)</f>
        <v>0.63334480263129378</v>
      </c>
      <c r="N307" s="187">
        <f>_xll.BfX_Cd($D307,N$257)</f>
        <v>0.5591103222661653</v>
      </c>
      <c r="O307" s="181">
        <f>_xll.BfX_Cd($D307,O$257)</f>
        <v>0.20019993792007032</v>
      </c>
    </row>
    <row r="308" spans="4:15" x14ac:dyDescent="0.3">
      <c r="D308" s="185">
        <v>470</v>
      </c>
      <c r="E308" s="187">
        <f>_xll.BfX_Cd(D308,E$257)</f>
        <v>0.73832296318655288</v>
      </c>
      <c r="F308" s="187">
        <f>_xll.BfX_Cd($D308,F$257)</f>
        <v>0.66251184065036461</v>
      </c>
      <c r="G308" s="187">
        <f>_xll.BfX_Cd($D308,G$257)</f>
        <v>0.37860327768011709</v>
      </c>
      <c r="H308" s="187">
        <f>_xll.BfX_Cd($D308,H$257)</f>
        <v>0.43986086388246753</v>
      </c>
      <c r="I308" s="187">
        <f>_xll.BfX_Cd($D308,I$257)</f>
        <v>0.42837072157785067</v>
      </c>
      <c r="J308" s="187">
        <f>_xll.BfX_Cd($D308,J$257)</f>
        <v>0.36111819992796512</v>
      </c>
      <c r="K308" s="187">
        <f>_xll.BfX_Cd($D308,K$257)</f>
        <v>0.40891013498378814</v>
      </c>
      <c r="L308" s="187">
        <f>_xll.BfX_Cd($D308,L$257)</f>
        <v>1.0022873909288443</v>
      </c>
      <c r="M308" s="187">
        <f>_xll.BfX_Cd($D308,M$257)</f>
        <v>0.63334480263129378</v>
      </c>
      <c r="N308" s="187">
        <f>_xll.BfX_Cd($D308,N$257)</f>
        <v>0.55750608429882753</v>
      </c>
      <c r="O308" s="181">
        <f>_xll.BfX_Cd($D308,O$257)</f>
        <v>0.20019993792007032</v>
      </c>
    </row>
    <row r="309" spans="4:15" x14ac:dyDescent="0.3">
      <c r="D309" s="185">
        <v>475</v>
      </c>
      <c r="E309" s="187">
        <f>_xll.BfX_Cd(D309,E$257)</f>
        <v>0.73442677259597822</v>
      </c>
      <c r="F309" s="187">
        <f>_xll.BfX_Cd($D309,F$257)</f>
        <v>0.66226291695956963</v>
      </c>
      <c r="G309" s="187">
        <f>_xll.BfX_Cd($D309,G$257)</f>
        <v>0.37589526881759744</v>
      </c>
      <c r="H309" s="187">
        <f>_xll.BfX_Cd($D309,H$257)</f>
        <v>0.43970876914526863</v>
      </c>
      <c r="I309" s="187">
        <f>_xll.BfX_Cd($D309,I$257)</f>
        <v>0.42658644763317655</v>
      </c>
      <c r="J309" s="187">
        <f>_xll.BfX_Cd($D309,J$257)</f>
        <v>0.35879056772986967</v>
      </c>
      <c r="K309" s="187">
        <f>_xll.BfX_Cd($D309,K$257)</f>
        <v>0.40701568437878288</v>
      </c>
      <c r="L309" s="187">
        <f>_xll.BfX_Cd($D309,L$257)</f>
        <v>1.0044108905031406</v>
      </c>
      <c r="M309" s="187">
        <f>_xll.BfX_Cd($D309,M$257)</f>
        <v>0.63334480263129378</v>
      </c>
      <c r="N309" s="187">
        <f>_xll.BfX_Cd($D309,N$257)</f>
        <v>0.55592335294248452</v>
      </c>
      <c r="O309" s="181">
        <f>_xll.BfX_Cd($D309,O$257)</f>
        <v>0.20019993792007032</v>
      </c>
    </row>
    <row r="310" spans="4:15" x14ac:dyDescent="0.3">
      <c r="D310" s="185">
        <v>480</v>
      </c>
      <c r="E310" s="187">
        <f>_xll.BfX_Cd(D310,E$257)</f>
        <v>0.73059161963271912</v>
      </c>
      <c r="F310" s="187">
        <f>_xll.BfX_Cd($D310,F$257)</f>
        <v>0.66201669191104984</v>
      </c>
      <c r="G310" s="187">
        <f>_xll.BfX_Cd($D310,G$257)</f>
        <v>0.3732346832751105</v>
      </c>
      <c r="H310" s="187">
        <f>_xll.BfX_Cd($D310,H$257)</f>
        <v>0.43955831882046498</v>
      </c>
      <c r="I310" s="187">
        <f>_xll.BfX_Cd($D310,I$257)</f>
        <v>0.42482817326669492</v>
      </c>
      <c r="J310" s="187">
        <f>_xll.BfX_Cd($D310,J$257)</f>
        <v>0.35650207763505859</v>
      </c>
      <c r="K310" s="187">
        <f>_xll.BfX_Cd($D310,K$257)</f>
        <v>0.40514971093000052</v>
      </c>
      <c r="L310" s="187">
        <f>_xll.BfX_Cd($D310,L$257)</f>
        <v>1.0026939282824356</v>
      </c>
      <c r="M310" s="187">
        <f>_xll.BfX_Cd($D310,M$257)</f>
        <v>0.63334480263129378</v>
      </c>
      <c r="N310" s="187">
        <f>_xll.BfX_Cd($D310,N$257)</f>
        <v>0.55526888351322778</v>
      </c>
      <c r="O310" s="181">
        <f>_xll.BfX_Cd($D310,O$257)</f>
        <v>0.20019993792007032</v>
      </c>
    </row>
    <row r="311" spans="4:15" x14ac:dyDescent="0.3">
      <c r="D311" s="185">
        <v>485</v>
      </c>
      <c r="E311" s="187">
        <f>_xll.BfX_Cd(D311,E$257)</f>
        <v>0.72681592707220743</v>
      </c>
      <c r="F311" s="187">
        <f>_xll.BfX_Cd($D311,F$257)</f>
        <v>0.66177310859024485</v>
      </c>
      <c r="G311" s="187">
        <f>_xll.BfX_Cd($D311,G$257)</f>
        <v>0.37062020942006541</v>
      </c>
      <c r="H311" s="187">
        <f>_xll.BfX_Cd($D311,H$257)</f>
        <v>0.43940947827500626</v>
      </c>
      <c r="I311" s="187">
        <f>_xll.BfX_Cd($D311,I$257)</f>
        <v>0.42309525465990583</v>
      </c>
      <c r="J311" s="187">
        <f>_xll.BfX_Cd($D311,J$257)</f>
        <v>0.35425167387386075</v>
      </c>
      <c r="K311" s="187">
        <f>_xll.BfX_Cd($D311,K$257)</f>
        <v>0.403311496560255</v>
      </c>
      <c r="L311" s="187">
        <f>_xll.BfX_Cd($D311,L$257)</f>
        <v>1.0035335877422622</v>
      </c>
      <c r="M311" s="187">
        <f>_xll.BfX_Cd($D311,M$257)</f>
        <v>0.63334480263129378</v>
      </c>
      <c r="N311" s="187">
        <f>_xll.BfX_Cd($D311,N$257)</f>
        <v>0.55457290959024308</v>
      </c>
      <c r="O311" s="181">
        <f>_xll.BfX_Cd($D311,O$257)</f>
        <v>0.20019993792007032</v>
      </c>
    </row>
    <row r="312" spans="4:15" x14ac:dyDescent="0.3">
      <c r="D312" s="185">
        <v>490</v>
      </c>
      <c r="E312" s="187">
        <f>_xll.BfX_Cd(D312,E$257)</f>
        <v>0.72309817416451727</v>
      </c>
      <c r="F312" s="187">
        <f>_xll.BfX_Cd($D312,F$257)</f>
        <v>0.66153211185428074</v>
      </c>
      <c r="G312" s="187">
        <f>_xll.BfX_Cd($D312,G$257)</f>
        <v>0.36805058493246084</v>
      </c>
      <c r="H312" s="187">
        <f>_xll.BfX_Cd($D312,H$257)</f>
        <v>0.43926221395294024</v>
      </c>
      <c r="I312" s="187">
        <f>_xll.BfX_Cd($D312,I$257)</f>
        <v>0.4213870703639514</v>
      </c>
      <c r="J312" s="187">
        <f>_xll.BfX_Cd($D312,J$257)</f>
        <v>0.35203833965728715</v>
      </c>
      <c r="K312" s="187">
        <f>_xll.BfX_Cd($D312,K$257)</f>
        <v>0.40150034846263344</v>
      </c>
      <c r="L312" s="187">
        <f>_xll.BfX_Cd($D312,L$257)</f>
        <v>1.0043653275096054</v>
      </c>
      <c r="M312" s="187">
        <f>_xll.BfX_Cd($D312,M$257)</f>
        <v>0.63334480263129378</v>
      </c>
      <c r="N312" s="187">
        <f>_xll.BfX_Cd($D312,N$257)</f>
        <v>0.55388493294954833</v>
      </c>
      <c r="O312" s="181">
        <f>_xll.BfX_Cd($D312,O$257)</f>
        <v>0.20019993792007032</v>
      </c>
    </row>
    <row r="313" spans="4:15" x14ac:dyDescent="0.3">
      <c r="D313" s="185">
        <v>495</v>
      </c>
      <c r="E313" s="187">
        <f>_xll.BfX_Cd(D313,E$257)</f>
        <v>0.7194368940607756</v>
      </c>
      <c r="F313" s="187">
        <f>_xll.BfX_Cd($D313,F$257)</f>
        <v>0.6605223970404509</v>
      </c>
      <c r="G313" s="187">
        <f>_xll.BfX_Cd($D313,G$257)</f>
        <v>0.36552459447073893</v>
      </c>
      <c r="H313" s="187">
        <f>_xll.BfX_Cd($D313,H$257)</f>
        <v>0.43911649333132052</v>
      </c>
      <c r="I313" s="187">
        <f>_xll.BfX_Cd($D313,I$257)</f>
        <v>0.41970302030359258</v>
      </c>
      <c r="J313" s="187">
        <f>_xll.BfX_Cd($D313,J$257)</f>
        <v>0.34986109535783722</v>
      </c>
      <c r="K313" s="187">
        <f>_xll.BfX_Cd($D313,K$257)</f>
        <v>0.39971559796421258</v>
      </c>
      <c r="L313" s="187">
        <f>_xll.BfX_Cd($D313,L$257)</f>
        <v>1.005189301963388</v>
      </c>
      <c r="M313" s="187">
        <f>_xll.BfX_Cd($D313,M$257)</f>
        <v>0.63334480263129378</v>
      </c>
      <c r="N313" s="187">
        <f>_xll.BfX_Cd($D313,N$257)</f>
        <v>0.55320478148507923</v>
      </c>
      <c r="O313" s="181">
        <f>_xll.BfX_Cd($D313,O$257)</f>
        <v>0.20019993792007032</v>
      </c>
    </row>
    <row r="314" spans="4:15" x14ac:dyDescent="0.3">
      <c r="D314" s="185">
        <v>500</v>
      </c>
      <c r="E314" s="187">
        <f>_xll.BfX_Cd(D314,E$257)</f>
        <v>0.71583067138147793</v>
      </c>
      <c r="F314" s="187">
        <f>_xll.BfX_Cd($D314,F$257)</f>
        <v>0.65933067413406277</v>
      </c>
      <c r="G314" s="187">
        <f>_xll.BfX_Cd($D314,G$257)</f>
        <v>0.36304106747039638</v>
      </c>
      <c r="H314" s="187">
        <f>_xll.BfX_Cd($D314,H$257)</f>
        <v>0.43897228487834511</v>
      </c>
      <c r="I314" s="187">
        <f>_xll.BfX_Cd($D314,I$257)</f>
        <v>0.41804252483508009</v>
      </c>
      <c r="J314" s="187">
        <f>_xll.BfX_Cd($D314,J$257)</f>
        <v>0.34771899679258356</v>
      </c>
      <c r="K314" s="187">
        <f>_xll.BfX_Cd($D314,K$257)</f>
        <v>0.39789645703186816</v>
      </c>
      <c r="L314" s="187">
        <f>_xll.BfX_Cd($D314,L$257)</f>
        <v>1.006005660951214</v>
      </c>
      <c r="M314" s="187">
        <f>_xll.BfX_Cd($D314,M$257)</f>
        <v>0.63334480263129378</v>
      </c>
      <c r="N314" s="187">
        <f>_xll.BfX_Cd($D314,N$257)</f>
        <v>0.55253228848612779</v>
      </c>
      <c r="O314" s="181">
        <f>_xll.BfX_Cd($D314,O$257)</f>
        <v>0.20019993792007032</v>
      </c>
    </row>
    <row r="315" spans="4:15" x14ac:dyDescent="0.3">
      <c r="D315" s="185">
        <v>600</v>
      </c>
      <c r="E315" s="187">
        <f>_xll.BfX_Cd(D315,E$257)</f>
        <v>0.65346101011617208</v>
      </c>
      <c r="F315" s="187">
        <f>_xll.BfX_Cd($D315,F$257)</f>
        <v>0.62539737606392864</v>
      </c>
      <c r="G315" s="187">
        <f>_xll.BfX_Cd($D315,G$257)</f>
        <v>0.32080673059471593</v>
      </c>
      <c r="H315" s="187">
        <f>_xll.BfX_Cd($D315,H$257)</f>
        <v>0.41766589975486867</v>
      </c>
      <c r="I315" s="187">
        <f>_xll.BfX_Cd($D315,I$257)</f>
        <v>0.38479123454506642</v>
      </c>
      <c r="J315" s="187">
        <f>_xll.BfX_Cd($D315,J$257)</f>
        <v>0.31579775773707247</v>
      </c>
      <c r="K315" s="187">
        <f>_xll.BfX_Cd($D315,K$257)</f>
        <v>0.35546625798724274</v>
      </c>
      <c r="L315" s="187">
        <f>_xll.BfX_Cd($D315,L$257)</f>
        <v>1.0064567107604461</v>
      </c>
      <c r="M315" s="187">
        <f>_xll.BfX_Cd($D315,M$257)</f>
        <v>0.6171062560576982</v>
      </c>
      <c r="N315" s="187">
        <f>_xll.BfX_Cd($D315,N$257)</f>
        <v>0.54047364939812426</v>
      </c>
      <c r="O315" s="181">
        <f>_xll.BfX_Cd($D315,O$257)</f>
        <v>0.20019993792007032</v>
      </c>
    </row>
    <row r="316" spans="4:15" x14ac:dyDescent="0.3">
      <c r="D316" s="185">
        <v>700</v>
      </c>
      <c r="E316" s="187">
        <f>_xll.BfX_Cd(D316,E$257)</f>
        <v>0.60498733758322654</v>
      </c>
      <c r="F316" s="187">
        <f>_xll.BfX_Cd($D316,F$257)</f>
        <v>0.5862293497205453</v>
      </c>
      <c r="G316" s="187">
        <f>_xll.BfX_Cd($D316,G$257)</f>
        <v>0.28895511196545398</v>
      </c>
      <c r="H316" s="187">
        <f>_xll.BfX_Cd($D316,H$257)</f>
        <v>0.37865597607661727</v>
      </c>
      <c r="I316" s="187">
        <f>_xll.BfX_Cd($D316,I$257)</f>
        <v>0.34367532760280661</v>
      </c>
      <c r="J316" s="187">
        <f>_xll.BfX_Cd($D316,J$257)</f>
        <v>0.29468998890901571</v>
      </c>
      <c r="K316" s="187">
        <f>_xll.BfX_Cd($D316,K$257)</f>
        <v>0.32314200006444449</v>
      </c>
      <c r="L316" s="187">
        <f>_xll.BfX_Cd($D316,L$257)</f>
        <v>0.9992407964832547</v>
      </c>
      <c r="M316" s="187">
        <f>_xll.BfX_Cd($D316,M$257)</f>
        <v>0.58921787340181175</v>
      </c>
      <c r="N316" s="187">
        <f>_xll.BfX_Cd($D316,N$257)</f>
        <v>0.53048376583388024</v>
      </c>
      <c r="O316" s="181">
        <f>_xll.BfX_Cd($D316,O$257)</f>
        <v>0.20019993792007032</v>
      </c>
    </row>
    <row r="317" spans="4:15" x14ac:dyDescent="0.3">
      <c r="D317" s="185">
        <v>800</v>
      </c>
      <c r="E317" s="187">
        <f>_xll.BfX_Cd(D317,E$257)</f>
        <v>0.565913835143245</v>
      </c>
      <c r="F317" s="187">
        <f>_xll.BfX_Cd($D317,F$257)</f>
        <v>0.55281324680344901</v>
      </c>
      <c r="G317" s="187">
        <f>_xll.BfX_Cd($D317,G$257)</f>
        <v>0.26585474569391015</v>
      </c>
      <c r="H317" s="187">
        <f>_xll.BfX_Cd($D317,H$257)</f>
        <v>0.34782172170710612</v>
      </c>
      <c r="I317" s="187">
        <f>_xll.BfX_Cd($D317,I$257)</f>
        <v>0.30559377177415753</v>
      </c>
      <c r="J317" s="187">
        <f>_xll.BfX_Cd($D317,J$257)</f>
        <v>0.27754945615032461</v>
      </c>
      <c r="K317" s="187">
        <f>_xll.BfX_Cd($D317,K$257)</f>
        <v>0.29353097875840661</v>
      </c>
      <c r="L317" s="187">
        <f>_xll.BfX_Cd($D317,L$257)</f>
        <v>0.98600040801037603</v>
      </c>
      <c r="M317" s="187">
        <f>_xll.BfX_Cd($D317,M$257)</f>
        <v>0.56608037822427282</v>
      </c>
      <c r="N317" s="187">
        <f>_xll.BfX_Cd($D317,N$257)</f>
        <v>0.52197951122908759</v>
      </c>
      <c r="O317" s="181">
        <f>_xll.BfX_Cd($D317,O$257)</f>
        <v>0.20019993792007032</v>
      </c>
    </row>
    <row r="318" spans="4:15" x14ac:dyDescent="0.3">
      <c r="D318" s="185">
        <v>900</v>
      </c>
      <c r="E318" s="187">
        <f>_xll.BfX_Cd(D318,E$257)</f>
        <v>0.53354868052943261</v>
      </c>
      <c r="F318" s="187">
        <f>_xll.BfX_Cd($D318,F$257)</f>
        <v>0.52992939597791011</v>
      </c>
      <c r="G318" s="187">
        <f>_xll.BfX_Cd($D318,G$257)</f>
        <v>0.24808544505541563</v>
      </c>
      <c r="H318" s="187">
        <f>_xll.BfX_Cd($D318,H$257)</f>
        <v>0.32391909880404213</v>
      </c>
      <c r="I318" s="187">
        <f>_xll.BfX_Cd($D318,I$257)</f>
        <v>0.27225226377018852</v>
      </c>
      <c r="J318" s="187">
        <f>_xll.BfX_Cd($D318,J$257)</f>
        <v>0.2615721166616205</v>
      </c>
      <c r="K318" s="187">
        <f>_xll.BfX_Cd($D318,K$257)</f>
        <v>0.26775055989293783</v>
      </c>
      <c r="L318" s="187">
        <f>_xll.BfX_Cd($D318,L$257)</f>
        <v>0.97446725841770043</v>
      </c>
      <c r="M318" s="187">
        <f>_xll.BfX_Cd($D318,M$257)</f>
        <v>0.53685804593432196</v>
      </c>
      <c r="N318" s="187">
        <f>_xll.BfX_Cd($D318,N$257)</f>
        <v>0.51600986556056294</v>
      </c>
      <c r="O318" s="181">
        <f>_xll.BfX_Cd($D318,O$257)</f>
        <v>0.20019993792007032</v>
      </c>
    </row>
    <row r="319" spans="4:15" x14ac:dyDescent="0.3">
      <c r="D319" s="185">
        <v>1000</v>
      </c>
      <c r="E319" s="187">
        <f>_xll.BfX_Cd(D319,E$257)</f>
        <v>0.50616872191516205</v>
      </c>
      <c r="F319" s="187">
        <f>_xll.BfX_Cd($D319,F$257)</f>
        <v>0.51465796594671998</v>
      </c>
      <c r="G319" s="187">
        <f>_xll.BfX_Cd($D319,G$257)</f>
        <v>0.23319905606887845</v>
      </c>
      <c r="H319" s="187">
        <f>_xll.BfX_Cd($D319,H$257)</f>
        <v>0.30414612756391862</v>
      </c>
      <c r="I319" s="187">
        <f>_xll.BfX_Cd($D319,I$257)</f>
        <v>0.24552189219215478</v>
      </c>
      <c r="J319" s="187">
        <f>_xll.BfX_Cd($D319,J$257)</f>
        <v>0.24680207978000185</v>
      </c>
      <c r="K319" s="187">
        <f>_xll.BfX_Cd($D319,K$257)</f>
        <v>0.24661389969032291</v>
      </c>
      <c r="L319" s="187">
        <f>_xll.BfX_Cd($D319,L$257)</f>
        <v>0.96426486204919826</v>
      </c>
      <c r="M319" s="187">
        <f>_xll.BfX_Cd($D319,M$257)</f>
        <v>0.51199839026768101</v>
      </c>
      <c r="N319" s="187">
        <f>_xll.BfX_Cd($D319,N$257)</f>
        <v>0.51039140280498296</v>
      </c>
      <c r="O319" s="181">
        <f>_xll.BfX_Cd($D319,O$257)</f>
        <v>0.20019993792007032</v>
      </c>
    </row>
    <row r="320" spans="4:15" x14ac:dyDescent="0.3">
      <c r="D320" s="185">
        <v>1100</v>
      </c>
      <c r="E320" s="187">
        <f>_xll.BfX_Cd(D320,E$257)</f>
        <v>0.48261294019236267</v>
      </c>
      <c r="F320" s="187">
        <f>_xll.BfX_Cd($D320,F$257)</f>
        <v>0.50808830445283226</v>
      </c>
      <c r="G320" s="187">
        <f>_xll.BfX_Cd($D320,G$257)</f>
        <v>0.22050368329531977</v>
      </c>
      <c r="H320" s="187">
        <f>_xll.BfX_Cd($D320,H$257)</f>
        <v>0.2873011401340626</v>
      </c>
      <c r="I320" s="187">
        <f>_xll.BfX_Cd($D320,I$257)</f>
        <v>0.22360945791485995</v>
      </c>
      <c r="J320" s="187">
        <f>_xll.BfX_Cd($D320,J$257)</f>
        <v>0.22899494821574845</v>
      </c>
      <c r="K320" s="187">
        <f>_xll.BfX_Cd($D320,K$257)</f>
        <v>0.22893456065498446</v>
      </c>
      <c r="L320" s="187">
        <f>_xll.BfX_Cd($D320,L$257)</f>
        <v>0.95067355253058305</v>
      </c>
      <c r="M320" s="187">
        <f>_xll.BfX_Cd($D320,M$257)</f>
        <v>0.49050324766460124</v>
      </c>
      <c r="N320" s="187">
        <f>_xll.BfX_Cd($D320,N$257)</f>
        <v>0.50487300632447563</v>
      </c>
      <c r="O320" s="181">
        <f>_xll.BfX_Cd($D320,O$257)</f>
        <v>0.20019993792007032</v>
      </c>
    </row>
    <row r="321" spans="3:15" x14ac:dyDescent="0.3">
      <c r="D321" s="185">
        <v>1200</v>
      </c>
      <c r="E321" s="187">
        <f>_xll.BfX_Cd(D321,E$257)</f>
        <v>0.4620667114941564</v>
      </c>
      <c r="F321" s="187">
        <f>_xll.BfX_Cd($D321,F$257)</f>
        <v>0.50294406508222489</v>
      </c>
      <c r="G321" s="187">
        <f>_xll.BfX_Cd($D321,G$257)</f>
        <v>0.20927867052586444</v>
      </c>
      <c r="H321" s="187">
        <f>_xll.BfX_Cd($D321,H$257)</f>
        <v>0.27273883899578999</v>
      </c>
      <c r="I321" s="187">
        <f>_xll.BfX_Cd($D321,I$257)</f>
        <v>0.20795043406443514</v>
      </c>
      <c r="J321" s="187">
        <f>_xll.BfX_Cd($D321,J$257)</f>
        <v>0.2137662268612065</v>
      </c>
      <c r="K321" s="187">
        <f>_xll.BfX_Cd($D321,K$257)</f>
        <v>0.21390361224512205</v>
      </c>
      <c r="L321" s="187">
        <f>_xll.BfX_Cd($D321,L$257)</f>
        <v>0.94239143281879723</v>
      </c>
      <c r="M321" s="187">
        <f>_xll.BfX_Cd($D321,M$257)</f>
        <v>0.47166867552739961</v>
      </c>
      <c r="N321" s="187">
        <f>_xll.BfX_Cd($D321,N$257)</f>
        <v>0.50159777829950714</v>
      </c>
      <c r="O321" s="181">
        <f>_xll.BfX_Cd($D321,O$257)</f>
        <v>0.20019993792007032</v>
      </c>
    </row>
    <row r="322" spans="3:15" x14ac:dyDescent="0.3">
      <c r="D322" s="185">
        <v>1300</v>
      </c>
      <c r="E322" s="187">
        <f>_xll.BfX_Cd(D322,E$257)</f>
        <v>0.44393933667808255</v>
      </c>
      <c r="F322" s="187">
        <f>_xll.BfX_Cd($D322,F$257)</f>
        <v>0.5018235455433675</v>
      </c>
      <c r="G322" s="187">
        <f>_xll.BfX_Cd($D322,G$257)</f>
        <v>0.19794004550795319</v>
      </c>
      <c r="H322" s="187">
        <f>_xll.BfX_Cd($D322,H$257)</f>
        <v>0.26135874145204191</v>
      </c>
      <c r="I322" s="187">
        <f>_xll.BfX_Cd($D322,I$257)</f>
        <v>0.19467310734663693</v>
      </c>
      <c r="J322" s="187">
        <f>_xll.BfX_Cd($D322,J$257)</f>
        <v>0.20065310826267635</v>
      </c>
      <c r="K322" s="187">
        <f>_xll.BfX_Cd($D322,K$257)</f>
        <v>0.20094951699682606</v>
      </c>
      <c r="L322" s="187">
        <f>_xll.BfX_Cd($D322,L$257)</f>
        <v>0.93483635207069993</v>
      </c>
      <c r="M322" s="187">
        <f>_xll.BfX_Cd($D322,M$257)</f>
        <v>0.45498186545588387</v>
      </c>
      <c r="N322" s="187">
        <f>_xll.BfX_Cd($D322,N$257)</f>
        <v>0.49860362664024305</v>
      </c>
      <c r="O322" s="181">
        <f>_xll.BfX_Cd($D322,O$257)</f>
        <v>0.20019993792007032</v>
      </c>
    </row>
    <row r="323" spans="3:15" x14ac:dyDescent="0.3">
      <c r="D323" s="185">
        <v>1400</v>
      </c>
      <c r="E323" s="187">
        <f>_xll.BfX_Cd(D323,E$257)</f>
        <v>0.42779064893709456</v>
      </c>
      <c r="F323" s="187">
        <f>_xll.BfX_Cd($D323,F$257)</f>
        <v>0.50078833225942798</v>
      </c>
      <c r="G323" s="187">
        <f>_xll.BfX_Cd($D323,G$257)</f>
        <v>0.18799055001568957</v>
      </c>
      <c r="H323" s="187">
        <f>_xll.BfX_Cd($D323,H$257)</f>
        <v>0.25165385157974129</v>
      </c>
      <c r="I323" s="187">
        <f>_xll.BfX_Cd($D323,I$257)</f>
        <v>0.18313722154781245</v>
      </c>
      <c r="J323" s="187">
        <f>_xll.BfX_Cd($D323,J$257)</f>
        <v>0.18923051193855789</v>
      </c>
      <c r="K323" s="187">
        <f>_xll.BfX_Cd($D323,K$257)</f>
        <v>0.19166751190532938</v>
      </c>
      <c r="L323" s="187">
        <f>_xll.BfX_Cd($D323,L$257)</f>
        <v>0.92789544932960233</v>
      </c>
      <c r="M323" s="187">
        <f>_xll.BfX_Cd($D323,M$257)</f>
        <v>0.44005907292419338</v>
      </c>
      <c r="N323" s="187">
        <f>_xll.BfX_Cd($D323,N$257)</f>
        <v>0.49584741169616114</v>
      </c>
      <c r="O323" s="181">
        <f>_xll.BfX_Cd($D323,O$257)</f>
        <v>0.20019993792007032</v>
      </c>
    </row>
    <row r="324" spans="3:15" x14ac:dyDescent="0.3">
      <c r="D324" s="185">
        <v>1500</v>
      </c>
      <c r="E324" s="187">
        <f>_xll.BfX_Cd(D324,E$257)</f>
        <v>0.41328503081628681</v>
      </c>
      <c r="F324" s="187">
        <f>_xll.BfX_Cd($D324,F$257)</f>
        <v>0.49982649137157825</v>
      </c>
      <c r="G324" s="187">
        <f>_xll.BfX_Cd($D324,G$257)</f>
        <v>0.17917784451691482</v>
      </c>
      <c r="H324" s="187">
        <f>_xll.BfX_Cd($D324,H$257)</f>
        <v>0.24294300955075562</v>
      </c>
      <c r="I324" s="187">
        <f>_xll.BfX_Cd($D324,I$257)</f>
        <v>0.173012864385472</v>
      </c>
      <c r="J324" s="187">
        <f>_xll.BfX_Cd($D324,J$257)</f>
        <v>0.17918158752758317</v>
      </c>
      <c r="K324" s="187">
        <f>_xll.BfX_Cd($D324,K$257)</f>
        <v>0.18400162231966713</v>
      </c>
      <c r="L324" s="187">
        <f>_xll.BfX_Cd($D324,L$257)</f>
        <v>0.92147995292811191</v>
      </c>
      <c r="M324" s="187">
        <f>_xll.BfX_Cd($D324,M$257)</f>
        <v>0.42660655959716293</v>
      </c>
      <c r="N324" s="187">
        <f>_xll.BfX_Cd($D324,N$257)</f>
        <v>0.49329513356643523</v>
      </c>
      <c r="O324" s="181">
        <f>_xll.BfX_Cd($D324,O$257)</f>
        <v>0.20019993792007032</v>
      </c>
    </row>
    <row r="325" spans="3:15" x14ac:dyDescent="0.3">
      <c r="D325" s="185">
        <v>1600</v>
      </c>
      <c r="E325" s="187">
        <f>_xll.BfX_Cd(D325,E$257)</f>
        <v>0.40016151039707448</v>
      </c>
      <c r="F325" s="187">
        <f>_xll.BfX_Cd($D325,F$257)</f>
        <v>0.4989284216863118</v>
      </c>
      <c r="G325" s="187">
        <f>_xll.BfX_Cd($D325,G$257)</f>
        <v>0.17130846950320963</v>
      </c>
      <c r="H325" s="187">
        <f>_xll.BfX_Cd($D325,H$257)</f>
        <v>0.23506771470412602</v>
      </c>
      <c r="I325" s="187">
        <f>_xll.BfX_Cd($D325,I$257)</f>
        <v>0.16404943919067247</v>
      </c>
      <c r="J325" s="187">
        <f>_xll.BfX_Cd($D325,J$257)</f>
        <v>0.17026507866377874</v>
      </c>
      <c r="K325" s="187">
        <f>_xll.BfX_Cd($D325,K$257)</f>
        <v>0.17710845257587468</v>
      </c>
      <c r="L325" s="187">
        <f>_xll.BfX_Cd($D325,L$257)</f>
        <v>0.91551881650835476</v>
      </c>
      <c r="M325" s="187">
        <f>_xll.BfX_Cd($D325,M$257)</f>
        <v>0.41439509225682358</v>
      </c>
      <c r="N325" s="187">
        <f>_xll.BfX_Cd($D325,N$257)</f>
        <v>0.49091953060722004</v>
      </c>
      <c r="O325" s="181">
        <f>_xll.BfX_Cd($D325,O$257)</f>
        <v>0.20019993792007032</v>
      </c>
    </row>
    <row r="326" spans="3:15" x14ac:dyDescent="0.3">
      <c r="D326" s="185">
        <v>1700</v>
      </c>
      <c r="E326" s="187">
        <f>_xll.BfX_Cd(D326,E$257)</f>
        <v>0.38821368815855006</v>
      </c>
      <c r="F326" s="187">
        <f>_xll.BfX_Cd($D326,F$257)</f>
        <v>0.49808628474390532</v>
      </c>
      <c r="G326" s="187">
        <f>_xll.BfX_Cd($D326,G$257)</f>
        <v>0.16423142448873618</v>
      </c>
      <c r="H326" s="187">
        <f>_xll.BfX_Cd($D326,H$257)</f>
        <v>0.22790270016391792</v>
      </c>
      <c r="I326" s="187">
        <f>_xll.BfX_Cd($D326,I$257)</f>
        <v>0.1560530317330239</v>
      </c>
      <c r="J326" s="187">
        <f>_xll.BfX_Cd($D326,J$257)</f>
        <v>0.16229387852627256</v>
      </c>
      <c r="K326" s="187">
        <f>_xll.BfX_Cd($D326,K$257)</f>
        <v>0.17086871459191078</v>
      </c>
      <c r="L326" s="187">
        <f>_xll.BfX_Cd($D326,L$257)</f>
        <v>0.90995432026137169</v>
      </c>
      <c r="M326" s="187">
        <f>_xll.BfX_Cd($D326,M$257)</f>
        <v>0.40324276214797933</v>
      </c>
      <c r="N326" s="187">
        <f>_xll.BfX_Cd($D326,N$257)</f>
        <v>0.48869841639435424</v>
      </c>
      <c r="O326" s="181">
        <f>_xll.BfX_Cd($D326,O$257)</f>
        <v>0.20019993792007032</v>
      </c>
    </row>
    <row r="327" spans="3:15" x14ac:dyDescent="0.3">
      <c r="D327" s="185">
        <v>1800</v>
      </c>
      <c r="E327" s="187">
        <f>_xll.BfX_Cd(D327,E$257)</f>
        <v>0.37727589009549667</v>
      </c>
      <c r="F327" s="187">
        <f>_xll.BfX_Cd($D327,F$257)</f>
        <v>0.49729359880996726</v>
      </c>
      <c r="G327" s="187">
        <f>_xll.BfX_Cd($D327,G$257)</f>
        <v>0.1578269908929304</v>
      </c>
      <c r="H327" s="187">
        <f>_xll.BfX_Cd($D327,H$257)</f>
        <v>0.22134748309384308</v>
      </c>
      <c r="I327" s="187">
        <f>_xll.BfX_Cd($D327,I$257)</f>
        <v>0.14887113918658137</v>
      </c>
      <c r="J327" s="187">
        <f>_xll.BfX_Cd($D327,J$257)</f>
        <v>0.1551205278266487</v>
      </c>
      <c r="K327" s="187">
        <f>_xll.BfX_Cd($D327,K$257)</f>
        <v>0.16518720876012466</v>
      </c>
      <c r="L327" s="187">
        <f>_xll.BfX_Cd($D327,L$257)</f>
        <v>0.90473895280977312</v>
      </c>
      <c r="M327" s="187">
        <f>_xll.BfX_Cd($D327,M$257)</f>
        <v>0.3930030929028801</v>
      </c>
      <c r="N327" s="187">
        <f>_xll.BfX_Cd($D327,N$257)</f>
        <v>0.48661349878777627</v>
      </c>
      <c r="O327" s="181">
        <f>_xll.BfX_Cd($D327,O$257)</f>
        <v>0.20019993792007032</v>
      </c>
    </row>
    <row r="328" spans="3:15" x14ac:dyDescent="0.3">
      <c r="D328" s="185">
        <v>1900</v>
      </c>
      <c r="E328" s="187">
        <f>_xll.BfX_Cd(D328,E$257)</f>
        <v>0.36721338629798911</v>
      </c>
      <c r="F328" s="187">
        <f>_xll.BfX_Cd($D328,F$257)</f>
        <v>0.49654494331143834</v>
      </c>
      <c r="G328" s="187">
        <f>_xll.BfX_Cd($D328,G$257)</f>
        <v>0.15199893460484271</v>
      </c>
      <c r="H328" s="187">
        <f>_xll.BfX_Cd($D328,H$257)</f>
        <v>0.21532039984070114</v>
      </c>
      <c r="I328" s="187">
        <f>_xll.BfX_Cd($D328,I$257)</f>
        <v>0.1423821036159057</v>
      </c>
      <c r="J328" s="187">
        <f>_xll.BfX_Cd($D328,J$257)</f>
        <v>0.14862715899349774</v>
      </c>
      <c r="K328" s="187">
        <f>_xll.BfX_Cd($D328,K$257)</f>
        <v>0.15998693574559456</v>
      </c>
      <c r="L328" s="187">
        <f>_xll.BfX_Cd($D328,L$257)</f>
        <v>0.89983315178054579</v>
      </c>
      <c r="M328" s="187">
        <f>_xll.BfX_Cd($D328,M$257)</f>
        <v>0.38355661316598877</v>
      </c>
      <c r="N328" s="187">
        <f>_xll.BfX_Cd($D328,N$257)</f>
        <v>0.48464952280550583</v>
      </c>
      <c r="O328" s="181">
        <f>_xll.BfX_Cd($D328,O$257)</f>
        <v>0.20019993792007032</v>
      </c>
    </row>
    <row r="329" spans="3:15" ht="16.5" thickBot="1" x14ac:dyDescent="0.35">
      <c r="D329" s="186">
        <v>2000</v>
      </c>
      <c r="E329" s="188">
        <f>_xll.BfX_Cd(D329,E$257)</f>
        <v>0.35791533569073897</v>
      </c>
      <c r="F329" s="188">
        <f>_xll.BfX_Cd($D329,F$257)</f>
        <v>0.49583573953946236</v>
      </c>
      <c r="G329" s="188">
        <f>_xll.BfX_Cd($D329,G$257)</f>
        <v>0.14666894737026356</v>
      </c>
      <c r="H329" s="182">
        <f>_xll.BfX_Cd($D329,H$257)</f>
        <v>0.20975430626061409</v>
      </c>
      <c r="I329" s="188">
        <f>_xll.BfX_Cd($D329,I$257)</f>
        <v>0.13648763707996853</v>
      </c>
      <c r="J329" s="188">
        <f>_xll.BfX_Cd($D329,J$257)</f>
        <v>0.14271836830096221</v>
      </c>
      <c r="K329" s="188">
        <f>_xll.BfX_Cd($D329,K$257)</f>
        <v>0.15520487261440849</v>
      </c>
      <c r="L329" s="188">
        <f>_xll.BfX_Cd($D329,L$257)</f>
        <v>0.89520363466964248</v>
      </c>
      <c r="M329" s="188">
        <f>_xll.BfX_Cd($D329,M$257)</f>
        <v>0.37480475976904881</v>
      </c>
      <c r="N329" s="188">
        <f>_xll.BfX_Cd($D329,N$257)</f>
        <v>0.48279363645159556</v>
      </c>
      <c r="O329" s="183">
        <f>_xll.BfX_Cd($D329,O$257)</f>
        <v>0.20019993792007032</v>
      </c>
    </row>
    <row r="330" spans="3:15" x14ac:dyDescent="0.3">
      <c r="C330" s="105"/>
      <c r="D330" s="105"/>
      <c r="E330" s="105"/>
      <c r="F330" s="105"/>
      <c r="G330" s="105"/>
      <c r="H330" s="105"/>
      <c r="I330" s="105"/>
      <c r="J330" s="105"/>
      <c r="K330" s="105"/>
      <c r="L330" s="105"/>
      <c r="M330" s="105"/>
    </row>
    <row r="331" spans="3:15" x14ac:dyDescent="0.3">
      <c r="C331" s="105"/>
      <c r="D331" s="105"/>
      <c r="E331" s="105"/>
      <c r="F331" s="105"/>
      <c r="G331" s="105"/>
      <c r="H331" s="105"/>
      <c r="I331" s="105"/>
      <c r="J331" s="105"/>
      <c r="K331" s="105"/>
      <c r="L331" s="105"/>
      <c r="M331" s="105"/>
    </row>
    <row r="332" spans="3:15" x14ac:dyDescent="0.3">
      <c r="C332" s="105"/>
      <c r="D332" s="105"/>
      <c r="E332" s="105"/>
      <c r="F332" s="105"/>
      <c r="G332" s="105"/>
      <c r="H332" s="105"/>
      <c r="I332" s="105"/>
      <c r="J332" s="105"/>
      <c r="K332" s="105"/>
      <c r="L332" s="105"/>
      <c r="M332" s="105"/>
    </row>
    <row r="333" spans="3:15" x14ac:dyDescent="0.3">
      <c r="C333" s="105"/>
      <c r="D333" s="105"/>
      <c r="E333" s="105"/>
      <c r="F333" s="105"/>
      <c r="G333" s="105"/>
      <c r="H333" s="105"/>
      <c r="I333" s="105"/>
      <c r="J333" s="105"/>
      <c r="K333" s="105"/>
      <c r="L333" s="105"/>
      <c r="M333" s="105"/>
    </row>
    <row r="334" spans="3:15" x14ac:dyDescent="0.3">
      <c r="C334" s="105"/>
      <c r="D334" s="105"/>
      <c r="E334" s="105"/>
      <c r="F334" s="105"/>
      <c r="G334" s="105"/>
      <c r="H334" s="105"/>
      <c r="I334" s="105"/>
      <c r="J334" s="105"/>
      <c r="K334" s="105"/>
      <c r="L334" s="105"/>
      <c r="M334" s="105"/>
    </row>
    <row r="335" spans="3:15" x14ac:dyDescent="0.3">
      <c r="C335" s="105"/>
      <c r="D335" s="105"/>
      <c r="E335" s="105"/>
      <c r="F335" s="105"/>
      <c r="G335" s="105"/>
      <c r="H335" s="105"/>
      <c r="I335" s="105"/>
      <c r="J335" s="105"/>
      <c r="K335" s="105"/>
      <c r="L335" s="105"/>
      <c r="M335" s="105"/>
    </row>
    <row r="336" spans="3:15" x14ac:dyDescent="0.3">
      <c r="C336" s="105"/>
      <c r="D336" s="105"/>
      <c r="E336" s="105"/>
      <c r="F336" s="105"/>
      <c r="G336" s="105"/>
      <c r="H336" s="105"/>
      <c r="I336" s="105"/>
      <c r="J336" s="105"/>
      <c r="K336" s="105"/>
      <c r="L336" s="105"/>
      <c r="M336" s="105"/>
    </row>
    <row r="337" spans="3:13" x14ac:dyDescent="0.3">
      <c r="C337" s="105"/>
      <c r="D337" s="105"/>
      <c r="E337" s="105"/>
      <c r="F337" s="105"/>
      <c r="G337" s="105"/>
      <c r="H337" s="105"/>
      <c r="I337" s="105"/>
      <c r="J337" s="105"/>
      <c r="K337" s="105"/>
      <c r="L337" s="105"/>
      <c r="M337" s="105"/>
    </row>
    <row r="338" spans="3:13" x14ac:dyDescent="0.3">
      <c r="C338" s="105"/>
      <c r="D338" s="105"/>
      <c r="E338" s="105"/>
      <c r="F338" s="105"/>
      <c r="G338" s="105"/>
      <c r="H338" s="105"/>
      <c r="I338" s="105"/>
      <c r="J338" s="105"/>
      <c r="K338" s="105"/>
      <c r="L338" s="105"/>
      <c r="M338" s="105"/>
    </row>
    <row r="339" spans="3:13" x14ac:dyDescent="0.3">
      <c r="C339" s="105"/>
      <c r="D339" s="105"/>
      <c r="E339" s="105"/>
      <c r="F339" s="105"/>
      <c r="G339" s="105"/>
      <c r="H339" s="105"/>
      <c r="I339" s="105"/>
      <c r="J339" s="105"/>
      <c r="K339" s="105"/>
      <c r="L339" s="105"/>
      <c r="M339" s="105"/>
    </row>
    <row r="340" spans="3:13" x14ac:dyDescent="0.3">
      <c r="C340" s="105"/>
      <c r="D340" s="105"/>
      <c r="E340" s="105"/>
      <c r="F340" s="105"/>
      <c r="G340" s="105"/>
      <c r="H340" s="105"/>
      <c r="I340" s="105"/>
      <c r="J340" s="105"/>
      <c r="K340" s="105"/>
      <c r="L340" s="105"/>
      <c r="M340" s="105"/>
    </row>
    <row r="411" spans="3:7" ht="16.5" thickBot="1" x14ac:dyDescent="0.35"/>
    <row r="412" spans="3:7" ht="16.5" thickBot="1" x14ac:dyDescent="0.35">
      <c r="C412" s="198" t="str">
        <f ca="1">MID(CELL("filename",A6),FIND("]",CELL("filename",A6))+1,1256)</f>
        <v>Drag functions</v>
      </c>
      <c r="D412" s="199" t="s">
        <v>719</v>
      </c>
      <c r="E412" s="199" t="str">
        <f>_xll.BfX_CRC(D256:O329,"ov")</f>
        <v>BfX1225305616CRC</v>
      </c>
      <c r="F412" s="199"/>
      <c r="G412" s="200"/>
    </row>
    <row r="413" spans="3:7" x14ac:dyDescent="0.3">
      <c r="C413" s="198" t="s">
        <v>761</v>
      </c>
      <c r="D413" s="199"/>
      <c r="E413" s="199"/>
      <c r="F413" s="199"/>
      <c r="G413" s="200"/>
    </row>
    <row r="414" spans="3:7" x14ac:dyDescent="0.3">
      <c r="C414" s="201" t="s">
        <v>759</v>
      </c>
      <c r="D414" s="202"/>
      <c r="E414" s="202"/>
      <c r="F414" s="202"/>
      <c r="G414" s="203"/>
    </row>
    <row r="415" spans="3:7" x14ac:dyDescent="0.3">
      <c r="C415" s="201" t="s">
        <v>760</v>
      </c>
      <c r="D415" s="202"/>
      <c r="E415" s="202"/>
      <c r="F415" s="202"/>
      <c r="G415" s="203"/>
    </row>
    <row r="416" spans="3:7" ht="16.5" thickBot="1" x14ac:dyDescent="0.35">
      <c r="C416" s="204"/>
      <c r="D416" s="205"/>
      <c r="E416" s="205"/>
      <c r="F416" s="205"/>
      <c r="G416" s="206"/>
    </row>
  </sheetData>
  <mergeCells count="3">
    <mergeCell ref="C145:D145"/>
    <mergeCell ref="C203:E203"/>
    <mergeCell ref="H203:J203"/>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topLeftCell="A144" zoomScale="115" zoomScaleNormal="115" workbookViewId="0">
      <selection activeCell="C173" sqref="C173"/>
    </sheetView>
  </sheetViews>
  <sheetFormatPr defaultRowHeight="15.75" x14ac:dyDescent="0.3"/>
  <cols>
    <col min="2" max="2" width="11.33203125" bestFit="1" customWidth="1"/>
    <col min="3" max="3" width="14.109375" bestFit="1" customWidth="1"/>
    <col min="4" max="4" width="14" customWidth="1"/>
    <col min="6" max="6" width="10" bestFit="1" customWidth="1"/>
    <col min="7" max="7" width="9.6640625" customWidth="1"/>
  </cols>
  <sheetData>
    <row r="1" spans="1:12" x14ac:dyDescent="0.3">
      <c r="A1">
        <v>15</v>
      </c>
      <c r="B1" t="s">
        <v>303</v>
      </c>
    </row>
    <row r="2" spans="1:12" s="2" customFormat="1" x14ac:dyDescent="0.3">
      <c r="A2" s="2" t="s">
        <v>311</v>
      </c>
      <c r="B2" s="2" t="str">
        <f>_xll.BfX_I()</f>
        <v>interpolation g(x)= BfX_I(&lt;xi&gt;; &lt;gxi&gt;; x; accuracy=1E-5; m=I)</v>
      </c>
    </row>
    <row r="3" spans="1:12" s="2" customFormat="1" x14ac:dyDescent="0.3">
      <c r="B3" s="20"/>
    </row>
    <row r="4" spans="1:12" x14ac:dyDescent="0.3">
      <c r="B4" s="105" t="s">
        <v>544</v>
      </c>
    </row>
    <row r="5" spans="1:12" s="105" customFormat="1" x14ac:dyDescent="0.3">
      <c r="B5" s="105" t="s">
        <v>545</v>
      </c>
    </row>
    <row r="6" spans="1:12" s="105" customFormat="1" x14ac:dyDescent="0.3">
      <c r="B6" s="105" t="s">
        <v>543</v>
      </c>
    </row>
    <row r="7" spans="1:12" s="105" customFormat="1" x14ac:dyDescent="0.3">
      <c r="B7" s="105" t="s">
        <v>546</v>
      </c>
    </row>
    <row r="8" spans="1:12" s="105" customFormat="1" x14ac:dyDescent="0.3"/>
    <row r="9" spans="1:12" x14ac:dyDescent="0.3">
      <c r="B9" s="105" t="s">
        <v>542</v>
      </c>
    </row>
    <row r="10" spans="1:12" s="105" customFormat="1" x14ac:dyDescent="0.3"/>
    <row r="11" spans="1:12" s="105" customFormat="1" x14ac:dyDescent="0.3">
      <c r="B11" s="105" t="s">
        <v>547</v>
      </c>
    </row>
    <row r="12" spans="1:12" x14ac:dyDescent="0.3">
      <c r="B12" t="s">
        <v>312</v>
      </c>
    </row>
    <row r="14" spans="1:12" x14ac:dyDescent="0.3">
      <c r="B14" s="90" t="s">
        <v>306</v>
      </c>
      <c r="C14" s="90" t="s">
        <v>307</v>
      </c>
      <c r="D14" s="143">
        <v>2200</v>
      </c>
      <c r="E14" s="143">
        <v>2300</v>
      </c>
      <c r="F14" s="143">
        <v>2400</v>
      </c>
      <c r="G14" s="143">
        <v>2500</v>
      </c>
      <c r="H14" s="143">
        <v>2600</v>
      </c>
      <c r="I14" s="147" t="s">
        <v>94</v>
      </c>
      <c r="J14" s="148" t="s">
        <v>387</v>
      </c>
      <c r="K14" s="149"/>
      <c r="L14" s="148"/>
    </row>
    <row r="15" spans="1:12" x14ac:dyDescent="0.3">
      <c r="B15" s="88" t="s">
        <v>308</v>
      </c>
      <c r="C15" s="88"/>
      <c r="D15" s="88"/>
      <c r="E15" s="88"/>
      <c r="F15" s="88"/>
      <c r="G15" s="88"/>
      <c r="H15" s="88"/>
      <c r="I15" s="87"/>
    </row>
    <row r="16" spans="1:12" x14ac:dyDescent="0.3">
      <c r="B16" s="88" t="s">
        <v>309</v>
      </c>
      <c r="C16" s="88"/>
      <c r="D16" s="88"/>
      <c r="E16" s="88"/>
      <c r="F16" s="88"/>
      <c r="G16" s="88"/>
      <c r="H16" s="88"/>
      <c r="I16" s="87"/>
    </row>
    <row r="17" spans="2:14" x14ac:dyDescent="0.3">
      <c r="B17" s="88" t="s">
        <v>313</v>
      </c>
      <c r="C17" s="88" t="s">
        <v>313</v>
      </c>
      <c r="D17" s="88" t="s">
        <v>313</v>
      </c>
      <c r="E17" s="88" t="s">
        <v>313</v>
      </c>
      <c r="F17" s="88" t="s">
        <v>313</v>
      </c>
      <c r="G17" s="88" t="s">
        <v>313</v>
      </c>
      <c r="H17" s="88"/>
      <c r="I17" s="87"/>
    </row>
    <row r="18" spans="2:14" x14ac:dyDescent="0.3">
      <c r="B18" s="88" t="s">
        <v>304</v>
      </c>
      <c r="C18" s="88" t="s">
        <v>305</v>
      </c>
      <c r="D18" s="88">
        <v>35.5</v>
      </c>
      <c r="E18" s="88">
        <v>37.6</v>
      </c>
      <c r="F18" s="88">
        <v>39.700000000000003</v>
      </c>
      <c r="G18" s="88">
        <v>41.8</v>
      </c>
      <c r="H18" s="88"/>
      <c r="I18" s="87"/>
    </row>
    <row r="19" spans="2:14" x14ac:dyDescent="0.3">
      <c r="B19" s="89" t="s">
        <v>304</v>
      </c>
      <c r="C19" s="89" t="s">
        <v>310</v>
      </c>
      <c r="D19" s="144">
        <v>38.299999999999997</v>
      </c>
      <c r="E19" s="144">
        <v>40.1</v>
      </c>
      <c r="F19" s="144">
        <v>41.9</v>
      </c>
      <c r="G19" s="144">
        <v>43.7</v>
      </c>
      <c r="H19" s="144">
        <v>45.5</v>
      </c>
      <c r="I19" s="145" t="s">
        <v>314</v>
      </c>
      <c r="J19" s="146" t="s">
        <v>388</v>
      </c>
      <c r="K19" s="146"/>
      <c r="L19" s="146"/>
      <c r="M19" s="105"/>
      <c r="N19" s="105"/>
    </row>
    <row r="21" spans="2:14" x14ac:dyDescent="0.3">
      <c r="B21" s="91" t="s">
        <v>315</v>
      </c>
    </row>
    <row r="22" spans="2:14" x14ac:dyDescent="0.3">
      <c r="B22" s="55">
        <f>_xll.BfX_I(n550w,velo,40.5)</f>
        <v>2322.2222222222222</v>
      </c>
      <c r="C22" s="93" t="s">
        <v>94</v>
      </c>
      <c r="D22" s="55" t="str">
        <f ca="1">_xll.BfX_Cell(B22)</f>
        <v>=BfX_I(n550w;velo;40,5)</v>
      </c>
      <c r="E22" s="55"/>
      <c r="F22" s="55"/>
      <c r="G22" s="55"/>
    </row>
    <row r="23" spans="2:14" x14ac:dyDescent="0.3">
      <c r="B23" s="105" t="s">
        <v>390</v>
      </c>
    </row>
    <row r="25" spans="2:14" x14ac:dyDescent="0.3">
      <c r="B25" t="s">
        <v>331</v>
      </c>
    </row>
    <row r="26" spans="2:14" x14ac:dyDescent="0.3">
      <c r="B26" t="s">
        <v>317</v>
      </c>
    </row>
    <row r="27" spans="2:14" x14ac:dyDescent="0.3">
      <c r="B27" s="55">
        <f>_xll.BfX_I(n550w,velo,"fps",40.5)</f>
        <v>707.81333333333339</v>
      </c>
      <c r="C27" t="s">
        <v>45</v>
      </c>
      <c r="D27" s="55" t="str">
        <f ca="1">_xll.BfX_Cell(B27)</f>
        <v>=BfX_I(n550w;velo;"fps";40,5)</v>
      </c>
      <c r="E27" s="55"/>
      <c r="F27" s="55"/>
      <c r="G27" s="55"/>
    </row>
    <row r="29" spans="2:14" x14ac:dyDescent="0.3">
      <c r="B29" t="s">
        <v>316</v>
      </c>
    </row>
    <row r="30" spans="2:14" x14ac:dyDescent="0.3">
      <c r="B30" s="61">
        <f>_xll.BfX_I(velo,"fps",n150w,740)</f>
        <v>40.284251968503938</v>
      </c>
      <c r="C30" t="s">
        <v>314</v>
      </c>
      <c r="D30" s="55" t="str">
        <f ca="1">_xll.BfX_Cell(B30)</f>
        <v>=BfX_I(velo;"fps";n150w;740)</v>
      </c>
      <c r="E30" s="55"/>
      <c r="F30" s="55"/>
      <c r="G30" s="55"/>
    </row>
    <row r="31" spans="2:14" x14ac:dyDescent="0.3">
      <c r="B31" t="s">
        <v>333</v>
      </c>
    </row>
    <row r="32" spans="2:14" x14ac:dyDescent="0.3">
      <c r="B32" s="61">
        <f>_xll.BfX_I("g",velo,"fps",n150w,"gr",740)</f>
        <v>2.6103756177244093</v>
      </c>
      <c r="C32" s="105" t="s">
        <v>389</v>
      </c>
      <c r="D32" s="55" t="str">
        <f ca="1">_xll.BfX_Cell(B32)</f>
        <v>=BfX_I("g";velo;"fps";n150w;"gr";740)</v>
      </c>
      <c r="E32" s="55"/>
      <c r="F32" s="55"/>
      <c r="G32" s="55"/>
    </row>
    <row r="33" spans="1:8" x14ac:dyDescent="0.3">
      <c r="B33" t="s">
        <v>332</v>
      </c>
    </row>
    <row r="35" spans="1:8" x14ac:dyDescent="0.3">
      <c r="B35" s="105" t="s">
        <v>548</v>
      </c>
    </row>
    <row r="37" spans="1:8" x14ac:dyDescent="0.3">
      <c r="B37" t="s">
        <v>318</v>
      </c>
    </row>
    <row r="38" spans="1:8" s="105" customFormat="1" x14ac:dyDescent="0.3"/>
    <row r="39" spans="1:8" s="2" customFormat="1" x14ac:dyDescent="0.3">
      <c r="A39" s="2" t="s">
        <v>319</v>
      </c>
      <c r="B39" s="2" t="s">
        <v>336</v>
      </c>
    </row>
    <row r="40" spans="1:8" x14ac:dyDescent="0.3">
      <c r="B40" t="s">
        <v>320</v>
      </c>
    </row>
    <row r="42" spans="1:8" ht="16.5" thickBot="1" x14ac:dyDescent="0.35">
      <c r="B42" s="67" t="s">
        <v>323</v>
      </c>
      <c r="C42" s="67" t="s">
        <v>324</v>
      </c>
    </row>
    <row r="43" spans="1:8" x14ac:dyDescent="0.3">
      <c r="B43" s="61">
        <v>0</v>
      </c>
      <c r="C43" s="100">
        <f>_xll.BfX_Zx(740,3,"cm",0,400,B43,0.5)</f>
        <v>-0.03</v>
      </c>
      <c r="E43" s="43" t="str">
        <f ca="1">_xll.BfX_Cell(C43)</f>
        <v>=BfX_Zx(740;3;"cm";0;400;B43;0,5)</v>
      </c>
      <c r="F43" s="43"/>
      <c r="G43" s="43"/>
      <c r="H43" s="43"/>
    </row>
    <row r="44" spans="1:8" x14ac:dyDescent="0.3">
      <c r="B44" s="61">
        <v>5</v>
      </c>
      <c r="C44" s="101">
        <f>_xll.BfX_Zx(740,3,"cm",0,400,B44,0.5)</f>
        <v>-7.137640872772414E-3</v>
      </c>
    </row>
    <row r="45" spans="1:8" x14ac:dyDescent="0.3">
      <c r="B45" s="61">
        <v>10</v>
      </c>
      <c r="C45" s="101">
        <f>_xll.BfX_Zx(740,3,"cm",0,400,B45,0.5)</f>
        <v>1.5273381524587168E-2</v>
      </c>
    </row>
    <row r="46" spans="1:8" x14ac:dyDescent="0.3">
      <c r="B46" s="61">
        <v>15</v>
      </c>
      <c r="C46" s="101">
        <f>_xll.BfX_Zx(740,3,"cm",0,400,B46,0.5)</f>
        <v>3.7229407222901328E-2</v>
      </c>
    </row>
    <row r="47" spans="1:8" x14ac:dyDescent="0.3">
      <c r="B47" s="61">
        <v>20</v>
      </c>
      <c r="C47" s="101">
        <f>_xll.BfX_Zx(740,3,"cm",0,400,B47,0.5)</f>
        <v>5.8726739078473894E-2</v>
      </c>
    </row>
    <row r="48" spans="1:8" x14ac:dyDescent="0.3">
      <c r="B48" s="61">
        <v>25</v>
      </c>
      <c r="C48" s="101">
        <f>_xll.BfX_Zx(740,3,"cm",0,400,B48,0.5)</f>
        <v>7.9761642319064852E-2</v>
      </c>
    </row>
    <row r="49" spans="2:12" ht="16.5" thickBot="1" x14ac:dyDescent="0.35">
      <c r="B49" s="61">
        <v>30</v>
      </c>
      <c r="C49" s="102">
        <f>_xll.BfX_Zx(740,3,"cm",0,400,B49,0.5)</f>
        <v>0.10033034408338054</v>
      </c>
    </row>
    <row r="50" spans="2:12" x14ac:dyDescent="0.3">
      <c r="B50" s="61">
        <v>35</v>
      </c>
      <c r="C50" s="43">
        <f>_xll.BfX_Zx(740,3,"cm",0,400,B50,0.5)</f>
        <v>0.1204290329539848</v>
      </c>
    </row>
    <row r="51" spans="2:12" x14ac:dyDescent="0.3">
      <c r="B51" s="61">
        <v>50</v>
      </c>
      <c r="C51" s="43">
        <f>_xll.BfX_Zx(740,3,"cm",0,400,B51,0.5)</f>
        <v>0.17786631968976732</v>
      </c>
    </row>
    <row r="52" spans="2:12" x14ac:dyDescent="0.3">
      <c r="B52" s="61">
        <v>100</v>
      </c>
      <c r="C52" s="43">
        <f>_xll.BfX_Zx(740,3,"cm",0,400,B52,0.5)</f>
        <v>0.33713342955626791</v>
      </c>
    </row>
    <row r="53" spans="2:12" x14ac:dyDescent="0.3">
      <c r="B53" s="61">
        <v>150</v>
      </c>
      <c r="C53" s="43">
        <f>_xll.BfX_Zx(740,3,"cm",0,400,B53,0.5)</f>
        <v>0.44359227581083582</v>
      </c>
    </row>
    <row r="54" spans="2:12" x14ac:dyDescent="0.3">
      <c r="B54" s="61">
        <v>200</v>
      </c>
      <c r="C54" s="43">
        <f>_xll.BfX_Zx(740,3,"cm",0,400,B54,0.5)</f>
        <v>0.49256806992933666</v>
      </c>
    </row>
    <row r="55" spans="2:12" x14ac:dyDescent="0.3">
      <c r="B55" s="61">
        <v>250</v>
      </c>
      <c r="C55" s="43">
        <f>_xll.BfX_Zx(740,3,"cm",0,400,B55,0.5)</f>
        <v>0.4788570511856256</v>
      </c>
    </row>
    <row r="56" spans="2:12" x14ac:dyDescent="0.3">
      <c r="B56" s="61">
        <v>300</v>
      </c>
      <c r="C56" s="43">
        <f>_xll.BfX_Zx(740,3,"cm",0,400,B56,0.5)</f>
        <v>0.39665300025045491</v>
      </c>
    </row>
    <row r="57" spans="2:12" x14ac:dyDescent="0.3">
      <c r="B57" s="61">
        <v>350</v>
      </c>
      <c r="C57" s="43">
        <f>_xll.BfX_Zx(740,3,"cm",0,400,B57,0.5)</f>
        <v>0.23946156060860749</v>
      </c>
    </row>
    <row r="58" spans="2:12" x14ac:dyDescent="0.3">
      <c r="B58" s="61">
        <v>400</v>
      </c>
      <c r="C58" s="43">
        <f>_xll.BfX_Zx(740,3,"cm",0,400,B58,0.5)</f>
        <v>2.7755575615628914E-17</v>
      </c>
    </row>
    <row r="60" spans="2:12" x14ac:dyDescent="0.3">
      <c r="B60" t="s">
        <v>321</v>
      </c>
    </row>
    <row r="61" spans="2:12" x14ac:dyDescent="0.3">
      <c r="B61" t="s">
        <v>322</v>
      </c>
      <c r="E61" s="43" t="str">
        <f>_xll.BfX_I()</f>
        <v>interpolation g(x)= BfX_I(&lt;xi&gt;; &lt;gxi&gt;; x; accuracy=1E-5; m=I)</v>
      </c>
      <c r="F61" s="43"/>
      <c r="G61" s="43"/>
      <c r="H61" s="43"/>
      <c r="I61" s="43"/>
      <c r="J61" s="43"/>
      <c r="K61" s="43"/>
      <c r="L61" s="43"/>
    </row>
    <row r="62" spans="2:12" x14ac:dyDescent="0.3">
      <c r="B62" t="s">
        <v>334</v>
      </c>
    </row>
    <row r="64" spans="2:12" x14ac:dyDescent="0.3">
      <c r="B64" s="92">
        <f>_xll.BfX_I(height_big,range_big,0,0.01)</f>
        <v>399.99999999999812</v>
      </c>
      <c r="D64" s="43" t="str">
        <f ca="1">_xll.BfX_Cell(B64)</f>
        <v>=BfX_I(height_big;range_big;0;0,01)</v>
      </c>
      <c r="E64" s="43"/>
      <c r="F64" s="43"/>
      <c r="G64" s="43"/>
      <c r="I64" t="s">
        <v>325</v>
      </c>
    </row>
    <row r="65" spans="1:9" x14ac:dyDescent="0.3">
      <c r="B65" s="92">
        <f>_xll.BfX_I(height_small,range_big,0,0.01)</f>
        <v>6.5814974190086657</v>
      </c>
      <c r="C65" t="s">
        <v>76</v>
      </c>
      <c r="D65" s="43" t="str">
        <f ca="1">_xll.BfX_Cell(B65)</f>
        <v>=BfX_I(height_small;range_big;0;0,01)</v>
      </c>
      <c r="E65" s="43"/>
      <c r="F65" s="43"/>
      <c r="G65" s="43"/>
      <c r="I65" t="s">
        <v>326</v>
      </c>
    </row>
    <row r="66" spans="1:9" x14ac:dyDescent="0.3">
      <c r="B66" s="105" t="s">
        <v>403</v>
      </c>
    </row>
    <row r="67" spans="1:9" x14ac:dyDescent="0.3">
      <c r="B67" s="92">
        <f>_xll.BfX_Zx(740,3,"cm",0,400,B65,0.5)</f>
        <v>-7.1442608187005652E-8</v>
      </c>
      <c r="C67" t="s">
        <v>76</v>
      </c>
      <c r="D67" s="43" t="str">
        <f ca="1">_xll.BfX_Cell(B67)</f>
        <v>=BfX_Zx(740;3;"cm";0;400;B65;0,5)</v>
      </c>
      <c r="E67" s="43"/>
      <c r="F67" s="43"/>
      <c r="G67" s="43"/>
    </row>
    <row r="69" spans="1:9" x14ac:dyDescent="0.3">
      <c r="B69" s="105" t="s">
        <v>384</v>
      </c>
    </row>
    <row r="71" spans="1:9" s="2" customFormat="1" x14ac:dyDescent="0.3">
      <c r="A71" s="2" t="s">
        <v>327</v>
      </c>
      <c r="B71" s="2" t="s">
        <v>328</v>
      </c>
    </row>
    <row r="72" spans="1:9" x14ac:dyDescent="0.3">
      <c r="B72" s="105" t="s">
        <v>385</v>
      </c>
    </row>
    <row r="73" spans="1:9" x14ac:dyDescent="0.3">
      <c r="B73" t="s">
        <v>386</v>
      </c>
    </row>
    <row r="74" spans="1:9" s="105" customFormat="1" x14ac:dyDescent="0.3"/>
    <row r="75" spans="1:9" x14ac:dyDescent="0.3">
      <c r="B75" s="67" t="s">
        <v>323</v>
      </c>
      <c r="C75" s="67" t="s">
        <v>324</v>
      </c>
      <c r="D75" t="s">
        <v>329</v>
      </c>
    </row>
    <row r="76" spans="1:9" x14ac:dyDescent="0.3">
      <c r="B76" s="61">
        <v>0</v>
      </c>
      <c r="C76" s="43">
        <f>_xll.BfX_Zx(740,3,"cm",0,400,B76,0.5)</f>
        <v>-0.03</v>
      </c>
      <c r="E76" s="43" t="str">
        <f ca="1">_xll.BfX_Cell(C76)</f>
        <v>=BfX_Zx(740;3;"cm";0;400;B76;0,5)</v>
      </c>
      <c r="F76" s="43"/>
      <c r="G76" s="43"/>
      <c r="H76" s="43"/>
    </row>
    <row r="77" spans="1:9" x14ac:dyDescent="0.3">
      <c r="B77" s="61">
        <v>5</v>
      </c>
      <c r="C77" s="43">
        <f>_xll.BfX_Zx(740,3,"cm",0,400,B77,0.5)</f>
        <v>-7.137640872772414E-3</v>
      </c>
    </row>
    <row r="78" spans="1:9" x14ac:dyDescent="0.3">
      <c r="B78" s="61">
        <v>10</v>
      </c>
      <c r="C78" s="43">
        <f>_xll.BfX_Zx(740,3,"cm",0,400,B78,0.5)</f>
        <v>1.5273381524587168E-2</v>
      </c>
    </row>
    <row r="79" spans="1:9" x14ac:dyDescent="0.3">
      <c r="B79" s="61">
        <v>15</v>
      </c>
      <c r="C79" s="43">
        <f>_xll.BfX_Zx(740,3,"cm",0,400,B79,0.5)</f>
        <v>3.7229407222901328E-2</v>
      </c>
    </row>
    <row r="80" spans="1:9" x14ac:dyDescent="0.3">
      <c r="B80" s="61">
        <v>20</v>
      </c>
      <c r="C80" s="43">
        <f>_xll.BfX_Zx(740,3,"cm",0,400,B80,0.5)</f>
        <v>5.8726739078473894E-2</v>
      </c>
    </row>
    <row r="81" spans="2:9" x14ac:dyDescent="0.3">
      <c r="B81" s="61">
        <v>25</v>
      </c>
      <c r="C81" s="43">
        <f>_xll.BfX_Zx(740,3,"cm",0,400,B81,0.5)</f>
        <v>7.9761642319064852E-2</v>
      </c>
    </row>
    <row r="82" spans="2:9" x14ac:dyDescent="0.3">
      <c r="B82" s="61">
        <v>30</v>
      </c>
      <c r="C82" s="43">
        <f>_xll.BfX_Zx(740,3,"cm",0,400,B82,0.5)</f>
        <v>0.10033034408338054</v>
      </c>
    </row>
    <row r="83" spans="2:9" x14ac:dyDescent="0.3">
      <c r="B83" s="61">
        <v>35</v>
      </c>
      <c r="C83" s="43">
        <f>_xll.BfX_Zx(740,3,"cm",0,400,B83,0.5)</f>
        <v>0.1204290329539848</v>
      </c>
    </row>
    <row r="84" spans="2:9" x14ac:dyDescent="0.3">
      <c r="B84" s="61">
        <v>50</v>
      </c>
      <c r="C84" s="43">
        <f>_xll.BfX_Zx(740,3,"cm",0,400,B84,0.5)</f>
        <v>0.17786631968976732</v>
      </c>
    </row>
    <row r="85" spans="2:9" x14ac:dyDescent="0.3">
      <c r="B85" s="61">
        <v>100</v>
      </c>
      <c r="C85" s="43">
        <f>_xll.BfX_Zx(740,3,"cm",0,400,B85,0.5)</f>
        <v>0.33713342955626791</v>
      </c>
    </row>
    <row r="86" spans="2:9" ht="16.5" thickBot="1" x14ac:dyDescent="0.35">
      <c r="B86" s="61">
        <v>150</v>
      </c>
      <c r="C86" s="43">
        <f>_xll.BfX_Zx(740,3,"cm",0,400,B86,0.5)</f>
        <v>0.44359227581083582</v>
      </c>
    </row>
    <row r="87" spans="2:9" x14ac:dyDescent="0.3">
      <c r="B87" s="94">
        <v>200</v>
      </c>
      <c r="C87" s="95">
        <f>_xll.BfX_Zx(740,3,"cm",0,400,B87,0.5)</f>
        <v>0.49256806992933666</v>
      </c>
    </row>
    <row r="88" spans="2:9" x14ac:dyDescent="0.3">
      <c r="B88" s="96">
        <v>250</v>
      </c>
      <c r="C88" s="97">
        <f>_xll.BfX_Zx(740,3,"cm",0,400,B88,0.5)</f>
        <v>0.4788570511856256</v>
      </c>
    </row>
    <row r="89" spans="2:9" x14ac:dyDescent="0.3">
      <c r="B89" s="96">
        <v>300</v>
      </c>
      <c r="C89" s="97">
        <f>_xll.BfX_Zx(740,3,"cm",0,400,B89,0.5)</f>
        <v>0.39665300025045491</v>
      </c>
      <c r="E89" s="105" t="s">
        <v>391</v>
      </c>
    </row>
    <row r="90" spans="2:9" x14ac:dyDescent="0.3">
      <c r="B90" s="96">
        <v>350</v>
      </c>
      <c r="C90" s="97">
        <f>_xll.BfX_Zx(740,3,"cm",0,400,B90,0.5)</f>
        <v>0.23946156060860749</v>
      </c>
    </row>
    <row r="91" spans="2:9" ht="16.5" thickBot="1" x14ac:dyDescent="0.35">
      <c r="B91" s="98">
        <v>400</v>
      </c>
      <c r="C91" s="99">
        <f>_xll.BfX_Zx(740,3,"cm",0,400,B91,0.5)</f>
        <v>2.7755575615628914E-17</v>
      </c>
    </row>
    <row r="92" spans="2:9" x14ac:dyDescent="0.3">
      <c r="B92" s="61">
        <v>450</v>
      </c>
      <c r="C92" s="43">
        <f>_xll.BfX_Zx(740,3,"cm",0,400,B92,0.5)</f>
        <v>-0.32992048607248203</v>
      </c>
      <c r="D92" s="43">
        <f>_xll.BfX_I(range_last,height_last,B92)</f>
        <v>-0.329802789580317</v>
      </c>
    </row>
    <row r="93" spans="2:9" x14ac:dyDescent="0.3">
      <c r="B93" s="61">
        <v>500</v>
      </c>
      <c r="C93" s="43">
        <f>_xll.BfX_Zx(740,3,"cm",0,400,B93,0.5)</f>
        <v>-0.75953349214314092</v>
      </c>
      <c r="D93" s="43">
        <f>_xll.BfX_I(range_last,height_last,B93)</f>
        <v>-0.75880629188215931</v>
      </c>
      <c r="F93" t="s">
        <v>330</v>
      </c>
    </row>
    <row r="94" spans="2:9" x14ac:dyDescent="0.3">
      <c r="B94" s="61">
        <v>550</v>
      </c>
      <c r="C94" s="43">
        <f>_xll.BfX_Zx(740,3,"cm",0,400,B94,0.5)</f>
        <v>-1.2992815448853106</v>
      </c>
      <c r="D94" s="43">
        <f>_xll.BfX_I(range_last,height_last,B94)</f>
        <v>-1.2966583664002089</v>
      </c>
      <c r="F94" s="43" t="str">
        <f ca="1">_xll.BfX_Cell(D92)</f>
        <v>=BfX_I(range_last;height_last;B92)</v>
      </c>
      <c r="G94" s="43"/>
      <c r="H94" s="43"/>
      <c r="I94" s="43"/>
    </row>
    <row r="95" spans="2:9" x14ac:dyDescent="0.3">
      <c r="B95" s="61">
        <v>600</v>
      </c>
      <c r="C95" s="43">
        <f>_xll.BfX_Zx(740,3,"cm",0,400,B95,0.5)</f>
        <v>-1.9610111377725812</v>
      </c>
      <c r="D95" s="43">
        <f>_xll.BfX_I(range_last,height_last,B95)</f>
        <v>-1.9537952483740142</v>
      </c>
      <c r="F95" s="105"/>
    </row>
    <row r="96" spans="2:9" x14ac:dyDescent="0.3">
      <c r="B96" s="61">
        <v>650</v>
      </c>
      <c r="C96" s="43">
        <f>_xll.BfX_Zx(740,3,"cm",0,400,B96,0.5)</f>
        <v>-2.7581851030653755</v>
      </c>
      <c r="D96" s="43">
        <f>_xll.BfX_I(range_last,height_last,B96)</f>
        <v>-2.7414415487879888</v>
      </c>
    </row>
    <row r="97" spans="1:6" x14ac:dyDescent="0.3">
      <c r="B97" s="61">
        <v>700</v>
      </c>
      <c r="C97" s="43">
        <f>_xll.BfX_Zx(740,3,"cm",0,400,B97,0.5)</f>
        <v>-3.7059412507723777</v>
      </c>
      <c r="D97" s="43">
        <f>_xll.BfX_I(range_last,height_last,B97)</f>
        <v>-3.6716102543714135</v>
      </c>
    </row>
    <row r="98" spans="1:6" x14ac:dyDescent="0.3">
      <c r="B98" s="61">
        <v>750</v>
      </c>
      <c r="C98" s="43">
        <f>_xll.BfX_Zx(740,3,"cm",0,400,B98,0.5)</f>
        <v>-4.8211242860668717</v>
      </c>
      <c r="D98" s="43">
        <f>_xll.BfX_I(range_last,height_last,B98)</f>
        <v>-4.7571027275984354</v>
      </c>
    </row>
    <row r="99" spans="1:6" x14ac:dyDescent="0.3">
      <c r="B99" s="61">
        <v>800</v>
      </c>
      <c r="C99" s="43">
        <f>_xll.BfX_Zx(740,3,"cm",0,400,B99,0.5)</f>
        <v>-6.1222461989004868</v>
      </c>
      <c r="D99" s="43">
        <f>_xll.BfX_I(range_last,height_last,B99)</f>
        <v>-6.011508706688069</v>
      </c>
    </row>
    <row r="102" spans="1:6" s="2" customFormat="1" x14ac:dyDescent="0.3">
      <c r="A102" s="2" t="s">
        <v>549</v>
      </c>
      <c r="B102" s="2" t="s">
        <v>569</v>
      </c>
    </row>
    <row r="104" spans="1:6" x14ac:dyDescent="0.3">
      <c r="B104" s="105" t="s">
        <v>550</v>
      </c>
    </row>
    <row r="105" spans="1:6" x14ac:dyDescent="0.3">
      <c r="B105" s="105" t="s">
        <v>551</v>
      </c>
    </row>
    <row r="107" spans="1:6" x14ac:dyDescent="0.3">
      <c r="B107" s="105" t="s">
        <v>570</v>
      </c>
    </row>
    <row r="109" spans="1:6" x14ac:dyDescent="0.3">
      <c r="B109" s="105" t="s">
        <v>552</v>
      </c>
    </row>
    <row r="110" spans="1:6" x14ac:dyDescent="0.3">
      <c r="B110" s="105" t="s">
        <v>561</v>
      </c>
    </row>
    <row r="111" spans="1:6" ht="16.5" thickBot="1" x14ac:dyDescent="0.35"/>
    <row r="112" spans="1:6" ht="16.5" thickBot="1" x14ac:dyDescent="0.35">
      <c r="B112" s="167" t="s">
        <v>76</v>
      </c>
      <c r="C112" s="339" t="s">
        <v>556</v>
      </c>
      <c r="D112" s="339"/>
      <c r="E112" s="339"/>
      <c r="F112" s="340"/>
    </row>
    <row r="113" spans="2:16" x14ac:dyDescent="0.3">
      <c r="B113" s="168" t="s">
        <v>553</v>
      </c>
      <c r="C113" s="333" t="s">
        <v>557</v>
      </c>
      <c r="D113" s="333"/>
      <c r="E113" s="333"/>
      <c r="F113" s="334"/>
    </row>
    <row r="114" spans="2:16" x14ac:dyDescent="0.3">
      <c r="B114" s="169" t="s">
        <v>528</v>
      </c>
      <c r="C114" s="333" t="s">
        <v>558</v>
      </c>
      <c r="D114" s="333"/>
      <c r="E114" s="333"/>
      <c r="F114" s="334"/>
    </row>
    <row r="115" spans="2:16" x14ac:dyDescent="0.3">
      <c r="B115" s="169" t="s">
        <v>554</v>
      </c>
      <c r="C115" s="333" t="s">
        <v>559</v>
      </c>
      <c r="D115" s="333"/>
      <c r="E115" s="333"/>
      <c r="F115" s="334"/>
    </row>
    <row r="116" spans="2:16" ht="16.5" thickBot="1" x14ac:dyDescent="0.35">
      <c r="B116" s="170" t="s">
        <v>555</v>
      </c>
      <c r="C116" s="335" t="s">
        <v>560</v>
      </c>
      <c r="D116" s="335"/>
      <c r="E116" s="335"/>
      <c r="F116" s="336"/>
    </row>
    <row r="118" spans="2:16" x14ac:dyDescent="0.3">
      <c r="B118" s="105" t="s">
        <v>562</v>
      </c>
    </row>
    <row r="119" spans="2:16" ht="16.5" thickBot="1" x14ac:dyDescent="0.35"/>
    <row r="120" spans="2:16" ht="16.5" thickBot="1" x14ac:dyDescent="0.35">
      <c r="B120" s="167" t="s">
        <v>555</v>
      </c>
      <c r="C120" s="337" t="s">
        <v>568</v>
      </c>
      <c r="D120" s="337"/>
      <c r="E120" s="337"/>
      <c r="F120" s="337"/>
      <c r="G120" s="337"/>
      <c r="H120" s="338"/>
    </row>
    <row r="121" spans="2:16" x14ac:dyDescent="0.3">
      <c r="B121" s="168">
        <v>-1</v>
      </c>
      <c r="C121" s="333" t="s">
        <v>567</v>
      </c>
      <c r="D121" s="333"/>
      <c r="E121" s="333"/>
      <c r="F121" s="333"/>
      <c r="G121" s="333"/>
      <c r="H121" s="334"/>
    </row>
    <row r="122" spans="2:16" x14ac:dyDescent="0.3">
      <c r="B122" s="169">
        <v>-2</v>
      </c>
      <c r="C122" s="333" t="s">
        <v>563</v>
      </c>
      <c r="D122" s="333"/>
      <c r="E122" s="333"/>
      <c r="F122" s="333"/>
      <c r="G122" s="333"/>
      <c r="H122" s="334"/>
    </row>
    <row r="123" spans="2:16" x14ac:dyDescent="0.3">
      <c r="B123" s="169">
        <v>-3</v>
      </c>
      <c r="C123" s="333" t="s">
        <v>566</v>
      </c>
      <c r="D123" s="333"/>
      <c r="E123" s="333"/>
      <c r="F123" s="333"/>
      <c r="G123" s="333"/>
      <c r="H123" s="334"/>
    </row>
    <row r="124" spans="2:16" x14ac:dyDescent="0.3">
      <c r="B124" s="169">
        <v>0</v>
      </c>
      <c r="C124" s="333" t="s">
        <v>565</v>
      </c>
      <c r="D124" s="333"/>
      <c r="E124" s="333"/>
      <c r="F124" s="333"/>
      <c r="G124" s="333"/>
      <c r="H124" s="334"/>
    </row>
    <row r="125" spans="2:16" ht="16.5" thickBot="1" x14ac:dyDescent="0.35">
      <c r="B125" s="170">
        <v>1</v>
      </c>
      <c r="C125" s="335" t="s">
        <v>564</v>
      </c>
      <c r="D125" s="335"/>
      <c r="E125" s="335"/>
      <c r="F125" s="335"/>
      <c r="G125" s="335"/>
      <c r="H125" s="336"/>
      <c r="N125" s="105" t="s">
        <v>586</v>
      </c>
    </row>
    <row r="126" spans="2:16" ht="16.5" thickBot="1" x14ac:dyDescent="0.35"/>
    <row r="127" spans="2:16" ht="16.5" thickBot="1" x14ac:dyDescent="0.35">
      <c r="B127" s="167" t="s">
        <v>571</v>
      </c>
      <c r="C127" s="167" t="s">
        <v>572</v>
      </c>
      <c r="D127" s="167"/>
      <c r="E127" s="167" t="s">
        <v>573</v>
      </c>
      <c r="F127" s="167" t="s">
        <v>553</v>
      </c>
      <c r="G127" s="167" t="s">
        <v>528</v>
      </c>
      <c r="H127" s="167" t="s">
        <v>554</v>
      </c>
      <c r="I127" s="167" t="s">
        <v>555</v>
      </c>
      <c r="M127" s="167" t="s">
        <v>585</v>
      </c>
    </row>
    <row r="128" spans="2:16" x14ac:dyDescent="0.3">
      <c r="B128" s="100">
        <v>1</v>
      </c>
      <c r="C128" s="100">
        <f t="shared" ref="C128:C134" si="0">LOG(B128)</f>
        <v>0</v>
      </c>
      <c r="D128" s="100" t="str">
        <f ca="1">_xll.BfX_Cell(C128)</f>
        <v>=LOG(B128)</v>
      </c>
      <c r="E128" s="180">
        <f>B128+0.5</f>
        <v>1.5</v>
      </c>
      <c r="F128" s="100">
        <f>_xll.BfX_I(xi,gi,E128,0.00001,F$127)</f>
        <v>0.17436917807476318</v>
      </c>
      <c r="G128" s="175">
        <f>_xll.BfX_I(xi,gi,E128,0.00001,G$127)</f>
        <v>6.1155070010345208E-4</v>
      </c>
      <c r="H128" s="172">
        <f>_xll.BfX_I(xi,gi,E128,0.00001,H$127)</f>
        <v>7</v>
      </c>
      <c r="I128" s="172">
        <f>_xll.BfX_I(xi,gi,E128,0.00001,I$127)</f>
        <v>0</v>
      </c>
      <c r="J128" s="166" t="str">
        <f ca="1">_xll.BfX_Cell(E128)</f>
        <v>=B128+0,5</v>
      </c>
      <c r="M128" s="195">
        <f>_xll.BfX_I(xi,gi,E128,0.00001,M$127)</f>
        <v>7</v>
      </c>
      <c r="N128" s="166" t="str">
        <f ca="1">_xll.BfX_Cell(M128)</f>
        <v>=BfX_I(xi;gi;E128;0,00001;M$127)</v>
      </c>
      <c r="O128" s="166"/>
      <c r="P128" s="166"/>
    </row>
    <row r="129" spans="2:13" x14ac:dyDescent="0.3">
      <c r="B129" s="101">
        <v>2</v>
      </c>
      <c r="C129" s="101">
        <f t="shared" si="0"/>
        <v>0.3010299956639812</v>
      </c>
      <c r="D129" s="101" t="str">
        <f ca="1">_xll.BfX_Cell(C129)</f>
        <v>=LOG(B129)</v>
      </c>
      <c r="E129" s="101">
        <f t="shared" ref="E129:E142" si="1">B129+0.5</f>
        <v>2.5</v>
      </c>
      <c r="F129" s="171">
        <f>_xll.BfX_I(xi,gi,E129,0.00001,F$127)</f>
        <v>0.39824665751192606</v>
      </c>
      <c r="G129" s="176">
        <f>_xll.BfX_I(xi,gi,E129,0.00001,G$127)</f>
        <v>2.0385023336781549E-4</v>
      </c>
      <c r="H129" s="173">
        <f>_xll.BfX_I(xi,gi,E129,0.00001,H$127)</f>
        <v>7</v>
      </c>
      <c r="I129" s="173">
        <f>_xll.BfX_I(xi,gi,E129,0.00001,I$127)</f>
        <v>0</v>
      </c>
      <c r="J129" s="166" t="str">
        <f ca="1">_xll.BfX_Cell(F129)</f>
        <v>=BfX_I(xi;gi;E129;0,00001;F$127)</v>
      </c>
      <c r="K129" s="166"/>
      <c r="L129" s="166"/>
      <c r="M129" s="173">
        <f>_xll.BfX_I(xi,gi,E129,0.00001,M$127)</f>
        <v>7</v>
      </c>
    </row>
    <row r="130" spans="2:13" x14ac:dyDescent="0.3">
      <c r="B130" s="101">
        <v>3</v>
      </c>
      <c r="C130" s="101">
        <f t="shared" si="0"/>
        <v>0.47712125471966244</v>
      </c>
      <c r="D130" s="101" t="str">
        <f ca="1">_xll.BfX_Cell(C130)</f>
        <v>=LOG(B130)</v>
      </c>
      <c r="E130" s="101">
        <f t="shared" si="1"/>
        <v>3.5</v>
      </c>
      <c r="F130" s="101">
        <f>_xll.BfX_I(xi,gi,E130,0.00001,F$127)</f>
        <v>0.54394107863101204</v>
      </c>
      <c r="G130" s="179">
        <f>_xll.BfX_I(xi,gi,E130,0.00001,G$127)</f>
        <v>1.4560730954844169E-4</v>
      </c>
      <c r="H130" s="173">
        <f>_xll.BfX_I(xi,gi,E130,0.00001,H$127)</f>
        <v>7</v>
      </c>
      <c r="I130" s="173">
        <f>_xll.BfX_I(xi,gi,E130,0.00001,I$127)</f>
        <v>0</v>
      </c>
      <c r="J130" s="166" t="str">
        <f ca="1">_xll.BfX_Cell(G130)</f>
        <v>=BfX_I(xi;gi;E130;0,00001;G$127)</v>
      </c>
      <c r="K130" s="166"/>
      <c r="L130" s="166"/>
      <c r="M130" s="173">
        <f>_xll.BfX_I(xi,gi,E130,0.00001,M$127)</f>
        <v>7</v>
      </c>
    </row>
    <row r="131" spans="2:13" x14ac:dyDescent="0.3">
      <c r="B131" s="101">
        <v>4</v>
      </c>
      <c r="C131" s="101">
        <f t="shared" si="0"/>
        <v>0.6020599913279624</v>
      </c>
      <c r="D131" s="101" t="str">
        <f ca="1">_xll.BfX_Cell(C131)</f>
        <v>=LOG(B131)</v>
      </c>
      <c r="E131" s="101">
        <f t="shared" si="1"/>
        <v>4.5</v>
      </c>
      <c r="F131" s="101">
        <f>_xll.BfX_I(xi,gi,E131,0.00001,F$127)</f>
        <v>0.65316824542597363</v>
      </c>
      <c r="G131" s="176">
        <f>_xll.BfX_I(xi,gi,E131,0.00001,G$127)</f>
        <v>9.3963235675011917E-5</v>
      </c>
      <c r="H131" s="178">
        <f>_xll.BfX_I(xi,gi,E131,0.00001,H$127)</f>
        <v>6</v>
      </c>
      <c r="I131" s="173">
        <f>_xll.BfX_I(xi,gi,E131,0.00001,I$127)</f>
        <v>0</v>
      </c>
      <c r="J131" s="166" t="str">
        <f ca="1">_xll.BfX_Cell(H131)</f>
        <v>=BfX_I(xi;gi;E131;0,00001;H$127)</v>
      </c>
      <c r="K131" s="166"/>
      <c r="L131" s="166"/>
      <c r="M131" s="173">
        <f>_xll.BfX_I(xi,gi,E131,0.00001,M$127)</f>
        <v>6</v>
      </c>
    </row>
    <row r="132" spans="2:13" x14ac:dyDescent="0.3">
      <c r="B132" s="101">
        <v>5</v>
      </c>
      <c r="C132" s="101">
        <f t="shared" si="0"/>
        <v>0.69897000433601886</v>
      </c>
      <c r="D132" s="101" t="str">
        <f ca="1">_xll.BfX_Cell(C132)</f>
        <v>=LOG(B132)</v>
      </c>
      <c r="E132" s="101">
        <f t="shared" si="1"/>
        <v>5.5</v>
      </c>
      <c r="F132" s="101">
        <f>_xll.BfX_I(xi,gi,E132,0.00001,F$127)</f>
        <v>0.74032069649053733</v>
      </c>
      <c r="G132" s="176">
        <f>_xll.BfX_I(xi,gi,E132,0.00001,G$127)</f>
        <v>1.1263233038418172E-4</v>
      </c>
      <c r="H132" s="173">
        <f>_xll.BfX_I(xi,gi,E132,0.00001,H$127)</f>
        <v>5</v>
      </c>
      <c r="I132" s="178">
        <f>_xll.BfX_I(xi,gi,E132,0.00001,I$127)</f>
        <v>0</v>
      </c>
      <c r="J132" s="166" t="str">
        <f ca="1">_xll.BfX_Cell(I132)</f>
        <v>=BfX_I(xi;gi;E132;0,00001;I$127)</v>
      </c>
      <c r="K132" s="166"/>
      <c r="L132" s="166"/>
      <c r="M132" s="178">
        <f>_xll.BfX_I(xi,gi,E132,0.00001,M$127)</f>
        <v>5</v>
      </c>
    </row>
    <row r="133" spans="2:13" x14ac:dyDescent="0.3">
      <c r="B133" s="101">
        <v>6</v>
      </c>
      <c r="C133" s="101">
        <f t="shared" si="0"/>
        <v>0.77815125038364363</v>
      </c>
      <c r="D133" s="101" t="str">
        <f ca="1">_xll.BfX_Cell(C133)</f>
        <v>=LOG(B133)</v>
      </c>
      <c r="E133" s="101">
        <f t="shared" si="1"/>
        <v>6.5</v>
      </c>
      <c r="F133" s="101">
        <f>_xll.BfX_I(xi,gi,E133,0.00001,F$127)</f>
        <v>0.81315395225107667</v>
      </c>
      <c r="G133" s="176">
        <f>_xll.BfX_I(xi,gi,E133,0.00001,G$127)</f>
        <v>1.5293070521264496E-3</v>
      </c>
      <c r="H133" s="173">
        <f>_xll.BfX_I(xi,gi,E133,0.00001,H$127)</f>
        <v>3</v>
      </c>
      <c r="I133" s="173">
        <f>_xll.BfX_I(xi,gi,E133,0.00001,I$127)</f>
        <v>0</v>
      </c>
      <c r="M133" s="173">
        <f>_xll.BfX_I(xi,gi,E133,0.00001,M$127)</f>
        <v>3</v>
      </c>
    </row>
    <row r="134" spans="2:13" x14ac:dyDescent="0.3">
      <c r="B134" s="101">
        <v>7</v>
      </c>
      <c r="C134" s="101">
        <f t="shared" si="0"/>
        <v>0.84509804001425681</v>
      </c>
      <c r="D134" s="101" t="str">
        <f ca="1">_xll.BfX_Cell(C134)</f>
        <v>=LOG(B134)</v>
      </c>
      <c r="E134" s="101">
        <f t="shared" si="1"/>
        <v>7.5</v>
      </c>
      <c r="F134" s="101">
        <f>_xll.BfX_I(xi,gi,E134,0.00001,F$127)</f>
        <v>1.3750611275271847</v>
      </c>
      <c r="G134" s="176">
        <f>_xll.BfX_I(xi,gi,E134,0.00001,G$127)</f>
        <v>3.7384281619635903E-2</v>
      </c>
      <c r="H134" s="173">
        <f>_xll.BfX_I(xi,gi,E134,0.00001,H$127)</f>
        <v>10</v>
      </c>
      <c r="I134" s="173">
        <f>_xll.BfX_I(xi,gi,E134,0.00001,I$127)</f>
        <v>0</v>
      </c>
      <c r="M134" s="173">
        <f>_xll.BfX_I(xi,gi,E134,0.00001,M$127)</f>
        <v>10</v>
      </c>
    </row>
    <row r="135" spans="2:13" x14ac:dyDescent="0.3">
      <c r="B135" s="101">
        <v>8</v>
      </c>
      <c r="C135" s="101">
        <f>LOG(B135)+1</f>
        <v>1.9030899869919435</v>
      </c>
      <c r="D135" s="101" t="str">
        <f ca="1">_xll.BfX_Cell(C135)</f>
        <v>=LOG(B135)+1</v>
      </c>
      <c r="E135" s="171">
        <v>9</v>
      </c>
      <c r="F135" s="101">
        <f>_xll.BfX_I(xi,gi,E135,0.00001,F$127)</f>
        <v>1.9542425094393248</v>
      </c>
      <c r="G135" s="176">
        <f>_xll.BfX_I(xi,gi,E135,0.00001,G$127)</f>
        <v>0</v>
      </c>
      <c r="H135" s="173">
        <f>_xll.BfX_I(xi,gi,E135,0.00001,H$127)</f>
        <v>1</v>
      </c>
      <c r="I135" s="173">
        <f>_xll.BfX_I(xi,gi,E135,0.00001,I$127)</f>
        <v>-2</v>
      </c>
      <c r="J135" s="166" t="str">
        <f ca="1">_xll.BfX_Cell(E135)</f>
        <v>9</v>
      </c>
      <c r="M135" s="173">
        <f>_xll.BfX_I(xi,gi,E135,0.00001,M$127)</f>
        <v>1</v>
      </c>
    </row>
    <row r="136" spans="2:13" x14ac:dyDescent="0.3">
      <c r="B136" s="101">
        <v>9</v>
      </c>
      <c r="C136" s="101">
        <f t="shared" ref="C136:C142" si="2">LOG(B136)+1</f>
        <v>1.9542425094393248</v>
      </c>
      <c r="D136" s="101" t="str">
        <f ca="1">_xll.BfX_Cell(C136)</f>
        <v>=LOG(B136)+1</v>
      </c>
      <c r="E136" s="101">
        <f t="shared" si="1"/>
        <v>9.5</v>
      </c>
      <c r="F136" s="101">
        <f>_xll.BfX_I(xi,gi,E136,0.00001,F$127)</f>
        <v>1.9777312445502346</v>
      </c>
      <c r="G136" s="176">
        <f>_xll.BfX_I(xi,gi,E136,0.00001,G$127)</f>
        <v>6.4389155266006415E-5</v>
      </c>
      <c r="H136" s="173">
        <f>_xll.BfX_I(xi,gi,E136,0.00001,H$127)</f>
        <v>4</v>
      </c>
      <c r="I136" s="173">
        <f>_xll.BfX_I(xi,gi,E136,0.00001,I$127)</f>
        <v>0</v>
      </c>
      <c r="M136" s="173">
        <f>_xll.BfX_I(xi,gi,E136,0.00001,M$127)</f>
        <v>4</v>
      </c>
    </row>
    <row r="137" spans="2:13" x14ac:dyDescent="0.3">
      <c r="B137" s="101">
        <v>10</v>
      </c>
      <c r="C137" s="101">
        <f t="shared" si="2"/>
        <v>2</v>
      </c>
      <c r="D137" s="101" t="str">
        <f ca="1">_xll.BfX_Cell(C137)</f>
        <v>=LOG(B137)+1</v>
      </c>
      <c r="E137" s="101">
        <f t="shared" si="1"/>
        <v>10.5</v>
      </c>
      <c r="F137" s="101">
        <f>_xll.BfX_I(xi,gi,E137,0.00001,F$127)</f>
        <v>2.0211880832144118</v>
      </c>
      <c r="G137" s="176">
        <f>_xll.BfX_I(xi,gi,E137,0.00001,G$127)</f>
        <v>6.3174691554340503E-6</v>
      </c>
      <c r="H137" s="173">
        <f>_xll.BfX_I(xi,gi,E137,0.00001,H$127)</f>
        <v>5</v>
      </c>
      <c r="I137" s="173">
        <f>_xll.BfX_I(xi,gi,E137,0.00001,I$127)</f>
        <v>-3</v>
      </c>
      <c r="M137" s="173">
        <f>_xll.BfX_I(xi,gi,E137,0.00001,M$127)</f>
        <v>5</v>
      </c>
    </row>
    <row r="138" spans="2:13" x14ac:dyDescent="0.3">
      <c r="B138" s="101">
        <v>11</v>
      </c>
      <c r="C138" s="101">
        <f t="shared" si="2"/>
        <v>2.0413926851582254</v>
      </c>
      <c r="D138" s="101" t="str">
        <f ca="1">_xll.BfX_Cell(C138)</f>
        <v>=LOG(B138)+1</v>
      </c>
      <c r="E138" s="101">
        <f t="shared" si="1"/>
        <v>11.5</v>
      </c>
      <c r="F138" s="101">
        <f>_xll.BfX_I(xi,gi,E138,0.00001,F$127)</f>
        <v>2.0606970874521999</v>
      </c>
      <c r="G138" s="176">
        <f>_xll.BfX_I(xi,gi,E138,0.00001,G$127)</f>
        <v>4.2893319137478807E-6</v>
      </c>
      <c r="H138" s="173">
        <f>_xll.BfX_I(xi,gi,E138,0.00001,H$127)</f>
        <v>5</v>
      </c>
      <c r="I138" s="173">
        <f>_xll.BfX_I(xi,gi,E138,0.00001,I$127)</f>
        <v>-3</v>
      </c>
      <c r="M138" s="173">
        <f>_xll.BfX_I(xi,gi,E138,0.00001,M$127)</f>
        <v>5</v>
      </c>
    </row>
    <row r="139" spans="2:13" x14ac:dyDescent="0.3">
      <c r="B139" s="101">
        <v>12</v>
      </c>
      <c r="C139" s="101">
        <f t="shared" si="2"/>
        <v>2.0791812460476251</v>
      </c>
      <c r="D139" s="101" t="str">
        <f ca="1">_xll.BfX_Cell(C139)</f>
        <v>=LOG(B139)+1</v>
      </c>
      <c r="E139" s="101">
        <f t="shared" si="1"/>
        <v>12.5</v>
      </c>
      <c r="F139" s="101">
        <f>_xll.BfX_I(xi,gi,E139,0.00001,F$127)</f>
        <v>2.0969095265714124</v>
      </c>
      <c r="G139" s="176">
        <f>_xll.BfX_I(xi,gi,E139,0.00001,G$127)</f>
        <v>3.0149506936031265E-6</v>
      </c>
      <c r="H139" s="173">
        <f>_xll.BfX_I(xi,gi,E139,0.00001,H$127)</f>
        <v>5</v>
      </c>
      <c r="I139" s="173">
        <f>_xll.BfX_I(xi,gi,E139,0.00001,I$127)</f>
        <v>-3</v>
      </c>
      <c r="M139" s="173">
        <f>_xll.BfX_I(xi,gi,E139,0.00001,M$127)</f>
        <v>5</v>
      </c>
    </row>
    <row r="140" spans="2:13" x14ac:dyDescent="0.3">
      <c r="B140" s="101">
        <v>13</v>
      </c>
      <c r="C140" s="101">
        <f t="shared" si="2"/>
        <v>2.1139433523068369</v>
      </c>
      <c r="D140" s="101" t="str">
        <f ca="1">_xll.BfX_Cell(C140)</f>
        <v>=LOG(B140)+1</v>
      </c>
      <c r="E140" s="101">
        <f t="shared" si="1"/>
        <v>13.5</v>
      </c>
      <c r="F140" s="101">
        <f>_xll.BfX_I(xi,gi,E140,0.00001,F$127)</f>
        <v>2.130334832287438</v>
      </c>
      <c r="G140" s="176">
        <f>_xll.BfX_I(xi,gi,E140,0.00001,G$127)</f>
        <v>5.0249178226713206E-6</v>
      </c>
      <c r="H140" s="173">
        <f>_xll.BfX_I(xi,gi,E140,0.00001,H$127)</f>
        <v>5</v>
      </c>
      <c r="I140" s="173">
        <f>_xll.BfX_I(xi,gi,E140,0.00001,I$127)</f>
        <v>-3</v>
      </c>
      <c r="M140" s="173">
        <f>_xll.BfX_I(xi,gi,E140,0.00001,M$127)</f>
        <v>5</v>
      </c>
    </row>
    <row r="141" spans="2:13" x14ac:dyDescent="0.3">
      <c r="B141" s="101">
        <v>14</v>
      </c>
      <c r="C141" s="101">
        <f t="shared" si="2"/>
        <v>2.1461280356782382</v>
      </c>
      <c r="D141" s="101" t="str">
        <f ca="1">_xll.BfX_Cell(C141)</f>
        <v>=LOG(B141)+1</v>
      </c>
      <c r="E141" s="171">
        <f t="shared" si="1"/>
        <v>14.5</v>
      </c>
      <c r="F141" s="101">
        <f>_xll.BfX_I(xi,gi,E141,0.00001,F$127)</f>
        <v>2.1613651178768483</v>
      </c>
      <c r="G141" s="176">
        <f>_xll.BfX_I(xi,gi,E141,0.00001,G$127)</f>
        <v>7.2549017073360766E-6</v>
      </c>
      <c r="H141" s="173">
        <f>_xll.BfX_I(xi,gi,E141,0.00001,H$127)</f>
        <v>7</v>
      </c>
      <c r="I141" s="173">
        <f>_xll.BfX_I(xi,gi,E141,0.00001,I$127)</f>
        <v>-3</v>
      </c>
      <c r="J141" s="166" t="s">
        <v>574</v>
      </c>
      <c r="K141" s="166"/>
      <c r="L141" s="166"/>
      <c r="M141" s="173">
        <f>_xll.BfX_I(xi,gi,E141,0.00001,M$127)</f>
        <v>7</v>
      </c>
    </row>
    <row r="142" spans="2:13" ht="16.5" thickBot="1" x14ac:dyDescent="0.35">
      <c r="B142" s="102">
        <v>15</v>
      </c>
      <c r="C142" s="102">
        <f t="shared" si="2"/>
        <v>2.1760912590556813</v>
      </c>
      <c r="D142" s="102" t="str">
        <f ca="1">_xll.BfX_Cell(C142)</f>
        <v>=LOG(B142)+1</v>
      </c>
      <c r="E142" s="192">
        <f t="shared" si="1"/>
        <v>15.5</v>
      </c>
      <c r="F142" s="102">
        <f>_xll.BfX_I(xi,gi,E142,0.00001,F$127)</f>
        <v>2.1902909572430489</v>
      </c>
      <c r="G142" s="177">
        <f>_xll.BfX_I(xi,gi,E142,0.00001,G$127)</f>
        <v>9.4313722195368994E-5</v>
      </c>
      <c r="H142" s="174">
        <f>_xll.BfX_I(xi,gi,E142,0.00001,H$127)</f>
        <v>7</v>
      </c>
      <c r="I142" s="174">
        <f>_xll.BfX_I(xi,gi,E142,0.00001,I$127)</f>
        <v>1</v>
      </c>
      <c r="J142" s="166" t="s">
        <v>574</v>
      </c>
      <c r="K142" s="166"/>
      <c r="L142" s="166"/>
      <c r="M142" s="174">
        <f>_xll.BfX_I(xi,gi,E142,0.00001,M$127)</f>
        <v>7</v>
      </c>
    </row>
    <row r="163" spans="2:6" ht="16.5" thickBot="1" x14ac:dyDescent="0.35"/>
    <row r="164" spans="2:6" ht="16.5" thickBot="1" x14ac:dyDescent="0.35">
      <c r="B164" s="198" t="str">
        <f ca="1">MID(CELL("filename",A6),FIND("]",CELL("filename",A6))+1,1256)</f>
        <v>Interpolation</v>
      </c>
      <c r="C164" s="199" t="s">
        <v>718</v>
      </c>
      <c r="D164" s="199" t="str">
        <f ca="1">_xll.BfX_CRC(B127:I142,"ov")</f>
        <v>BfX3056829458CRC</v>
      </c>
      <c r="E164" s="199"/>
      <c r="F164" s="200"/>
    </row>
    <row r="165" spans="2:6" x14ac:dyDescent="0.3">
      <c r="B165" s="198" t="s">
        <v>761</v>
      </c>
      <c r="C165" s="199"/>
      <c r="D165" s="199"/>
      <c r="E165" s="199"/>
      <c r="F165" s="200"/>
    </row>
    <row r="166" spans="2:6" x14ac:dyDescent="0.3">
      <c r="B166" s="201" t="s">
        <v>759</v>
      </c>
      <c r="C166" s="202"/>
      <c r="D166" s="202"/>
      <c r="E166" s="202"/>
      <c r="F166" s="203"/>
    </row>
    <row r="167" spans="2:6" ht="16.5" thickBot="1" x14ac:dyDescent="0.35">
      <c r="B167" s="204" t="s">
        <v>760</v>
      </c>
      <c r="C167" s="205"/>
      <c r="D167" s="205"/>
      <c r="E167" s="205"/>
      <c r="F167" s="206"/>
    </row>
  </sheetData>
  <sortState ref="B75:C90">
    <sortCondition descending="1" ref="B75"/>
  </sortState>
  <mergeCells count="11">
    <mergeCell ref="C120:H120"/>
    <mergeCell ref="C112:F112"/>
    <mergeCell ref="C113:F113"/>
    <mergeCell ref="C114:F114"/>
    <mergeCell ref="C115:F115"/>
    <mergeCell ref="C116:F116"/>
    <mergeCell ref="C121:H121"/>
    <mergeCell ref="C122:H122"/>
    <mergeCell ref="C123:H123"/>
    <mergeCell ref="C124:H124"/>
    <mergeCell ref="C125:H12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2" workbookViewId="0">
      <selection activeCell="A8" sqref="A8"/>
    </sheetView>
  </sheetViews>
  <sheetFormatPr defaultRowHeight="15.75" x14ac:dyDescent="0.3"/>
  <cols>
    <col min="1" max="1" width="8.88671875" style="105"/>
    <col min="2" max="2" width="12.77734375" bestFit="1" customWidth="1"/>
    <col min="12" max="12" width="10.88671875" bestFit="1" customWidth="1"/>
  </cols>
  <sheetData>
    <row r="1" spans="1:12" x14ac:dyDescent="0.3">
      <c r="A1" s="2">
        <v>16</v>
      </c>
      <c r="B1" s="2" t="s">
        <v>364</v>
      </c>
    </row>
    <row r="2" spans="1:12" x14ac:dyDescent="0.3">
      <c r="C2" s="22"/>
      <c r="E2" s="105"/>
      <c r="H2" s="105"/>
      <c r="I2" s="105"/>
      <c r="J2" s="105"/>
      <c r="K2" s="105"/>
      <c r="L2" s="105"/>
    </row>
    <row r="3" spans="1:12" x14ac:dyDescent="0.3">
      <c r="B3" s="105" t="s">
        <v>365</v>
      </c>
      <c r="C3" s="122"/>
    </row>
    <row r="4" spans="1:12" x14ac:dyDescent="0.3">
      <c r="B4" s="105"/>
      <c r="C4" s="122"/>
    </row>
    <row r="5" spans="1:12" x14ac:dyDescent="0.3">
      <c r="B5" s="105"/>
      <c r="C5" s="122"/>
    </row>
    <row r="6" spans="1:12" x14ac:dyDescent="0.3">
      <c r="B6" s="105"/>
      <c r="C6" s="122"/>
    </row>
    <row r="8" spans="1:12" x14ac:dyDescent="0.3">
      <c r="A8" s="2" t="s">
        <v>410</v>
      </c>
      <c r="B8" s="2" t="s">
        <v>514</v>
      </c>
    </row>
    <row r="9" spans="1:12" s="105" customFormat="1" ht="16.5" thickBot="1" x14ac:dyDescent="0.35"/>
    <row r="10" spans="1:12" ht="16.5" thickBot="1" x14ac:dyDescent="0.35">
      <c r="B10" s="341" t="s">
        <v>362</v>
      </c>
      <c r="C10" s="342"/>
      <c r="D10" s="342"/>
      <c r="E10" s="343"/>
      <c r="F10" s="343"/>
      <c r="G10" s="343"/>
      <c r="H10" s="343"/>
      <c r="I10" s="343"/>
      <c r="J10" s="344"/>
    </row>
    <row r="11" spans="1:12" s="105" customFormat="1" ht="16.5" thickBot="1" x14ac:dyDescent="0.35">
      <c r="B11" s="130"/>
      <c r="C11" s="121"/>
      <c r="D11" s="121"/>
      <c r="E11" s="345" t="s">
        <v>359</v>
      </c>
      <c r="F11" s="346"/>
      <c r="G11" s="346"/>
      <c r="H11" s="346"/>
      <c r="I11" s="346"/>
      <c r="J11" s="347"/>
    </row>
    <row r="12" spans="1:12" ht="16.5" thickBot="1" x14ac:dyDescent="0.35">
      <c r="B12" s="123" t="s">
        <v>361</v>
      </c>
      <c r="C12" s="123" t="s">
        <v>346</v>
      </c>
      <c r="D12" s="131" t="s">
        <v>360</v>
      </c>
      <c r="E12" s="114">
        <v>800</v>
      </c>
      <c r="F12" s="115">
        <v>825</v>
      </c>
      <c r="G12" s="115">
        <v>850</v>
      </c>
      <c r="H12" s="115">
        <v>875</v>
      </c>
      <c r="I12" s="115">
        <v>900</v>
      </c>
      <c r="J12" s="117">
        <v>925</v>
      </c>
    </row>
    <row r="13" spans="1:12" x14ac:dyDescent="0.3">
      <c r="B13" s="134" t="s">
        <v>355</v>
      </c>
      <c r="C13" s="135">
        <v>0.112</v>
      </c>
      <c r="D13" s="134">
        <v>1</v>
      </c>
      <c r="E13" s="138">
        <f>_xll.BfX_Y("moa",E$12,0,$D13,"bft",300,$C13,"g7")</f>
        <v>1.211264192136231</v>
      </c>
      <c r="F13" s="138">
        <f>_xll.BfX_Y("moa",F$12,0,$D13,"bft",300,$C13,"g7")</f>
        <v>1.1524395047633322</v>
      </c>
      <c r="G13" s="138">
        <f>_xll.BfX_Y("moa",G$12,0,$D13,"bft",300,$C13,"g7")</f>
        <v>1.0984979813117945</v>
      </c>
      <c r="H13" s="138">
        <f>_xll.BfX_Y("moa",H$12,0,$D13,"bft",300,$C13,"g7")</f>
        <v>1.0485558089878733</v>
      </c>
      <c r="I13" s="138">
        <f>_xll.BfX_Y("moa",I$12,0,$D13,"bft",300,$C13,"g7")</f>
        <v>1.0020287776556009</v>
      </c>
      <c r="J13" s="194">
        <f>_xll.BfX_Y("moa",J$12,0,$D13,"bft",300,$C13,"g7")</f>
        <v>0.95855689411763978</v>
      </c>
      <c r="K13" t="str">
        <f ca="1">_xll.BfX_Cell(J13)</f>
        <v>=BfX_Y("moa";J$12;0;$D13;"bft";300;$C13;"g7")</v>
      </c>
    </row>
    <row r="14" spans="1:12" x14ac:dyDescent="0.3">
      <c r="B14" s="134" t="s">
        <v>356</v>
      </c>
      <c r="C14" s="135">
        <v>0.13300000000000001</v>
      </c>
      <c r="D14" s="134">
        <v>1</v>
      </c>
      <c r="E14" s="139">
        <f>_xll.BfX_Y("moa",E$12,0,$D14,"bft",300,$C14,"g7")</f>
        <v>0.9693109894055314</v>
      </c>
      <c r="F14" s="139">
        <f>_xll.BfX_Y("moa",F$12,0,$D14,"bft",300,$C14,"g7")</f>
        <v>0.92358735017996907</v>
      </c>
      <c r="G14" s="139">
        <f>_xll.BfX_Y("moa",G$12,0,$D14,"bft",300,$C14,"g7")</f>
        <v>0.88146040588840457</v>
      </c>
      <c r="H14" s="139">
        <f>_xll.BfX_Y("moa",H$12,0,$D14,"bft",300,$C14,"g7")</f>
        <v>0.84222278051488486</v>
      </c>
      <c r="I14" s="139">
        <f>_xll.BfX_Y("moa",I$12,0,$D14,"bft",300,$C14,"g7")</f>
        <v>0.80545936674529306</v>
      </c>
      <c r="J14" s="139">
        <f>_xll.BfX_Y("moa",J$12,0,$D14,"bft",300,$C14,"g7")</f>
        <v>0.77097534254077182</v>
      </c>
    </row>
    <row r="15" spans="1:12" x14ac:dyDescent="0.3">
      <c r="B15" s="134" t="s">
        <v>357</v>
      </c>
      <c r="C15" s="135">
        <v>0.16900000000000001</v>
      </c>
      <c r="D15" s="134">
        <v>1</v>
      </c>
      <c r="E15" s="139">
        <f>_xll.BfX_Y("moa",E$12,0,$D15,"bft",300,$C15,"g7")</f>
        <v>0.72282683333875386</v>
      </c>
      <c r="F15" s="139">
        <f>_xll.BfX_Y("moa",F$12,0,$D15,"bft",300,$C15,"g7")</f>
        <v>0.68948477811615261</v>
      </c>
      <c r="G15" s="139">
        <f>_xll.BfX_Y("moa",G$12,0,$D15,"bft",300,$C15,"g7")</f>
        <v>0.65862914860231603</v>
      </c>
      <c r="H15" s="139">
        <f>_xll.BfX_Y("moa",H$12,0,$D15,"bft",300,$C15,"g7")</f>
        <v>0.62977629395754753</v>
      </c>
      <c r="I15" s="139">
        <f>_xll.BfX_Y("moa",I$12,0,$D15,"bft",300,$C15,"g7")</f>
        <v>0.60265543735826432</v>
      </c>
      <c r="J15" s="139">
        <f>_xll.BfX_Y("moa",J$12,0,$D15,"bft",300,$C15,"g7")</f>
        <v>0.57714963310827971</v>
      </c>
    </row>
    <row r="16" spans="1:12" x14ac:dyDescent="0.3">
      <c r="B16" s="134" t="s">
        <v>358</v>
      </c>
      <c r="C16" s="135">
        <v>0.19</v>
      </c>
      <c r="D16" s="134">
        <v>1</v>
      </c>
      <c r="E16" s="139">
        <f>_xll.BfX_Y("moa",E$12,0,$D16,"bft",300,$C16,"g7")</f>
        <v>0.62949899172092383</v>
      </c>
      <c r="F16" s="139">
        <f>_xll.BfX_Y("moa",F$12,0,$D16,"bft",300,$C16,"g7")</f>
        <v>0.60066552387884609</v>
      </c>
      <c r="G16" s="139">
        <f>_xll.BfX_Y("moa",G$12,0,$D16,"bft",300,$C16,"g7")</f>
        <v>0.57396944172626507</v>
      </c>
      <c r="H16" s="139">
        <f>_xll.BfX_Y("moa",H$12,0,$D16,"bft",300,$C16,"g7")</f>
        <v>0.54897173398945054</v>
      </c>
      <c r="I16" s="139">
        <f>_xll.BfX_Y("moa",I$12,0,$D16,"bft",300,$C16,"g7")</f>
        <v>0.52543781870801687</v>
      </c>
      <c r="J16" s="139">
        <f>_xll.BfX_Y("moa",J$12,0,$D16,"bft",300,$C16,"g7")</f>
        <v>0.50327872624145698</v>
      </c>
    </row>
    <row r="17" spans="2:17" ht="16.5" thickBot="1" x14ac:dyDescent="0.35">
      <c r="B17" s="124" t="s">
        <v>355</v>
      </c>
      <c r="C17" s="126">
        <v>0.112</v>
      </c>
      <c r="D17" s="124">
        <v>2</v>
      </c>
      <c r="E17" s="128">
        <f>_xll.BfX_Y("moa",E$12,0,$D17,"bft",300,$C17,"g7")</f>
        <v>3.425971503863543</v>
      </c>
      <c r="F17" s="128">
        <f>_xll.BfX_Y("moa",F$12,0,$D17,"bft",300,$C17,"g7")</f>
        <v>3.2595903001731266</v>
      </c>
      <c r="G17" s="128">
        <f>_xll.BfX_Y("moa",G$12,0,$D17,"bft",300,$C17,"g7")</f>
        <v>3.1070207465828181</v>
      </c>
      <c r="H17" s="128">
        <f>_xll.BfX_Y("moa",H$12,0,$D17,"bft",300,$C17,"g7")</f>
        <v>2.96576304815517</v>
      </c>
      <c r="I17" s="128">
        <f>_xll.BfX_Y("moa",I$12,0,$D17,"bft",300,$C17,"g7")</f>
        <v>2.8341648126550703</v>
      </c>
      <c r="J17" s="128">
        <f>_xll.BfX_Y("moa",J$12,0,$D17,"bft",300,$C17,"g7")</f>
        <v>2.7112078280905996</v>
      </c>
    </row>
    <row r="18" spans="2:17" ht="16.5" thickBot="1" x14ac:dyDescent="0.35">
      <c r="B18" s="124" t="s">
        <v>356</v>
      </c>
      <c r="C18" s="126">
        <v>0.13300000000000001</v>
      </c>
      <c r="D18" s="124">
        <v>2</v>
      </c>
      <c r="E18" s="128">
        <f>_xll.BfX_Y("moa",E$12,0,$D18,"bft",300,$C18,"g7")</f>
        <v>2.7416249861644957</v>
      </c>
      <c r="F18" s="128">
        <f>_xll.BfX_Y("moa",F$12,0,$D18,"bft",300,$C18,"g7")</f>
        <v>2.6122990733669429</v>
      </c>
      <c r="G18" s="128">
        <f>_xll.BfX_Y("moa",G$12,0,$D18,"bft",300,$C18,"g7")</f>
        <v>2.4931461389478136</v>
      </c>
      <c r="H18" s="128">
        <f>_xll.BfX_Y("moa",H$12,0,$D18,"bft",300,$C18,"g7")</f>
        <v>2.3821654238653278</v>
      </c>
      <c r="I18" s="128">
        <f>_xll.BfX_Y("moa",I$12,0,$D18,"bft",300,$C18,"g7")</f>
        <v>2.2781828289701544</v>
      </c>
      <c r="J18" s="128">
        <f>_xll.BfX_Y("moa",J$12,0,$D18,"bft",300,$C18,"g7")</f>
        <v>2.1806473154380166</v>
      </c>
      <c r="L18" s="198" t="str">
        <f ca="1">MID(CELL("filename",A6),FIND("]",CELL("filename",A6))+1,1256)</f>
        <v>Making tables</v>
      </c>
      <c r="M18" s="199" t="s">
        <v>147</v>
      </c>
      <c r="N18" s="199" t="str">
        <f>_xll.BfX_CRC(B10:J65)</f>
        <v>BfX1098056574CRC</v>
      </c>
      <c r="O18" s="199"/>
      <c r="P18" s="199"/>
      <c r="Q18" s="200"/>
    </row>
    <row r="19" spans="2:17" x14ac:dyDescent="0.3">
      <c r="B19" s="124" t="s">
        <v>357</v>
      </c>
      <c r="C19" s="126">
        <v>0.16900000000000001</v>
      </c>
      <c r="D19" s="124">
        <v>2</v>
      </c>
      <c r="E19" s="128">
        <f>_xll.BfX_Y("moa",E$12,0,$D19,"bft",300,$C19,"g7")</f>
        <v>2.0444628110096539</v>
      </c>
      <c r="F19" s="128">
        <f>_xll.BfX_Y("moa",F$12,0,$D19,"bft",300,$C19,"g7")</f>
        <v>1.9501572654825012</v>
      </c>
      <c r="G19" s="128">
        <f>_xll.BfX_Y("moa",G$12,0,$D19,"bft",300,$C19,"g7")</f>
        <v>1.8628843895052885</v>
      </c>
      <c r="H19" s="128">
        <f>_xll.BfX_Y("moa",H$12,0,$D19,"bft",300,$C19,"g7")</f>
        <v>1.7812762128649331</v>
      </c>
      <c r="I19" s="128">
        <f>_xll.BfX_Y("moa",I$12,0,$D19,"bft",300,$C19,"g7")</f>
        <v>1.7045668636689419</v>
      </c>
      <c r="J19" s="128">
        <f>_xll.BfX_Y("moa",J$12,0,$D19,"bft",300,$C19,"g7")</f>
        <v>1.6324255699615791</v>
      </c>
      <c r="L19" s="198" t="s">
        <v>761</v>
      </c>
      <c r="M19" s="199"/>
      <c r="N19" s="199"/>
      <c r="O19" s="199"/>
      <c r="P19" s="199"/>
      <c r="Q19" s="200"/>
    </row>
    <row r="20" spans="2:17" x14ac:dyDescent="0.3">
      <c r="B20" s="124" t="s">
        <v>358</v>
      </c>
      <c r="C20" s="126">
        <v>0.19</v>
      </c>
      <c r="D20" s="124">
        <v>2</v>
      </c>
      <c r="E20" s="128">
        <f>_xll.BfX_Y("moa",E$12,0,$D20,"bft",300,$C20,"g7")</f>
        <v>1.7804918838812889</v>
      </c>
      <c r="F20" s="128">
        <f>_xll.BfX_Y("moa",F$12,0,$D20,"bft",300,$C20,"g7")</f>
        <v>1.6989385396146504</v>
      </c>
      <c r="G20" s="128">
        <f>_xll.BfX_Y("moa",G$12,0,$D20,"bft",300,$C20,"g7")</f>
        <v>1.6234306321597451</v>
      </c>
      <c r="H20" s="128">
        <f>_xll.BfX_Y("moa",H$12,0,$D20,"bft",300,$C20,"g7")</f>
        <v>1.5527264507449354</v>
      </c>
      <c r="I20" s="128">
        <f>_xll.BfX_Y("moa",I$12,0,$D20,"bft",300,$C20,"g7")</f>
        <v>1.4861624977913528</v>
      </c>
      <c r="J20" s="128">
        <f>_xll.BfX_Y("moa",J$12,0,$D20,"bft",300,$C20,"g7")</f>
        <v>1.4234871294222127</v>
      </c>
      <c r="L20" s="201" t="s">
        <v>759</v>
      </c>
      <c r="M20" s="202"/>
      <c r="N20" s="202"/>
      <c r="O20" s="202"/>
      <c r="P20" s="202"/>
      <c r="Q20" s="203"/>
    </row>
    <row r="21" spans="2:17" ht="16.5" thickBot="1" x14ac:dyDescent="0.35">
      <c r="B21" s="134" t="s">
        <v>355</v>
      </c>
      <c r="C21" s="135">
        <v>0.112</v>
      </c>
      <c r="D21" s="134">
        <v>3</v>
      </c>
      <c r="E21" s="139">
        <f>_xll.BfX_Y("moa",E$12,0,$D21,"bft",300,$C21,"g7")</f>
        <v>6.2939065947396706</v>
      </c>
      <c r="F21" s="139">
        <f>_xll.BfX_Y("moa",F$12,0,$D21,"bft",300,$C21,"g7")</f>
        <v>5.9882454923988844</v>
      </c>
      <c r="G21" s="139">
        <f>_xll.BfX_Y("moa",G$12,0,$D21,"bft",300,$C21,"g7")</f>
        <v>5.7079578958626564</v>
      </c>
      <c r="H21" s="139">
        <f>_xll.BfX_Y("moa",H$12,0,$D21,"bft",300,$C21,"g7")</f>
        <v>5.4484514142253637</v>
      </c>
      <c r="I21" s="139">
        <f>_xll.BfX_Y("moa",I$12,0,$D21,"bft",300,$C21,"g7")</f>
        <v>5.2066904268655447</v>
      </c>
      <c r="J21" s="139">
        <f>_xll.BfX_Y("moa",J$12,0,$D21,"bft",300,$C21,"g7")</f>
        <v>4.9808043715369852</v>
      </c>
      <c r="L21" s="204" t="s">
        <v>760</v>
      </c>
      <c r="M21" s="205"/>
      <c r="N21" s="205"/>
      <c r="O21" s="205"/>
      <c r="P21" s="205"/>
      <c r="Q21" s="206"/>
    </row>
    <row r="22" spans="2:17" x14ac:dyDescent="0.3">
      <c r="B22" s="134" t="s">
        <v>356</v>
      </c>
      <c r="C22" s="135">
        <v>0.13300000000000001</v>
      </c>
      <c r="D22" s="134">
        <v>3</v>
      </c>
      <c r="E22" s="139">
        <f>_xll.BfX_Y("moa",E$12,0,$D22,"bft",300,$C22,"g7")</f>
        <v>5.0366841755913612</v>
      </c>
      <c r="F22" s="139">
        <f>_xll.BfX_Y("moa",F$12,0,$D22,"bft",300,$C22,"g7")</f>
        <v>4.7990976451569463</v>
      </c>
      <c r="G22" s="139">
        <f>_xll.BfX_Y("moa",G$12,0,$D22,"bft",300,$C22,"g7")</f>
        <v>4.5802000138553689</v>
      </c>
      <c r="H22" s="139">
        <f>_xll.BfX_Y("moa",H$12,0,$D22,"bft",300,$C22,"g7")</f>
        <v>4.3763156649358761</v>
      </c>
      <c r="I22" s="139">
        <f>_xll.BfX_Y("moa",I$12,0,$D22,"bft",300,$C22,"g7")</f>
        <v>4.1852876486967823</v>
      </c>
      <c r="J22" s="139">
        <f>_xll.BfX_Y("moa",J$12,0,$D22,"bft",300,$C22,"g7")</f>
        <v>4.0061036477366416</v>
      </c>
    </row>
    <row r="23" spans="2:17" x14ac:dyDescent="0.3">
      <c r="B23" s="134" t="s">
        <v>357</v>
      </c>
      <c r="C23" s="135">
        <v>0.16900000000000001</v>
      </c>
      <c r="D23" s="134">
        <v>3</v>
      </c>
      <c r="E23" s="139">
        <f>_xll.BfX_Y("moa",E$12,0,$D23,"bft",300,$C23,"g7")</f>
        <v>3.755916962158043</v>
      </c>
      <c r="F23" s="139">
        <f>_xll.BfX_Y("moa",F$12,0,$D23,"bft",300,$C23,"g7")</f>
        <v>3.5826667512346559</v>
      </c>
      <c r="G23" s="139">
        <f>_xll.BfX_Y("moa",G$12,0,$D23,"bft",300,$C23,"g7")</f>
        <v>3.4223363574736849</v>
      </c>
      <c r="H23" s="139">
        <f>_xll.BfX_Y("moa",H$12,0,$D23,"bft",300,$C23,"g7")</f>
        <v>3.2724126638124553</v>
      </c>
      <c r="I23" s="139">
        <f>_xll.BfX_Y("moa",I$12,0,$D23,"bft",300,$C23,"g7")</f>
        <v>3.1314886768342611</v>
      </c>
      <c r="J23" s="139">
        <f>_xll.BfX_Y("moa",J$12,0,$D23,"bft",300,$C23,"g7")</f>
        <v>2.9989567317661905</v>
      </c>
    </row>
    <row r="24" spans="2:17" x14ac:dyDescent="0.3">
      <c r="B24" s="134" t="s">
        <v>358</v>
      </c>
      <c r="C24" s="135">
        <v>0.19</v>
      </c>
      <c r="D24" s="134">
        <v>3</v>
      </c>
      <c r="E24" s="139">
        <f>_xll.BfX_Y("moa",E$12,0,$D24,"bft",300,$C24,"g7")</f>
        <v>3.2709717603805308</v>
      </c>
      <c r="F24" s="139">
        <f>_xll.BfX_Y("moa",F$12,0,$D24,"bft",300,$C24,"g7")</f>
        <v>3.121148791321847</v>
      </c>
      <c r="G24" s="139">
        <f>_xll.BfX_Y("moa",G$12,0,$D24,"bft",300,$C24,"g7")</f>
        <v>2.9824319846550678</v>
      </c>
      <c r="H24" s="139">
        <f>_xll.BfX_Y("moa",H$12,0,$D24,"bft",300,$C24,"g7")</f>
        <v>2.8525401751380297</v>
      </c>
      <c r="I24" s="139">
        <f>_xll.BfX_Y("moa",I$12,0,$D24,"bft",300,$C24,"g7")</f>
        <v>2.7302544418842616</v>
      </c>
      <c r="J24" s="139">
        <f>_xll.BfX_Y("moa",J$12,0,$D24,"bft",300,$C24,"g7")</f>
        <v>2.6151124869074032</v>
      </c>
    </row>
    <row r="25" spans="2:17" x14ac:dyDescent="0.3">
      <c r="B25" s="124" t="s">
        <v>355</v>
      </c>
      <c r="C25" s="126">
        <v>0.112</v>
      </c>
      <c r="D25" s="124">
        <v>4</v>
      </c>
      <c r="E25" s="128">
        <f>_xll.BfX_Y("moa",E$12,0,$D25,"bft",300,$C25,"g7")</f>
        <v>9.6900882746028358</v>
      </c>
      <c r="F25" s="128">
        <f>_xll.BfX_Y("moa",F$12,0,$D25,"bft",300,$C25,"g7")</f>
        <v>9.2194942803521176</v>
      </c>
      <c r="G25" s="128">
        <f>_xll.BfX_Y("moa",G$12,0,$D25,"bft",300,$C25,"g7")</f>
        <v>8.7879650071658038</v>
      </c>
      <c r="H25" s="128">
        <f>_xll.BfX_Y("moa",H$12,0,$D25,"bft",300,$C25,"g7")</f>
        <v>8.3884300835755479</v>
      </c>
      <c r="I25" s="128">
        <f>_xll.BfX_Y("moa",I$12,0,$D25,"bft",300,$C25,"g7")</f>
        <v>8.0162159191156004</v>
      </c>
      <c r="J25" s="128">
        <f>_xll.BfX_Y("moa",J$12,0,$D25,"bft",300,$C25,"g7")</f>
        <v>7.6684426326646697</v>
      </c>
    </row>
    <row r="26" spans="2:17" x14ac:dyDescent="0.3">
      <c r="B26" s="124" t="s">
        <v>356</v>
      </c>
      <c r="C26" s="126">
        <v>0.13300000000000001</v>
      </c>
      <c r="D26" s="124">
        <v>4</v>
      </c>
      <c r="E26" s="128">
        <f>_xll.BfX_Y("moa",E$12,0,$D26,"bft",300,$C26,"g7")</f>
        <v>7.754474968826587</v>
      </c>
      <c r="F26" s="128">
        <f>_xll.BfX_Y("moa",F$12,0,$D26,"bft",300,$C26,"g7")</f>
        <v>7.3886876020527303</v>
      </c>
      <c r="G26" s="128">
        <f>_xll.BfX_Y("moa",G$12,0,$D26,"bft",300,$C26,"g7")</f>
        <v>7.0516735113696756</v>
      </c>
      <c r="H26" s="128">
        <f>_xll.BfX_Y("moa",H$12,0,$D26,"bft",300,$C26,"g7")</f>
        <v>6.7377737515032692</v>
      </c>
      <c r="I26" s="128">
        <f>_xll.BfX_Y("moa",I$12,0,$D26,"bft",300,$C26,"g7")</f>
        <v>6.4436675056266939</v>
      </c>
      <c r="J26" s="128">
        <f>_xll.BfX_Y("moa",J$12,0,$D26,"bft",300,$C26,"g7")</f>
        <v>6.1677962258102221</v>
      </c>
    </row>
    <row r="27" spans="2:17" x14ac:dyDescent="0.3">
      <c r="B27" s="124" t="s">
        <v>357</v>
      </c>
      <c r="C27" s="126">
        <v>0.16900000000000001</v>
      </c>
      <c r="D27" s="124">
        <v>4</v>
      </c>
      <c r="E27" s="128">
        <f>_xll.BfX_Y("moa",E$12,0,$D27,"bft",300,$C27,"g7")</f>
        <v>5.7826092980786488</v>
      </c>
      <c r="F27" s="128">
        <f>_xll.BfX_Y("moa",F$12,0,$D27,"bft",300,$C27,"g7")</f>
        <v>5.5158735654765989</v>
      </c>
      <c r="G27" s="128">
        <f>_xll.BfX_Y("moa",G$12,0,$D27,"bft",300,$C27,"g7")</f>
        <v>5.2690291273438321</v>
      </c>
      <c r="H27" s="128">
        <f>_xll.BfX_Y("moa",H$12,0,$D27,"bft",300,$C27,"g7")</f>
        <v>5.0382068009120697</v>
      </c>
      <c r="I27" s="128">
        <f>_xll.BfX_Y("moa",I$12,0,$D27,"bft",300,$C27,"g7")</f>
        <v>4.8212403873772809</v>
      </c>
      <c r="J27" s="128">
        <f>_xll.BfX_Y("moa",J$12,0,$D27,"bft",300,$C27,"g7")</f>
        <v>4.6171943319499889</v>
      </c>
    </row>
    <row r="28" spans="2:17" x14ac:dyDescent="0.3">
      <c r="B28" s="124" t="s">
        <v>358</v>
      </c>
      <c r="C28" s="126">
        <v>0.19</v>
      </c>
      <c r="D28" s="124">
        <v>4</v>
      </c>
      <c r="E28" s="128">
        <f>_xll.BfX_Y("moa",E$12,0,$D28,"bft",300,$C28,"g7")</f>
        <v>5.0359883877073939</v>
      </c>
      <c r="F28" s="128">
        <f>_xll.BfX_Y("moa",F$12,0,$D28,"bft",300,$C28,"g7")</f>
        <v>4.8053211102618132</v>
      </c>
      <c r="G28" s="128">
        <f>_xll.BfX_Y("moa",G$12,0,$D28,"bft",300,$C28,"g7")</f>
        <v>4.5917528458218504</v>
      </c>
      <c r="H28" s="128">
        <f>_xll.BfX_Y("moa",H$12,0,$D28,"bft",300,$C28,"g7")</f>
        <v>4.3917715200578762</v>
      </c>
      <c r="I28" s="128">
        <f>_xll.BfX_Y("moa",I$12,0,$D28,"bft",300,$C28,"g7")</f>
        <v>4.2035004874910458</v>
      </c>
      <c r="J28" s="128">
        <f>_xll.BfX_Y("moa",J$12,0,$D28,"bft",300,$C28,"g7")</f>
        <v>4.0262279978119571</v>
      </c>
    </row>
    <row r="29" spans="2:17" x14ac:dyDescent="0.3">
      <c r="B29" s="134" t="s">
        <v>355</v>
      </c>
      <c r="C29" s="135">
        <v>0.112</v>
      </c>
      <c r="D29" s="134">
        <v>5</v>
      </c>
      <c r="E29" s="139">
        <f>_xll.BfX_Y("moa",E$12,0,$D29,"bft",300,$C29,"g7")</f>
        <v>13.542275871964151</v>
      </c>
      <c r="F29" s="139">
        <f>_xll.BfX_Y("moa",F$12,0,$D29,"bft",300,$C29,"g7")</f>
        <v>12.884605513822294</v>
      </c>
      <c r="G29" s="139">
        <f>_xll.BfX_Y("moa",G$12,0,$D29,"bft",300,$C29,"g7")</f>
        <v>12.28152896429776</v>
      </c>
      <c r="H29" s="139">
        <f>_xll.BfX_Y("moa",H$12,0,$D29,"bft",300,$C29,"g7")</f>
        <v>11.723165255973159</v>
      </c>
      <c r="I29" s="139">
        <f>_xll.BfX_Y("moa",I$12,0,$D29,"bft",300,$C29,"g7")</f>
        <v>11.202982970235038</v>
      </c>
      <c r="J29" s="139">
        <f>_xll.BfX_Y("moa",J$12,0,$D29,"bft",300,$C29,"g7")</f>
        <v>10.716957438081954</v>
      </c>
    </row>
    <row r="30" spans="2:17" x14ac:dyDescent="0.3">
      <c r="B30" s="134" t="s">
        <v>356</v>
      </c>
      <c r="C30" s="135">
        <v>0.13300000000000001</v>
      </c>
      <c r="D30" s="134">
        <v>5</v>
      </c>
      <c r="E30" s="139">
        <f>_xll.BfX_Y("moa",E$12,0,$D30,"bft",300,$C30,"g7")</f>
        <v>10.837190706394216</v>
      </c>
      <c r="F30" s="139">
        <f>_xll.BfX_Y("moa",F$12,0,$D30,"bft",300,$C30,"g7")</f>
        <v>10.325989684526389</v>
      </c>
      <c r="G30" s="139">
        <f>_xll.BfX_Y("moa",G$12,0,$D30,"bft",300,$C30,"g7")</f>
        <v>9.8550001549957376</v>
      </c>
      <c r="H30" s="139">
        <f>_xll.BfX_Y("moa",H$12,0,$D30,"bft",300,$C30,"g7")</f>
        <v>9.4163135864063676</v>
      </c>
      <c r="I30" s="139">
        <f>_xll.BfX_Y("moa",I$12,0,$D30,"bft",300,$C30,"g7")</f>
        <v>9.0052890525624782</v>
      </c>
      <c r="J30" s="139">
        <f>_xll.BfX_Y("moa",J$12,0,$D30,"bft",300,$C30,"g7")</f>
        <v>8.619748454919911</v>
      </c>
    </row>
    <row r="31" spans="2:17" x14ac:dyDescent="0.3">
      <c r="B31" s="134" t="s">
        <v>357</v>
      </c>
      <c r="C31" s="135">
        <v>0.16900000000000001</v>
      </c>
      <c r="D31" s="134">
        <v>5</v>
      </c>
      <c r="E31" s="139">
        <f>_xll.BfX_Y("moa",E$12,0,$D31,"bft",300,$C31,"g7")</f>
        <v>8.0814349089618247</v>
      </c>
      <c r="F31" s="139">
        <f>_xll.BfX_Y("moa",F$12,0,$D31,"bft",300,$C31,"g7")</f>
        <v>7.7086613497715204</v>
      </c>
      <c r="G31" s="139">
        <f>_xll.BfX_Y("moa",G$12,0,$D31,"bft",300,$C31,"g7")</f>
        <v>7.363686569229194</v>
      </c>
      <c r="H31" s="139">
        <f>_xll.BfX_Y("moa",H$12,0,$D31,"bft",300,$C31,"g7")</f>
        <v>7.0411032524376083</v>
      </c>
      <c r="I31" s="139">
        <f>_xll.BfX_Y("moa",I$12,0,$D31,"bft",300,$C31,"g7")</f>
        <v>6.7378840658943204</v>
      </c>
      <c r="J31" s="139">
        <f>_xll.BfX_Y("moa",J$12,0,$D31,"bft",300,$C31,"g7")</f>
        <v>6.4527215466202366</v>
      </c>
    </row>
    <row r="32" spans="2:17" x14ac:dyDescent="0.3">
      <c r="B32" s="134" t="s">
        <v>358</v>
      </c>
      <c r="C32" s="135">
        <v>0.19</v>
      </c>
      <c r="D32" s="134">
        <v>5</v>
      </c>
      <c r="E32" s="139">
        <f>_xll.BfX_Y("moa",E$12,0,$D32,"bft",300,$C32,"g7")</f>
        <v>7.0380029320767976</v>
      </c>
      <c r="F32" s="139">
        <f>_xll.BfX_Y("moa",F$12,0,$D32,"bft",300,$C32,"g7")</f>
        <v>6.7156362413492907</v>
      </c>
      <c r="G32" s="139">
        <f>_xll.BfX_Y("moa",G$12,0,$D32,"bft",300,$C32,"g7")</f>
        <v>6.4171660496460268</v>
      </c>
      <c r="H32" s="139">
        <f>_xll.BfX_Y("moa",H$12,0,$D32,"bft",300,$C32,"g7")</f>
        <v>6.1376841053390887</v>
      </c>
      <c r="I32" s="139">
        <f>_xll.BfX_Y("moa",I$12,0,$D32,"bft",300,$C32,"g7")</f>
        <v>5.8745677304487751</v>
      </c>
      <c r="J32" s="139">
        <f>_xll.BfX_Y("moa",J$12,0,$D32,"bft",300,$C32,"g7")</f>
        <v>5.6268222328996753</v>
      </c>
    </row>
    <row r="33" spans="2:11" x14ac:dyDescent="0.3">
      <c r="B33" s="124" t="s">
        <v>355</v>
      </c>
      <c r="C33" s="126">
        <v>0.112</v>
      </c>
      <c r="D33" s="124">
        <v>6</v>
      </c>
      <c r="E33" s="128">
        <f>_xll.BfX_Y("moa",E$12,0,$D33,"bft",300,$C33,"g7")</f>
        <v>17.801716904570259</v>
      </c>
      <c r="F33" s="128">
        <f>_xll.BfX_Y("moa",F$12,0,$D33,"bft",300,$C33,"g7")</f>
        <v>16.93719606713703</v>
      </c>
      <c r="G33" s="128">
        <f>_xll.BfX_Y("moa",G$12,0,$D33,"bft",300,$C33,"g7")</f>
        <v>16.144439088484585</v>
      </c>
      <c r="H33" s="128">
        <f>_xll.BfX_Y("moa",H$12,0,$D33,"bft",300,$C33,"g7")</f>
        <v>15.410457446914261</v>
      </c>
      <c r="I33" s="128">
        <f>_xll.BfX_Y("moa",I$12,0,$D33,"bft",300,$C33,"g7")</f>
        <v>14.726665610150759</v>
      </c>
      <c r="J33" s="128">
        <f>_xll.BfX_Y("moa",J$12,0,$D33,"bft",300,$C33,"g7")</f>
        <v>14.08777318443291</v>
      </c>
    </row>
    <row r="34" spans="2:11" x14ac:dyDescent="0.3">
      <c r="B34" s="124" t="s">
        <v>356</v>
      </c>
      <c r="C34" s="126">
        <v>0.13300000000000001</v>
      </c>
      <c r="D34" s="124">
        <v>6</v>
      </c>
      <c r="E34" s="128">
        <f>_xll.BfX_Y("moa",E$12,0,$D34,"bft",300,$C34,"g7")</f>
        <v>14.245822789364476</v>
      </c>
      <c r="F34" s="128">
        <f>_xll.BfX_Y("moa",F$12,0,$D34,"bft",300,$C34,"g7")</f>
        <v>13.573836230580097</v>
      </c>
      <c r="G34" s="128">
        <f>_xll.BfX_Y("moa",G$12,0,$D34,"bft",300,$C34,"g7")</f>
        <v>12.954708299252237</v>
      </c>
      <c r="H34" s="128">
        <f>_xll.BfX_Y("moa",H$12,0,$D34,"bft",300,$C34,"g7")</f>
        <v>12.378043127661869</v>
      </c>
      <c r="I34" s="128">
        <f>_xll.BfX_Y("moa",I$12,0,$D34,"bft",300,$C34,"g7")</f>
        <v>11.837740170507253</v>
      </c>
      <c r="J34" s="128">
        <f>_xll.BfX_Y("moa",J$12,0,$D34,"bft",300,$C34,"g7")</f>
        <v>11.330936318205826</v>
      </c>
    </row>
    <row r="35" spans="2:11" x14ac:dyDescent="0.3">
      <c r="B35" s="124" t="s">
        <v>357</v>
      </c>
      <c r="C35" s="126">
        <v>0.16900000000000001</v>
      </c>
      <c r="D35" s="124">
        <v>6</v>
      </c>
      <c r="E35" s="128">
        <f>_xll.BfX_Y("moa",E$12,0,$D35,"bft",300,$C35,"g7")</f>
        <v>10.62330782578494</v>
      </c>
      <c r="F35" s="128">
        <f>_xll.BfX_Y("moa",F$12,0,$D35,"bft",300,$C35,"g7")</f>
        <v>10.133286138345573</v>
      </c>
      <c r="G35" s="128">
        <f>_xll.BfX_Y("moa",G$12,0,$D35,"bft",300,$C35,"g7")</f>
        <v>9.6798065993550271</v>
      </c>
      <c r="H35" s="128">
        <f>_xll.BfX_Y("moa",H$12,0,$D35,"bft",300,$C35,"g7")</f>
        <v>9.2557611723367046</v>
      </c>
      <c r="I35" s="128">
        <f>_xll.BfX_Y("moa",I$12,0,$D35,"bft",300,$C35,"g7")</f>
        <v>8.8571703659399041</v>
      </c>
      <c r="J35" s="128">
        <f>_xll.BfX_Y("moa",J$12,0,$D35,"bft",300,$C35,"g7")</f>
        <v>8.4823155040498008</v>
      </c>
    </row>
    <row r="36" spans="2:11" ht="16.5" thickBot="1" x14ac:dyDescent="0.35">
      <c r="B36" s="125" t="s">
        <v>358</v>
      </c>
      <c r="C36" s="127">
        <v>0.19</v>
      </c>
      <c r="D36" s="125">
        <v>6</v>
      </c>
      <c r="E36" s="129">
        <f>_xll.BfX_Y("moa",E$12,0,$D36,"bft",300,$C36,"g7")</f>
        <v>9.2516857078244996</v>
      </c>
      <c r="F36" s="129">
        <f>_xll.BfX_Y("moa",F$12,0,$D36,"bft",300,$C36,"g7")</f>
        <v>8.8279249225969565</v>
      </c>
      <c r="G36" s="129">
        <f>_xll.BfX_Y("moa",G$12,0,$D36,"bft",300,$C36,"g7")</f>
        <v>8.4355767087037901</v>
      </c>
      <c r="H36" s="129">
        <f>_xll.BfX_Y("moa",H$12,0,$D36,"bft",300,$C36,"g7")</f>
        <v>8.0681890439083457</v>
      </c>
      <c r="I36" s="129">
        <f>_xll.BfX_Y("moa",I$12,0,$D36,"bft",300,$C36,"g7")</f>
        <v>7.7223143555509548</v>
      </c>
      <c r="J36" s="129">
        <f>_xll.BfX_Y("moa",J$12,0,$D36,"bft",300,$C36,"g7")</f>
        <v>7.3966451050248407</v>
      </c>
    </row>
    <row r="38" spans="2:11" ht="16.5" thickBot="1" x14ac:dyDescent="0.35"/>
    <row r="39" spans="2:11" ht="16.5" thickBot="1" x14ac:dyDescent="0.35">
      <c r="B39" s="341" t="s">
        <v>363</v>
      </c>
      <c r="C39" s="342"/>
      <c r="D39" s="342"/>
      <c r="E39" s="343"/>
      <c r="F39" s="343"/>
      <c r="G39" s="343"/>
      <c r="H39" s="343"/>
      <c r="I39" s="343"/>
      <c r="J39" s="344"/>
    </row>
    <row r="40" spans="2:11" ht="16.5" thickBot="1" x14ac:dyDescent="0.35">
      <c r="B40" s="130"/>
      <c r="C40" s="121"/>
      <c r="D40" s="121"/>
      <c r="E40" s="345" t="s">
        <v>359</v>
      </c>
      <c r="F40" s="346"/>
      <c r="G40" s="346"/>
      <c r="H40" s="346"/>
      <c r="I40" s="346"/>
      <c r="J40" s="347"/>
    </row>
    <row r="41" spans="2:11" ht="16.5" thickBot="1" x14ac:dyDescent="0.35">
      <c r="B41" s="123" t="s">
        <v>361</v>
      </c>
      <c r="C41" s="123" t="s">
        <v>346</v>
      </c>
      <c r="D41" s="131" t="s">
        <v>360</v>
      </c>
      <c r="E41" s="114">
        <v>800</v>
      </c>
      <c r="F41" s="115">
        <v>825</v>
      </c>
      <c r="G41" s="115">
        <v>850</v>
      </c>
      <c r="H41" s="115">
        <v>875</v>
      </c>
      <c r="I41" s="115">
        <v>900</v>
      </c>
      <c r="J41" s="117">
        <v>925</v>
      </c>
    </row>
    <row r="42" spans="2:11" x14ac:dyDescent="0.3">
      <c r="B42" s="134" t="s">
        <v>355</v>
      </c>
      <c r="C42" s="135">
        <v>0.112</v>
      </c>
      <c r="D42" s="134">
        <v>1</v>
      </c>
      <c r="E42" s="136">
        <f>_xll.BfX_Y("cm",E$12,0,$D42,"bft",300,$C42,"g7")</f>
        <v>10.570274569559567</v>
      </c>
      <c r="F42" s="136">
        <f>_xll.BfX_Y("cm",F$12,0,$D42,"bft",300,$C42,"g7")</f>
        <v>10.056932270818747</v>
      </c>
      <c r="G42" s="136">
        <f>_xll.BfX_Y("cm",G$12,0,$D42,"bft",300,$C42,"g7")</f>
        <v>9.5862036264702368</v>
      </c>
      <c r="H42" s="136">
        <f>_xll.BfX_Y("cm",H$12,0,$D42,"bft",300,$C42,"g7")</f>
        <v>9.1503759126367736</v>
      </c>
      <c r="I42" s="136">
        <f>_xll.BfX_Y("cm",I$12,0,$D42,"bft",300,$C42,"g7")</f>
        <v>8.7443509325511588</v>
      </c>
      <c r="J42" s="193">
        <f>_xll.BfX_Y("cm",J$12,0,$D42,"bft",300,$C42,"g7")</f>
        <v>8.3649871518081476</v>
      </c>
      <c r="K42" t="str">
        <f ca="1">_xll.BfX_Cell(J42)</f>
        <v>=BfX_Y("cm";J$12;0;$D42;"bft";300;$C42;"g7")</v>
      </c>
    </row>
    <row r="43" spans="2:11" x14ac:dyDescent="0.3">
      <c r="B43" s="134" t="s">
        <v>356</v>
      </c>
      <c r="C43" s="135">
        <v>0.13300000000000001</v>
      </c>
      <c r="D43" s="134">
        <v>1</v>
      </c>
      <c r="E43" s="137">
        <f>_xll.BfX_Y("cm",E$12,0,$D43,"bft",300,$C43,"g7")</f>
        <v>8.4588343446101817</v>
      </c>
      <c r="F43" s="137">
        <f>_xll.BfX_Y("cm",F$12,0,$D43,"bft",300,$C43,"g7")</f>
        <v>8.0598202891205482</v>
      </c>
      <c r="G43" s="137">
        <f>_xll.BfX_Y("cm",G$12,0,$D43,"bft",300,$C43,"g7")</f>
        <v>7.6921933229316606</v>
      </c>
      <c r="H43" s="137">
        <f>_xll.BfX_Y("cm",H$12,0,$D43,"bft",300,$C43,"g7")</f>
        <v>7.3497804246912057</v>
      </c>
      <c r="I43" s="137">
        <f>_xll.BfX_Y("cm",I$12,0,$D43,"bft",300,$C43,"g7")</f>
        <v>7.02895909898717</v>
      </c>
      <c r="J43" s="137">
        <f>_xll.BfX_Y("cm",J$12,0,$D43,"bft",300,$C43,"g7")</f>
        <v>6.7280292023113777</v>
      </c>
    </row>
    <row r="44" spans="2:11" x14ac:dyDescent="0.3">
      <c r="B44" s="134" t="s">
        <v>357</v>
      </c>
      <c r="C44" s="135">
        <v>0.16900000000000001</v>
      </c>
      <c r="D44" s="134">
        <v>1</v>
      </c>
      <c r="E44" s="137">
        <f>_xll.BfX_Y("cm",E$12,0,$D44,"bft",300,$C44,"g7")</f>
        <v>6.3078541747195844</v>
      </c>
      <c r="F44" s="137">
        <f>_xll.BfX_Y("cm",F$12,0,$D44,"bft",300,$C44,"g7")</f>
        <v>6.0168898409321994</v>
      </c>
      <c r="G44" s="137">
        <f>_xll.BfX_Y("cm",G$12,0,$D44,"bft",300,$C44,"g7")</f>
        <v>5.7476236666823279</v>
      </c>
      <c r="H44" s="137">
        <f>_xll.BfX_Y("cm",H$12,0,$D44,"bft",300,$C44,"g7")</f>
        <v>5.495835001763921</v>
      </c>
      <c r="I44" s="137">
        <f>_xll.BfX_Y("cm",I$12,0,$D44,"bft",300,$C44,"g7")</f>
        <v>5.2591608723488656</v>
      </c>
      <c r="J44" s="137">
        <f>_xll.BfX_Y("cm",J$12,0,$D44,"bft",300,$C44,"g7")</f>
        <v>5.0365807345282567</v>
      </c>
    </row>
    <row r="45" spans="2:11" x14ac:dyDescent="0.3">
      <c r="B45" s="134" t="s">
        <v>358</v>
      </c>
      <c r="C45" s="135">
        <v>0.19</v>
      </c>
      <c r="D45" s="134">
        <v>1</v>
      </c>
      <c r="E45" s="137">
        <f>_xll.BfX_Y("cm",E$12,0,$D45,"bft",300,$C45,"g7")</f>
        <v>5.4934150831566306</v>
      </c>
      <c r="F45" s="137">
        <f>_xll.BfX_Y("cm",F$12,0,$D45,"bft",300,$C45,"g7")</f>
        <v>5.2417956007941244</v>
      </c>
      <c r="G45" s="137">
        <f>_xll.BfX_Y("cm",G$12,0,$D45,"bft",300,$C45,"g7")</f>
        <v>5.0088283285204858</v>
      </c>
      <c r="H45" s="137">
        <f>_xll.BfX_Y("cm",H$12,0,$D45,"bft",300,$C45,"g7")</f>
        <v>4.790682169971114</v>
      </c>
      <c r="I45" s="137">
        <f>_xll.BfX_Y("cm",I$12,0,$D45,"bft",300,$C45,"g7")</f>
        <v>4.5853100111820702</v>
      </c>
      <c r="J45" s="137">
        <f>_xll.BfX_Y("cm",J$12,0,$D45,"bft",300,$C45,"g7")</f>
        <v>4.3919354454547737</v>
      </c>
    </row>
    <row r="46" spans="2:11" x14ac:dyDescent="0.3">
      <c r="B46" s="124" t="s">
        <v>355</v>
      </c>
      <c r="C46" s="126">
        <v>0.112</v>
      </c>
      <c r="D46" s="124">
        <v>2</v>
      </c>
      <c r="E46" s="132">
        <f>_xll.BfX_Y("cm",E$12,0,$D46,"bft",300,$C46,"g7")</f>
        <v>29.897251308557141</v>
      </c>
      <c r="F46" s="132">
        <f>_xll.BfX_Y("cm",F$12,0,$D46,"bft",300,$C46,"g7")</f>
        <v>28.445300026519039</v>
      </c>
      <c r="G46" s="132">
        <f>_xll.BfX_Y("cm",G$12,0,$D46,"bft",300,$C46,"g7")</f>
        <v>27.113878360448712</v>
      </c>
      <c r="H46" s="132">
        <f>_xll.BfX_Y("cm",H$12,0,$D46,"bft",300,$C46,"g7")</f>
        <v>25.881171432926024</v>
      </c>
      <c r="I46" s="132">
        <f>_xll.BfX_Y("cm",I$12,0,$D46,"bft",300,$C46,"g7")</f>
        <v>24.732759365927343</v>
      </c>
      <c r="J46" s="132">
        <f>_xll.BfX_Y("cm",J$12,0,$D46,"bft",300,$C46,"g7")</f>
        <v>23.659756558327544</v>
      </c>
    </row>
    <row r="47" spans="2:11" x14ac:dyDescent="0.3">
      <c r="B47" s="124" t="s">
        <v>356</v>
      </c>
      <c r="C47" s="126">
        <v>0.13300000000000001</v>
      </c>
      <c r="D47" s="124">
        <v>2</v>
      </c>
      <c r="E47" s="132">
        <f>_xll.BfX_Y("cm",E$12,0,$D47,"bft",300,$C47,"g7")</f>
        <v>23.925196504030101</v>
      </c>
      <c r="F47" s="132">
        <f>_xll.BfX_Y("cm",F$12,0,$D47,"bft",300,$C47,"g7")</f>
        <v>22.796614326328239</v>
      </c>
      <c r="G47" s="132">
        <f>_xll.BfX_Y("cm",G$12,0,$D47,"bft",300,$C47,"g7")</f>
        <v>21.756808243371442</v>
      </c>
      <c r="H47" s="132">
        <f>_xll.BfX_Y("cm",H$12,0,$D47,"bft",300,$C47,"g7")</f>
        <v>20.788318314125188</v>
      </c>
      <c r="I47" s="132">
        <f>_xll.BfX_Y("cm",I$12,0,$D47,"bft",300,$C47,"g7")</f>
        <v>19.880898574306851</v>
      </c>
      <c r="J47" s="132">
        <f>_xll.BfX_Y("cm",J$12,0,$D47,"bft",300,$C47,"g7")</f>
        <v>19.029740291901977</v>
      </c>
    </row>
    <row r="48" spans="2:11" x14ac:dyDescent="0.3">
      <c r="B48" s="124" t="s">
        <v>357</v>
      </c>
      <c r="C48" s="126">
        <v>0.16900000000000001</v>
      </c>
      <c r="D48" s="124">
        <v>2</v>
      </c>
      <c r="E48" s="132">
        <f>_xll.BfX_Y("cm",E$12,0,$D48,"bft",300,$C48,"g7")</f>
        <v>17.84130584672037</v>
      </c>
      <c r="F48" s="132">
        <f>_xll.BfX_Y("cm",F$12,0,$D48,"bft",300,$C48,"g7")</f>
        <v>17.018334432702421</v>
      </c>
      <c r="G48" s="132">
        <f>_xll.BfX_Y("cm",G$12,0,$D48,"bft",300,$C48,"g7")</f>
        <v>16.25673468167745</v>
      </c>
      <c r="H48" s="132">
        <f>_xll.BfX_Y("cm",H$12,0,$D48,"bft",300,$C48,"g7")</f>
        <v>15.544568792118602</v>
      </c>
      <c r="I48" s="132">
        <f>_xll.BfX_Y("cm",I$12,0,$D48,"bft",300,$C48,"g7")</f>
        <v>14.875153264755367</v>
      </c>
      <c r="J48" s="132">
        <f>_xll.BfX_Y("cm",J$12,0,$D48,"bft",300,$C48,"g7")</f>
        <v>14.245601565513812</v>
      </c>
    </row>
    <row r="49" spans="2:10" x14ac:dyDescent="0.3">
      <c r="B49" s="124" t="s">
        <v>358</v>
      </c>
      <c r="C49" s="126">
        <v>0.19</v>
      </c>
      <c r="D49" s="124">
        <v>2</v>
      </c>
      <c r="E49" s="132">
        <f>_xll.BfX_Y("cm",E$12,0,$D49,"bft",300,$C49,"g7")</f>
        <v>15.537724228690063</v>
      </c>
      <c r="F49" s="132">
        <f>_xll.BfX_Y("cm",F$12,0,$D49,"bft",300,$C49,"g7")</f>
        <v>14.826036859661354</v>
      </c>
      <c r="G49" s="132">
        <f>_xll.BfX_Y("cm",G$12,0,$D49,"bft",300,$C49,"g7")</f>
        <v>14.167105907584462</v>
      </c>
      <c r="H49" s="132">
        <f>_xll.BfX_Y("cm",H$12,0,$D49,"bft",300,$C49,"g7")</f>
        <v>13.550095395584236</v>
      </c>
      <c r="I49" s="132">
        <f>_xll.BfX_Y("cm",I$12,0,$D49,"bft",300,$C49,"g7")</f>
        <v>12.969215210997623</v>
      </c>
      <c r="J49" s="132">
        <f>_xll.BfX_Y("cm",J$12,0,$D49,"bft",300,$C49,"g7")</f>
        <v>12.422269344058524</v>
      </c>
    </row>
    <row r="50" spans="2:10" x14ac:dyDescent="0.3">
      <c r="B50" s="134" t="s">
        <v>355</v>
      </c>
      <c r="C50" s="135">
        <v>0.112</v>
      </c>
      <c r="D50" s="134">
        <v>3</v>
      </c>
      <c r="E50" s="137">
        <f>_xll.BfX_Y("cm",E$12,0,$D50,"bft",300,$C50,"g7")</f>
        <v>54.924757813291244</v>
      </c>
      <c r="F50" s="137">
        <f>_xll.BfX_Y("cm",F$12,0,$D50,"bft",300,$C50,"g7")</f>
        <v>52.257352984011327</v>
      </c>
      <c r="G50" s="137">
        <f>_xll.BfX_Y("cm",G$12,0,$D50,"bft",300,$C50,"g7")</f>
        <v>49.811375198242423</v>
      </c>
      <c r="H50" s="137">
        <f>_xll.BfX_Y("cm",H$12,0,$D50,"bft",300,$C50,"g7")</f>
        <v>47.54674796712397</v>
      </c>
      <c r="I50" s="137">
        <f>_xll.BfX_Y("cm",I$12,0,$D50,"bft",300,$C50,"g7")</f>
        <v>45.436980283172694</v>
      </c>
      <c r="J50" s="137">
        <f>_xll.BfX_Y("cm",J$12,0,$D50,"bft",300,$C50,"g7")</f>
        <v>43.465748254777751</v>
      </c>
    </row>
    <row r="51" spans="2:10" x14ac:dyDescent="0.3">
      <c r="B51" s="134" t="s">
        <v>356</v>
      </c>
      <c r="C51" s="135">
        <v>0.13300000000000001</v>
      </c>
      <c r="D51" s="134">
        <v>3</v>
      </c>
      <c r="E51" s="137">
        <f>_xll.BfX_Y("cm",E$12,0,$D51,"bft",300,$C51,"g7")</f>
        <v>43.95339257302026</v>
      </c>
      <c r="F51" s="137">
        <f>_xll.BfX_Y("cm",F$12,0,$D51,"bft",300,$C51,"g7")</f>
        <v>41.880054721893799</v>
      </c>
      <c r="G51" s="137">
        <f>_xll.BfX_Y("cm",G$12,0,$D51,"bft",300,$C51,"g7")</f>
        <v>39.969808970879122</v>
      </c>
      <c r="H51" s="137">
        <f>_xll.BfX_Y("cm",H$12,0,$D51,"bft",300,$C51,"g7")</f>
        <v>38.190579360120992</v>
      </c>
      <c r="I51" s="137">
        <f>_xll.BfX_Y("cm",I$12,0,$D51,"bft",300,$C51,"g7")</f>
        <v>36.523542851308001</v>
      </c>
      <c r="J51" s="137">
        <f>_xll.BfX_Y("cm",J$12,0,$D51,"bft",300,$C51,"g7")</f>
        <v>34.959865239631227</v>
      </c>
    </row>
    <row r="52" spans="2:10" x14ac:dyDescent="0.3">
      <c r="B52" s="134" t="s">
        <v>357</v>
      </c>
      <c r="C52" s="135">
        <v>0.16900000000000001</v>
      </c>
      <c r="D52" s="134">
        <v>3</v>
      </c>
      <c r="E52" s="137">
        <f>_xll.BfX_Y("cm",E$12,0,$D52,"bft",300,$C52,"g7")</f>
        <v>32.776571752049314</v>
      </c>
      <c r="F52" s="137">
        <f>_xll.BfX_Y("cm",F$12,0,$D52,"bft",300,$C52,"g7")</f>
        <v>31.264676724118768</v>
      </c>
      <c r="G52" s="137">
        <f>_xll.BfX_Y("cm",G$12,0,$D52,"bft",300,$C52,"g7")</f>
        <v>29.865528640437351</v>
      </c>
      <c r="H52" s="137">
        <f>_xll.BfX_Y("cm",H$12,0,$D52,"bft",300,$C52,"g7")</f>
        <v>28.557196359211506</v>
      </c>
      <c r="I52" s="137">
        <f>_xll.BfX_Y("cm",I$12,0,$D52,"bft",300,$C52,"g7")</f>
        <v>27.327401508259481</v>
      </c>
      <c r="J52" s="137">
        <f>_xll.BfX_Y("cm",J$12,0,$D52,"bft",300,$C52,"g7")</f>
        <v>26.170841185876547</v>
      </c>
    </row>
    <row r="53" spans="2:10" x14ac:dyDescent="0.3">
      <c r="B53" s="134" t="s">
        <v>358</v>
      </c>
      <c r="C53" s="135">
        <v>0.19</v>
      </c>
      <c r="D53" s="134">
        <v>3</v>
      </c>
      <c r="E53" s="137">
        <f>_xll.BfX_Y("cm",E$12,0,$D53,"bft",300,$C53,"g7")</f>
        <v>28.544622093277482</v>
      </c>
      <c r="F53" s="137">
        <f>_xll.BfX_Y("cm",F$12,0,$D53,"bft",300,$C53,"g7")</f>
        <v>27.237168910399351</v>
      </c>
      <c r="G53" s="137">
        <f>_xll.BfX_Y("cm",G$12,0,$D53,"bft",300,$C53,"g7")</f>
        <v>26.026635454163333</v>
      </c>
      <c r="H53" s="137">
        <f>_xll.BfX_Y("cm",H$12,0,$D53,"bft",300,$C53,"g7")</f>
        <v>24.893114763912866</v>
      </c>
      <c r="I53" s="137">
        <f>_xll.BfX_Y("cm",I$12,0,$D53,"bft",300,$C53,"g7")</f>
        <v>23.825969723464684</v>
      </c>
      <c r="J53" s="137">
        <f>_xll.BfX_Y("cm",J$12,0,$D53,"bft",300,$C53,"g7")</f>
        <v>22.821166005270953</v>
      </c>
    </row>
    <row r="54" spans="2:10" x14ac:dyDescent="0.3">
      <c r="B54" s="124" t="s">
        <v>355</v>
      </c>
      <c r="C54" s="126">
        <v>0.112</v>
      </c>
      <c r="D54" s="124">
        <v>4</v>
      </c>
      <c r="E54" s="132">
        <f>_xll.BfX_Y("cm",E$12,0,$D54,"bft",300,$C54,"g7")</f>
        <v>84.562196556476536</v>
      </c>
      <c r="F54" s="132">
        <f>_xll.BfX_Y("cm",F$12,0,$D54,"bft",300,$C54,"g7")</f>
        <v>80.455458166549974</v>
      </c>
      <c r="G54" s="132">
        <f>_xll.BfX_Y("cm",G$12,0,$D54,"bft",300,$C54,"g7")</f>
        <v>76.689629011761895</v>
      </c>
      <c r="H54" s="132">
        <f>_xll.BfX_Y("cm",H$12,0,$D54,"bft",300,$C54,"g7")</f>
        <v>73.203007301094189</v>
      </c>
      <c r="I54" s="132">
        <f>_xll.BfX_Y("cm",I$12,0,$D54,"bft",300,$C54,"g7")</f>
        <v>69.95480746040927</v>
      </c>
      <c r="J54" s="132">
        <f>_xll.BfX_Y("cm",J$12,0,$D54,"bft",300,$C54,"g7")</f>
        <v>66.91989721446518</v>
      </c>
    </row>
    <row r="55" spans="2:10" x14ac:dyDescent="0.3">
      <c r="B55" s="124" t="s">
        <v>356</v>
      </c>
      <c r="C55" s="126">
        <v>0.13300000000000001</v>
      </c>
      <c r="D55" s="124">
        <v>4</v>
      </c>
      <c r="E55" s="132">
        <f>_xll.BfX_Y("cm",E$12,0,$D55,"bft",300,$C55,"g7")</f>
        <v>67.670674756881454</v>
      </c>
      <c r="F55" s="132">
        <f>_xll.BfX_Y("cm",F$12,0,$D55,"bft",300,$C55,"g7")</f>
        <v>64.478562312964385</v>
      </c>
      <c r="G55" s="132">
        <f>_xll.BfX_Y("cm",G$12,0,$D55,"bft",300,$C55,"g7")</f>
        <v>61.537546583453285</v>
      </c>
      <c r="H55" s="132">
        <f>_xll.BfX_Y("cm",H$12,0,$D55,"bft",300,$C55,"g7")</f>
        <v>58.798243397529646</v>
      </c>
      <c r="I55" s="132">
        <f>_xll.BfX_Y("cm",I$12,0,$D55,"bft",300,$C55,"g7")</f>
        <v>56.23167279189736</v>
      </c>
      <c r="J55" s="132">
        <f>_xll.BfX_Y("cm",J$12,0,$D55,"bft",300,$C55,"g7")</f>
        <v>53.824233618491022</v>
      </c>
    </row>
    <row r="56" spans="2:10" x14ac:dyDescent="0.3">
      <c r="B56" s="124" t="s">
        <v>357</v>
      </c>
      <c r="C56" s="126">
        <v>0.16900000000000001</v>
      </c>
      <c r="D56" s="124">
        <v>4</v>
      </c>
      <c r="E56" s="132">
        <f>_xll.BfX_Y("cm",E$12,0,$D56,"bft",300,$C56,"g7")</f>
        <v>50.462833397756675</v>
      </c>
      <c r="F56" s="132">
        <f>_xll.BfX_Y("cm",F$12,0,$D56,"bft",300,$C56,"g7")</f>
        <v>48.135118727457595</v>
      </c>
      <c r="G56" s="132">
        <f>_xll.BfX_Y("cm",G$12,0,$D56,"bft",300,$C56,"g7")</f>
        <v>45.980989333458623</v>
      </c>
      <c r="H56" s="132">
        <f>_xll.BfX_Y("cm",H$12,0,$D56,"bft",300,$C56,"g7")</f>
        <v>43.966680014111368</v>
      </c>
      <c r="I56" s="132">
        <f>_xll.BfX_Y("cm",I$12,0,$D56,"bft",300,$C56,"g7")</f>
        <v>42.073286978790925</v>
      </c>
      <c r="J56" s="132">
        <f>_xll.BfX_Y("cm",J$12,0,$D56,"bft",300,$C56,"g7")</f>
        <v>40.292645876226054</v>
      </c>
    </row>
    <row r="57" spans="2:10" x14ac:dyDescent="0.3">
      <c r="B57" s="124" t="s">
        <v>358</v>
      </c>
      <c r="C57" s="126">
        <v>0.19</v>
      </c>
      <c r="D57" s="124">
        <v>4</v>
      </c>
      <c r="E57" s="132">
        <f>_xll.BfX_Y("cm",E$12,0,$D57,"bft",300,$C57,"g7")</f>
        <v>43.947320665253045</v>
      </c>
      <c r="F57" s="132">
        <f>_xll.BfX_Y("cm",F$12,0,$D57,"bft",300,$C57,"g7")</f>
        <v>41.934364806352995</v>
      </c>
      <c r="G57" s="132">
        <f>_xll.BfX_Y("cm",G$12,0,$D57,"bft",300,$C57,"g7")</f>
        <v>40.070626628163886</v>
      </c>
      <c r="H57" s="132">
        <f>_xll.BfX_Y("cm",H$12,0,$D57,"bft",300,$C57,"g7")</f>
        <v>38.325457359768912</v>
      </c>
      <c r="I57" s="132">
        <f>_xll.BfX_Y("cm",I$12,0,$D57,"bft",300,$C57,"g7")</f>
        <v>36.682480089456561</v>
      </c>
      <c r="J57" s="132">
        <f>_xll.BfX_Y("cm",J$12,0,$D57,"bft",300,$C57,"g7")</f>
        <v>35.135483563638189</v>
      </c>
    </row>
    <row r="58" spans="2:10" x14ac:dyDescent="0.3">
      <c r="B58" s="134" t="s">
        <v>355</v>
      </c>
      <c r="C58" s="135">
        <v>0.112</v>
      </c>
      <c r="D58" s="134">
        <v>5</v>
      </c>
      <c r="E58" s="137">
        <f>_xll.BfX_Y("cm",E$12,0,$D58,"bft",300,$C58,"g7")</f>
        <v>118.17926239186262</v>
      </c>
      <c r="F58" s="137">
        <f>_xll.BfX_Y("cm",F$12,0,$D58,"bft",300,$C58,"g7")</f>
        <v>112.4399210133102</v>
      </c>
      <c r="G58" s="137">
        <f>_xll.BfX_Y("cm",G$12,0,$D58,"bft",300,$C58,"g7")</f>
        <v>107.17701477471229</v>
      </c>
      <c r="H58" s="137">
        <f>_xll.BfX_Y("cm",H$12,0,$D58,"bft",300,$C58,"g7")</f>
        <v>102.30431280166252</v>
      </c>
      <c r="I58" s="137">
        <f>_xll.BfX_Y("cm",I$12,0,$D58,"bft",300,$C58,"g7")</f>
        <v>97.764815521490362</v>
      </c>
      <c r="J58" s="137">
        <f>_xll.BfX_Y("cm",J$12,0,$D58,"bft",300,$C58,"g7")</f>
        <v>93.523399511776859</v>
      </c>
    </row>
    <row r="59" spans="2:10" x14ac:dyDescent="0.3">
      <c r="B59" s="134" t="s">
        <v>356</v>
      </c>
      <c r="C59" s="135">
        <v>0.13300000000000001</v>
      </c>
      <c r="D59" s="134">
        <v>5</v>
      </c>
      <c r="E59" s="137">
        <f>_xll.BfX_Y("cm",E$12,0,$D59,"bft",300,$C59,"g7")</f>
        <v>94.572643024791262</v>
      </c>
      <c r="F59" s="137">
        <f>_xll.BfX_Y("cm",F$12,0,$D59,"bft",300,$C59,"g7")</f>
        <v>90.111530264527786</v>
      </c>
      <c r="G59" s="137">
        <f>_xll.BfX_Y("cm",G$12,0,$D59,"bft",300,$C59,"g7")</f>
        <v>86.001335830725949</v>
      </c>
      <c r="H59" s="137">
        <f>_xll.BfX_Y("cm",H$12,0,$D59,"bft",300,$C59,"g7")</f>
        <v>82.173043246534064</v>
      </c>
      <c r="I59" s="137">
        <f>_xll.BfX_Y("cm",I$12,0,$D59,"bft",300,$C59,"g7")</f>
        <v>78.586151782004933</v>
      </c>
      <c r="J59" s="137">
        <f>_xll.BfX_Y("cm",J$12,0,$D59,"bft",300,$C59,"g7")</f>
        <v>75.221653254859632</v>
      </c>
    </row>
    <row r="60" spans="2:10" x14ac:dyDescent="0.3">
      <c r="B60" s="134" t="s">
        <v>357</v>
      </c>
      <c r="C60" s="135">
        <v>0.16900000000000001</v>
      </c>
      <c r="D60" s="134">
        <v>5</v>
      </c>
      <c r="E60" s="137">
        <f>_xll.BfX_Y("cm",E$12,0,$D60,"bft",300,$C60,"g7")</f>
        <v>70.523953634144149</v>
      </c>
      <c r="F60" s="137">
        <f>_xll.BfX_Y("cm",F$12,0,$D60,"bft",300,$C60,"g7")</f>
        <v>67.270873487261468</v>
      </c>
      <c r="G60" s="137">
        <f>_xll.BfX_Y("cm",G$12,0,$D60,"bft",300,$C60,"g7")</f>
        <v>64.260386138941399</v>
      </c>
      <c r="H60" s="137">
        <f>_xll.BfX_Y("cm",H$12,0,$D60,"bft",300,$C60,"g7")</f>
        <v>61.44530328533402</v>
      </c>
      <c r="I60" s="137">
        <f>_xll.BfX_Y("cm",I$12,0,$D60,"bft",300,$C60,"g7")</f>
        <v>58.799206075895789</v>
      </c>
      <c r="J60" s="137">
        <f>_xll.BfX_Y("cm",J$12,0,$D60,"bft",300,$C60,"g7")</f>
        <v>56.310684482855031</v>
      </c>
    </row>
    <row r="61" spans="2:10" x14ac:dyDescent="0.3">
      <c r="B61" s="134" t="s">
        <v>358</v>
      </c>
      <c r="C61" s="135">
        <v>0.19</v>
      </c>
      <c r="D61" s="134">
        <v>5</v>
      </c>
      <c r="E61" s="137">
        <f>_xll.BfX_Y("cm",E$12,0,$D61,"bft",300,$C61,"g7")</f>
        <v>61.418247772804442</v>
      </c>
      <c r="F61" s="137">
        <f>_xll.BfX_Y("cm",F$12,0,$D61,"bft",300,$C61,"g7")</f>
        <v>58.605056437675074</v>
      </c>
      <c r="G61" s="137">
        <f>_xll.BfX_Y("cm",G$12,0,$D61,"bft",300,$C61,"g7")</f>
        <v>56.00040315099227</v>
      </c>
      <c r="H61" s="137">
        <f>_xll.BfX_Y("cm",H$12,0,$D61,"bft",300,$C61,"g7")</f>
        <v>53.561454953258057</v>
      </c>
      <c r="I61" s="137">
        <f>_xll.BfX_Y("cm",I$12,0,$D61,"bft",300,$C61,"g7")</f>
        <v>51.265324414567147</v>
      </c>
      <c r="J61" s="137">
        <f>_xll.BfX_Y("cm",J$12,0,$D61,"bft",300,$C61,"g7")</f>
        <v>49.103331044138478</v>
      </c>
    </row>
    <row r="62" spans="2:10" x14ac:dyDescent="0.3">
      <c r="B62" s="124" t="s">
        <v>355</v>
      </c>
      <c r="C62" s="126">
        <v>0.112</v>
      </c>
      <c r="D62" s="124">
        <v>6</v>
      </c>
      <c r="E62" s="132">
        <f>_xll.BfX_Y("cm",E$12,0,$D62,"bft",300,$C62,"g7")</f>
        <v>155.3506748192282</v>
      </c>
      <c r="F62" s="132">
        <f>_xll.BfX_Y("cm",F$12,0,$D62,"bft",300,$C62,"g7")</f>
        <v>147.80611464741392</v>
      </c>
      <c r="G62" s="132">
        <f>_xll.BfX_Y("cm",G$12,0,$D62,"bft",300,$C62,"g7")</f>
        <v>140.88784473161851</v>
      </c>
      <c r="H62" s="132">
        <f>_xll.BfX_Y("cm",H$12,0,$D62,"bft",300,$C62,"g7")</f>
        <v>134.48251164368421</v>
      </c>
      <c r="I62" s="132">
        <f>_xll.BfX_Y("cm",I$12,0,$D62,"bft",300,$C62,"g7")</f>
        <v>128.51518749948349</v>
      </c>
      <c r="J62" s="132">
        <f>_xll.BfX_Y("cm",J$12,0,$D62,"bft",300,$C62,"g7")</f>
        <v>122.93970136120275</v>
      </c>
    </row>
    <row r="63" spans="2:10" x14ac:dyDescent="0.3">
      <c r="B63" s="124" t="s">
        <v>356</v>
      </c>
      <c r="C63" s="126">
        <v>0.13300000000000001</v>
      </c>
      <c r="D63" s="124">
        <v>6</v>
      </c>
      <c r="E63" s="132">
        <f>_xll.BfX_Y("cm",E$12,0,$D63,"bft",300,$C63,"g7")</f>
        <v>124.31896777814821</v>
      </c>
      <c r="F63" s="132">
        <f>_xll.BfX_Y("cm",F$12,0,$D63,"bft",300,$C63,"g7")</f>
        <v>118.45468276125919</v>
      </c>
      <c r="G63" s="132">
        <f>_xll.BfX_Y("cm",G$12,0,$D63,"bft",300,$C63,"g7")</f>
        <v>113.05169186415813</v>
      </c>
      <c r="H63" s="132">
        <f>_xll.BfX_Y("cm",H$12,0,$D63,"bft",300,$C63,"g7")</f>
        <v>108.01927057193821</v>
      </c>
      <c r="I63" s="132">
        <f>_xll.BfX_Y("cm",I$12,0,$D63,"bft",300,$C63,"g7")</f>
        <v>103.30417929246936</v>
      </c>
      <c r="J63" s="132">
        <f>_xll.BfX_Y("cm",J$12,0,$D63,"bft",300,$C63,"g7")</f>
        <v>98.881431121244447</v>
      </c>
    </row>
    <row r="64" spans="2:10" x14ac:dyDescent="0.3">
      <c r="B64" s="124" t="s">
        <v>357</v>
      </c>
      <c r="C64" s="126">
        <v>0.16900000000000001</v>
      </c>
      <c r="D64" s="124">
        <v>6</v>
      </c>
      <c r="E64" s="132">
        <f>_xll.BfX_Y("cm",E$12,0,$D64,"bft",300,$C64,"g7")</f>
        <v>92.706144599686041</v>
      </c>
      <c r="F64" s="132">
        <f>_xll.BfX_Y("cm",F$12,0,$D64,"bft",300,$C64,"g7")</f>
        <v>88.42985969291837</v>
      </c>
      <c r="G64" s="132">
        <f>_xll.BfX_Y("cm",G$12,0,$D64,"bft",300,$C64,"g7")</f>
        <v>84.472471301497208</v>
      </c>
      <c r="H64" s="132">
        <f>_xll.BfX_Y("cm",H$12,0,$D64,"bft",300,$C64,"g7")</f>
        <v>80.771948789096953</v>
      </c>
      <c r="I64" s="132">
        <f>_xll.BfX_Y("cm",I$12,0,$D64,"bft",300,$C64,"g7")</f>
        <v>77.293563674791059</v>
      </c>
      <c r="J64" s="132">
        <f>_xll.BfX_Y("cm",J$12,0,$D64,"bft",300,$C64,"g7")</f>
        <v>74.02231708755798</v>
      </c>
    </row>
    <row r="65" spans="2:10" ht="16.5" thickBot="1" x14ac:dyDescent="0.35">
      <c r="B65" s="125" t="s">
        <v>358</v>
      </c>
      <c r="C65" s="127">
        <v>0.19</v>
      </c>
      <c r="D65" s="125">
        <v>6</v>
      </c>
      <c r="E65" s="133">
        <f>_xll.BfX_Y("cm",E$12,0,$D65,"bft",300,$C65,"g7")</f>
        <v>80.736383394255398</v>
      </c>
      <c r="F65" s="133">
        <f>_xll.BfX_Y("cm",F$12,0,$D65,"bft",300,$C65,"g7")</f>
        <v>77.038347347467166</v>
      </c>
      <c r="G65" s="133">
        <f>_xll.BfX_Y("cm",G$12,0,$D65,"bft",300,$C65,"g7")</f>
        <v>73.614441684436443</v>
      </c>
      <c r="H65" s="133">
        <f>_xll.BfX_Y("cm",H$12,0,$D65,"bft",300,$C65,"g7")</f>
        <v>70.408361017670998</v>
      </c>
      <c r="I65" s="133">
        <f>_xll.BfX_Y("cm",I$12,0,$D65,"bft",300,$C65,"g7")</f>
        <v>67.390019039229003</v>
      </c>
      <c r="J65" s="133">
        <f>_xll.BfX_Y("cm",J$12,0,$D65,"bft",300,$C65,"g7")</f>
        <v>64.548004947644017</v>
      </c>
    </row>
  </sheetData>
  <mergeCells count="4">
    <mergeCell ref="B10:J10"/>
    <mergeCell ref="E11:J11"/>
    <mergeCell ref="B39:J39"/>
    <mergeCell ref="E40:J4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0" workbookViewId="0">
      <selection activeCell="O25" sqref="O25"/>
    </sheetView>
  </sheetViews>
  <sheetFormatPr defaultRowHeight="15.75" x14ac:dyDescent="0.3"/>
  <cols>
    <col min="1" max="1" width="8.21875" customWidth="1"/>
    <col min="3" max="3" width="20" bestFit="1" customWidth="1"/>
    <col min="4" max="4" width="8.88671875" style="105"/>
  </cols>
  <sheetData>
    <row r="1" spans="1:14" s="105" customFormat="1" x14ac:dyDescent="0.3">
      <c r="A1" s="2">
        <v>18</v>
      </c>
      <c r="B1" s="2" t="s">
        <v>411</v>
      </c>
    </row>
    <row r="2" spans="1:14" s="105" customFormat="1" x14ac:dyDescent="0.3"/>
    <row r="3" spans="1:14" s="105" customFormat="1" x14ac:dyDescent="0.3">
      <c r="B3" s="105" t="s">
        <v>515</v>
      </c>
    </row>
    <row r="4" spans="1:14" s="105" customFormat="1" x14ac:dyDescent="0.3">
      <c r="B4" s="105" t="s">
        <v>516</v>
      </c>
    </row>
    <row r="5" spans="1:14" s="105" customFormat="1" x14ac:dyDescent="0.3">
      <c r="B5" s="105" t="s">
        <v>413</v>
      </c>
    </row>
    <row r="6" spans="1:14" s="105" customFormat="1" x14ac:dyDescent="0.3"/>
    <row r="7" spans="1:14" s="105" customFormat="1" x14ac:dyDescent="0.3">
      <c r="A7" s="2" t="s">
        <v>412</v>
      </c>
      <c r="B7" s="2" t="s">
        <v>414</v>
      </c>
    </row>
    <row r="8" spans="1:14" s="105" customFormat="1" x14ac:dyDescent="0.3">
      <c r="B8" s="105" t="s">
        <v>415</v>
      </c>
    </row>
    <row r="9" spans="1:14" s="105" customFormat="1" x14ac:dyDescent="0.3">
      <c r="B9" s="153" t="s">
        <v>341</v>
      </c>
    </row>
    <row r="10" spans="1:14" x14ac:dyDescent="0.3">
      <c r="A10" s="105"/>
      <c r="B10" s="105" t="s">
        <v>416</v>
      </c>
    </row>
    <row r="11" spans="1:14" s="105" customFormat="1" x14ac:dyDescent="0.3"/>
    <row r="12" spans="1:14" ht="16.5" thickBot="1" x14ac:dyDescent="0.35"/>
    <row r="13" spans="1:14" x14ac:dyDescent="0.3">
      <c r="C13" s="106" t="s">
        <v>352</v>
      </c>
      <c r="D13" s="108"/>
      <c r="E13" s="346" t="s">
        <v>347</v>
      </c>
      <c r="F13" s="347"/>
      <c r="G13" s="106" t="s">
        <v>348</v>
      </c>
      <c r="H13" s="108"/>
    </row>
    <row r="14" spans="1:14" x14ac:dyDescent="0.3">
      <c r="C14" s="109">
        <v>3000</v>
      </c>
      <c r="D14" s="111" t="s">
        <v>94</v>
      </c>
      <c r="E14" s="348" t="s">
        <v>349</v>
      </c>
      <c r="F14" s="349"/>
      <c r="G14" s="109"/>
      <c r="H14" s="111"/>
      <c r="I14" s="105"/>
      <c r="J14" s="105"/>
      <c r="K14" s="105"/>
      <c r="L14" s="105"/>
      <c r="M14" s="105"/>
      <c r="N14" s="110"/>
    </row>
    <row r="15" spans="1:14" ht="16.5" thickBot="1" x14ac:dyDescent="0.35">
      <c r="C15" s="114"/>
      <c r="D15" s="117"/>
      <c r="E15" s="350" t="s">
        <v>350</v>
      </c>
      <c r="F15" s="351"/>
      <c r="G15" s="351"/>
      <c r="H15" s="352"/>
    </row>
    <row r="16" spans="1:14" x14ac:dyDescent="0.3">
      <c r="C16" s="109"/>
      <c r="D16" s="111" t="s">
        <v>346</v>
      </c>
      <c r="E16" s="107" t="s">
        <v>353</v>
      </c>
      <c r="F16" s="108" t="s">
        <v>351</v>
      </c>
      <c r="G16" s="106" t="s">
        <v>353</v>
      </c>
      <c r="H16" s="108" t="s">
        <v>351</v>
      </c>
    </row>
    <row r="17" spans="3:14" x14ac:dyDescent="0.3">
      <c r="C17" s="109" t="s">
        <v>517</v>
      </c>
      <c r="D17" s="111">
        <v>0.23699999999999999</v>
      </c>
      <c r="E17" s="112">
        <v>91</v>
      </c>
      <c r="F17" s="113">
        <f>_xll.BfX_Y("in",3000,"fps",0,10,"mph",1000,"yd",D17,"g7")</f>
        <v>90.961923205057246</v>
      </c>
      <c r="G17" s="109">
        <v>1304</v>
      </c>
      <c r="H17" s="118">
        <f>_xll.BfX_Vx("fps",3000,"fps",1000,"yd",D17,"g7")</f>
        <v>1304.4580443729053</v>
      </c>
      <c r="I17" s="113" t="str">
        <f ca="1">_xll.BfX_Cell(H17)</f>
        <v>=BfX_Vx("fps";3000;"fps";1000;"yd";D17;"g7")</v>
      </c>
      <c r="J17" s="113"/>
      <c r="K17" s="113"/>
      <c r="L17" s="113"/>
      <c r="M17" s="61"/>
    </row>
    <row r="18" spans="3:14" x14ac:dyDescent="0.3">
      <c r="C18" s="109" t="s">
        <v>338</v>
      </c>
      <c r="D18" s="111">
        <v>0.23599999999999999</v>
      </c>
      <c r="E18" s="112">
        <v>91.6</v>
      </c>
      <c r="F18" s="113">
        <f>_xll.BfX_Y("in",3000,"fps",0,10,"mph",1000,"yd",D18,"g7")</f>
        <v>91.54712539800056</v>
      </c>
      <c r="G18" s="109">
        <v>1299</v>
      </c>
      <c r="H18" s="118">
        <f>_xll.BfX_Vx("fps",3000,"fps",1000,"yd",D18,"g7")</f>
        <v>1298.7469311177763</v>
      </c>
    </row>
    <row r="19" spans="3:14" x14ac:dyDescent="0.3">
      <c r="C19" s="109" t="s">
        <v>339</v>
      </c>
      <c r="D19" s="111">
        <v>0.23599999999999999</v>
      </c>
      <c r="E19" s="112">
        <v>91.6</v>
      </c>
      <c r="F19" s="113">
        <f>_xll.BfX_Y("in",3000,"fps",0,10,"mph",1000,"yd",D19,"g7")</f>
        <v>91.54712539800056</v>
      </c>
      <c r="G19" s="109">
        <v>1299</v>
      </c>
      <c r="H19" s="118">
        <f>_xll.BfX_Vx("fps",3000,"fps",1000,"yd",D19,"g7")</f>
        <v>1298.7469311177763</v>
      </c>
      <c r="N19" s="105"/>
    </row>
    <row r="20" spans="3:14" x14ac:dyDescent="0.3">
      <c r="C20" s="109" t="s">
        <v>340</v>
      </c>
      <c r="D20" s="111">
        <v>0.22900000000000001</v>
      </c>
      <c r="E20" s="112">
        <v>95.9</v>
      </c>
      <c r="F20" s="113">
        <f>_xll.BfX_Y("in",3000,"fps",0,10,"mph",1000,"yd",D20,"g7")</f>
        <v>95.864685214152701</v>
      </c>
      <c r="G20" s="109">
        <v>1258</v>
      </c>
      <c r="H20" s="118">
        <f>_xll.BfX_Vx("fps",3000,"fps",1000,"yd",D20,"g7")</f>
        <v>1257.8182305305395</v>
      </c>
      <c r="M20" s="110"/>
      <c r="N20" s="105"/>
    </row>
    <row r="21" spans="3:14" x14ac:dyDescent="0.3">
      <c r="C21" s="109" t="s">
        <v>342</v>
      </c>
      <c r="D21" s="111">
        <v>0.22500000000000001</v>
      </c>
      <c r="E21" s="112">
        <v>98.5</v>
      </c>
      <c r="F21" s="113">
        <f>_xll.BfX_Y("in",3000,"fps",0,10,"mph",1000,"yd",D21,"g7")</f>
        <v>98.519726374210663</v>
      </c>
      <c r="G21" s="109">
        <v>1234</v>
      </c>
      <c r="H21" s="118">
        <f>_xll.BfX_Vx("fps",3000,"fps",1000,"yd",D21,"g7")</f>
        <v>1233.6610728743474</v>
      </c>
      <c r="N21" s="105"/>
    </row>
    <row r="22" spans="3:14" x14ac:dyDescent="0.3">
      <c r="C22" s="109" t="s">
        <v>343</v>
      </c>
      <c r="D22" s="111">
        <v>0.224</v>
      </c>
      <c r="E22" s="112">
        <v>99.2</v>
      </c>
      <c r="F22" s="113">
        <f>_xll.BfX_Y("in",3000,"fps",0,10,"mph",1000,"yd",D22,"g7")</f>
        <v>99.206579388429276</v>
      </c>
      <c r="G22" s="109">
        <v>1228</v>
      </c>
      <c r="H22" s="118">
        <f>_xll.BfX_Vx("fps",3000,"fps",1000,"yd",D22,"g7")</f>
        <v>1227.5317996770382</v>
      </c>
      <c r="N22" s="105"/>
    </row>
    <row r="23" spans="3:14" x14ac:dyDescent="0.3">
      <c r="C23" s="109" t="s">
        <v>344</v>
      </c>
      <c r="D23" s="111">
        <v>0.214</v>
      </c>
      <c r="E23" s="112">
        <v>106.7</v>
      </c>
      <c r="F23" s="113">
        <f>_xll.BfX_Y("in",3000,"fps",0,10,"mph",1000,"yd",D23,"g7")</f>
        <v>106.63828184207001</v>
      </c>
      <c r="G23" s="109">
        <v>1165</v>
      </c>
      <c r="H23" s="118">
        <f>_xll.BfX_Vx("fps",3000,"fps",1000,"yd",D23,"g7")</f>
        <v>1164.4135730802636</v>
      </c>
      <c r="N23" s="105"/>
    </row>
    <row r="24" spans="3:14" ht="16.5" thickBot="1" x14ac:dyDescent="0.35">
      <c r="C24" s="114" t="s">
        <v>345</v>
      </c>
      <c r="D24" s="117">
        <v>0.21199999999999999</v>
      </c>
      <c r="E24" s="115">
        <v>108.3</v>
      </c>
      <c r="F24" s="116">
        <f>_xll.BfX_Y("in",3000,"fps",0,10,"mph",1000,"yd",D24,"g7")</f>
        <v>108.25827029214648</v>
      </c>
      <c r="G24" s="114">
        <v>1152</v>
      </c>
      <c r="H24" s="119">
        <f>_xll.BfX_Vx("fps",3000,"fps",1000,"yd",D24,"g7")</f>
        <v>1151.5467848708972</v>
      </c>
      <c r="N24" s="105"/>
    </row>
    <row r="25" spans="3:14" x14ac:dyDescent="0.3">
      <c r="L25" s="105"/>
    </row>
    <row r="26" spans="3:14" x14ac:dyDescent="0.3">
      <c r="F26" s="113" t="str">
        <f ca="1">_xll.BfX_Cell(F24)</f>
        <v>=BfX_Y("in";3000;"fps";0;10;"mph";1000;"yd";D24;"g7")</v>
      </c>
      <c r="G26" s="113"/>
      <c r="H26" s="113"/>
      <c r="I26" s="113"/>
      <c r="J26" s="113"/>
      <c r="K26" s="113"/>
      <c r="L26" s="105"/>
    </row>
    <row r="33" spans="8:13" ht="16.5" thickBot="1" x14ac:dyDescent="0.35"/>
    <row r="34" spans="8:13" x14ac:dyDescent="0.3">
      <c r="H34" s="198" t="str">
        <f ca="1">MID(CELL("filename",A6),FIND("]",CELL("filename",A6))+1,1256)</f>
        <v>G7 check</v>
      </c>
      <c r="I34" s="199" t="s">
        <v>717</v>
      </c>
      <c r="J34" s="199"/>
      <c r="K34" s="199"/>
      <c r="L34" s="199" t="str">
        <f>_xll.BfX_CRC(C13:H24,"on")</f>
        <v>BfX745856043CRC</v>
      </c>
      <c r="M34" s="200"/>
    </row>
    <row r="35" spans="8:13" ht="16.5" thickBot="1" x14ac:dyDescent="0.35">
      <c r="H35" s="201" t="s">
        <v>761</v>
      </c>
      <c r="I35" s="202"/>
      <c r="J35" s="202"/>
      <c r="K35" s="202"/>
      <c r="L35" s="202"/>
      <c r="M35" s="203"/>
    </row>
    <row r="36" spans="8:13" x14ac:dyDescent="0.3">
      <c r="H36" s="198" t="s">
        <v>759</v>
      </c>
      <c r="I36" s="199"/>
      <c r="J36" s="199"/>
      <c r="K36" s="199"/>
      <c r="L36" s="199"/>
      <c r="M36" s="200"/>
    </row>
    <row r="37" spans="8:13" ht="16.5" thickBot="1" x14ac:dyDescent="0.35">
      <c r="H37" s="204" t="s">
        <v>760</v>
      </c>
      <c r="I37" s="205"/>
      <c r="J37" s="205"/>
      <c r="K37" s="205"/>
      <c r="L37" s="205"/>
      <c r="M37" s="206"/>
    </row>
    <row r="39" spans="8:13" ht="16.5" thickBot="1" x14ac:dyDescent="0.35"/>
    <row r="40" spans="8:13" ht="16.5" thickBot="1" x14ac:dyDescent="0.35">
      <c r="H40" s="120"/>
    </row>
  </sheetData>
  <mergeCells count="3">
    <mergeCell ref="E13:F13"/>
    <mergeCell ref="E14:F14"/>
    <mergeCell ref="E15:H15"/>
  </mergeCells>
  <hyperlinks>
    <hyperlink ref="B9" r:id="rId1"/>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4"/>
  <sheetViews>
    <sheetView topLeftCell="A100" workbookViewId="0">
      <selection activeCell="E119" sqref="E119:J125"/>
    </sheetView>
  </sheetViews>
  <sheetFormatPr defaultRowHeight="15.75" x14ac:dyDescent="0.3"/>
  <cols>
    <col min="2" max="2" width="12.88671875" customWidth="1"/>
    <col min="3" max="3" width="9.109375" customWidth="1"/>
    <col min="13" max="13" width="11.88671875" bestFit="1" customWidth="1"/>
  </cols>
  <sheetData>
    <row r="1" spans="1:11" x14ac:dyDescent="0.3">
      <c r="A1" s="2">
        <v>19</v>
      </c>
      <c r="B1" s="2" t="s">
        <v>417</v>
      </c>
      <c r="C1" s="2"/>
    </row>
    <row r="3" spans="1:11" x14ac:dyDescent="0.3">
      <c r="A3" s="2" t="s">
        <v>418</v>
      </c>
      <c r="B3" s="2" t="s">
        <v>419</v>
      </c>
      <c r="C3" s="2"/>
      <c r="D3" s="2"/>
    </row>
    <row r="4" spans="1:11" x14ac:dyDescent="0.3">
      <c r="B4" s="105" t="s">
        <v>420</v>
      </c>
    </row>
    <row r="6" spans="1:11" x14ac:dyDescent="0.3">
      <c r="B6" s="105" t="s">
        <v>421</v>
      </c>
    </row>
    <row r="7" spans="1:11" x14ac:dyDescent="0.3">
      <c r="B7" s="105" t="s">
        <v>758</v>
      </c>
    </row>
    <row r="8" spans="1:11" x14ac:dyDescent="0.3">
      <c r="B8" s="105" t="s">
        <v>422</v>
      </c>
    </row>
    <row r="9" spans="1:11" x14ac:dyDescent="0.3">
      <c r="B9" s="105" t="s">
        <v>423</v>
      </c>
    </row>
    <row r="10" spans="1:11" x14ac:dyDescent="0.3">
      <c r="B10" s="105" t="s">
        <v>425</v>
      </c>
    </row>
    <row r="11" spans="1:11" x14ac:dyDescent="0.3">
      <c r="B11" s="105" t="s">
        <v>426</v>
      </c>
    </row>
    <row r="13" spans="1:11" x14ac:dyDescent="0.3">
      <c r="A13" s="2" t="s">
        <v>424</v>
      </c>
      <c r="B13" s="2" t="s">
        <v>427</v>
      </c>
      <c r="C13" s="21" t="str">
        <f>_xll.BfX_Ran()</f>
        <v>random_number = BfX_Ran(i; &lt;r&gt;) 0 &lt;= random_number &lt;= 1]</v>
      </c>
      <c r="D13" s="21"/>
      <c r="E13" s="21"/>
      <c r="F13" s="21"/>
      <c r="G13" s="21"/>
      <c r="H13" s="21"/>
      <c r="I13" s="21"/>
      <c r="J13" s="21"/>
      <c r="K13" s="21"/>
    </row>
    <row r="15" spans="1:11" x14ac:dyDescent="0.3">
      <c r="B15" s="105" t="s">
        <v>428</v>
      </c>
    </row>
    <row r="16" spans="1:11" x14ac:dyDescent="0.3">
      <c r="B16" s="105" t="s">
        <v>435</v>
      </c>
    </row>
    <row r="17" spans="2:8" s="105" customFormat="1" x14ac:dyDescent="0.3">
      <c r="B17" s="105" t="s">
        <v>436</v>
      </c>
    </row>
    <row r="18" spans="2:8" s="105" customFormat="1" x14ac:dyDescent="0.3"/>
    <row r="19" spans="2:8" s="105" customFormat="1" x14ac:dyDescent="0.3">
      <c r="B19" s="21" t="s">
        <v>429</v>
      </c>
      <c r="C19" s="21"/>
      <c r="D19" s="21"/>
      <c r="E19" s="21"/>
      <c r="F19"/>
      <c r="G19" s="105" t="s">
        <v>768</v>
      </c>
      <c r="H19"/>
    </row>
    <row r="20" spans="2:8" s="105" customFormat="1" x14ac:dyDescent="0.3">
      <c r="B20" s="142">
        <v>1234567</v>
      </c>
      <c r="C20" s="142"/>
      <c r="D20" s="142"/>
      <c r="E20" s="142"/>
      <c r="F20"/>
      <c r="G20"/>
      <c r="H20"/>
    </row>
    <row r="21" spans="2:8" s="105" customFormat="1" x14ac:dyDescent="0.3">
      <c r="B21" s="142"/>
      <c r="C21" s="142"/>
      <c r="D21" s="142"/>
      <c r="E21" s="142"/>
    </row>
    <row r="22" spans="2:8" x14ac:dyDescent="0.3">
      <c r="B22" s="105" t="s">
        <v>773</v>
      </c>
    </row>
    <row r="23" spans="2:8" s="105" customFormat="1" x14ac:dyDescent="0.3">
      <c r="B23" s="154">
        <f>_xll.BfX_Ran(_seed1)</f>
        <v>0.23702916950849565</v>
      </c>
      <c r="C23" s="21" t="str">
        <f ca="1">_xll.BfX_Cell(B23)</f>
        <v>=BfX_Ran(_seed1)</v>
      </c>
      <c r="D23" s="21"/>
    </row>
    <row r="24" spans="2:8" s="105" customFormat="1" x14ac:dyDescent="0.3">
      <c r="B24" s="105" t="s">
        <v>433</v>
      </c>
    </row>
    <row r="25" spans="2:8" s="105" customFormat="1" x14ac:dyDescent="0.3">
      <c r="B25" s="154">
        <f>_xll.BfX_Ran("mm",_seed1,B23)</f>
        <v>465.17506229346037</v>
      </c>
      <c r="C25" s="21" t="str">
        <f ca="1">_xll.BfX_Cell(B25)</f>
        <v>=BfX_Ran("mm";_seed1;B23)</v>
      </c>
      <c r="D25" s="21"/>
      <c r="E25" s="21"/>
    </row>
    <row r="26" spans="2:8" x14ac:dyDescent="0.3">
      <c r="B26" s="105" t="s">
        <v>434</v>
      </c>
    </row>
    <row r="28" spans="2:8" x14ac:dyDescent="0.3">
      <c r="B28" s="105" t="s">
        <v>437</v>
      </c>
    </row>
    <row r="29" spans="2:8" s="105" customFormat="1" x14ac:dyDescent="0.3"/>
    <row r="32" spans="2:8" s="105" customFormat="1" x14ac:dyDescent="0.3">
      <c r="B32" s="110"/>
    </row>
    <row r="33" spans="1:17" s="105" customFormat="1" x14ac:dyDescent="0.3">
      <c r="B33" s="110"/>
    </row>
    <row r="34" spans="1:17" x14ac:dyDescent="0.3">
      <c r="B34" s="154">
        <f>_xll.BfX_Ran(_seed1,B25)</f>
        <v>7.6483758184240141E-3</v>
      </c>
      <c r="C34" s="21" t="str">
        <f ca="1">_xll.BfX_Cell(B34)</f>
        <v>=BfX_Ran(_seed1;B25)</v>
      </c>
      <c r="D34" s="21"/>
      <c r="E34" s="21"/>
      <c r="F34" s="105" t="s">
        <v>774</v>
      </c>
      <c r="N34" s="154">
        <f>_xll.BfX_Ran(_seed1,B50)</f>
        <v>0.43448406584432442</v>
      </c>
      <c r="O34" s="21" t="str">
        <f ca="1">_xll.BfX_Cell(N34)</f>
        <v>=BfX_Ran(_seed1;B50)</v>
      </c>
      <c r="P34" s="21"/>
      <c r="Q34" s="21"/>
    </row>
    <row r="35" spans="1:17" x14ac:dyDescent="0.3">
      <c r="B35" s="154">
        <f>_xll.BfX_Ran(_seed1,B34)</f>
        <v>0.3626161381515246</v>
      </c>
      <c r="C35" s="21" t="str">
        <f ca="1">_xll.BfX_Cell(B35)</f>
        <v>=BfX_Ran(_seed1;B34)</v>
      </c>
      <c r="D35" s="21"/>
      <c r="E35" s="21"/>
      <c r="F35" s="105" t="s">
        <v>775</v>
      </c>
      <c r="N35" s="154">
        <f>_xll.BfX_Ran(_seed1,N34)</f>
        <v>3.2066679334283497E-2</v>
      </c>
      <c r="O35" s="21" t="str">
        <f ca="1">_xll.BfX_Cell(N35)</f>
        <v>=BfX_Ran(_seed1;N34)</v>
      </c>
      <c r="P35" s="21"/>
      <c r="Q35" s="21"/>
    </row>
    <row r="36" spans="1:17" x14ac:dyDescent="0.3">
      <c r="B36" s="154">
        <f>_xll.BfX_Ran(_seed1,B35)</f>
        <v>1.9830302572769649E-2</v>
      </c>
      <c r="C36" s="21" t="str">
        <f ca="1">_xll.BfX_Cell(B36)</f>
        <v>=BfX_Ran(_seed1;B35)</v>
      </c>
      <c r="D36" s="21"/>
      <c r="E36" s="21"/>
      <c r="F36" s="105" t="s">
        <v>438</v>
      </c>
      <c r="N36" s="154">
        <f>_xll.BfX_Ran(_seed1,N35)</f>
        <v>1.8770791128922902E-2</v>
      </c>
      <c r="O36" s="21" t="str">
        <f ca="1">_xll.BfX_Cell(N36)</f>
        <v>=BfX_Ran(_seed1;N35)</v>
      </c>
      <c r="P36" s="21"/>
      <c r="Q36" s="21"/>
    </row>
    <row r="37" spans="1:17" x14ac:dyDescent="0.3">
      <c r="B37" s="154">
        <f>_xll.BfX_Ran(_seed1,B36)</f>
        <v>0.93125294962228577</v>
      </c>
      <c r="C37" s="21" t="str">
        <f ca="1">_xll.BfX_Cell(B37)</f>
        <v>=BfX_Ran(_seed1;B36)</v>
      </c>
      <c r="D37" s="21"/>
      <c r="E37" s="21"/>
      <c r="F37" s="105" t="s">
        <v>776</v>
      </c>
      <c r="N37" s="154">
        <f>_xll.BfX_Ran(_seed1,N36)</f>
        <v>0.19736961629180461</v>
      </c>
      <c r="O37" s="21" t="str">
        <f ca="1">_xll.BfX_Cell(N37)</f>
        <v>=BfX_Ran(_seed1;N36)</v>
      </c>
      <c r="P37" s="21"/>
      <c r="Q37" s="21"/>
    </row>
    <row r="38" spans="1:17" x14ac:dyDescent="0.3">
      <c r="B38" s="154">
        <f>_xll.BfX_Ran(_seed1,B37)</f>
        <v>0.3130926118029963</v>
      </c>
      <c r="C38" s="21" t="str">
        <f ca="1">_xll.BfX_Cell(B38)</f>
        <v>=BfX_Ran(_seed1;B37)</v>
      </c>
      <c r="D38" s="21"/>
      <c r="E38" s="21"/>
      <c r="F38" t="s">
        <v>777</v>
      </c>
      <c r="N38" s="154">
        <f>_xll.BfX_Ran(_seed1,N37)</f>
        <v>0.77759407921172541</v>
      </c>
      <c r="O38" s="21" t="str">
        <f ca="1">_xll.BfX_Cell(N38)</f>
        <v>=BfX_Ran(_seed1;N37)</v>
      </c>
      <c r="P38" s="21"/>
      <c r="Q38" s="21"/>
    </row>
    <row r="39" spans="1:17" x14ac:dyDescent="0.3">
      <c r="B39" s="154">
        <f>_xll.BfX_Ran(_seed1,B38)</f>
        <v>0.92870810579711294</v>
      </c>
      <c r="C39" s="21" t="str">
        <f ca="1">_xll.BfX_Cell(B39)</f>
        <v>=BfX_Ran(_seed1;B38)</v>
      </c>
      <c r="D39" s="21"/>
      <c r="E39" s="21"/>
      <c r="F39" s="105" t="s">
        <v>439</v>
      </c>
      <c r="N39" s="154">
        <f>_xll.BfX_Ran(_seed1,N38)</f>
        <v>0.96455696201058039</v>
      </c>
      <c r="O39" s="21" t="str">
        <f ca="1">_xll.BfX_Cell(N39)</f>
        <v>=BfX_Ran(_seed1;N38)</v>
      </c>
      <c r="P39" s="21"/>
      <c r="Q39" s="21"/>
    </row>
    <row r="40" spans="1:17" x14ac:dyDescent="0.3">
      <c r="B40" s="154">
        <f>_xll.BfX_Ran(_seed1,B39)</f>
        <v>9.9454663717060965E-2</v>
      </c>
      <c r="C40" s="21" t="str">
        <f ca="1">_xll.BfX_Cell(B40)</f>
        <v>=BfX_Ran(_seed1;B39)</v>
      </c>
      <c r="D40" s="21"/>
      <c r="E40" s="21"/>
      <c r="F40" s="105" t="s">
        <v>440</v>
      </c>
      <c r="G40" s="105"/>
      <c r="N40" s="154">
        <f>_xll.BfX_Ran(_seed1,N39)</f>
        <v>7.9285387433898957E-2</v>
      </c>
      <c r="O40" s="21" t="str">
        <f ca="1">_xll.BfX_Cell(N40)</f>
        <v>=BfX_Ran(_seed1;N39)</v>
      </c>
      <c r="P40" s="21"/>
      <c r="Q40" s="21"/>
    </row>
    <row r="41" spans="1:17" x14ac:dyDescent="0.3">
      <c r="B41" s="154">
        <f>_xll.BfX_Ran(_seed1,B40)</f>
        <v>6.1066362322556404E-2</v>
      </c>
      <c r="C41" s="21" t="str">
        <f ca="1">_xll.BfX_Cell(B41)</f>
        <v>=BfX_Ran(_seed1;B40)</v>
      </c>
      <c r="D41" s="21"/>
      <c r="E41" s="21"/>
      <c r="F41" s="105" t="s">
        <v>441</v>
      </c>
      <c r="G41" s="105"/>
      <c r="N41" s="154">
        <f>_xll.BfX_Ran(_seed1,N40)</f>
        <v>0.57389457700166258</v>
      </c>
      <c r="O41" s="21" t="str">
        <f ca="1">_xll.BfX_Cell(N41)</f>
        <v>=BfX_Ran(_seed1;N40)</v>
      </c>
      <c r="P41" s="21"/>
      <c r="Q41" s="21"/>
    </row>
    <row r="42" spans="1:17" x14ac:dyDescent="0.3">
      <c r="A42" s="105"/>
      <c r="B42" s="105"/>
      <c r="C42" s="105"/>
      <c r="D42" s="105"/>
      <c r="E42" s="105"/>
      <c r="F42" t="s">
        <v>778</v>
      </c>
      <c r="H42" s="105"/>
      <c r="I42" s="105"/>
      <c r="J42" s="105"/>
      <c r="K42" s="105"/>
    </row>
    <row r="43" spans="1:17" x14ac:dyDescent="0.3">
      <c r="A43" s="105"/>
      <c r="B43" s="105"/>
      <c r="C43" s="105"/>
      <c r="D43" s="105"/>
      <c r="E43" s="105"/>
      <c r="F43" t="s">
        <v>779</v>
      </c>
      <c r="H43" s="105"/>
      <c r="I43" s="105"/>
      <c r="J43" s="105"/>
      <c r="K43" s="105"/>
    </row>
    <row r="44" spans="1:17" x14ac:dyDescent="0.3">
      <c r="B44" s="154">
        <f>_xll.BfX_Ran(_seed1,B41)</f>
        <v>0.19517429503499864</v>
      </c>
      <c r="C44" s="21" t="str">
        <f ca="1">_xll.BfX_Cell(B44)</f>
        <v>=BfX_Ran(_seed1;B41)</v>
      </c>
      <c r="D44" s="21"/>
      <c r="E44" s="21"/>
      <c r="F44" t="s">
        <v>780</v>
      </c>
      <c r="G44" s="105"/>
      <c r="H44" s="105"/>
      <c r="I44" s="105"/>
      <c r="J44" s="105"/>
      <c r="K44" s="105"/>
    </row>
    <row r="45" spans="1:17" x14ac:dyDescent="0.3">
      <c r="B45" s="154">
        <f>_xll.BfX_Ran(_seed1,B44)</f>
        <v>5.1118901476990178E-2</v>
      </c>
      <c r="C45" s="21" t="str">
        <f ca="1">_xll.BfX_Cell(B45)</f>
        <v>=BfX_Ran(_seed1;B44)</v>
      </c>
      <c r="D45" s="21"/>
      <c r="E45" s="21"/>
      <c r="G45" s="105"/>
      <c r="H45" s="105"/>
      <c r="I45" s="105"/>
      <c r="J45" s="105"/>
      <c r="K45" s="105"/>
    </row>
    <row r="46" spans="1:17" x14ac:dyDescent="0.3">
      <c r="B46" s="154">
        <f>_xll.BfX_Ran(_seed1,B45)</f>
        <v>0.20729801878503012</v>
      </c>
      <c r="C46" s="21" t="str">
        <f ca="1">_xll.BfX_Cell(B46)</f>
        <v>=BfX_Ran(_seed1;B45)</v>
      </c>
      <c r="D46" s="21"/>
      <c r="E46" s="21"/>
      <c r="G46" s="105"/>
      <c r="H46" s="105"/>
      <c r="I46" s="105"/>
      <c r="J46" s="105"/>
      <c r="K46" s="105"/>
    </row>
    <row r="47" spans="1:17" x14ac:dyDescent="0.3">
      <c r="B47" s="154">
        <f>_xll.BfX_Ran(_seed1,B46)</f>
        <v>0.52968441218363227</v>
      </c>
      <c r="C47" s="21" t="str">
        <f ca="1">_xll.BfX_Cell(B47)</f>
        <v>=BfX_Ran(_seed1;B46)</v>
      </c>
      <c r="D47" s="21"/>
      <c r="E47" s="21"/>
      <c r="G47" s="105"/>
      <c r="H47" s="105"/>
      <c r="I47" s="105"/>
      <c r="J47" s="105"/>
      <c r="K47" s="105"/>
    </row>
    <row r="48" spans="1:17" x14ac:dyDescent="0.3">
      <c r="B48" s="154">
        <f>_xll.BfX_Ran(_seed1,B47)</f>
        <v>0.16493118860873654</v>
      </c>
      <c r="C48" s="21" t="str">
        <f ca="1">_xll.BfX_Cell(B48)</f>
        <v>=BfX_Ran(_seed1;B47)</v>
      </c>
      <c r="D48" s="21"/>
      <c r="E48" s="21"/>
      <c r="G48" s="105"/>
      <c r="H48" s="105"/>
      <c r="I48" s="105"/>
      <c r="J48" s="105"/>
    </row>
    <row r="49" spans="1:12" x14ac:dyDescent="0.3">
      <c r="B49" s="154">
        <f>_xll.BfX_Ran(_seed1,B48)</f>
        <v>0.76070820930430394</v>
      </c>
      <c r="C49" s="21" t="str">
        <f ca="1">_xll.BfX_Cell(B49)</f>
        <v>=BfX_Ran(_seed1;B48)</v>
      </c>
      <c r="D49" s="21"/>
      <c r="E49" s="21"/>
    </row>
    <row r="50" spans="1:12" x14ac:dyDescent="0.3">
      <c r="B50" s="154">
        <f>_xll.BfX_Ran(_seed1,B49)</f>
        <v>0.71187895599563578</v>
      </c>
      <c r="C50" s="21" t="str">
        <f ca="1">_xll.BfX_Cell(B50)</f>
        <v>=BfX_Ran(_seed1;B49)</v>
      </c>
      <c r="D50" s="21"/>
      <c r="E50" s="21"/>
    </row>
    <row r="55" spans="1:12" x14ac:dyDescent="0.3">
      <c r="A55" s="2" t="s">
        <v>430</v>
      </c>
      <c r="B55" s="2" t="s">
        <v>431</v>
      </c>
      <c r="C55" s="154" t="str">
        <f>_xll.BfX_Ranb()</f>
        <v>b &lt;= random_number &lt;= t = BfX_Ranb(i; b; t; &lt;r&gt;)</v>
      </c>
      <c r="D55" s="154"/>
      <c r="E55" s="154"/>
      <c r="F55" s="154"/>
      <c r="G55" s="154"/>
      <c r="H55" s="154"/>
      <c r="I55" s="154"/>
      <c r="J55" s="154"/>
      <c r="K55" s="154"/>
      <c r="L55" s="154"/>
    </row>
    <row r="56" spans="1:12" s="105" customFormat="1" x14ac:dyDescent="0.3">
      <c r="A56" s="2"/>
      <c r="B56" s="105" t="s">
        <v>432</v>
      </c>
    </row>
    <row r="57" spans="1:12" s="105" customFormat="1" x14ac:dyDescent="0.3">
      <c r="A57" s="2"/>
      <c r="B57" s="154">
        <f>_xll.BfX_Ranb(_seed1,1,12,N41)</f>
        <v>5.7489670107022315</v>
      </c>
      <c r="C57" s="154" t="str">
        <f ca="1">_xll.BfX_Cell(B57)</f>
        <v>=BfX_Ranb(_seed1;1;12;N41)</v>
      </c>
      <c r="D57" s="154"/>
      <c r="E57" s="154"/>
      <c r="F57" s="154"/>
      <c r="G57" s="154"/>
    </row>
    <row r="58" spans="1:12" s="105" customFormat="1" x14ac:dyDescent="0.3">
      <c r="A58" s="2"/>
      <c r="B58" s="105" t="s">
        <v>518</v>
      </c>
    </row>
    <row r="59" spans="1:12" s="105" customFormat="1" x14ac:dyDescent="0.3">
      <c r="A59" s="2"/>
      <c r="B59" s="154">
        <f>_xll.BfX_Ranb("moa",_seed1,1,"fps",12,"yd",B57)</f>
        <v>26691.218120101003</v>
      </c>
      <c r="C59" s="154" t="str">
        <f ca="1">_xll.BfX_Cell(B59)</f>
        <v>=BfX_Ranb("moa";_seed1;1;"fps";12;"yd";B57)</v>
      </c>
      <c r="D59" s="154"/>
      <c r="E59" s="154"/>
      <c r="F59" s="154"/>
      <c r="G59" s="154"/>
    </row>
    <row r="60" spans="1:12" x14ac:dyDescent="0.3">
      <c r="D60" s="105"/>
      <c r="E60" s="105"/>
      <c r="F60" s="105"/>
      <c r="G60" s="105"/>
      <c r="H60" s="105"/>
      <c r="I60" s="105"/>
      <c r="J60" s="105"/>
      <c r="K60" s="105"/>
      <c r="L60" s="105"/>
    </row>
    <row r="61" spans="1:12" x14ac:dyDescent="0.3">
      <c r="B61" s="189">
        <f>_xll.BfX_Ranb(_seed1,-3,3,B59)</f>
        <v>0.1651928143494743</v>
      </c>
      <c r="C61" s="154">
        <f>_xll.BfX_Ranb(_seed1,-3,3,B61)</f>
        <v>2.8478485252353938</v>
      </c>
      <c r="D61" s="154" t="str">
        <f ca="1">_xll.BfX_Cell(B61)</f>
        <v>=BfX_Ranb(_seed1;-3;3;B59)</v>
      </c>
      <c r="E61" s="154"/>
      <c r="F61" s="154"/>
    </row>
    <row r="62" spans="1:12" x14ac:dyDescent="0.3">
      <c r="B62" s="154">
        <f>_xll.BfX_Ranb(_seed1,-3,3,C61)</f>
        <v>-1.8286140097371801</v>
      </c>
      <c r="C62" s="189">
        <f>_xll.BfX_Ranb(_seed1,-3,3,B62)</f>
        <v>0.92610280307151882</v>
      </c>
      <c r="D62" s="154" t="str">
        <f ca="1">_xll.BfX_Cell(C62)</f>
        <v>=BfX_Ranb(_seed1;-3;3;B62)</v>
      </c>
      <c r="E62" s="154"/>
      <c r="F62" s="154"/>
      <c r="G62" s="105"/>
    </row>
    <row r="63" spans="1:12" x14ac:dyDescent="0.3">
      <c r="B63" s="154">
        <f>_xll.BfX_Ranb(_seed1,-3,3,C62)</f>
        <v>1.3211320075954154</v>
      </c>
      <c r="C63" s="154">
        <f>_xll.BfX_Ranb(_seed1,-3,3,B63)</f>
        <v>-1.4347904274321137</v>
      </c>
    </row>
    <row r="64" spans="1:12" x14ac:dyDescent="0.3">
      <c r="B64" s="154">
        <f>_xll.BfX_Ranb(_seed1,-3,3,C63)</f>
        <v>1.6955744644383834</v>
      </c>
      <c r="C64" s="154">
        <f>_xll.BfX_Ranb(_seed1,-3,3,B64)</f>
        <v>-1.8215423838285596</v>
      </c>
    </row>
    <row r="65" spans="2:3" x14ac:dyDescent="0.3">
      <c r="B65" s="154">
        <f>_xll.BfX_Ranb(_seed1,-3,3,C64)</f>
        <v>-2.2871360833028183</v>
      </c>
      <c r="C65" s="154">
        <f>_xll.BfX_Ranb(_seed1,-3,3,B65)</f>
        <v>2.1687799098828764</v>
      </c>
    </row>
    <row r="66" spans="2:3" x14ac:dyDescent="0.3">
      <c r="B66" s="154">
        <f>_xll.BfX_Ranb(_seed1,-3,3,C65)</f>
        <v>2.047259206196121</v>
      </c>
      <c r="C66" s="154">
        <f>_xll.BfX_Ranb(_seed1,-3,3,B66)</f>
        <v>-0.77564594935990083</v>
      </c>
    </row>
    <row r="67" spans="2:3" x14ac:dyDescent="0.3">
      <c r="B67" s="154">
        <f>_xll.BfX_Ranb(_seed1,-3,3,C66)</f>
        <v>2.869523580621351</v>
      </c>
      <c r="C67" s="154">
        <f>_xll.BfX_Ranb(_seed1,-3,3,B67)</f>
        <v>-0.78698710859450216</v>
      </c>
    </row>
    <row r="68" spans="2:3" x14ac:dyDescent="0.3">
      <c r="B68" s="154">
        <f>_xll.BfX_Ranb(_seed1,-3,3,C67)</f>
        <v>-1.4191544648304477</v>
      </c>
      <c r="C68" s="154">
        <f>_xll.BfX_Ranb(_seed1,-3,3,B68)</f>
        <v>0.25748255552199772</v>
      </c>
    </row>
    <row r="69" spans="2:3" x14ac:dyDescent="0.3">
      <c r="B69" s="154">
        <f>_xll.BfX_Ranb(_seed1,-3,3,C68)</f>
        <v>-2.4930664523255701</v>
      </c>
      <c r="C69" s="154">
        <f>_xll.BfX_Ranb(_seed1,-3,3,B69)</f>
        <v>1.096791229698991</v>
      </c>
    </row>
    <row r="70" spans="2:3" x14ac:dyDescent="0.3">
      <c r="B70" s="154">
        <f>_xll.BfX_Ranb(_seed1,-3,3,C69)</f>
        <v>0.33800391464913382</v>
      </c>
      <c r="C70" s="154">
        <f>_xll.BfX_Ranb(_seed1,-3,3,B70)</f>
        <v>1.9372563648357186</v>
      </c>
    </row>
    <row r="71" spans="2:3" x14ac:dyDescent="0.3">
      <c r="B71" s="154">
        <f>_xll.BfX_Ranb(_seed1,-3,3,C70)</f>
        <v>0.14623732472449502</v>
      </c>
      <c r="C71" s="154">
        <f>_xll.BfX_Ranb(_seed1,-3,3,B71)</f>
        <v>-2.2116452742395096</v>
      </c>
    </row>
    <row r="72" spans="2:3" x14ac:dyDescent="0.3">
      <c r="B72" s="154">
        <f>_xll.BfX_Ranb(_seed1,-3,3,C71)</f>
        <v>-2.9661411177288137</v>
      </c>
      <c r="C72" s="154">
        <f>_xll.BfX_Ranb(_seed1,-3,3,B72)</f>
        <v>-2.5343806393291755</v>
      </c>
    </row>
    <row r="73" spans="2:3" x14ac:dyDescent="0.3">
      <c r="B73" s="154">
        <f>_xll.BfX_Ranb(_seed1,-3,3,C72)</f>
        <v>0.98567383270377151</v>
      </c>
      <c r="C73" s="154">
        <f>_xll.BfX_Ranb(_seed1,-3,3,B73)</f>
        <v>2.0454467467603843</v>
      </c>
    </row>
    <row r="74" spans="2:3" x14ac:dyDescent="0.3">
      <c r="B74" s="154">
        <f>_xll.BfX_Ranb(_seed1,-3,3,C73)</f>
        <v>0.56049596461479023</v>
      </c>
      <c r="C74" s="154">
        <f>_xll.BfX_Ranb(_seed1,-3,3,B74)</f>
        <v>-1.6739637289834124</v>
      </c>
    </row>
    <row r="75" spans="2:3" x14ac:dyDescent="0.3">
      <c r="B75" s="154">
        <f>_xll.BfX_Ranb(_seed1,-3,3,C74)</f>
        <v>-0.93404675320117914</v>
      </c>
      <c r="C75" s="154">
        <f>_xll.BfX_Ranb(_seed1,-3,3,B75)</f>
        <v>1.5174677252111648</v>
      </c>
    </row>
    <row r="76" spans="2:3" x14ac:dyDescent="0.3">
      <c r="B76" s="154">
        <f>_xll.BfX_Ranb(_seed1,-3,3,C75)</f>
        <v>0.7571863345236487</v>
      </c>
      <c r="C76" s="154">
        <f>_xll.BfX_Ranb(_seed1,-3,3,B76)</f>
        <v>-0.94186193215238445</v>
      </c>
    </row>
    <row r="77" spans="2:3" x14ac:dyDescent="0.3">
      <c r="B77" s="154">
        <f>_xll.BfX_Ranb(_seed1,-3,3,C76)</f>
        <v>2.8002429697197497</v>
      </c>
      <c r="C77" s="154">
        <f>_xll.BfX_Ranb(_seed1,-3,3,B77)</f>
        <v>-2.9414976267007873</v>
      </c>
    </row>
    <row r="78" spans="2:3" x14ac:dyDescent="0.3">
      <c r="B78" s="154">
        <f>_xll.BfX_Ranb(_seed1,-3,3,C77)</f>
        <v>-0.36364716416309761</v>
      </c>
      <c r="C78" s="154">
        <f>_xll.BfX_Ranb(_seed1,-3,3,B78)</f>
        <v>-0.625753151631391</v>
      </c>
    </row>
    <row r="79" spans="2:3" x14ac:dyDescent="0.3">
      <c r="B79" s="154">
        <f>_xll.BfX_Ranb(_seed1,-3,3,C78)</f>
        <v>2.5243562086309197</v>
      </c>
      <c r="C79" s="154">
        <f>_xll.BfX_Ranb(_seed1,-3,3,B79)</f>
        <v>-1.7443197715897858</v>
      </c>
    </row>
    <row r="80" spans="2:3" x14ac:dyDescent="0.3">
      <c r="B80" s="154">
        <f>_xll.BfX_Ranb(_seed1,-3,3,C79)</f>
        <v>2.0504279958667304</v>
      </c>
      <c r="C80" s="154">
        <f>_xll.BfX_Ranb(_seed1,-3,3,B80)</f>
        <v>-0.19148874170880026</v>
      </c>
    </row>
    <row r="81" spans="1:23" x14ac:dyDescent="0.3">
      <c r="B81" s="154">
        <f>_xll.BfX_Ranb(_seed1,-3,3,C80)</f>
        <v>2.5952422473568566</v>
      </c>
      <c r="C81" s="154">
        <f>_xll.BfX_Ranb(_seed1,-3,3,B81)</f>
        <v>-0.81239759964225744</v>
      </c>
    </row>
    <row r="82" spans="1:23" x14ac:dyDescent="0.3">
      <c r="B82" s="154">
        <f>_xll.BfX_Ranb(_seed1,-3,3,C81)</f>
        <v>2.6962076438814888</v>
      </c>
      <c r="C82" s="154">
        <f>_xll.BfX_Ranb(_seed1,-3,3,B82)</f>
        <v>0.5703084491124164</v>
      </c>
    </row>
    <row r="83" spans="1:23" x14ac:dyDescent="0.3">
      <c r="B83" s="154">
        <f>_xll.BfX_Ranb(_seed1,-3,3,C82)</f>
        <v>-1.8800323644839303</v>
      </c>
      <c r="C83" s="154">
        <f>_xll.BfX_Ranb(_seed1,-3,3,B83)</f>
        <v>2.4824043026851497</v>
      </c>
    </row>
    <row r="84" spans="1:23" x14ac:dyDescent="0.3">
      <c r="B84" s="154">
        <f>_xll.BfX_Ranb(_seed1,-3,3,C83)</f>
        <v>-2.1682233068086729</v>
      </c>
      <c r="C84" s="154">
        <f>_xll.BfX_Ranb(_seed1,-3,3,B84)</f>
        <v>-1.6819362299707485E-2</v>
      </c>
    </row>
    <row r="85" spans="1:23" x14ac:dyDescent="0.3">
      <c r="B85" s="154">
        <f>_xll.BfX_Ranb(_seed1,-3,3,C84)</f>
        <v>-0.78158967843781912</v>
      </c>
      <c r="C85" s="154">
        <f>_xll.BfX_Ranb(_seed1,-3,3,B85)</f>
        <v>-0.91186467509527347</v>
      </c>
    </row>
    <row r="86" spans="1:23" x14ac:dyDescent="0.3">
      <c r="B86" s="154">
        <f>_xll.BfX_Ranb(_seed1,-3,3,C85)</f>
        <v>-1.8850391839828899</v>
      </c>
      <c r="C86" s="154">
        <f>_xll.BfX_Ranb(_seed1,-3,3,B86)</f>
        <v>-0.82145710285321272</v>
      </c>
    </row>
    <row r="87" spans="1:23" x14ac:dyDescent="0.3">
      <c r="B87" s="154">
        <f>_xll.BfX_Ranb(_seed1,-3,3,C86)</f>
        <v>1.7673050218185651</v>
      </c>
      <c r="C87" s="154">
        <f>_xll.BfX_Ranb(_seed1,-3,3,B87)</f>
        <v>2.2217327689802584</v>
      </c>
    </row>
    <row r="90" spans="1:23" x14ac:dyDescent="0.3">
      <c r="A90" s="2" t="s">
        <v>596</v>
      </c>
      <c r="B90" s="2" t="s">
        <v>597</v>
      </c>
      <c r="C90" s="154" t="str">
        <f>_xll.BfX_Rang()</f>
        <v xml:space="preserve">normal distribution b &lt;= random_number &lt;= t= BfX_Rang(i; c; s; b; t; &lt;r&gt;) </v>
      </c>
      <c r="D90" s="154"/>
      <c r="E90" s="154"/>
      <c r="F90" s="154"/>
      <c r="G90" s="154"/>
      <c r="H90" s="154"/>
      <c r="I90" s="154"/>
      <c r="J90" s="154"/>
      <c r="K90" s="154"/>
      <c r="L90" s="154"/>
    </row>
    <row r="91" spans="1:23" x14ac:dyDescent="0.3">
      <c r="B91" t="s">
        <v>598</v>
      </c>
    </row>
    <row r="92" spans="1:23" x14ac:dyDescent="0.3">
      <c r="B92" s="105" t="s">
        <v>432</v>
      </c>
    </row>
    <row r="93" spans="1:23" x14ac:dyDescent="0.3">
      <c r="L93" s="196"/>
      <c r="M93" s="196"/>
      <c r="N93" s="196"/>
      <c r="O93" s="196"/>
      <c r="P93" s="196"/>
      <c r="Q93" s="196"/>
      <c r="R93" s="196"/>
      <c r="S93" s="196"/>
      <c r="T93" s="196"/>
      <c r="U93" s="196"/>
      <c r="V93" s="196"/>
      <c r="W93" s="196"/>
    </row>
    <row r="94" spans="1:23" s="105" customFormat="1" x14ac:dyDescent="0.3">
      <c r="L94" s="196"/>
      <c r="M94" s="196" t="s">
        <v>600</v>
      </c>
      <c r="N94" s="197"/>
      <c r="O94" s="196"/>
      <c r="P94" s="196" t="s">
        <v>158</v>
      </c>
      <c r="Q94" s="154">
        <v>1</v>
      </c>
      <c r="R94" s="196"/>
      <c r="S94" s="196"/>
      <c r="T94" s="196"/>
      <c r="U94" s="196"/>
      <c r="V94" s="196"/>
      <c r="W94" s="196"/>
    </row>
    <row r="95" spans="1:23" s="105" customFormat="1" x14ac:dyDescent="0.3">
      <c r="L95" s="196"/>
      <c r="M95" s="196"/>
      <c r="N95" s="196"/>
      <c r="O95" s="196"/>
      <c r="P95" s="196" t="s">
        <v>599</v>
      </c>
      <c r="Q95" s="154">
        <v>0.5</v>
      </c>
      <c r="R95" s="196"/>
      <c r="S95" s="196"/>
      <c r="T95" s="196"/>
      <c r="U95" s="196"/>
      <c r="V95" s="196"/>
      <c r="W95" s="196"/>
    </row>
    <row r="96" spans="1:23" x14ac:dyDescent="0.3">
      <c r="B96" s="154">
        <f>_xll.BfX_Rang(_seed1,1,0.5,-2,3,C87)</f>
        <v>1.5402771605970984</v>
      </c>
      <c r="C96" s="154">
        <f>_xll.BfX_Rang(_seed1,1,0.5,-2,3,B96)</f>
        <v>1.4400497198663764</v>
      </c>
      <c r="D96" t="str">
        <f ca="1">_xll.BfX_Cell(B96)</f>
        <v>=BfX_Rang(_seed1;1;0,5;-2;3;C87)</v>
      </c>
      <c r="G96">
        <v>1.7854081808555424</v>
      </c>
      <c r="H96">
        <v>1.2226493240386826</v>
      </c>
      <c r="L96" s="196"/>
      <c r="M96" s="196"/>
      <c r="N96" s="196"/>
      <c r="O96" s="196"/>
      <c r="P96" s="196"/>
      <c r="Q96" s="196"/>
      <c r="R96" s="196"/>
      <c r="S96" s="196"/>
      <c r="T96" s="196"/>
      <c r="U96" s="196"/>
      <c r="V96" s="196"/>
      <c r="W96" s="196"/>
    </row>
    <row r="97" spans="2:23" x14ac:dyDescent="0.3">
      <c r="B97" s="154">
        <f>_xll.BfX_Rang(_seed1,1,0.5,-2,3,C96)</f>
        <v>0.4560641689356566</v>
      </c>
      <c r="C97" s="154">
        <f>_xll.BfX_Rang(_seed1,1,0.5,-2,3,B97)</f>
        <v>1.1553778443847262</v>
      </c>
      <c r="D97" t="str">
        <f ca="1">_xll.BfX_Cell(C97)</f>
        <v>=BfX_Rang(_seed1;1;0,5;-2;3;B97)</v>
      </c>
      <c r="G97">
        <v>0.71595333184021337</v>
      </c>
      <c r="H97">
        <v>0.37718124812868936</v>
      </c>
      <c r="L97" s="196"/>
      <c r="M97" s="196"/>
      <c r="N97" s="196"/>
      <c r="O97" s="196"/>
      <c r="P97" s="196"/>
      <c r="Q97" s="196"/>
      <c r="R97" s="196"/>
      <c r="S97" s="196"/>
      <c r="T97" s="196"/>
      <c r="U97" s="196"/>
      <c r="V97" s="196"/>
      <c r="W97" s="196"/>
    </row>
    <row r="98" spans="2:23" x14ac:dyDescent="0.3">
      <c r="B98" s="154">
        <f>_xll.BfX_Rang(_seed1,1,0.5,-2,3,C97)</f>
        <v>0.90290362502050225</v>
      </c>
      <c r="C98" s="154">
        <f>_xll.BfX_Rang(_seed1,1,0.5,-2,3,B98)</f>
        <v>0.94573746457363894</v>
      </c>
      <c r="L98" s="207" t="s">
        <v>573</v>
      </c>
      <c r="M98" s="196"/>
      <c r="N98" s="196"/>
      <c r="O98" s="196"/>
      <c r="P98" s="196"/>
      <c r="Q98" s="196"/>
      <c r="R98" s="196"/>
      <c r="S98" s="196"/>
      <c r="T98" s="196"/>
      <c r="U98" s="196"/>
      <c r="V98" s="196"/>
      <c r="W98" s="196"/>
    </row>
    <row r="99" spans="2:23" x14ac:dyDescent="0.3">
      <c r="B99" s="154">
        <f>_xll.BfX_Rang(_seed1,1,0.5,-2,3,C98)</f>
        <v>1.2221380151394148</v>
      </c>
      <c r="C99" s="154">
        <f>_xll.BfX_Rang(_seed1,1,0.5,-2,3,B99)</f>
        <v>6.237632712870278E-2</v>
      </c>
      <c r="L99" s="196"/>
      <c r="M99" s="196"/>
      <c r="N99" s="196"/>
      <c r="O99" s="196"/>
      <c r="P99" s="196"/>
      <c r="Q99" s="196"/>
      <c r="R99" s="196"/>
      <c r="S99" s="196"/>
      <c r="T99" s="196"/>
      <c r="U99" s="196"/>
      <c r="V99" s="196"/>
      <c r="W99" s="196"/>
    </row>
    <row r="100" spans="2:23" x14ac:dyDescent="0.3">
      <c r="B100" s="154">
        <f>_xll.BfX_Rang(_seed1,1,0.5,-2,3,C99)</f>
        <v>0.51750775555090689</v>
      </c>
      <c r="C100" s="154">
        <f>_xll.BfX_Rang(_seed1,1,0.5,-2,3,B100)</f>
        <v>1.623685820173399</v>
      </c>
      <c r="L100" s="196">
        <v>-2</v>
      </c>
      <c r="M100" s="196">
        <f t="shared" ref="M100:M124" si="0">1/(2*PI()*s_^2)*EXP(-1*((L100-c_)/s_)^2)</f>
        <v>1.476654096191069E-16</v>
      </c>
      <c r="N100" s="196"/>
      <c r="O100" s="196"/>
      <c r="P100" s="196"/>
      <c r="Q100" s="196"/>
      <c r="R100" s="196"/>
      <c r="S100" s="196"/>
      <c r="T100" s="196"/>
      <c r="U100" s="196"/>
      <c r="V100" s="196"/>
      <c r="W100" s="196"/>
    </row>
    <row r="101" spans="2:23" x14ac:dyDescent="0.3">
      <c r="B101" s="154">
        <f>_xll.BfX_Rang(_seed1,1,0.5,-2,3,C100)</f>
        <v>0.92103405993455834</v>
      </c>
      <c r="C101" s="154">
        <f>_xll.BfX_Rang(_seed1,1,0.5,-2,3,B101)</f>
        <v>1.6891606260764318</v>
      </c>
      <c r="L101" s="196">
        <v>-1.75</v>
      </c>
      <c r="M101" s="196">
        <f t="shared" si="0"/>
        <v>4.6395092549584704E-14</v>
      </c>
      <c r="N101" s="196"/>
      <c r="O101" s="196"/>
      <c r="P101" s="196"/>
      <c r="Q101" s="196"/>
      <c r="R101" s="196"/>
      <c r="S101" s="196"/>
      <c r="T101" s="196"/>
      <c r="U101" s="196"/>
      <c r="V101" s="196"/>
      <c r="W101" s="196"/>
    </row>
    <row r="102" spans="2:23" x14ac:dyDescent="0.3">
      <c r="B102" s="154">
        <f>_xll.BfX_Rang(_seed1,1,0.5,-2,3,C101)</f>
        <v>0.96443168957820902</v>
      </c>
      <c r="C102" s="154">
        <f>_xll.BfX_Rang(_seed1,1,0.5,-2,3,B102)</f>
        <v>0.49350342724786689</v>
      </c>
      <c r="L102" s="196">
        <v>-1.5</v>
      </c>
      <c r="M102" s="196">
        <f t="shared" si="0"/>
        <v>8.8413396619671432E-12</v>
      </c>
      <c r="N102" s="196"/>
      <c r="O102" s="196"/>
      <c r="P102" s="196"/>
      <c r="Q102" s="196"/>
      <c r="R102" s="196"/>
      <c r="S102" s="196"/>
      <c r="T102" s="196"/>
      <c r="U102" s="196"/>
      <c r="V102" s="196"/>
      <c r="W102" s="196"/>
    </row>
    <row r="103" spans="2:23" x14ac:dyDescent="0.3">
      <c r="B103" s="154">
        <f>_xll.BfX_Rang(_seed1,1,0.5,-2,3,C102)</f>
        <v>1.3080703737931487</v>
      </c>
      <c r="C103" s="154">
        <f>_xll.BfX_Rang(_seed1,1,0.5,-2,3,B103)</f>
        <v>1.9034759076087444</v>
      </c>
      <c r="L103" s="196">
        <v>-1.25</v>
      </c>
      <c r="M103" s="196">
        <f t="shared" si="0"/>
        <v>1.0219199190903195E-9</v>
      </c>
      <c r="N103" s="196"/>
      <c r="O103" s="196"/>
      <c r="P103" s="196"/>
      <c r="Q103" s="196"/>
      <c r="R103" s="196"/>
      <c r="S103" s="196"/>
      <c r="T103" s="196"/>
      <c r="U103" s="196"/>
      <c r="V103" s="196"/>
      <c r="W103" s="196"/>
    </row>
    <row r="104" spans="2:23" x14ac:dyDescent="0.3">
      <c r="B104" s="154">
        <f>_xll.BfX_Rang(_seed1,1,0.5,-2,3,C103)</f>
        <v>0.91494366547906392</v>
      </c>
      <c r="C104" s="154">
        <f>_xll.BfX_Rang(_seed1,1,0.5,-2,3,B104)</f>
        <v>1.0735522643834239</v>
      </c>
      <c r="L104" s="196">
        <v>-1</v>
      </c>
      <c r="M104" s="196">
        <f t="shared" si="0"/>
        <v>7.1642117313120739E-8</v>
      </c>
      <c r="N104" s="196"/>
      <c r="O104" s="196"/>
      <c r="P104" s="196"/>
      <c r="Q104" s="196"/>
      <c r="R104" s="196"/>
      <c r="S104" s="196"/>
      <c r="T104" s="196"/>
      <c r="U104" s="196"/>
      <c r="V104" s="196"/>
      <c r="W104" s="196"/>
    </row>
    <row r="105" spans="2:23" x14ac:dyDescent="0.3">
      <c r="B105" s="154">
        <f>_xll.BfX_Rang(_seed1,1,0.5,-2,3,C104)</f>
        <v>1.1483711111704755</v>
      </c>
      <c r="C105" s="154">
        <f>_xll.BfX_Rang(_seed1,1,0.5,-2,3,B105)</f>
        <v>1.1856578607544437</v>
      </c>
      <c r="L105" s="196">
        <v>-0.75</v>
      </c>
      <c r="M105" s="196">
        <f t="shared" si="0"/>
        <v>3.0463003449293242E-6</v>
      </c>
      <c r="N105" s="196"/>
      <c r="O105" s="196"/>
      <c r="P105" s="196"/>
      <c r="Q105" s="196"/>
      <c r="R105" s="196"/>
      <c r="S105" s="196"/>
      <c r="T105" s="196"/>
      <c r="U105" s="196"/>
      <c r="V105" s="196"/>
      <c r="W105" s="196"/>
    </row>
    <row r="106" spans="2:23" x14ac:dyDescent="0.3">
      <c r="B106" s="154">
        <f>_xll.BfX_Rang(_seed1,1,0.5,-2,3,C105)</f>
        <v>0.86085438631960498</v>
      </c>
      <c r="C106" s="154">
        <f>_xll.BfX_Rang(_seed1,1,0.5,-2,3,B106)</f>
        <v>0.8982357699187089</v>
      </c>
      <c r="L106" s="196">
        <v>-0.5</v>
      </c>
      <c r="M106" s="196">
        <f t="shared" si="0"/>
        <v>7.8565121385589762E-5</v>
      </c>
      <c r="N106" s="196"/>
      <c r="O106" s="196"/>
      <c r="P106" s="196"/>
      <c r="Q106" s="196"/>
      <c r="R106" s="196"/>
      <c r="S106" s="196"/>
      <c r="T106" s="196"/>
      <c r="U106" s="196"/>
      <c r="V106" s="196"/>
      <c r="W106" s="196"/>
    </row>
    <row r="107" spans="2:23" x14ac:dyDescent="0.3">
      <c r="B107" s="154">
        <f>_xll.BfX_Rang(_seed1,1,0.5,-2,3,C106)</f>
        <v>1.1705586444983629</v>
      </c>
      <c r="C107" s="154">
        <f>_xll.BfX_Rang(_seed1,1,0.5,-2,3,B107)</f>
        <v>1.4041915283082496</v>
      </c>
      <c r="L107" s="196">
        <v>-0.25</v>
      </c>
      <c r="M107" s="196">
        <f t="shared" si="0"/>
        <v>1.2289652727713403E-3</v>
      </c>
      <c r="N107" s="196"/>
      <c r="O107" s="196"/>
      <c r="P107" s="196"/>
      <c r="Q107" s="196"/>
      <c r="R107" s="196"/>
      <c r="S107" s="196"/>
      <c r="T107" s="196"/>
      <c r="U107" s="196"/>
      <c r="V107" s="196"/>
      <c r="W107" s="196"/>
    </row>
    <row r="108" spans="2:23" x14ac:dyDescent="0.3">
      <c r="B108" s="154">
        <f>_xll.BfX_Rang(_seed1,1,0.5,-2,3,C107)</f>
        <v>0.18227808647376431</v>
      </c>
      <c r="C108" s="154">
        <f>_xll.BfX_Rang(_seed1,1,0.5,-2,3,B108)</f>
        <v>1.8143940476734177</v>
      </c>
      <c r="L108" s="196">
        <v>0</v>
      </c>
      <c r="M108" s="196">
        <f t="shared" si="0"/>
        <v>1.1660097860112774E-2</v>
      </c>
      <c r="N108" s="196"/>
      <c r="O108" s="196"/>
      <c r="P108" s="196"/>
      <c r="Q108" s="196"/>
      <c r="R108" s="196"/>
      <c r="S108" s="196"/>
      <c r="T108" s="196"/>
      <c r="U108" s="196"/>
      <c r="V108" s="196"/>
      <c r="W108" s="196"/>
    </row>
    <row r="109" spans="2:23" x14ac:dyDescent="0.3">
      <c r="B109" s="154">
        <f>_xll.BfX_Rang(_seed1,1,0.5,-2,3,C108)</f>
        <v>1.2138304862225962</v>
      </c>
      <c r="C109" s="154">
        <f>_xll.BfX_Rang(_seed1,1,0.5,-2,3,B109)</f>
        <v>1.2860964893563875</v>
      </c>
      <c r="L109" s="196">
        <v>0.25</v>
      </c>
      <c r="M109" s="196">
        <f t="shared" si="0"/>
        <v>6.7099230348293668E-2</v>
      </c>
      <c r="N109" s="196"/>
      <c r="O109" s="196"/>
      <c r="P109" s="196"/>
      <c r="Q109" s="196"/>
      <c r="R109" s="196"/>
      <c r="S109" s="196"/>
      <c r="T109" s="196"/>
      <c r="U109" s="196"/>
      <c r="V109" s="196"/>
      <c r="W109" s="196"/>
    </row>
    <row r="110" spans="2:23" x14ac:dyDescent="0.3">
      <c r="B110" s="154">
        <f>_xll.BfX_Rang(_seed1,1,0.5,-2,3,C109)</f>
        <v>0.80078276125732373</v>
      </c>
      <c r="C110" s="154">
        <f>_xll.BfX_Rang(_seed1,1,0.5,-2,3,B110)</f>
        <v>1.064204818351242</v>
      </c>
      <c r="L110" s="196">
        <v>0.5</v>
      </c>
      <c r="M110" s="196">
        <f t="shared" si="0"/>
        <v>0.23419932609727667</v>
      </c>
      <c r="N110" s="196"/>
      <c r="O110" s="196"/>
      <c r="P110" s="196"/>
      <c r="Q110" s="196"/>
      <c r="R110" s="196"/>
      <c r="S110" s="196"/>
      <c r="T110" s="196"/>
      <c r="U110" s="196"/>
      <c r="V110" s="196"/>
      <c r="W110" s="196"/>
    </row>
    <row r="111" spans="2:23" x14ac:dyDescent="0.3">
      <c r="B111" s="154">
        <f>_xll.BfX_Rang(_seed1,1,0.5,-2,3,C110)</f>
        <v>0.12704220021307489</v>
      </c>
      <c r="C111" s="154">
        <f>_xll.BfX_Rang(_seed1,1,0.5,-2,3,B111)</f>
        <v>0.12009856643157502</v>
      </c>
      <c r="L111" s="196">
        <v>0.75</v>
      </c>
      <c r="M111" s="196">
        <f t="shared" si="0"/>
        <v>0.49579997723861191</v>
      </c>
      <c r="N111" s="196"/>
      <c r="O111" s="196"/>
      <c r="P111" s="196"/>
      <c r="Q111" s="196"/>
      <c r="R111" s="196"/>
      <c r="S111" s="196"/>
      <c r="T111" s="196"/>
      <c r="U111" s="196"/>
      <c r="V111" s="196"/>
      <c r="W111" s="196"/>
    </row>
    <row r="112" spans="2:23" x14ac:dyDescent="0.3">
      <c r="B112" s="154">
        <f>_xll.BfX_Rang(_seed1,1,0.5,-2,3,C111)</f>
        <v>0.12157527383453548</v>
      </c>
      <c r="C112" s="154">
        <f>_xll.BfX_Rang(_seed1,1,0.5,-2,3,B112)</f>
        <v>1.1293110975831073</v>
      </c>
      <c r="L112" s="196">
        <v>1</v>
      </c>
      <c r="M112" s="196">
        <f t="shared" si="0"/>
        <v>0.63661977236758138</v>
      </c>
      <c r="N112" s="196"/>
      <c r="O112" s="196"/>
      <c r="P112" s="196"/>
      <c r="Q112" s="196"/>
      <c r="R112" s="196"/>
      <c r="S112" s="196"/>
      <c r="T112" s="196"/>
      <c r="U112" s="196"/>
      <c r="V112" s="196"/>
      <c r="W112" s="196"/>
    </row>
    <row r="113" spans="2:23" x14ac:dyDescent="0.3">
      <c r="B113" s="154">
        <f>_xll.BfX_Rang(_seed1,1,0.5,-2,3,C112)</f>
        <v>1.0576672481972884</v>
      </c>
      <c r="C113" s="154">
        <f>_xll.BfX_Rang(_seed1,1,0.5,-2,3,B113)</f>
        <v>0.74408714327590708</v>
      </c>
      <c r="L113" s="196">
        <v>1.25</v>
      </c>
      <c r="M113" s="196">
        <f t="shared" si="0"/>
        <v>0.49579997723861191</v>
      </c>
      <c r="N113" s="196"/>
      <c r="O113" s="196"/>
      <c r="P113" s="196"/>
      <c r="Q113" s="196"/>
      <c r="R113" s="196"/>
      <c r="S113" s="196"/>
      <c r="T113" s="196"/>
      <c r="U113" s="196"/>
      <c r="V113" s="196"/>
      <c r="W113" s="196"/>
    </row>
    <row r="114" spans="2:23" ht="16.5" thickBot="1" x14ac:dyDescent="0.35">
      <c r="B114" s="154">
        <f>_xll.BfX_Rang(_seed1,1,0.5,-2,3,C113)</f>
        <v>1.7007648890606974</v>
      </c>
      <c r="C114" s="154">
        <f>_xll.BfX_Rang(_seed1,1,0.5,-2,3,B114)</f>
        <v>0.78575988434854871</v>
      </c>
      <c r="L114" s="196">
        <v>1.5</v>
      </c>
      <c r="M114" s="196">
        <f t="shared" si="0"/>
        <v>0.23419932609727667</v>
      </c>
      <c r="N114" s="196"/>
      <c r="O114" s="196"/>
      <c r="P114" s="196"/>
      <c r="Q114" s="196"/>
      <c r="R114" s="196"/>
      <c r="S114" s="196"/>
      <c r="T114" s="196"/>
      <c r="U114" s="196"/>
      <c r="V114" s="196"/>
      <c r="W114" s="196"/>
    </row>
    <row r="115" spans="2:23" x14ac:dyDescent="0.3">
      <c r="B115" s="154">
        <f>_xll.BfX_Rang(_seed1,1,0.5,-2,3,C114)</f>
        <v>1.534418190488223</v>
      </c>
      <c r="C115" s="154">
        <f>_xll.BfX_Rang(_seed1,1,0.5,-2,3,B115)</f>
        <v>0.59961109668938706</v>
      </c>
      <c r="L115" s="196">
        <v>1.75</v>
      </c>
      <c r="M115" s="196">
        <f t="shared" si="0"/>
        <v>6.7099230348293668E-2</v>
      </c>
      <c r="N115" s="198" t="s">
        <v>601</v>
      </c>
      <c r="O115" s="199"/>
      <c r="P115" s="199"/>
      <c r="Q115" s="199"/>
      <c r="R115" s="199"/>
      <c r="S115" s="199"/>
      <c r="T115" s="199"/>
      <c r="U115" s="199"/>
      <c r="V115" s="200"/>
      <c r="W115" s="196"/>
    </row>
    <row r="116" spans="2:23" x14ac:dyDescent="0.3">
      <c r="B116" s="154">
        <f>_xll.BfX_Rang(_seed1,1,0.5,-2,3,C115)</f>
        <v>0.58640477261189483</v>
      </c>
      <c r="C116" s="154">
        <f>_xll.BfX_Rang(_seed1,1,0.5,-2,3,B116)</f>
        <v>0.15390161428458571</v>
      </c>
      <c r="L116" s="196">
        <v>2</v>
      </c>
      <c r="M116" s="196">
        <f t="shared" si="0"/>
        <v>1.1660097860112774E-2</v>
      </c>
      <c r="N116" s="201" t="s">
        <v>603</v>
      </c>
      <c r="O116" s="202"/>
      <c r="P116" s="202"/>
      <c r="Q116" s="202"/>
      <c r="R116" s="202"/>
      <c r="S116" s="202"/>
      <c r="T116" s="202"/>
      <c r="U116" s="202"/>
      <c r="V116" s="203"/>
      <c r="W116" s="196"/>
    </row>
    <row r="117" spans="2:23" x14ac:dyDescent="0.3">
      <c r="B117" s="154">
        <f>_xll.BfX_Rang(_seed1,1,0.5,-2,3,C116)</f>
        <v>1.1296838815625954</v>
      </c>
      <c r="C117" s="154">
        <f>_xll.BfX_Rang(_seed1,1,0.5,-2,3,B117)</f>
        <v>1.1639032143084105</v>
      </c>
      <c r="L117" s="196">
        <v>2.25</v>
      </c>
      <c r="M117" s="196">
        <f t="shared" si="0"/>
        <v>1.2289652727713403E-3</v>
      </c>
      <c r="N117" s="201" t="s">
        <v>604</v>
      </c>
      <c r="O117" s="202"/>
      <c r="P117" s="202"/>
      <c r="Q117" s="202"/>
      <c r="R117" s="202"/>
      <c r="S117" s="202"/>
      <c r="T117" s="202"/>
      <c r="U117" s="202"/>
      <c r="V117" s="203"/>
      <c r="W117" s="196"/>
    </row>
    <row r="118" spans="2:23" ht="16.5" thickBot="1" x14ac:dyDescent="0.35">
      <c r="B118" s="154">
        <f>_xll.BfX_Rang(_seed1,1,0.5,-2,3,C117)</f>
        <v>1.638755397088536</v>
      </c>
      <c r="C118" s="154">
        <f>_xll.BfX_Rang(_seed1,1,0.5,-2,3,B118)</f>
        <v>0.49369236349446988</v>
      </c>
      <c r="L118" s="196">
        <v>2.5</v>
      </c>
      <c r="M118" s="196">
        <f t="shared" si="0"/>
        <v>7.8565121385589762E-5</v>
      </c>
      <c r="N118" s="204" t="s">
        <v>602</v>
      </c>
      <c r="O118" s="205"/>
      <c r="P118" s="205"/>
      <c r="Q118" s="205"/>
      <c r="R118" s="205"/>
      <c r="S118" s="205"/>
      <c r="T118" s="205"/>
      <c r="U118" s="205"/>
      <c r="V118" s="206"/>
      <c r="W118" s="196"/>
    </row>
    <row r="119" spans="2:23" x14ac:dyDescent="0.3">
      <c r="B119" s="154">
        <f>_xll.BfX_Rang(_seed1,1,0.5,-2,3,C118)</f>
        <v>1.4970758619012954</v>
      </c>
      <c r="C119" s="154">
        <f>_xll.BfX_Rang(_seed1,1,0.5,-2,3,B119)</f>
        <v>1.1639229874508272</v>
      </c>
      <c r="E119" s="198" t="str">
        <f ca="1">MID(CELL("filename",A4),FIND("]",CELL("filename",A4))+1,1256)</f>
        <v>Random numbers</v>
      </c>
      <c r="F119" s="199"/>
      <c r="G119" s="199" t="str">
        <f>B13</f>
        <v>BfX_Ran</v>
      </c>
      <c r="H119" s="199" t="str">
        <f>_xll.BfX_CRC(B34:B50,"on")</f>
        <v>BfX3228690052CRC</v>
      </c>
      <c r="I119" s="199"/>
      <c r="J119" s="200"/>
      <c r="L119" s="196">
        <v>2.75</v>
      </c>
      <c r="M119" s="196">
        <f t="shared" si="0"/>
        <v>3.0463003449293242E-6</v>
      </c>
      <c r="N119" s="196"/>
      <c r="O119" s="196"/>
      <c r="P119" s="196"/>
      <c r="Q119" s="196"/>
      <c r="R119" s="196"/>
      <c r="S119" s="196"/>
      <c r="T119" s="196"/>
      <c r="U119" s="196"/>
      <c r="V119" s="196"/>
      <c r="W119" s="196"/>
    </row>
    <row r="120" spans="2:23" x14ac:dyDescent="0.3">
      <c r="B120" s="154">
        <f>_xll.BfX_Rang(_seed1,1,0.5,-2,3,C119)</f>
        <v>2.1221205422473419</v>
      </c>
      <c r="C120" s="154">
        <f>_xll.BfX_Rang(_seed1,1,0.5,-2,3,B120)</f>
        <v>1.6247795723902017</v>
      </c>
      <c r="E120" s="201" t="str">
        <f ca="1">MID(CELL("filename",A5),FIND("]",CELL("filename",A5))+1,1256)</f>
        <v>Random numbers</v>
      </c>
      <c r="F120" s="202"/>
      <c r="G120" s="202" t="str">
        <f>B55</f>
        <v xml:space="preserve">BfX_Ranb </v>
      </c>
      <c r="H120" s="202" t="str">
        <f>_xll.BfX_CRC(B61:C87,"on")</f>
        <v>BfX3220376921CRC</v>
      </c>
      <c r="I120" s="202"/>
      <c r="J120" s="203"/>
      <c r="L120" s="196">
        <v>3</v>
      </c>
      <c r="M120" s="196">
        <f t="shared" si="0"/>
        <v>7.1642117313120739E-8</v>
      </c>
      <c r="N120" s="196"/>
      <c r="O120" s="196"/>
      <c r="P120" s="196"/>
      <c r="Q120" s="196"/>
      <c r="R120" s="196"/>
      <c r="S120" s="196"/>
      <c r="T120" s="196"/>
      <c r="U120" s="196"/>
      <c r="V120" s="196"/>
      <c r="W120" s="196"/>
    </row>
    <row r="121" spans="2:23" x14ac:dyDescent="0.3">
      <c r="B121" s="154">
        <f>_xll.BfX_Rang(_seed1,1,0.5,-2,3,C120)</f>
        <v>2.0791552674675255</v>
      </c>
      <c r="C121" s="154">
        <f>_xll.BfX_Rang(_seed1,1,0.5,-2,3,B121)</f>
        <v>1.13795868613244</v>
      </c>
      <c r="E121" s="201" t="str">
        <f ca="1">MID(CELL("filename",A6),FIND("]",CELL("filename",A6))+1,1256)</f>
        <v>Random numbers</v>
      </c>
      <c r="F121" s="202"/>
      <c r="G121" s="202" t="str">
        <f>B90</f>
        <v>BfX_Rang</v>
      </c>
      <c r="H121" s="202" t="str">
        <f>_xll.BfX_CRC(B96:C234,"on")</f>
        <v>BfX573377704CRC</v>
      </c>
      <c r="I121" s="202"/>
      <c r="J121" s="203"/>
      <c r="L121" s="196">
        <v>3.25</v>
      </c>
      <c r="M121" s="196">
        <f t="shared" si="0"/>
        <v>1.0219199190903195E-9</v>
      </c>
      <c r="N121" s="196"/>
      <c r="O121" s="196"/>
      <c r="P121" s="196"/>
      <c r="Q121" s="196"/>
      <c r="R121" s="196"/>
      <c r="S121" s="196"/>
      <c r="T121" s="196"/>
      <c r="U121" s="196"/>
      <c r="V121" s="196"/>
      <c r="W121" s="196"/>
    </row>
    <row r="122" spans="2:23" ht="16.5" thickBot="1" x14ac:dyDescent="0.35">
      <c r="B122" s="154">
        <f>_xll.BfX_Rang(_seed1,1,0.5,-2,3,C121)</f>
        <v>0.42148304298088934</v>
      </c>
      <c r="C122" s="154">
        <f>_xll.BfX_Rang(_seed1,1,0.5,-2,3,B122)</f>
        <v>1.341762693212778</v>
      </c>
      <c r="E122" s="201"/>
      <c r="F122" s="202"/>
      <c r="G122" s="202"/>
      <c r="H122" s="202"/>
      <c r="I122" s="202"/>
      <c r="J122" s="203"/>
      <c r="L122" s="196">
        <v>3.5</v>
      </c>
      <c r="M122" s="196">
        <f t="shared" si="0"/>
        <v>8.8413396619671432E-12</v>
      </c>
      <c r="N122" s="196"/>
      <c r="O122" s="196"/>
      <c r="P122" s="196"/>
      <c r="Q122" s="196"/>
      <c r="R122" s="196"/>
      <c r="S122" s="196"/>
      <c r="T122" s="196"/>
      <c r="U122" s="196"/>
      <c r="V122" s="196"/>
      <c r="W122" s="196"/>
    </row>
    <row r="123" spans="2:23" x14ac:dyDescent="0.3">
      <c r="B123" s="154">
        <f>_xll.BfX_Rang(_seed1,1,0.5,-2,3,C122)</f>
        <v>1.3936381417777479</v>
      </c>
      <c r="C123" s="154">
        <f>_xll.BfX_Rang(_seed1,1,0.5,-2,3,B123)</f>
        <v>0.72384841989815429</v>
      </c>
      <c r="E123" s="198" t="s">
        <v>761</v>
      </c>
      <c r="F123" s="199"/>
      <c r="G123" s="199"/>
      <c r="H123" s="199"/>
      <c r="I123" s="199"/>
      <c r="J123" s="200"/>
      <c r="L123" s="196">
        <v>3.75</v>
      </c>
      <c r="M123" s="196">
        <f t="shared" si="0"/>
        <v>4.6395092549584704E-14</v>
      </c>
      <c r="N123" s="196"/>
      <c r="O123" s="196"/>
      <c r="P123" s="196"/>
      <c r="Q123" s="196"/>
      <c r="R123" s="196"/>
      <c r="S123" s="196"/>
      <c r="T123" s="196"/>
      <c r="U123" s="196"/>
      <c r="V123" s="196"/>
      <c r="W123" s="196"/>
    </row>
    <row r="124" spans="2:23" x14ac:dyDescent="0.3">
      <c r="B124" s="154">
        <f>_xll.BfX_Rang(_seed1,1,0.5,-2,3,C123)</f>
        <v>1.333042203060594</v>
      </c>
      <c r="C124" s="154">
        <f>_xll.BfX_Rang(_seed1,1,0.5,-2,3,B124)</f>
        <v>2.1125146157835877</v>
      </c>
      <c r="E124" s="201" t="s">
        <v>759</v>
      </c>
      <c r="F124" s="202"/>
      <c r="G124" s="202"/>
      <c r="H124" s="202"/>
      <c r="I124" s="202"/>
      <c r="J124" s="203"/>
      <c r="L124" s="196">
        <v>4</v>
      </c>
      <c r="M124" s="196">
        <f t="shared" si="0"/>
        <v>1.476654096191069E-16</v>
      </c>
      <c r="N124" s="196"/>
      <c r="O124" s="196"/>
      <c r="P124" s="196"/>
      <c r="Q124" s="196"/>
      <c r="R124" s="196"/>
      <c r="S124" s="196"/>
      <c r="T124" s="196"/>
      <c r="U124" s="196"/>
      <c r="V124" s="196"/>
      <c r="W124" s="196"/>
    </row>
    <row r="125" spans="2:23" ht="16.5" thickBot="1" x14ac:dyDescent="0.35">
      <c r="B125" s="154">
        <f>_xll.BfX_Rang(_seed1,1,0.5,-2,3,C124)</f>
        <v>1.2304511040520039</v>
      </c>
      <c r="C125" s="154">
        <f>_xll.BfX_Rang(_seed1,1,0.5,-2,3,B125)</f>
        <v>0.41607889705711942</v>
      </c>
      <c r="E125" s="204" t="s">
        <v>760</v>
      </c>
      <c r="F125" s="205"/>
      <c r="G125" s="205"/>
      <c r="H125" s="205"/>
      <c r="I125" s="205"/>
      <c r="J125" s="206"/>
      <c r="L125" s="105"/>
    </row>
    <row r="126" spans="2:23" x14ac:dyDescent="0.3">
      <c r="B126" s="154">
        <f>_xll.BfX_Rang(_seed1,1,0.5,-2,3,C125)</f>
        <v>1.482860730374898</v>
      </c>
      <c r="C126" s="154">
        <f>_xll.BfX_Rang(_seed1,1,0.5,-2,3,B126)</f>
        <v>0.79793622270178455</v>
      </c>
      <c r="L126" s="105"/>
    </row>
    <row r="127" spans="2:23" x14ac:dyDescent="0.3">
      <c r="B127" s="154">
        <f>_xll.BfX_Rang(_seed1,1,0.5,-2,3,C126)</f>
        <v>1.2055707225123351</v>
      </c>
      <c r="C127" s="154">
        <f>_xll.BfX_Rang(_seed1,1,0.5,-2,3,B127)</f>
        <v>0.71735721331028213</v>
      </c>
    </row>
    <row r="128" spans="2:23" x14ac:dyDescent="0.3">
      <c r="B128" s="154">
        <f>_xll.BfX_Rang(_seed1,1,0.5,-2,3,C127)</f>
        <v>-3.6844726427654795E-2</v>
      </c>
      <c r="C128" s="154">
        <f>_xll.BfX_Rang(_seed1,1,0.5,-2,3,B128)</f>
        <v>1.0461546785771274</v>
      </c>
      <c r="E128" s="105" t="s">
        <v>762</v>
      </c>
      <c r="L128" s="105"/>
    </row>
    <row r="129" spans="2:12" x14ac:dyDescent="0.3">
      <c r="B129" s="154">
        <f>_xll.BfX_Rang(_seed1,1,0.5,-2,3,C128)</f>
        <v>0.77695825737364554</v>
      </c>
      <c r="C129" s="154">
        <f>_xll.BfX_Rang(_seed1,1,0.5,-2,3,B129)</f>
        <v>1.4317150289266642</v>
      </c>
      <c r="E129" s="251" t="s">
        <v>763</v>
      </c>
      <c r="L129" s="105"/>
    </row>
    <row r="130" spans="2:12" x14ac:dyDescent="0.3">
      <c r="B130" s="154">
        <f>_xll.BfX_Rang(_seed1,1,0.5,-2,3,C129)</f>
        <v>0.55189167395045313</v>
      </c>
      <c r="C130" s="154">
        <f>_xll.BfX_Rang(_seed1,1,0.5,-2,3,B130)</f>
        <v>1.8086323763263952</v>
      </c>
      <c r="E130" s="251" t="s">
        <v>767</v>
      </c>
      <c r="L130" s="105"/>
    </row>
    <row r="131" spans="2:12" x14ac:dyDescent="0.3">
      <c r="B131" s="154">
        <f>_xll.BfX_Rang(_seed1,1,0.5,-2,3,C130)</f>
        <v>1.2382003702777906</v>
      </c>
      <c r="C131" s="154">
        <f>_xll.BfX_Rang(_seed1,1,0.5,-2,3,B131)</f>
        <v>1.2704427031032841</v>
      </c>
      <c r="E131" s="105"/>
      <c r="L131" s="105"/>
    </row>
    <row r="132" spans="2:12" x14ac:dyDescent="0.3">
      <c r="B132" s="154">
        <f>_xll.BfX_Rang(_seed1,1,0.5,-2,3,C131)</f>
        <v>0.45225912482763153</v>
      </c>
      <c r="C132" s="154">
        <f>_xll.BfX_Rang(_seed1,1,0.5,-2,3,B132)</f>
        <v>1.9761194677502192</v>
      </c>
      <c r="L132" s="105"/>
    </row>
    <row r="133" spans="2:12" x14ac:dyDescent="0.3">
      <c r="B133" s="154">
        <f>_xll.BfX_Rang(_seed1,1,0.5,-2,3,C132)</f>
        <v>1.121667812373877</v>
      </c>
      <c r="C133" s="154">
        <f>_xll.BfX_Rang(_seed1,1,0.5,-2,3,B133)</f>
        <v>0.91940127567374219</v>
      </c>
      <c r="E133" t="s">
        <v>769</v>
      </c>
    </row>
    <row r="134" spans="2:12" x14ac:dyDescent="0.3">
      <c r="B134" s="154">
        <f>_xll.BfX_Rang(_seed1,1,0.5,-2,3,C133)</f>
        <v>0.86780047879270317</v>
      </c>
      <c r="C134" s="154">
        <f>_xll.BfX_Rang(_seed1,1,0.5,-2,3,B134)</f>
        <v>0.96524447807232949</v>
      </c>
      <c r="E134" s="154">
        <f>_xll.BfX_Ran(1111,C234)</f>
        <v>9.5549202546372364E-2</v>
      </c>
      <c r="F134" s="154" t="str">
        <f ca="1">_xll.BfX_Cell(E134)</f>
        <v>=BfX_Ran(1111;C234)</v>
      </c>
      <c r="G134" s="154"/>
      <c r="H134" s="154"/>
    </row>
    <row r="135" spans="2:12" x14ac:dyDescent="0.3">
      <c r="B135" s="154">
        <f>_xll.BfX_Rang(_seed1,1,0.5,-2,3,C134)</f>
        <v>1.2311660931983881</v>
      </c>
      <c r="C135" s="154">
        <f>_xll.BfX_Rang(_seed1,1,0.5,-2,3,B135)</f>
        <v>0.44518554593557136</v>
      </c>
    </row>
    <row r="136" spans="2:12" x14ac:dyDescent="0.3">
      <c r="B136" s="154">
        <f>_xll.BfX_Rang(_seed1,1,0.5,-2,3,C135)</f>
        <v>0.84494702654074549</v>
      </c>
      <c r="C136" s="154">
        <f>_xll.BfX_Rang(_seed1,1,0.5,-2,3,B136)</f>
        <v>0.99488432309471175</v>
      </c>
    </row>
    <row r="137" spans="2:12" x14ac:dyDescent="0.3">
      <c r="B137" s="154">
        <f>_xll.BfX_Rang(_seed1,1,0.5,-2,3,C136)</f>
        <v>1.0610259745877761</v>
      </c>
      <c r="C137" s="154">
        <f>_xll.BfX_Rang(_seed1,1,0.5,-2,3,B137)</f>
        <v>1.2832650161076486</v>
      </c>
    </row>
    <row r="138" spans="2:12" x14ac:dyDescent="0.3">
      <c r="B138" s="154">
        <f>_xll.BfX_Rang(_seed1,1,0.5,-2,3,C137)</f>
        <v>0.95823627802502287</v>
      </c>
      <c r="C138" s="154">
        <f>_xll.BfX_Rang(_seed1,1,0.5,-2,3,B138)</f>
        <v>1.4813021201364003</v>
      </c>
    </row>
    <row r="139" spans="2:12" x14ac:dyDescent="0.3">
      <c r="B139" s="154">
        <f>_xll.BfX_Rang(_seed1,1,0.5,-2,3,C138)</f>
        <v>0.94855496216298896</v>
      </c>
      <c r="C139" s="154">
        <f>_xll.BfX_Rang(_seed1,1,0.5,-2,3,B139)</f>
        <v>0.36129160210520306</v>
      </c>
    </row>
    <row r="140" spans="2:12" x14ac:dyDescent="0.3">
      <c r="B140" s="154">
        <f>_xll.BfX_Rang(_seed1,1,0.5,-2,3,C139)</f>
        <v>1.8373038705525229</v>
      </c>
      <c r="C140" s="154">
        <f>_xll.BfX_Rang(_seed1,1,0.5,-2,3,B140)</f>
        <v>1.2197862382092945</v>
      </c>
    </row>
    <row r="141" spans="2:12" x14ac:dyDescent="0.3">
      <c r="B141" s="154">
        <f>_xll.BfX_Rang(_seed1,1,0.5,-2,3,C140)</f>
        <v>0.74911523977041172</v>
      </c>
      <c r="C141" s="154">
        <f>_xll.BfX_Rang(_seed1,1,0.5,-2,3,B141)</f>
        <v>1.6192846062172404</v>
      </c>
    </row>
    <row r="142" spans="2:12" x14ac:dyDescent="0.3">
      <c r="B142" s="154">
        <f>_xll.BfX_Rang(_seed1,1,0.5,-2,3,C141)</f>
        <v>1.3993542621376354</v>
      </c>
      <c r="C142" s="154">
        <f>_xll.BfX_Rang(_seed1,1,0.5,-2,3,B142)</f>
        <v>1.8602692130627734</v>
      </c>
    </row>
    <row r="143" spans="2:12" x14ac:dyDescent="0.3">
      <c r="B143" s="154">
        <f>_xll.BfX_Rang(_seed1,1,0.5,-2,3,C142)</f>
        <v>1.3343927046131325</v>
      </c>
      <c r="C143" s="154">
        <f>_xll.BfX_Rang(_seed1,1,0.5,-2,3,B143)</f>
        <v>0.83155132383842778</v>
      </c>
    </row>
    <row r="144" spans="2:12" x14ac:dyDescent="0.3">
      <c r="B144" s="154">
        <f>_xll.BfX_Rang(_seed1,1,0.5,-2,3,C143)</f>
        <v>0.82155636647286778</v>
      </c>
      <c r="C144" s="154">
        <f>_xll.BfX_Rang(_seed1,1,0.5,-2,3,B144)</f>
        <v>0.98046501772023387</v>
      </c>
    </row>
    <row r="145" spans="2:3" x14ac:dyDescent="0.3">
      <c r="B145" s="154">
        <f>_xll.BfX_Rang(_seed1,1,0.5,-2,3,C144)</f>
        <v>1.9299017304857031</v>
      </c>
      <c r="C145" s="154">
        <f>_xll.BfX_Rang(_seed1,1,0.5,-2,3,B145)</f>
        <v>0.28132521088265916</v>
      </c>
    </row>
    <row r="146" spans="2:3" x14ac:dyDescent="0.3">
      <c r="B146" s="154">
        <f>_xll.BfX_Rang(_seed1,1,0.5,-2,3,C145)</f>
        <v>0.62179619460874136</v>
      </c>
      <c r="C146" s="154">
        <f>_xll.BfX_Rang(_seed1,1,0.5,-2,3,B146)</f>
        <v>0.80020890706223646</v>
      </c>
    </row>
    <row r="147" spans="2:3" x14ac:dyDescent="0.3">
      <c r="B147" s="154">
        <f>_xll.BfX_Rang(_seed1,1,0.5,-2,3,C146)</f>
        <v>1.4130824877445316</v>
      </c>
      <c r="C147" s="154">
        <f>_xll.BfX_Rang(_seed1,1,0.5,-2,3,B147)</f>
        <v>1.427538168250476</v>
      </c>
    </row>
    <row r="148" spans="2:3" x14ac:dyDescent="0.3">
      <c r="B148" s="154">
        <f>_xll.BfX_Rang(_seed1,1,0.5,-2,3,C147)</f>
        <v>1.000817949185338</v>
      </c>
      <c r="C148" s="154">
        <f>_xll.BfX_Rang(_seed1,1,0.5,-2,3,B148)</f>
        <v>0.63578329995176386</v>
      </c>
    </row>
    <row r="149" spans="2:3" x14ac:dyDescent="0.3">
      <c r="B149" s="154">
        <f>_xll.BfX_Rang(_seed1,1,0.5,-2,3,C148)</f>
        <v>0.818698291158932</v>
      </c>
      <c r="C149" s="154">
        <f>_xll.BfX_Rang(_seed1,1,0.5,-2,3,B149)</f>
        <v>0.48532162338619145</v>
      </c>
    </row>
    <row r="150" spans="2:3" x14ac:dyDescent="0.3">
      <c r="B150" s="154">
        <f>_xll.BfX_Rang(_seed1,1,0.5,-2,3,C149)</f>
        <v>1.1539494877573917</v>
      </c>
      <c r="C150" s="154">
        <f>_xll.BfX_Rang(_seed1,1,0.5,-2,3,B150)</f>
        <v>0.75599471473973123</v>
      </c>
    </row>
    <row r="151" spans="2:3" x14ac:dyDescent="0.3">
      <c r="B151" s="154">
        <f>_xll.BfX_Rang(_seed1,1,0.5,-2,3,C150)</f>
        <v>1.1784624811677409</v>
      </c>
      <c r="C151" s="154">
        <f>_xll.BfX_Rang(_seed1,1,0.5,-2,3,B151)</f>
        <v>1.2895956137891846</v>
      </c>
    </row>
    <row r="152" spans="2:3" x14ac:dyDescent="0.3">
      <c r="B152" s="154">
        <f>_xll.BfX_Rang(_seed1,1,0.5,-2,3,C151)</f>
        <v>1.173756061162277</v>
      </c>
      <c r="C152" s="154">
        <f>_xll.BfX_Rang(_seed1,1,0.5,-2,3,B152)</f>
        <v>1.3132273583470906</v>
      </c>
    </row>
    <row r="153" spans="2:3" x14ac:dyDescent="0.3">
      <c r="B153" s="154">
        <f>_xll.BfX_Rang(_seed1,1,0.5,-2,3,C152)</f>
        <v>0.56864068740248719</v>
      </c>
      <c r="C153" s="154">
        <f>_xll.BfX_Rang(_seed1,1,0.5,-2,3,B153)</f>
        <v>0.63679891304038438</v>
      </c>
    </row>
    <row r="154" spans="2:3" x14ac:dyDescent="0.3">
      <c r="B154" s="154">
        <f>_xll.BfX_Rang(_seed1,1,0.5,-2,3,C153)</f>
        <v>0.54794697103741274</v>
      </c>
      <c r="C154" s="154">
        <f>_xll.BfX_Rang(_seed1,1,0.5,-2,3,B154)</f>
        <v>0.5022546498808671</v>
      </c>
    </row>
    <row r="155" spans="2:3" x14ac:dyDescent="0.3">
      <c r="B155" s="154">
        <f>_xll.BfX_Rang(_seed1,1,0.5,-2,3,C154)</f>
        <v>0.81228113170067795</v>
      </c>
      <c r="C155" s="154">
        <f>_xll.BfX_Rang(_seed1,1,0.5,-2,3,B155)</f>
        <v>1.3266315977849601</v>
      </c>
    </row>
    <row r="156" spans="2:3" x14ac:dyDescent="0.3">
      <c r="B156" s="154">
        <f>_xll.BfX_Rang(_seed1,1,0.5,-2,3,C155)</f>
        <v>2.0787098321781281</v>
      </c>
      <c r="C156" s="154">
        <f>_xll.BfX_Rang(_seed1,1,0.5,-2,3,B156)</f>
        <v>0.69349616782122681</v>
      </c>
    </row>
    <row r="157" spans="2:3" x14ac:dyDescent="0.3">
      <c r="B157" s="154">
        <f>_xll.BfX_Rang(_seed1,1,0.5,-2,3,C156)</f>
        <v>1.2097022161375972</v>
      </c>
      <c r="C157" s="154">
        <f>_xll.BfX_Rang(_seed1,1,0.5,-2,3,B157)</f>
        <v>1.3628049803345479</v>
      </c>
    </row>
    <row r="158" spans="2:3" x14ac:dyDescent="0.3">
      <c r="B158" s="154">
        <f>_xll.BfX_Rang(_seed1,1,0.5,-2,3,C157)</f>
        <v>0.51452459895855851</v>
      </c>
      <c r="C158" s="154">
        <f>_xll.BfX_Rang(_seed1,1,0.5,-2,3,B158)</f>
        <v>1.4236776860020308</v>
      </c>
    </row>
    <row r="159" spans="2:3" x14ac:dyDescent="0.3">
      <c r="B159" s="154">
        <f>_xll.BfX_Rang(_seed1,1,0.5,-2,3,C158)</f>
        <v>0.77549499361205276</v>
      </c>
      <c r="C159" s="154">
        <f>_xll.BfX_Rang(_seed1,1,0.5,-2,3,B159)</f>
        <v>1.578725949297362</v>
      </c>
    </row>
    <row r="160" spans="2:3" x14ac:dyDescent="0.3">
      <c r="B160" s="154">
        <f>_xll.BfX_Rang(_seed1,1,0.5,-2,3,C159)</f>
        <v>1.0309931673181696</v>
      </c>
      <c r="C160" s="154">
        <f>_xll.BfX_Rang(_seed1,1,0.5,-2,3,B160)</f>
        <v>1.1637618360490913</v>
      </c>
    </row>
    <row r="161" spans="2:3" x14ac:dyDescent="0.3">
      <c r="B161" s="154">
        <f>_xll.BfX_Rang(_seed1,1,0.5,-2,3,C160)</f>
        <v>0.89529389652779656</v>
      </c>
      <c r="C161" s="154">
        <f>_xll.BfX_Rang(_seed1,1,0.5,-2,3,B161)</f>
        <v>1.1531929325203394</v>
      </c>
    </row>
    <row r="162" spans="2:3" x14ac:dyDescent="0.3">
      <c r="B162" s="154">
        <f>_xll.BfX_Rang(_seed1,1,0.5,-2,3,C161)</f>
        <v>0.52409881272448677</v>
      </c>
      <c r="C162" s="154">
        <f>_xll.BfX_Rang(_seed1,1,0.5,-2,3,B162)</f>
        <v>1.3197226487844538</v>
      </c>
    </row>
    <row r="163" spans="2:3" x14ac:dyDescent="0.3">
      <c r="B163" s="154">
        <f>_xll.BfX_Rang(_seed1,1,0.5,-2,3,C162)</f>
        <v>0.47148682537290432</v>
      </c>
      <c r="C163" s="154">
        <f>_xll.BfX_Rang(_seed1,1,0.5,-2,3,B163)</f>
        <v>0.54287080782066788</v>
      </c>
    </row>
    <row r="164" spans="2:3" x14ac:dyDescent="0.3">
      <c r="B164" s="154">
        <f>_xll.BfX_Rang(_seed1,1,0.5,-2,3,C163)</f>
        <v>0.51394491351999916</v>
      </c>
      <c r="C164" s="154">
        <f>_xll.BfX_Rang(_seed1,1,0.5,-2,3,B164)</f>
        <v>1.3193345294146184</v>
      </c>
    </row>
    <row r="165" spans="2:3" x14ac:dyDescent="0.3">
      <c r="B165" s="154">
        <f>_xll.BfX_Rang(_seed1,1,0.5,-2,3,C164)</f>
        <v>1.1108281838500007</v>
      </c>
      <c r="C165" s="154">
        <f>_xll.BfX_Rang(_seed1,1,0.5,-2,3,B165)</f>
        <v>0.93948049841902215</v>
      </c>
    </row>
    <row r="166" spans="2:3" x14ac:dyDescent="0.3">
      <c r="B166" s="154">
        <f>_xll.BfX_Rang(_seed1,1,0.5,-2,3,C165)</f>
        <v>0.75295117119163057</v>
      </c>
      <c r="C166" s="154">
        <f>_xll.BfX_Rang(_seed1,1,0.5,-2,3,B166)</f>
        <v>1.3180104296929223</v>
      </c>
    </row>
    <row r="167" spans="2:3" x14ac:dyDescent="0.3">
      <c r="B167" s="154">
        <f>_xll.BfX_Rang(_seed1,1,0.5,-2,3,C166)</f>
        <v>0.80815747864734355</v>
      </c>
      <c r="C167" s="154">
        <f>_xll.BfX_Rang(_seed1,1,0.5,-2,3,B167)</f>
        <v>1.5732377107658513</v>
      </c>
    </row>
    <row r="168" spans="2:3" x14ac:dyDescent="0.3">
      <c r="B168" s="154">
        <f>_xll.BfX_Rang(_seed1,1,0.5,-2,3,C167)</f>
        <v>1.222798452065978</v>
      </c>
      <c r="C168" s="154">
        <f>_xll.BfX_Rang(_seed1,1,0.5,-2,3,B168)</f>
        <v>-0.25230832753058241</v>
      </c>
    </row>
    <row r="169" spans="2:3" x14ac:dyDescent="0.3">
      <c r="B169" s="154">
        <f>_xll.BfX_Rang(_seed1,1,0.5,-2,3,C168)</f>
        <v>0.39651292501867585</v>
      </c>
      <c r="C169" s="154">
        <f>_xll.BfX_Rang(_seed1,1,0.5,-2,3,B169)</f>
        <v>1.08365415038626</v>
      </c>
    </row>
    <row r="170" spans="2:3" x14ac:dyDescent="0.3">
      <c r="B170" s="154">
        <f>_xll.BfX_Rang(_seed1,1,0.5,-2,3,C169)</f>
        <v>1.6221404463569962</v>
      </c>
      <c r="C170" s="154">
        <f>_xll.BfX_Rang(_seed1,1,0.5,-2,3,B170)</f>
        <v>1.6137006009495121</v>
      </c>
    </row>
    <row r="171" spans="2:3" x14ac:dyDescent="0.3">
      <c r="B171" s="154">
        <f>_xll.BfX_Rang(_seed1,1,0.5,-2,3,C170)</f>
        <v>1.5893729104635708</v>
      </c>
      <c r="C171" s="154">
        <f>_xll.BfX_Rang(_seed1,1,0.5,-2,3,B171)</f>
        <v>1.5565394951395084</v>
      </c>
    </row>
    <row r="172" spans="2:3" x14ac:dyDescent="0.3">
      <c r="B172" s="154">
        <f>_xll.BfX_Rang(_seed1,1,0.5,-2,3,C171)</f>
        <v>0.32765754273339587</v>
      </c>
      <c r="C172" s="154">
        <f>_xll.BfX_Rang(_seed1,1,0.5,-2,3,B172)</f>
        <v>0.43234894644290867</v>
      </c>
    </row>
    <row r="173" spans="2:3" x14ac:dyDescent="0.3">
      <c r="B173" s="154">
        <f>_xll.BfX_Rang(_seed1,1,0.5,-2,3,C172)</f>
        <v>1.1034828473589111</v>
      </c>
      <c r="C173" s="154">
        <f>_xll.BfX_Rang(_seed1,1,0.5,-2,3,B173)</f>
        <v>1.6839394594272457</v>
      </c>
    </row>
    <row r="174" spans="2:3" x14ac:dyDescent="0.3">
      <c r="B174" s="154">
        <f>_xll.BfX_Rang(_seed1,1,0.5,-2,3,C173)</f>
        <v>1.1618924446315253</v>
      </c>
      <c r="C174" s="154">
        <f>_xll.BfX_Rang(_seed1,1,0.5,-2,3,B174)</f>
        <v>1.1896735222986141</v>
      </c>
    </row>
    <row r="175" spans="2:3" x14ac:dyDescent="0.3">
      <c r="B175" s="154">
        <f>_xll.BfX_Rang(_seed1,1,0.5,-2,3,C174)</f>
        <v>0.73592495190350427</v>
      </c>
      <c r="C175" s="154">
        <f>_xll.BfX_Rang(_seed1,1,0.5,-2,3,B175)</f>
        <v>1.0685456209044308</v>
      </c>
    </row>
    <row r="176" spans="2:3" x14ac:dyDescent="0.3">
      <c r="B176" s="154">
        <f>_xll.BfX_Rang(_seed1,1,0.5,-2,3,C175)</f>
        <v>1.2026733360725164</v>
      </c>
      <c r="C176" s="154">
        <f>_xll.BfX_Rang(_seed1,1,0.5,-2,3,B176)</f>
        <v>1.0299760443228241</v>
      </c>
    </row>
    <row r="177" spans="2:3" x14ac:dyDescent="0.3">
      <c r="B177" s="154">
        <f>_xll.BfX_Rang(_seed1,1,0.5,-2,3,C176)</f>
        <v>0.97797271818341036</v>
      </c>
      <c r="C177" s="154">
        <f>_xll.BfX_Rang(_seed1,1,0.5,-2,3,B177)</f>
        <v>0.3415937384920178</v>
      </c>
    </row>
    <row r="178" spans="2:3" x14ac:dyDescent="0.3">
      <c r="B178" s="154">
        <f>_xll.BfX_Rang(_seed1,1,0.5,-2,3,C177)</f>
        <v>1.3680479271263</v>
      </c>
      <c r="C178" s="154">
        <f>_xll.BfX_Rang(_seed1,1,0.5,-2,3,B178)</f>
        <v>1.1997142658102589</v>
      </c>
    </row>
    <row r="179" spans="2:3" x14ac:dyDescent="0.3">
      <c r="B179" s="154">
        <f>_xll.BfX_Rang(_seed1,1,0.5,-2,3,C178)</f>
        <v>0.43915198427605251</v>
      </c>
      <c r="C179" s="154">
        <f>_xll.BfX_Rang(_seed1,1,0.5,-2,3,B179)</f>
        <v>0.67491100883924204</v>
      </c>
    </row>
    <row r="180" spans="2:3" x14ac:dyDescent="0.3">
      <c r="B180" s="154">
        <f>_xll.BfX_Rang(_seed1,1,0.5,-2,3,C179)</f>
        <v>1.4356967484195944</v>
      </c>
      <c r="C180" s="154">
        <f>_xll.BfX_Rang(_seed1,1,0.5,-2,3,B180)</f>
        <v>1.0053344306082779</v>
      </c>
    </row>
    <row r="181" spans="2:3" x14ac:dyDescent="0.3">
      <c r="B181" s="154">
        <f>_xll.BfX_Rang(_seed1,1,0.5,-2,3,C180)</f>
        <v>0.69704336828949032</v>
      </c>
      <c r="C181" s="154">
        <f>_xll.BfX_Rang(_seed1,1,0.5,-2,3,B181)</f>
        <v>0.79273825529793696</v>
      </c>
    </row>
    <row r="182" spans="2:3" x14ac:dyDescent="0.3">
      <c r="B182" s="154">
        <f>_xll.BfX_Rang(_seed1,1,0.5,-2,3,C181)</f>
        <v>1.2304108779016909</v>
      </c>
      <c r="C182" s="154">
        <f>_xll.BfX_Rang(_seed1,1,0.5,-2,3,B182)</f>
        <v>1.0807419850213318</v>
      </c>
    </row>
    <row r="183" spans="2:3" x14ac:dyDescent="0.3">
      <c r="B183" s="154">
        <f>_xll.BfX_Rang(_seed1,1,0.5,-2,3,C182)</f>
        <v>0.45374607212230211</v>
      </c>
      <c r="C183" s="154">
        <f>_xll.BfX_Rang(_seed1,1,0.5,-2,3,B183)</f>
        <v>1.2055917063740997</v>
      </c>
    </row>
    <row r="184" spans="2:3" x14ac:dyDescent="0.3">
      <c r="B184" s="154">
        <f>_xll.BfX_Rang(_seed1,1,0.5,-2,3,C183)</f>
        <v>1.0958557042982093</v>
      </c>
      <c r="C184" s="154">
        <f>_xll.BfX_Rang(_seed1,1,0.5,-2,3,B184)</f>
        <v>0.26947488083259108</v>
      </c>
    </row>
    <row r="185" spans="2:3" x14ac:dyDescent="0.3">
      <c r="B185" s="154">
        <f>_xll.BfX_Rang(_seed1,1,0.5,-2,3,C184)</f>
        <v>1.5581257074508175</v>
      </c>
      <c r="C185" s="154">
        <f>_xll.BfX_Rang(_seed1,1,0.5,-2,3,B185)</f>
        <v>0.18751183761924306</v>
      </c>
    </row>
    <row r="186" spans="2:3" x14ac:dyDescent="0.3">
      <c r="B186" s="154">
        <f>_xll.BfX_Rang(_seed1,1,0.5,-2,3,C185)</f>
        <v>1.4571837746671363</v>
      </c>
      <c r="C186" s="154">
        <f>_xll.BfX_Rang(_seed1,1,0.5,-2,3,B186)</f>
        <v>1.2186552132988941</v>
      </c>
    </row>
    <row r="187" spans="2:3" x14ac:dyDescent="0.3">
      <c r="B187" s="154">
        <f>_xll.BfX_Rang(_seed1,1,0.5,-2,3,C186)</f>
        <v>1.4500283464905874</v>
      </c>
      <c r="C187" s="154">
        <f>_xll.BfX_Rang(_seed1,1,0.5,-2,3,B187)</f>
        <v>1.1188948494659026</v>
      </c>
    </row>
    <row r="188" spans="2:3" x14ac:dyDescent="0.3">
      <c r="B188" s="154">
        <f>_xll.BfX_Rang(_seed1,1,0.5,-2,3,C187)</f>
        <v>0.65714228215095183</v>
      </c>
      <c r="C188" s="154">
        <f>_xll.BfX_Rang(_seed1,1,0.5,-2,3,B188)</f>
        <v>1.6372785383456567</v>
      </c>
    </row>
    <row r="189" spans="2:3" x14ac:dyDescent="0.3">
      <c r="B189" s="154">
        <f>_xll.BfX_Rang(_seed1,1,0.5,-2,3,C188)</f>
        <v>1.6952771860396671</v>
      </c>
      <c r="C189" s="154">
        <f>_xll.BfX_Rang(_seed1,1,0.5,-2,3,B189)</f>
        <v>0.92103002730780981</v>
      </c>
    </row>
    <row r="190" spans="2:3" x14ac:dyDescent="0.3">
      <c r="B190" s="154">
        <f>_xll.BfX_Rang(_seed1,1,0.5,-2,3,C189)</f>
        <v>1.3830665246078433</v>
      </c>
      <c r="C190" s="154">
        <f>_xll.BfX_Rang(_seed1,1,0.5,-2,3,B190)</f>
        <v>0.29692420277207265</v>
      </c>
    </row>
    <row r="191" spans="2:3" x14ac:dyDescent="0.3">
      <c r="B191" s="154">
        <f>_xll.BfX_Rang(_seed1,1,0.5,-2,3,C190)</f>
        <v>1.7064071869725379</v>
      </c>
      <c r="C191" s="154">
        <f>_xll.BfX_Rang(_seed1,1,0.5,-2,3,B191)</f>
        <v>0.96389848644935938</v>
      </c>
    </row>
    <row r="192" spans="2:3" x14ac:dyDescent="0.3">
      <c r="B192" s="154">
        <f>_xll.BfX_Rang(_seed1,1,0.5,-2,3,C191)</f>
        <v>0.2386284526993121</v>
      </c>
      <c r="C192" s="154">
        <f>_xll.BfX_Rang(_seed1,1,0.5,-2,3,B192)</f>
        <v>1.4053682974552197</v>
      </c>
    </row>
    <row r="193" spans="2:3" x14ac:dyDescent="0.3">
      <c r="B193" s="154">
        <f>_xll.BfX_Rang(_seed1,1,0.5,-2,3,C192)</f>
        <v>1.1455306145701396</v>
      </c>
      <c r="C193" s="154">
        <f>_xll.BfX_Rang(_seed1,1,0.5,-2,3,B193)</f>
        <v>1.0271265197142787</v>
      </c>
    </row>
    <row r="194" spans="2:3" x14ac:dyDescent="0.3">
      <c r="B194" s="154">
        <f>_xll.BfX_Rang(_seed1,1,0.5,-2,3,C193)</f>
        <v>1.1073727570724148</v>
      </c>
      <c r="C194" s="154">
        <f>_xll.BfX_Rang(_seed1,1,0.5,-2,3,B194)</f>
        <v>1.2413568692843797</v>
      </c>
    </row>
    <row r="195" spans="2:3" x14ac:dyDescent="0.3">
      <c r="B195" s="154">
        <f>_xll.BfX_Rang(_seed1,1,0.5,-2,3,C194)</f>
        <v>1.0826806645101588</v>
      </c>
      <c r="C195" s="154">
        <f>_xll.BfX_Rang(_seed1,1,0.5,-2,3,B195)</f>
        <v>0.63000137466704542</v>
      </c>
    </row>
    <row r="196" spans="2:3" x14ac:dyDescent="0.3">
      <c r="B196" s="154">
        <f>_xll.BfX_Rang(_seed1,1,0.5,-2,3,C195)</f>
        <v>0.48521743167313192</v>
      </c>
      <c r="C196" s="154">
        <f>_xll.BfX_Rang(_seed1,1,0.5,-2,3,B196)</f>
        <v>2.0347731774753832</v>
      </c>
    </row>
    <row r="197" spans="2:3" x14ac:dyDescent="0.3">
      <c r="B197" s="154">
        <f>_xll.BfX_Rang(_seed1,1,0.5,-2,3,C196)</f>
        <v>0.55301193859265485</v>
      </c>
      <c r="C197" s="154">
        <f>_xll.BfX_Rang(_seed1,1,0.5,-2,3,B197)</f>
        <v>1.0236624619047303</v>
      </c>
    </row>
    <row r="198" spans="2:3" x14ac:dyDescent="0.3">
      <c r="B198" s="154">
        <f>_xll.BfX_Rang(_seed1,1,0.5,-2,3,C197)</f>
        <v>0.62253135270963655</v>
      </c>
      <c r="C198" s="154">
        <f>_xll.BfX_Rang(_seed1,1,0.5,-2,3,B198)</f>
        <v>0.90567186845132897</v>
      </c>
    </row>
    <row r="199" spans="2:3" x14ac:dyDescent="0.3">
      <c r="B199" s="154">
        <f>_xll.BfX_Rang(_seed1,1,0.5,-2,3,C198)</f>
        <v>1.1058148080729446</v>
      </c>
      <c r="C199" s="154">
        <f>_xll.BfX_Rang(_seed1,1,0.5,-2,3,B199)</f>
        <v>0.3282842052467827</v>
      </c>
    </row>
    <row r="200" spans="2:3" x14ac:dyDescent="0.3">
      <c r="B200" s="154">
        <f>_xll.BfX_Rang(_seed1,1,0.5,-2,3,C199)</f>
        <v>0.63532211017686002</v>
      </c>
      <c r="C200" s="154">
        <f>_xll.BfX_Rang(_seed1,1,0.5,-2,3,B200)</f>
        <v>0.12787496324811931</v>
      </c>
    </row>
    <row r="201" spans="2:3" x14ac:dyDescent="0.3">
      <c r="B201" s="154">
        <f>_xll.BfX_Rang(_seed1,1,0.5,-2,3,C200)</f>
        <v>0.63509025742185532</v>
      </c>
      <c r="C201" s="154">
        <f>_xll.BfX_Rang(_seed1,1,0.5,-2,3,B201)</f>
        <v>0.60844460632848651</v>
      </c>
    </row>
    <row r="202" spans="2:3" x14ac:dyDescent="0.3">
      <c r="B202" s="154">
        <f>_xll.BfX_Rang(_seed1,1,0.5,-2,3,C201)</f>
        <v>1.0301253690920134</v>
      </c>
      <c r="C202" s="154">
        <f>_xll.BfX_Rang(_seed1,1,0.5,-2,3,B202)</f>
        <v>0.20589220458778801</v>
      </c>
    </row>
    <row r="203" spans="2:3" x14ac:dyDescent="0.3">
      <c r="B203" s="154">
        <f>_xll.BfX_Rang(_seed1,1,0.5,-2,3,C202)</f>
        <v>1.0303910777509193</v>
      </c>
      <c r="C203" s="154">
        <f>_xll.BfX_Rang(_seed1,1,0.5,-2,3,B203)</f>
        <v>2.4111423833321641</v>
      </c>
    </row>
    <row r="204" spans="2:3" x14ac:dyDescent="0.3">
      <c r="B204" s="154">
        <f>_xll.BfX_Rang(_seed1,1,0.5,-2,3,C203)</f>
        <v>1.037691461629628</v>
      </c>
      <c r="C204" s="154">
        <f>_xll.BfX_Rang(_seed1,1,0.5,-2,3,B204)</f>
        <v>1.6809629524780818</v>
      </c>
    </row>
    <row r="205" spans="2:3" x14ac:dyDescent="0.3">
      <c r="B205" s="154">
        <f>_xll.BfX_Rang(_seed1,1,0.5,-2,3,C204)</f>
        <v>1.380358756608413</v>
      </c>
      <c r="C205" s="154">
        <f>_xll.BfX_Rang(_seed1,1,0.5,-2,3,B205)</f>
        <v>1.9843261437454092</v>
      </c>
    </row>
    <row r="206" spans="2:3" x14ac:dyDescent="0.3">
      <c r="B206" s="154">
        <f>_xll.BfX_Rang(_seed1,1,0.5,-2,3,C205)</f>
        <v>0.69024931422673363</v>
      </c>
      <c r="C206" s="154">
        <f>_xll.BfX_Rang(_seed1,1,0.5,-2,3,B206)</f>
        <v>1.5488693657212123</v>
      </c>
    </row>
    <row r="207" spans="2:3" x14ac:dyDescent="0.3">
      <c r="B207" s="154">
        <f>_xll.BfX_Rang(_seed1,1,0.5,-2,3,C206)</f>
        <v>0.30609391171161437</v>
      </c>
      <c r="C207" s="154">
        <f>_xll.BfX_Rang(_seed1,1,0.5,-2,3,B207)</f>
        <v>0.66933972660203889</v>
      </c>
    </row>
    <row r="208" spans="2:3" x14ac:dyDescent="0.3">
      <c r="B208" s="154">
        <f>_xll.BfX_Rang(_seed1,1,0.5,-2,3,C207)</f>
        <v>1.2255289874099029</v>
      </c>
      <c r="C208" s="154">
        <f>_xll.BfX_Rang(_seed1,1,0.5,-2,3,B208)</f>
        <v>0.66013160642705193</v>
      </c>
    </row>
    <row r="209" spans="2:3" x14ac:dyDescent="0.3">
      <c r="B209" s="154">
        <f>_xll.BfX_Rang(_seed1,1,0.5,-2,3,C208)</f>
        <v>0.53855635121896794</v>
      </c>
      <c r="C209" s="154">
        <f>_xll.BfX_Rang(_seed1,1,0.5,-2,3,B209)</f>
        <v>1.2560903283897997</v>
      </c>
    </row>
    <row r="210" spans="2:3" x14ac:dyDescent="0.3">
      <c r="B210" s="154">
        <f>_xll.BfX_Rang(_seed1,1,0.5,-2,3,C209)</f>
        <v>0.703869686858698</v>
      </c>
      <c r="C210" s="154">
        <f>_xll.BfX_Rang(_seed1,1,0.5,-2,3,B210)</f>
        <v>1.0090346590171184</v>
      </c>
    </row>
    <row r="211" spans="2:3" x14ac:dyDescent="0.3">
      <c r="B211" s="154">
        <f>_xll.BfX_Rang(_seed1,1,0.5,-2,3,C210)</f>
        <v>1.349723186890996</v>
      </c>
      <c r="C211" s="154">
        <f>_xll.BfX_Rang(_seed1,1,0.5,-2,3,B211)</f>
        <v>1.2961528546400727</v>
      </c>
    </row>
    <row r="212" spans="2:3" x14ac:dyDescent="0.3">
      <c r="B212" s="154">
        <f>_xll.BfX_Rang(_seed1,1,0.5,-2,3,C211)</f>
        <v>1.3596533824130086</v>
      </c>
      <c r="C212" s="154">
        <f>_xll.BfX_Rang(_seed1,1,0.5,-2,3,B212)</f>
        <v>1.0248298386635328</v>
      </c>
    </row>
    <row r="213" spans="2:3" x14ac:dyDescent="0.3">
      <c r="B213" s="154">
        <f>_xll.BfX_Rang(_seed1,1,0.5,-2,3,C212)</f>
        <v>1.4064328899622041</v>
      </c>
      <c r="C213" s="154">
        <f>_xll.BfX_Rang(_seed1,1,0.5,-2,3,B213)</f>
        <v>0.77575621911691428</v>
      </c>
    </row>
    <row r="214" spans="2:3" x14ac:dyDescent="0.3">
      <c r="B214" s="154">
        <f>_xll.BfX_Rang(_seed1,1,0.5,-2,3,C213)</f>
        <v>1.2561171656139472</v>
      </c>
      <c r="C214" s="154">
        <f>_xll.BfX_Rang(_seed1,1,0.5,-2,3,B214)</f>
        <v>0.91934496558256118</v>
      </c>
    </row>
    <row r="215" spans="2:3" x14ac:dyDescent="0.3">
      <c r="B215" s="154">
        <f>_xll.BfX_Rang(_seed1,1,0.5,-2,3,C214)</f>
        <v>1.0024253001907897</v>
      </c>
      <c r="C215" s="154">
        <f>_xll.BfX_Rang(_seed1,1,0.5,-2,3,B215)</f>
        <v>0.39460329464511101</v>
      </c>
    </row>
    <row r="216" spans="2:3" x14ac:dyDescent="0.3">
      <c r="B216" s="154">
        <f>_xll.BfX_Rang(_seed1,1,0.5,-2,3,C215)</f>
        <v>0.56477789430990288</v>
      </c>
      <c r="C216" s="154">
        <f>_xll.BfX_Rang(_seed1,1,0.5,-2,3,B216)</f>
        <v>1.6555077493320005</v>
      </c>
    </row>
    <row r="217" spans="2:3" x14ac:dyDescent="0.3">
      <c r="B217" s="154">
        <f>_xll.BfX_Rang(_seed1,1,0.5,-2,3,C216)</f>
        <v>0.39334066570581427</v>
      </c>
      <c r="C217" s="154">
        <f>_xll.BfX_Rang(_seed1,1,0.5,-2,3,B217)</f>
        <v>0.62652292326710279</v>
      </c>
    </row>
    <row r="218" spans="2:3" x14ac:dyDescent="0.3">
      <c r="B218" s="154">
        <f>_xll.BfX_Rang(_seed1,1,0.5,-2,3,C217)</f>
        <v>1.2775598748767654</v>
      </c>
      <c r="C218" s="154">
        <f>_xll.BfX_Rang(_seed1,1,0.5,-2,3,B218)</f>
        <v>0.58237204690984701</v>
      </c>
    </row>
    <row r="219" spans="2:3" x14ac:dyDescent="0.3">
      <c r="B219" s="154">
        <f>_xll.BfX_Rang(_seed1,1,0.5,-2,3,C218)</f>
        <v>1.2901245374908026</v>
      </c>
      <c r="C219" s="154">
        <f>_xll.BfX_Rang(_seed1,1,0.5,-2,3,B219)</f>
        <v>0.31868417172662067</v>
      </c>
    </row>
    <row r="220" spans="2:3" x14ac:dyDescent="0.3">
      <c r="B220" s="154">
        <f>_xll.BfX_Rang(_seed1,1,0.5,-2,3,C219)</f>
        <v>1.4531849479426597</v>
      </c>
      <c r="C220" s="154">
        <f>_xll.BfX_Rang(_seed1,1,0.5,-2,3,B220)</f>
        <v>1.56624621980969</v>
      </c>
    </row>
    <row r="221" spans="2:3" x14ac:dyDescent="0.3">
      <c r="B221" s="154">
        <f>_xll.BfX_Rang(_seed1,1,0.5,-2,3,C220)</f>
        <v>1.0919581332923745</v>
      </c>
      <c r="C221" s="154">
        <f>_xll.BfX_Rang(_seed1,1,0.5,-2,3,B221)</f>
        <v>0.68253764083668056</v>
      </c>
    </row>
    <row r="222" spans="2:3" x14ac:dyDescent="0.3">
      <c r="B222" s="154">
        <f>_xll.BfX_Rang(_seed1,1,0.5,-2,3,C221)</f>
        <v>1.2214346651969095</v>
      </c>
      <c r="C222" s="154">
        <f>_xll.BfX_Rang(_seed1,1,0.5,-2,3,B222)</f>
        <v>1.4746469099714066</v>
      </c>
    </row>
    <row r="223" spans="2:3" x14ac:dyDescent="0.3">
      <c r="B223" s="154">
        <f>_xll.BfX_Rang(_seed1,1,0.5,-2,3,C222)</f>
        <v>1.036944851753522</v>
      </c>
      <c r="C223" s="154">
        <f>_xll.BfX_Rang(_seed1,1,0.5,-2,3,B223)</f>
        <v>1.086816826389827</v>
      </c>
    </row>
    <row r="224" spans="2:3" x14ac:dyDescent="0.3">
      <c r="B224" s="154">
        <f>_xll.BfX_Rang(_seed1,1,0.5,-2,3,C223)</f>
        <v>0.65248561921820158</v>
      </c>
      <c r="C224" s="154">
        <f>_xll.BfX_Rang(_seed1,1,0.5,-2,3,B224)</f>
        <v>0.91635891723361773</v>
      </c>
    </row>
    <row r="225" spans="2:3" x14ac:dyDescent="0.3">
      <c r="B225" s="154">
        <f>_xll.BfX_Rang(_seed1,1,0.5,-2,3,C224)</f>
        <v>0.93303174617072404</v>
      </c>
      <c r="C225" s="154">
        <f>_xll.BfX_Rang(_seed1,1,0.5,-2,3,B225)</f>
        <v>1.7622621582733147</v>
      </c>
    </row>
    <row r="226" spans="2:3" x14ac:dyDescent="0.3">
      <c r="B226" s="154">
        <f>_xll.BfX_Rang(_seed1,1,0.5,-2,3,C225)</f>
        <v>1.1087262935723938</v>
      </c>
      <c r="C226" s="154">
        <f>_xll.BfX_Rang(_seed1,1,0.5,-2,3,B226)</f>
        <v>1.3922771896217663</v>
      </c>
    </row>
    <row r="227" spans="2:3" x14ac:dyDescent="0.3">
      <c r="B227" s="154">
        <f>_xll.BfX_Rang(_seed1,1,0.5,-2,3,C226)</f>
        <v>1.5170183571793645</v>
      </c>
      <c r="C227" s="154">
        <f>_xll.BfX_Rang(_seed1,1,0.5,-2,3,B227)</f>
        <v>0.55796113111031298</v>
      </c>
    </row>
    <row r="228" spans="2:3" x14ac:dyDescent="0.3">
      <c r="B228" s="154">
        <f>_xll.BfX_Rang(_seed1,1,0.5,-2,3,C227)</f>
        <v>0.91890542440090961</v>
      </c>
      <c r="C228" s="154">
        <f>_xll.BfX_Rang(_seed1,1,0.5,-2,3,B228)</f>
        <v>1.8994258825898696</v>
      </c>
    </row>
    <row r="229" spans="2:3" x14ac:dyDescent="0.3">
      <c r="B229" s="154">
        <f>_xll.BfX_Rang(_seed1,1,0.5,-2,3,C228)</f>
        <v>1.6959465392157309</v>
      </c>
      <c r="C229" s="154">
        <f>_xll.BfX_Rang(_seed1,1,0.5,-2,3,B229)</f>
        <v>1.8346744058268785</v>
      </c>
    </row>
    <row r="230" spans="2:3" x14ac:dyDescent="0.3">
      <c r="B230" s="154">
        <f>_xll.BfX_Rang(_seed1,1,0.5,-2,3,C229)</f>
        <v>-1.9535281467143228E-2</v>
      </c>
      <c r="C230" s="154">
        <f>_xll.BfX_Rang(_seed1,1,0.5,-2,3,B230)</f>
        <v>0.71085913705426718</v>
      </c>
    </row>
    <row r="231" spans="2:3" x14ac:dyDescent="0.3">
      <c r="B231" s="154">
        <f>_xll.BfX_Rang(_seed1,1,0.5,-2,3,C230)</f>
        <v>1.2131414134551632</v>
      </c>
      <c r="C231" s="154">
        <f>_xll.BfX_Rang(_seed1,1,0.5,-2,3,B231)</f>
        <v>0.66924172469164267</v>
      </c>
    </row>
    <row r="232" spans="2:3" x14ac:dyDescent="0.3">
      <c r="B232" s="154">
        <f>_xll.BfX_Rang(_seed1,1,0.5,-2,3,C231)</f>
        <v>1.1244616194452304</v>
      </c>
      <c r="C232" s="154">
        <f>_xll.BfX_Rang(_seed1,1,0.5,-2,3,B232)</f>
        <v>0.36518927788482758</v>
      </c>
    </row>
    <row r="233" spans="2:3" x14ac:dyDescent="0.3">
      <c r="B233" s="154">
        <f>_xll.BfX_Rang(_seed1,1,0.5,-2,3,C232)</f>
        <v>0.98783055809043141</v>
      </c>
      <c r="C233" s="154">
        <f>_xll.BfX_Rang(_seed1,1,0.5,-2,3,B233)</f>
        <v>1.1010819489837349</v>
      </c>
    </row>
    <row r="234" spans="2:3" x14ac:dyDescent="0.3">
      <c r="B234" s="154">
        <f>_xll.BfX_Rang(_seed1,1,0.5,-2,3,C233)</f>
        <v>2.614569552851508</v>
      </c>
      <c r="C234" s="154">
        <f>_xll.BfX_Rang(_seed1,1,0.5,-2,3,B234)</f>
        <v>1.3290695453363166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C46" zoomScaleNormal="100" workbookViewId="0">
      <selection activeCell="J64" sqref="J64"/>
    </sheetView>
  </sheetViews>
  <sheetFormatPr defaultRowHeight="15.75" x14ac:dyDescent="0.3"/>
  <cols>
    <col min="2" max="2" width="13" customWidth="1"/>
    <col min="4" max="4" width="18.109375" customWidth="1"/>
    <col min="6" max="6" width="44.88671875" bestFit="1" customWidth="1"/>
    <col min="7" max="7" width="18.5546875" bestFit="1" customWidth="1"/>
    <col min="8" max="8" width="23.33203125" bestFit="1" customWidth="1"/>
    <col min="10" max="10" width="23.33203125" bestFit="1" customWidth="1"/>
  </cols>
  <sheetData>
    <row r="1" spans="1:11" x14ac:dyDescent="0.3">
      <c r="A1" s="2">
        <v>20</v>
      </c>
      <c r="B1" s="2" t="s">
        <v>685</v>
      </c>
    </row>
    <row r="3" spans="1:11" x14ac:dyDescent="0.3">
      <c r="A3" s="2" t="s">
        <v>682</v>
      </c>
      <c r="B3" s="2" t="s">
        <v>683</v>
      </c>
      <c r="C3" s="21" t="str">
        <f>_xll.BfX_CRC()</f>
        <v xml:space="preserve">32 bit Cyclic Redundancy Check = BfX_CRC(&lt;r&gt;; m=FC) (AUTODIN II polynomial) </v>
      </c>
      <c r="D3" s="21"/>
      <c r="E3" s="21"/>
      <c r="F3" s="21"/>
      <c r="G3" s="21"/>
      <c r="H3" s="21"/>
      <c r="I3" s="21"/>
      <c r="J3" s="21"/>
    </row>
    <row r="5" spans="1:11" x14ac:dyDescent="0.3">
      <c r="B5" t="s">
        <v>684</v>
      </c>
    </row>
    <row r="6" spans="1:11" x14ac:dyDescent="0.3">
      <c r="B6" t="s">
        <v>693</v>
      </c>
    </row>
    <row r="7" spans="1:11" s="105" customFormat="1" x14ac:dyDescent="0.3">
      <c r="B7" s="105" t="s">
        <v>688</v>
      </c>
    </row>
    <row r="9" spans="1:11" s="105" customFormat="1" x14ac:dyDescent="0.3">
      <c r="B9" s="21" t="s">
        <v>709</v>
      </c>
      <c r="C9" s="21"/>
      <c r="D9" s="21"/>
      <c r="E9" s="21" t="str">
        <f>_xll.BfX_CRC(B9:D9)</f>
        <v>BfX692912683CRC</v>
      </c>
      <c r="F9" s="21"/>
      <c r="G9" s="21" t="str">
        <f ca="1">_xll.BfX_Cell(E9)</f>
        <v>=BfX_CRC(B9:D9)</v>
      </c>
      <c r="H9" s="21"/>
    </row>
    <row r="11" spans="1:11" s="105" customFormat="1" x14ac:dyDescent="0.3"/>
    <row r="12" spans="1:11" s="105" customFormat="1" x14ac:dyDescent="0.3">
      <c r="B12" s="105" t="s">
        <v>715</v>
      </c>
    </row>
    <row r="13" spans="1:11" s="105" customFormat="1" x14ac:dyDescent="0.3"/>
    <row r="14" spans="1:11" ht="16.5" thickBot="1" x14ac:dyDescent="0.35"/>
    <row r="15" spans="1:11" x14ac:dyDescent="0.3">
      <c r="B15" s="158" t="s">
        <v>37</v>
      </c>
      <c r="C15" s="244">
        <v>751</v>
      </c>
      <c r="D15" s="95" t="s">
        <v>45</v>
      </c>
      <c r="F15" s="50" t="s">
        <v>694</v>
      </c>
      <c r="G15" s="50" t="s">
        <v>700</v>
      </c>
      <c r="H15" s="50" t="s">
        <v>701</v>
      </c>
      <c r="I15" s="105"/>
      <c r="J15" s="105"/>
      <c r="K15" s="105"/>
    </row>
    <row r="16" spans="1:11" x14ac:dyDescent="0.3">
      <c r="B16" s="160" t="s">
        <v>704</v>
      </c>
      <c r="C16" s="55">
        <v>991</v>
      </c>
      <c r="D16" s="97" t="s">
        <v>76</v>
      </c>
      <c r="F16" s="50" t="s">
        <v>702</v>
      </c>
      <c r="G16" s="50" t="str">
        <f>_xll.BfX_CRC(B15:D23)</f>
        <v>BfX501359843CRC</v>
      </c>
      <c r="H16" s="50" t="str">
        <f ca="1">_xll.BfX_Cell(G16)</f>
        <v>=BfX_CRC(B15:D23)</v>
      </c>
      <c r="I16" s="105"/>
      <c r="J16" s="105"/>
      <c r="K16" s="105"/>
    </row>
    <row r="17" spans="2:11" ht="16.5" thickBot="1" x14ac:dyDescent="0.35">
      <c r="B17" s="160" t="s">
        <v>686</v>
      </c>
      <c r="C17" s="61">
        <v>3.5</v>
      </c>
      <c r="D17" s="97" t="s">
        <v>137</v>
      </c>
      <c r="F17" s="50" t="s">
        <v>695</v>
      </c>
      <c r="G17" s="50" t="str">
        <f>_xll.BfX_CRC(B15:D23,"FC")</f>
        <v>BfX501359843CRC</v>
      </c>
      <c r="H17" s="50" t="str">
        <f ca="1">_xll.BfX_Cell(G17)</f>
        <v>=BfX_CRC(B15:D23;"FC")</v>
      </c>
      <c r="I17" s="105"/>
      <c r="K17" s="105"/>
    </row>
    <row r="18" spans="2:11" ht="16.5" thickBot="1" x14ac:dyDescent="0.35">
      <c r="B18" s="245" t="s">
        <v>188</v>
      </c>
      <c r="C18" s="246" t="s">
        <v>687</v>
      </c>
      <c r="D18" s="245"/>
      <c r="F18" s="50" t="s">
        <v>696</v>
      </c>
      <c r="G18" s="50" t="str">
        <f>_xll.BfX_CRC(B15:D23,"OV")</f>
        <v>BfX2848679596CRC</v>
      </c>
      <c r="H18" s="50" t="str">
        <f ca="1">_xll.BfX_Cell(G18)</f>
        <v>=BfX_CRC(B15:D23;"OV")</v>
      </c>
      <c r="I18" s="105"/>
      <c r="J18" s="105"/>
      <c r="K18" s="105"/>
    </row>
    <row r="19" spans="2:11" x14ac:dyDescent="0.3">
      <c r="B19" s="101">
        <v>0</v>
      </c>
      <c r="C19" s="173">
        <f>_xll.BfX_Zx("cm",v0,scope_height,"cm",0,zero,B19,0.5)</f>
        <v>-3.5000000000000004</v>
      </c>
      <c r="D19" s="101"/>
      <c r="F19" s="50" t="s">
        <v>697</v>
      </c>
      <c r="G19" s="50" t="str">
        <f>_xll.BfX_CRC(B15:D23,"ON")</f>
        <v>BfX2710425269CRC</v>
      </c>
      <c r="H19" s="50" t="str">
        <f ca="1">_xll.BfX_Cell(G19)</f>
        <v>=BfX_CRC(B15:D23;"ON")</v>
      </c>
      <c r="I19" s="105"/>
      <c r="J19" s="105"/>
      <c r="K19" s="105"/>
    </row>
    <row r="20" spans="2:11" x14ac:dyDescent="0.3">
      <c r="B20" s="101">
        <v>250</v>
      </c>
      <c r="C20" s="173">
        <f>_xll.BfX_Zx("cm",v0,scope_height,"cm",0,zero,B20,0.5)</f>
        <v>365.60998412599901</v>
      </c>
      <c r="D20" s="101" t="b">
        <v>1</v>
      </c>
      <c r="F20" s="50" t="s">
        <v>698</v>
      </c>
      <c r="G20" s="50" t="str">
        <f>_xll.BfX_CRC(B15:D23,"OT")</f>
        <v>BfX1246893538CRC</v>
      </c>
      <c r="H20" s="50" t="str">
        <f ca="1">_xll.BfX_Cell(G20)</f>
        <v>=BfX_CRC(B15:D23;"OT")</v>
      </c>
      <c r="I20" s="105"/>
      <c r="J20" s="105"/>
      <c r="K20" s="105"/>
    </row>
    <row r="21" spans="2:11" x14ac:dyDescent="0.3">
      <c r="B21" s="101">
        <v>500</v>
      </c>
      <c r="C21" s="173">
        <f>_xll.BfX_Zx("cm",v0,scope_height,"cm",0,zero,B21,0.5)</f>
        <v>565.69145999461068</v>
      </c>
      <c r="D21" s="101"/>
      <c r="F21" s="50" t="s">
        <v>699</v>
      </c>
      <c r="G21" s="50" t="str">
        <f>_xll.BfX_CRC(B15:D23,"OB")</f>
        <v>BfX2844319735CRC</v>
      </c>
      <c r="H21" s="50" t="str">
        <f ca="1">_xll.BfX_Cell(G21)</f>
        <v>=BfX_CRC(B15:D23;"OB")</v>
      </c>
      <c r="I21" s="105"/>
      <c r="J21" s="105"/>
      <c r="K21" s="105"/>
    </row>
    <row r="22" spans="2:11" x14ac:dyDescent="0.3">
      <c r="B22" s="101">
        <v>750</v>
      </c>
      <c r="C22" s="173">
        <f>_xll.BfX_Zx("cm",v0,scope_height,"cm",0,zero,B22,0.5)</f>
        <v>493.75315081745003</v>
      </c>
      <c r="D22" s="101" t="b">
        <v>0</v>
      </c>
      <c r="F22" s="50" t="s">
        <v>708</v>
      </c>
      <c r="G22" s="50" t="str">
        <f>_xll.BfX_CRC(B15:D23,"OE")</f>
        <v>BfX3243320668CRC</v>
      </c>
      <c r="H22" s="50" t="str">
        <f ca="1">_xll.BfX_Cell(G22)</f>
        <v>=BfX_CRC(B15:D23;"OE")</v>
      </c>
      <c r="I22" s="105"/>
      <c r="J22" s="105"/>
      <c r="K22" s="105"/>
    </row>
    <row r="23" spans="2:11" ht="16.5" thickBot="1" x14ac:dyDescent="0.35">
      <c r="B23" s="102">
        <v>1000</v>
      </c>
      <c r="C23" s="174">
        <f>_xll.BfX_Zx("cm",v0,scope_height,"cm",0,zero,B23,0.5)</f>
        <v>-29.150165447169474</v>
      </c>
      <c r="D23" s="102"/>
      <c r="I23" s="105"/>
      <c r="J23" s="105"/>
      <c r="K23" s="105"/>
    </row>
    <row r="24" spans="2:11" x14ac:dyDescent="0.3">
      <c r="J24" s="105"/>
    </row>
    <row r="25" spans="2:11" s="105" customFormat="1" x14ac:dyDescent="0.3"/>
    <row r="26" spans="2:11" s="105" customFormat="1" x14ac:dyDescent="0.3">
      <c r="B26" s="105" t="s">
        <v>703</v>
      </c>
    </row>
    <row r="27" spans="2:11" s="105" customFormat="1" x14ac:dyDescent="0.3"/>
    <row r="28" spans="2:11" s="105" customFormat="1" x14ac:dyDescent="0.3">
      <c r="B28" s="105" t="s">
        <v>712</v>
      </c>
      <c r="C28" s="43" t="str">
        <f>_xll.BfX_CRC(B15:D23,"on")</f>
        <v>BfX2710425269CRC</v>
      </c>
      <c r="D28" s="43"/>
      <c r="E28" s="43" t="str">
        <f ca="1">_xll.BfX_Cell(C28)</f>
        <v>=BfX_CRC(B15:D23;"on")</v>
      </c>
      <c r="F28" s="43"/>
    </row>
    <row r="29" spans="2:11" s="105" customFormat="1" x14ac:dyDescent="0.3">
      <c r="B29" s="105" t="s">
        <v>713</v>
      </c>
      <c r="C29" s="43" t="str">
        <f>_xll.BfX_CRC(B15:D23,"ot")</f>
        <v>BfX1246893538CRC</v>
      </c>
      <c r="D29" s="43"/>
      <c r="E29" s="43" t="str">
        <f ca="1">_xll.BfX_Cell(C29)</f>
        <v>=BfX_CRC(B15:D23;"ot")</v>
      </c>
      <c r="F29" s="43"/>
    </row>
    <row r="30" spans="2:11" s="105" customFormat="1" x14ac:dyDescent="0.3">
      <c r="B30" s="105" t="s">
        <v>714</v>
      </c>
      <c r="C30" s="43" t="str">
        <f>_xll.BfX_CRC(C28:C29)</f>
        <v>BfX1925245027CRC</v>
      </c>
      <c r="D30" s="43"/>
      <c r="E30" s="43" t="str">
        <f ca="1">_xll.BfX_Cell(C30)</f>
        <v>=BfX_CRC(C28:C29)</v>
      </c>
      <c r="F30" s="43"/>
    </row>
    <row r="31" spans="2:11" s="105" customFormat="1" x14ac:dyDescent="0.3"/>
    <row r="32" spans="2:11" s="105" customFormat="1" x14ac:dyDescent="0.3">
      <c r="B32" s="105" t="s">
        <v>716</v>
      </c>
    </row>
    <row r="33" spans="1:2" s="105" customFormat="1" x14ac:dyDescent="0.3"/>
    <row r="34" spans="1:2" s="105" customFormat="1" x14ac:dyDescent="0.3">
      <c r="A34" s="105" t="s">
        <v>689</v>
      </c>
      <c r="B34" s="105" t="s">
        <v>706</v>
      </c>
    </row>
    <row r="35" spans="1:2" s="105" customFormat="1" x14ac:dyDescent="0.3"/>
    <row r="36" spans="1:2" s="105" customFormat="1" x14ac:dyDescent="0.3">
      <c r="B36" s="105" t="s">
        <v>707</v>
      </c>
    </row>
    <row r="37" spans="1:2" s="105" customFormat="1" x14ac:dyDescent="0.3"/>
    <row r="38" spans="1:2" s="105" customFormat="1" x14ac:dyDescent="0.3"/>
    <row r="39" spans="1:2" x14ac:dyDescent="0.3">
      <c r="A39" s="2" t="s">
        <v>689</v>
      </c>
      <c r="B39" s="2" t="s">
        <v>690</v>
      </c>
    </row>
    <row r="40" spans="1:2" x14ac:dyDescent="0.3">
      <c r="B40" t="s">
        <v>691</v>
      </c>
    </row>
    <row r="41" spans="1:2" x14ac:dyDescent="0.3">
      <c r="B41" t="s">
        <v>692</v>
      </c>
    </row>
    <row r="43" spans="1:2" x14ac:dyDescent="0.3">
      <c r="B43" t="s">
        <v>705</v>
      </c>
    </row>
    <row r="46" spans="1:2" x14ac:dyDescent="0.3">
      <c r="A46" t="s">
        <v>710</v>
      </c>
      <c r="B46" t="s">
        <v>711</v>
      </c>
    </row>
    <row r="47" spans="1:2" x14ac:dyDescent="0.3">
      <c r="B47" t="s">
        <v>750</v>
      </c>
    </row>
    <row r="48" spans="1:2" s="105" customFormat="1" x14ac:dyDescent="0.3">
      <c r="B48" s="105" t="s">
        <v>751</v>
      </c>
    </row>
    <row r="49" spans="2:10" ht="16.5" thickBot="1" x14ac:dyDescent="0.35"/>
    <row r="50" spans="2:10" ht="16.5" thickBot="1" x14ac:dyDescent="0.35">
      <c r="D50" s="247" t="s">
        <v>754</v>
      </c>
      <c r="E50" s="248"/>
      <c r="F50" s="248"/>
      <c r="G50" s="248" t="s">
        <v>746</v>
      </c>
      <c r="H50" s="249" t="s">
        <v>747</v>
      </c>
    </row>
    <row r="51" spans="2:10" x14ac:dyDescent="0.3">
      <c r="B51" t="str">
        <f ca="1">MID(CELL("filename",A1),FIND("]",CELL("filename",A1))+1,1256)</f>
        <v>Check range changed</v>
      </c>
      <c r="D51" s="158" t="s">
        <v>744</v>
      </c>
      <c r="E51" s="159"/>
      <c r="F51" s="159" t="s">
        <v>745</v>
      </c>
      <c r="G51" s="159" t="s">
        <v>725</v>
      </c>
      <c r="H51" s="95" t="s">
        <v>726</v>
      </c>
    </row>
    <row r="52" spans="2:10" x14ac:dyDescent="0.3">
      <c r="D52" s="160"/>
      <c r="E52" s="43"/>
      <c r="F52" s="43"/>
      <c r="G52" s="43"/>
      <c r="H52" s="97"/>
    </row>
    <row r="53" spans="2:10" x14ac:dyDescent="0.3">
      <c r="D53" s="160" t="str">
        <f ca="1">'Bullet velocity'!B66</f>
        <v>Bullet velocity</v>
      </c>
      <c r="E53" s="43"/>
      <c r="F53" s="43" t="str">
        <f>'Bullet velocity'!C66</f>
        <v>BfX_Vx</v>
      </c>
      <c r="G53" s="43" t="str">
        <f>'Bullet velocity'!D66</f>
        <v>BfX1182428557CRC</v>
      </c>
      <c r="H53" s="97" t="s">
        <v>727</v>
      </c>
    </row>
    <row r="54" spans="2:10" x14ac:dyDescent="0.3">
      <c r="D54" s="160" t="str">
        <f ca="1">'Bullet velocity'!B67</f>
        <v>Bullet velocity</v>
      </c>
      <c r="E54" s="43"/>
      <c r="F54" s="43" t="str">
        <f>'Bullet velocity'!C67</f>
        <v>BfX_Vt</v>
      </c>
      <c r="G54" s="43" t="str">
        <f>'Bullet velocity'!D67</f>
        <v>BfX942455148CRC</v>
      </c>
      <c r="H54" s="97" t="s">
        <v>728</v>
      </c>
    </row>
    <row r="55" spans="2:10" x14ac:dyDescent="0.3">
      <c r="D55" s="160" t="str">
        <f ca="1">Units!B90</f>
        <v>Units</v>
      </c>
      <c r="E55" s="43"/>
      <c r="F55" s="43" t="str">
        <f>Units!C90</f>
        <v>Conversions of in and output</v>
      </c>
      <c r="G55" s="43" t="str">
        <f>Units!F90</f>
        <v>BfX130088071CRC</v>
      </c>
      <c r="H55" s="97" t="s">
        <v>756</v>
      </c>
    </row>
    <row r="56" spans="2:10" x14ac:dyDescent="0.3">
      <c r="D56" s="160" t="str">
        <f ca="1">Units!B91</f>
        <v>Units</v>
      </c>
      <c r="E56" s="43"/>
      <c r="F56" s="43" t="str">
        <f>Units!C91</f>
        <v>BfX_U</v>
      </c>
      <c r="G56" s="43" t="str">
        <f>Units!F91</f>
        <v>BfX3048208047CRC</v>
      </c>
      <c r="H56" s="97" t="s">
        <v>865</v>
      </c>
    </row>
    <row r="57" spans="2:10" x14ac:dyDescent="0.3">
      <c r="D57" s="160" t="str">
        <f ca="1">'Bullet range'!B54</f>
        <v>Bullet range</v>
      </c>
      <c r="E57" s="43"/>
      <c r="F57" s="43" t="str">
        <f>'Bullet range'!C54</f>
        <v>BfX_Xv</v>
      </c>
      <c r="G57" s="43" t="str">
        <f>'Bullet range'!D54</f>
        <v>BfX2670207087CRC</v>
      </c>
      <c r="H57" s="97" t="s">
        <v>729</v>
      </c>
      <c r="I57" s="250"/>
      <c r="J57" s="166"/>
    </row>
    <row r="58" spans="2:10" x14ac:dyDescent="0.3">
      <c r="D58" s="160" t="str">
        <f ca="1">'Bullet range'!B55</f>
        <v>Bullet range</v>
      </c>
      <c r="E58" s="43"/>
      <c r="F58" s="43" t="str">
        <f>'Bullet range'!C55</f>
        <v>BfX_Vx</v>
      </c>
      <c r="G58" s="43" t="str">
        <f>'Bullet range'!D55</f>
        <v>BfX3088550714CRC</v>
      </c>
      <c r="H58" s="97" t="s">
        <v>896</v>
      </c>
    </row>
    <row r="59" spans="2:10" x14ac:dyDescent="0.3">
      <c r="D59" s="160" t="str">
        <f ca="1">'Flight times'!B16</f>
        <v>Flight times</v>
      </c>
      <c r="E59" s="43"/>
      <c r="F59" s="43" t="str">
        <f>'Flight times'!C16</f>
        <v>Bfx_Tv</v>
      </c>
      <c r="G59" s="43" t="str">
        <f>'Flight times'!D16</f>
        <v>BfX3961002631CRC</v>
      </c>
      <c r="H59" s="97" t="s">
        <v>730</v>
      </c>
    </row>
    <row r="60" spans="2:10" x14ac:dyDescent="0.3">
      <c r="D60" s="160" t="str">
        <f ca="1">'Flight times'!B17</f>
        <v>Flight times</v>
      </c>
      <c r="E60" s="43"/>
      <c r="F60" s="43" t="str">
        <f>'Flight times'!C17</f>
        <v>Bfx_Tx</v>
      </c>
      <c r="G60" s="43" t="str">
        <f>'Flight times'!D17</f>
        <v>BfX2601861468CRC</v>
      </c>
      <c r="H60" s="97" t="s">
        <v>731</v>
      </c>
    </row>
    <row r="61" spans="2:10" x14ac:dyDescent="0.3">
      <c r="D61" s="160" t="str">
        <f ca="1">'The great cross check'!B25</f>
        <v>The great cross check</v>
      </c>
      <c r="E61" s="43"/>
      <c r="F61" s="43" t="str">
        <f>'The great cross check'!D25</f>
        <v>various BfX functions</v>
      </c>
      <c r="G61" s="43" t="str">
        <f>'The great cross check'!F25</f>
        <v>BfX3592799695CRC</v>
      </c>
      <c r="H61" s="97" t="s">
        <v>732</v>
      </c>
    </row>
    <row r="62" spans="2:10" x14ac:dyDescent="0.3">
      <c r="D62" s="160" t="str">
        <f ca="1">'Drop and Elevation'!B95</f>
        <v>Drop and Elevation</v>
      </c>
      <c r="E62" s="43"/>
      <c r="F62" s="43" t="str">
        <f>'Drop and Elevation'!D95</f>
        <v>BfX_D</v>
      </c>
      <c r="G62" s="43" t="str">
        <f>'Drop and Elevation'!E95</f>
        <v>BfX2879822360CRC</v>
      </c>
      <c r="H62" s="97" t="s">
        <v>733</v>
      </c>
    </row>
    <row r="63" spans="2:10" x14ac:dyDescent="0.3">
      <c r="D63" s="160" t="str">
        <f ca="1">'Drop and Elevation'!B96</f>
        <v>Drop and Elevation</v>
      </c>
      <c r="E63" s="43"/>
      <c r="F63" s="43" t="str">
        <f>'Drop and Elevation'!D96</f>
        <v>BfX_E</v>
      </c>
      <c r="G63" s="43" t="str">
        <f>'Drop and Elevation'!E96</f>
        <v>BfX1975209096CRC</v>
      </c>
      <c r="H63" s="97" t="s">
        <v>734</v>
      </c>
    </row>
    <row r="64" spans="2:10" x14ac:dyDescent="0.3">
      <c r="D64" s="160" t="str">
        <f ca="1">'Trajectory height'!B151</f>
        <v>Trajectory height</v>
      </c>
      <c r="E64" s="43"/>
      <c r="F64" s="43" t="str">
        <f>'Trajectory height'!D151</f>
        <v>BfX_Zx</v>
      </c>
      <c r="G64" s="43" t="str">
        <f ca="1">'Trajectory height'!E151</f>
        <v>BfX2638404287CRC</v>
      </c>
      <c r="H64" s="97" t="s">
        <v>735</v>
      </c>
    </row>
    <row r="65" spans="4:11" x14ac:dyDescent="0.3">
      <c r="D65" s="160" t="str">
        <f ca="1">'Trajectory height'!B152</f>
        <v>Trajectory height</v>
      </c>
      <c r="E65" s="43"/>
      <c r="F65" s="43" t="str">
        <f>'Trajectory height'!D152</f>
        <v>BfX_Ze</v>
      </c>
      <c r="G65" s="43" t="str">
        <f>'Trajectory height'!E152</f>
        <v>BfX2667924298CRC</v>
      </c>
      <c r="H65" s="97" t="s">
        <v>736</v>
      </c>
    </row>
    <row r="66" spans="4:11" x14ac:dyDescent="0.3">
      <c r="D66" s="160" t="str">
        <f ca="1">'Cross wind deflection'!B106</f>
        <v>Cross wind deflection</v>
      </c>
      <c r="E66" s="43"/>
      <c r="F66" s="43" t="str">
        <f>'Cross wind deflection'!D106</f>
        <v>BfX_Y</v>
      </c>
      <c r="G66" s="43" t="str">
        <f>'Cross wind deflection'!E106</f>
        <v>BfX3072912351CRC</v>
      </c>
      <c r="H66" s="97" t="s">
        <v>737</v>
      </c>
    </row>
    <row r="67" spans="4:11" x14ac:dyDescent="0.3">
      <c r="D67" s="160" t="str">
        <f ca="1">Weather!B118</f>
        <v>Weather</v>
      </c>
      <c r="E67" s="43"/>
      <c r="F67" s="43" t="str">
        <f>Weather!C118</f>
        <v>BfX_AD</v>
      </c>
      <c r="G67" s="43" t="str">
        <f>Weather!D118</f>
        <v>BfX393824420CRC</v>
      </c>
      <c r="H67" s="97" t="s">
        <v>738</v>
      </c>
    </row>
    <row r="68" spans="4:11" x14ac:dyDescent="0.3">
      <c r="D68" s="160" t="str">
        <f ca="1">Weather!B119</f>
        <v>Weather</v>
      </c>
      <c r="E68" s="43"/>
      <c r="F68" s="43" t="str">
        <f>Weather!C119</f>
        <v>BfX_C</v>
      </c>
      <c r="G68" s="43" t="str">
        <f>Weather!D119</f>
        <v>BfX629774958CRC</v>
      </c>
      <c r="H68" s="97" t="s">
        <v>739</v>
      </c>
    </row>
    <row r="69" spans="4:11" x14ac:dyDescent="0.3">
      <c r="D69" s="160" t="str">
        <f ca="1">'Drag functions'!C412</f>
        <v>Drag functions</v>
      </c>
      <c r="E69" s="43"/>
      <c r="F69" s="43" t="str">
        <f>'Drag functions'!D412</f>
        <v>bfx_cd</v>
      </c>
      <c r="G69" s="43" t="str">
        <f>'Drag functions'!E412</f>
        <v>BfX1225305616CRC</v>
      </c>
      <c r="H69" s="97" t="s">
        <v>895</v>
      </c>
      <c r="J69" t="s">
        <v>781</v>
      </c>
    </row>
    <row r="70" spans="4:11" x14ac:dyDescent="0.3">
      <c r="D70" s="160" t="str">
        <f ca="1">Interpolation!B164</f>
        <v>Interpolation</v>
      </c>
      <c r="E70" s="43"/>
      <c r="F70" s="43" t="str">
        <f>Interpolation!C164</f>
        <v>Bfx_I</v>
      </c>
      <c r="G70" s="43" t="str">
        <f ca="1">Interpolation!D164</f>
        <v>BfX3056829458CRC</v>
      </c>
      <c r="H70" s="97" t="s">
        <v>740</v>
      </c>
    </row>
    <row r="71" spans="4:11" x14ac:dyDescent="0.3">
      <c r="D71" s="160" t="str">
        <f ca="1">'Making tables'!L18</f>
        <v>Making tables</v>
      </c>
      <c r="E71" s="43"/>
      <c r="F71" s="43" t="str">
        <f>'Making tables'!M18</f>
        <v>BfX_Y</v>
      </c>
      <c r="G71" s="43" t="str">
        <f>'Making tables'!N18</f>
        <v>BfX1098056574CRC</v>
      </c>
      <c r="H71" s="97" t="s">
        <v>741</v>
      </c>
    </row>
    <row r="72" spans="4:11" x14ac:dyDescent="0.3">
      <c r="D72" s="160" t="str">
        <f ca="1">'G7 check'!H34</f>
        <v>G7 check</v>
      </c>
      <c r="E72" s="43"/>
      <c r="F72" s="43" t="str">
        <f>'G7 check'!I34</f>
        <v>BfX_Y, BfX_Vx</v>
      </c>
      <c r="G72" s="43" t="str">
        <f>'G7 check'!L34</f>
        <v>BfX745856043CRC</v>
      </c>
      <c r="H72" s="97" t="s">
        <v>742</v>
      </c>
    </row>
    <row r="73" spans="4:11" x14ac:dyDescent="0.3">
      <c r="D73" s="160" t="str">
        <f ca="1">'Random numbers'!E119</f>
        <v>Random numbers</v>
      </c>
      <c r="E73" s="43"/>
      <c r="F73" s="43" t="str">
        <f>'Random numbers'!G119</f>
        <v>BfX_Ran</v>
      </c>
      <c r="G73" s="43" t="str">
        <f>'Random numbers'!H119</f>
        <v>BfX3228690052CRC</v>
      </c>
      <c r="H73" s="97" t="s">
        <v>770</v>
      </c>
      <c r="J73" t="s">
        <v>764</v>
      </c>
    </row>
    <row r="74" spans="4:11" x14ac:dyDescent="0.3">
      <c r="D74" s="160" t="str">
        <f ca="1">'Random numbers'!E120</f>
        <v>Random numbers</v>
      </c>
      <c r="E74" s="43"/>
      <c r="F74" s="43" t="str">
        <f>'Random numbers'!G120</f>
        <v xml:space="preserve">BfX_Ranb </v>
      </c>
      <c r="G74" s="43" t="str">
        <f>'Random numbers'!H120</f>
        <v>BfX3220376921CRC</v>
      </c>
      <c r="H74" s="97" t="s">
        <v>771</v>
      </c>
      <c r="J74" t="s">
        <v>765</v>
      </c>
    </row>
    <row r="75" spans="4:11" x14ac:dyDescent="0.3">
      <c r="D75" s="160" t="str">
        <f ca="1">'Random numbers'!E121</f>
        <v>Random numbers</v>
      </c>
      <c r="E75" s="43"/>
      <c r="F75" s="43" t="str">
        <f>'Random numbers'!G121</f>
        <v>BfX_Rang</v>
      </c>
      <c r="G75" s="43" t="str">
        <f>'Random numbers'!H121</f>
        <v>BfX573377704CRC</v>
      </c>
      <c r="H75" s="97" t="s">
        <v>772</v>
      </c>
      <c r="J75" t="s">
        <v>766</v>
      </c>
    </row>
    <row r="76" spans="4:11" x14ac:dyDescent="0.3">
      <c r="D76" s="160" t="str">
        <f ca="1">MID(CELL("filename",A6),FIND("]",CELL("filename",A6))+1,1256)</f>
        <v>Check range changed</v>
      </c>
      <c r="E76" s="43"/>
      <c r="F76" s="43" t="str">
        <f>B3</f>
        <v>BfX_CRC</v>
      </c>
      <c r="G76" s="43" t="str">
        <f>_xll.BfX_CRC(G16:G22,"ov")</f>
        <v>BfX1540509983CRC</v>
      </c>
      <c r="H76" s="97" t="s">
        <v>743</v>
      </c>
      <c r="J76" s="43"/>
      <c r="K76" s="43"/>
    </row>
    <row r="77" spans="4:11" s="105" customFormat="1" x14ac:dyDescent="0.3">
      <c r="D77" s="160" t="str">
        <f>'Custom drag tables'!I61</f>
        <v>Custom Drag Tables</v>
      </c>
      <c r="E77" s="43"/>
      <c r="F77" s="43" t="str">
        <f>'Custom drag tables'!J61</f>
        <v>Table</v>
      </c>
      <c r="G77" s="43" t="str">
        <f>'Custom drag tables'!L61</f>
        <v>BfX2297096548CRC</v>
      </c>
      <c r="H77" s="97" t="s">
        <v>866</v>
      </c>
      <c r="J77" s="43"/>
      <c r="K77" s="43"/>
    </row>
    <row r="78" spans="4:11" s="105" customFormat="1" x14ac:dyDescent="0.3">
      <c r="D78" s="160" t="str">
        <f>'Custom drag tables'!I62</f>
        <v>Custom Drag Tables</v>
      </c>
      <c r="E78" s="43"/>
      <c r="F78" s="43" t="str">
        <f>'Custom drag tables'!J62</f>
        <v>Explanation</v>
      </c>
      <c r="G78" s="43" t="str">
        <f>'Custom drag tables'!L62</f>
        <v>BfX526257727CRC</v>
      </c>
      <c r="H78" s="97" t="s">
        <v>868</v>
      </c>
      <c r="J78" s="43"/>
      <c r="K78" s="43"/>
    </row>
    <row r="79" spans="4:11" s="105" customFormat="1" x14ac:dyDescent="0.3">
      <c r="D79" s="160" t="str">
        <f>'Custom drag tables'!I63</f>
        <v>Custom Drag Tables</v>
      </c>
      <c r="E79" s="43"/>
      <c r="F79" s="43" t="str">
        <f>'Custom drag tables'!J63</f>
        <v>Comp. QuickTarget</v>
      </c>
      <c r="G79" s="43" t="str">
        <f>'Custom drag tables'!L63</f>
        <v>BfX1943923048CRC</v>
      </c>
      <c r="H79" s="97" t="s">
        <v>867</v>
      </c>
      <c r="J79" s="43"/>
      <c r="K79" s="43"/>
    </row>
    <row r="80" spans="4:11" s="105" customFormat="1" ht="16.5" thickBot="1" x14ac:dyDescent="0.35">
      <c r="D80" s="161" t="str">
        <f>'Custom drag tables'!I64</f>
        <v>Custom Drag Tables</v>
      </c>
      <c r="E80" s="162"/>
      <c r="F80" s="162" t="str">
        <f>'Custom drag tables'!J64</f>
        <v>Input of Gxxxx</v>
      </c>
      <c r="G80" s="162" t="str">
        <f ca="1">'Custom drag tables'!L64</f>
        <v>BfX2934419824CRC</v>
      </c>
      <c r="H80" s="99" t="s">
        <v>894</v>
      </c>
      <c r="J80" s="43"/>
      <c r="K80" s="43"/>
    </row>
    <row r="81" spans="4:11" ht="16.5" thickBot="1" x14ac:dyDescent="0.35">
      <c r="D81" s="161"/>
      <c r="E81" s="162"/>
      <c r="F81" s="162" t="s">
        <v>748</v>
      </c>
      <c r="G81" s="162" t="str">
        <f ca="1">_xll.BfX_CRC(G53:G80,"ov")</f>
        <v>BfX2763870955CRC</v>
      </c>
      <c r="H81" s="99" t="s">
        <v>897</v>
      </c>
      <c r="J81" s="43"/>
      <c r="K81" s="43"/>
    </row>
    <row r="83" spans="4:11" x14ac:dyDescent="0.3">
      <c r="G83" t="s">
        <v>749</v>
      </c>
    </row>
    <row r="84" spans="4:11" x14ac:dyDescent="0.3">
      <c r="D84" t="s">
        <v>753</v>
      </c>
    </row>
    <row r="86" spans="4:11" x14ac:dyDescent="0.3">
      <c r="D86" s="43" t="str">
        <f ca="1">D72</f>
        <v>G7 check</v>
      </c>
      <c r="E86" s="43"/>
      <c r="F86" s="43" t="str">
        <f>F72</f>
        <v>BfX_Y, BfX_Vx</v>
      </c>
      <c r="G86" s="43" t="str">
        <f>G72</f>
        <v>BfX745856043CRC</v>
      </c>
      <c r="H86" s="43" t="str">
        <f>H72</f>
        <v>BfX745856043CRC</v>
      </c>
    </row>
    <row r="87" spans="4:11" x14ac:dyDescent="0.3">
      <c r="D87" s="43" t="str">
        <f ca="1">D73</f>
        <v>Random numbers</v>
      </c>
      <c r="E87" s="43"/>
      <c r="F87" s="43" t="str">
        <f>F73</f>
        <v>BfX_Ran</v>
      </c>
      <c r="G87" s="43" t="s">
        <v>752</v>
      </c>
      <c r="H87" s="43" t="s">
        <v>757</v>
      </c>
    </row>
    <row r="88" spans="4:11" x14ac:dyDescent="0.3">
      <c r="D88" s="43" t="str">
        <f ca="1">D74</f>
        <v>Random numbers</v>
      </c>
      <c r="E88" s="43"/>
      <c r="F88" s="43" t="str">
        <f>F74</f>
        <v xml:space="preserve">BfX_Ranb </v>
      </c>
      <c r="G88" s="43" t="str">
        <f t="shared" ref="G88:H90" si="0">G74</f>
        <v>BfX3220376921CRC</v>
      </c>
      <c r="H88" s="43" t="str">
        <f t="shared" si="0"/>
        <v>BfX3220376921CRC</v>
      </c>
    </row>
    <row r="89" spans="4:11" x14ac:dyDescent="0.3">
      <c r="D89" s="43" t="str">
        <f ca="1">D75</f>
        <v>Random numbers</v>
      </c>
      <c r="E89" s="43"/>
      <c r="F89" s="43" t="str">
        <f>F75</f>
        <v>BfX_Rang</v>
      </c>
      <c r="G89" s="43" t="str">
        <f t="shared" si="0"/>
        <v>BfX573377704CRC</v>
      </c>
      <c r="H89" s="43" t="str">
        <f t="shared" si="0"/>
        <v>BfX573377704CRC</v>
      </c>
    </row>
    <row r="90" spans="4:11" x14ac:dyDescent="0.3">
      <c r="D90" s="43" t="str">
        <f ca="1">D76</f>
        <v>Check range changed</v>
      </c>
      <c r="E90" s="43"/>
      <c r="F90" s="43" t="str">
        <f>F76</f>
        <v>BfX_CRC</v>
      </c>
      <c r="G90" s="43" t="str">
        <f t="shared" si="0"/>
        <v>BfX1540509983CRC</v>
      </c>
      <c r="H90" s="43" t="str">
        <f t="shared" si="0"/>
        <v>BfX1540509983CRC</v>
      </c>
    </row>
    <row r="91" spans="4:11" x14ac:dyDescent="0.3">
      <c r="D91" s="43"/>
      <c r="E91" s="43"/>
      <c r="F91" s="43" t="str">
        <f t="shared" ref="F91" si="1">F81</f>
        <v>check of crc's</v>
      </c>
      <c r="G91" s="43" t="str">
        <f>_xll.BfX_CRC(G86:G90)</f>
        <v>BfX2217336144CRC</v>
      </c>
      <c r="H91" s="43" t="str">
        <f>_xll.BfX_CRC(H86:H90)</f>
        <v>BfX1970215413CRC</v>
      </c>
    </row>
  </sheetData>
  <conditionalFormatting sqref="G53:H53">
    <cfRule type="uniqueValues" dxfId="4" priority="5"/>
  </conditionalFormatting>
  <conditionalFormatting sqref="G86:H91">
    <cfRule type="uniqueValues" dxfId="3" priority="3"/>
  </conditionalFormatting>
  <conditionalFormatting sqref="G77:H77">
    <cfRule type="uniqueValues" dxfId="2" priority="2"/>
  </conditionalFormatting>
  <conditionalFormatting sqref="G54:H76 G81:H81 G78:H79">
    <cfRule type="uniqueValues" dxfId="1" priority="6"/>
  </conditionalFormatting>
  <conditionalFormatting sqref="G80:H80">
    <cfRule type="uniqueValues" dxfId="0" priority="1"/>
  </conditionalFormatting>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82" zoomScale="85" zoomScaleNormal="85" workbookViewId="0">
      <selection activeCell="F241" sqref="F241"/>
    </sheetView>
  </sheetViews>
  <sheetFormatPr defaultRowHeight="15.75" x14ac:dyDescent="0.3"/>
  <cols>
    <col min="2" max="2" width="13.21875" customWidth="1"/>
    <col min="3" max="3" width="7" customWidth="1"/>
    <col min="4" max="4" width="19.109375" customWidth="1"/>
    <col min="5" max="5" width="11" bestFit="1" customWidth="1"/>
    <col min="6" max="6" width="45.33203125" style="10" customWidth="1"/>
    <col min="7" max="7" width="7.88671875" customWidth="1"/>
    <col min="9" max="9" width="18.5546875" customWidth="1"/>
    <col min="10" max="10" width="8.5546875" customWidth="1"/>
    <col min="11" max="11" width="10" customWidth="1"/>
    <col min="12" max="12" width="8.44140625" customWidth="1"/>
    <col min="13" max="13" width="8.33203125" customWidth="1"/>
    <col min="14" max="14" width="5.77734375" customWidth="1"/>
  </cols>
  <sheetData>
    <row r="1" spans="1:14" s="105" customFormat="1" x14ac:dyDescent="0.3">
      <c r="A1" s="2">
        <v>20</v>
      </c>
      <c r="B1" s="2" t="s">
        <v>792</v>
      </c>
      <c r="F1" s="10"/>
    </row>
    <row r="2" spans="1:14" s="105" customFormat="1" x14ac:dyDescent="0.3">
      <c r="A2" s="2"/>
      <c r="B2" s="2"/>
      <c r="F2" s="10"/>
    </row>
    <row r="3" spans="1:14" s="105" customFormat="1" x14ac:dyDescent="0.3">
      <c r="A3" s="2"/>
      <c r="B3" s="20" t="s">
        <v>858</v>
      </c>
      <c r="F3" s="10"/>
    </row>
    <row r="4" spans="1:14" s="105" customFormat="1" x14ac:dyDescent="0.3">
      <c r="A4" s="2"/>
      <c r="B4" s="20" t="s">
        <v>859</v>
      </c>
      <c r="F4" s="10"/>
    </row>
    <row r="5" spans="1:14" s="105" customFormat="1" x14ac:dyDescent="0.3">
      <c r="A5" s="2"/>
      <c r="B5" s="20" t="s">
        <v>860</v>
      </c>
      <c r="F5" s="10"/>
    </row>
    <row r="6" spans="1:14" s="105" customFormat="1" x14ac:dyDescent="0.3">
      <c r="A6" s="2"/>
      <c r="B6" s="20" t="s">
        <v>822</v>
      </c>
      <c r="F6" s="10"/>
    </row>
    <row r="7" spans="1:14" s="105" customFormat="1" x14ac:dyDescent="0.3">
      <c r="A7" s="2"/>
      <c r="B7" s="20" t="s">
        <v>852</v>
      </c>
      <c r="F7" s="10"/>
    </row>
    <row r="8" spans="1:14" s="105" customFormat="1" x14ac:dyDescent="0.3">
      <c r="A8" s="2"/>
      <c r="B8" s="20"/>
      <c r="F8" s="10"/>
    </row>
    <row r="9" spans="1:14" s="105" customFormat="1" x14ac:dyDescent="0.3">
      <c r="F9" s="10"/>
    </row>
    <row r="10" spans="1:14" s="105" customFormat="1" x14ac:dyDescent="0.3">
      <c r="A10" s="2" t="s">
        <v>682</v>
      </c>
      <c r="B10" s="2" t="s">
        <v>821</v>
      </c>
      <c r="F10" s="10"/>
    </row>
    <row r="11" spans="1:14" s="105" customFormat="1" x14ac:dyDescent="0.3">
      <c r="F11" s="10"/>
    </row>
    <row r="12" spans="1:14" s="105" customFormat="1" x14ac:dyDescent="0.3">
      <c r="F12" s="10"/>
    </row>
    <row r="13" spans="1:14" s="105" customFormat="1" x14ac:dyDescent="0.3">
      <c r="F13" s="10"/>
    </row>
    <row r="14" spans="1:14" s="105" customFormat="1" x14ac:dyDescent="0.3">
      <c r="B14" s="105" t="s">
        <v>823</v>
      </c>
      <c r="F14" s="10"/>
    </row>
    <row r="15" spans="1:14" x14ac:dyDescent="0.3">
      <c r="A15" s="105"/>
      <c r="B15" s="105"/>
      <c r="C15" s="105"/>
      <c r="D15" s="105"/>
      <c r="E15" s="105"/>
      <c r="G15" s="105"/>
      <c r="H15" s="105">
        <v>1</v>
      </c>
      <c r="I15" s="22">
        <v>2</v>
      </c>
      <c r="J15" s="105">
        <v>3</v>
      </c>
      <c r="K15" s="105">
        <v>4</v>
      </c>
      <c r="L15" s="105">
        <v>5</v>
      </c>
      <c r="M15" s="105">
        <v>6</v>
      </c>
      <c r="N15" s="105">
        <v>7</v>
      </c>
    </row>
    <row r="16" spans="1:14" ht="16.5" thickBot="1" x14ac:dyDescent="0.35">
      <c r="A16" s="105"/>
      <c r="B16" s="67" t="s">
        <v>793</v>
      </c>
      <c r="C16" s="67" t="s">
        <v>794</v>
      </c>
      <c r="D16" s="67"/>
      <c r="E16" s="43"/>
      <c r="F16" s="262" t="s">
        <v>568</v>
      </c>
      <c r="G16" s="105">
        <v>1</v>
      </c>
      <c r="H16" s="252" t="str">
        <f>_xll.BfX_CRC(H17:N51,"od")</f>
        <v>BfX2297096548CRC</v>
      </c>
      <c r="I16" s="289"/>
      <c r="J16" s="253"/>
      <c r="K16" s="253"/>
      <c r="L16" s="253"/>
      <c r="M16" s="253"/>
      <c r="N16" s="253"/>
    </row>
    <row r="17" spans="2:14" x14ac:dyDescent="0.3">
      <c r="B17" s="263">
        <v>1</v>
      </c>
      <c r="C17" s="263">
        <v>1</v>
      </c>
      <c r="D17" s="287" t="str">
        <f ca="1">_xll.BfX_Cell(H16)</f>
        <v>=BfX_CRC(H17:N51;"od")</v>
      </c>
      <c r="E17" s="263" t="s">
        <v>795</v>
      </c>
      <c r="F17" s="263" t="s">
        <v>834</v>
      </c>
      <c r="G17" s="105">
        <v>2</v>
      </c>
      <c r="H17" s="297" t="s">
        <v>783</v>
      </c>
      <c r="I17" s="292">
        <v>1</v>
      </c>
      <c r="J17" s="254" t="s">
        <v>885</v>
      </c>
      <c r="K17" s="254"/>
      <c r="L17" s="254"/>
      <c r="M17" s="254"/>
      <c r="N17" s="255"/>
    </row>
    <row r="18" spans="2:14" ht="24" customHeight="1" x14ac:dyDescent="0.3">
      <c r="B18" s="263">
        <v>2</v>
      </c>
      <c r="C18" s="263">
        <v>1</v>
      </c>
      <c r="D18" s="287" t="s">
        <v>783</v>
      </c>
      <c r="E18" s="263" t="s">
        <v>795</v>
      </c>
      <c r="F18" s="263" t="s">
        <v>814</v>
      </c>
      <c r="G18" s="105">
        <v>3</v>
      </c>
      <c r="H18" s="298" t="s">
        <v>784</v>
      </c>
      <c r="I18" s="293" t="s">
        <v>76</v>
      </c>
      <c r="J18" s="289" t="s">
        <v>855</v>
      </c>
      <c r="K18" s="289" t="s">
        <v>856</v>
      </c>
      <c r="L18" s="289" t="s">
        <v>857</v>
      </c>
      <c r="M18" s="289" t="s">
        <v>853</v>
      </c>
      <c r="N18" s="256"/>
    </row>
    <row r="19" spans="2:14" ht="31.5" x14ac:dyDescent="0.3">
      <c r="B19" s="263">
        <v>2</v>
      </c>
      <c r="C19" s="263">
        <v>2</v>
      </c>
      <c r="D19" s="287">
        <v>1</v>
      </c>
      <c r="E19" s="263" t="s">
        <v>795</v>
      </c>
      <c r="F19" s="263" t="s">
        <v>815</v>
      </c>
      <c r="G19" s="105">
        <v>4</v>
      </c>
      <c r="H19" s="299" t="s">
        <v>787</v>
      </c>
      <c r="I19" s="294" t="s">
        <v>788</v>
      </c>
      <c r="J19" s="290">
        <v>6.7999999999999996E-3</v>
      </c>
      <c r="K19" s="290">
        <v>6.1799999999999997E-3</v>
      </c>
      <c r="L19" s="290">
        <v>3.2000000000000001E-2</v>
      </c>
      <c r="M19" s="291" t="s">
        <v>789</v>
      </c>
      <c r="N19" s="256"/>
    </row>
    <row r="20" spans="2:14" x14ac:dyDescent="0.3">
      <c r="B20" s="263">
        <v>3</v>
      </c>
      <c r="C20" s="263">
        <v>1</v>
      </c>
      <c r="D20" s="287" t="s">
        <v>784</v>
      </c>
      <c r="E20" s="263" t="s">
        <v>795</v>
      </c>
      <c r="F20" s="263" t="s">
        <v>816</v>
      </c>
      <c r="G20" s="105">
        <v>5</v>
      </c>
      <c r="H20" s="257">
        <v>0.2</v>
      </c>
      <c r="I20" s="295">
        <v>0</v>
      </c>
      <c r="J20" s="253"/>
      <c r="K20" s="253"/>
      <c r="L20" s="253"/>
      <c r="M20" s="253"/>
      <c r="N20" s="256"/>
    </row>
    <row r="21" spans="2:14" x14ac:dyDescent="0.3">
      <c r="B21" s="263">
        <v>3</v>
      </c>
      <c r="C21" s="263">
        <v>2</v>
      </c>
      <c r="D21" s="287" t="s">
        <v>76</v>
      </c>
      <c r="E21" s="263" t="s">
        <v>795</v>
      </c>
      <c r="F21" s="263" t="s">
        <v>849</v>
      </c>
      <c r="G21" s="105">
        <v>6</v>
      </c>
      <c r="H21" s="257">
        <v>0.2</v>
      </c>
      <c r="I21" s="295">
        <v>0.4</v>
      </c>
      <c r="J21" s="253"/>
      <c r="K21" s="253" t="s">
        <v>824</v>
      </c>
      <c r="L21" s="253"/>
      <c r="M21" s="253"/>
      <c r="N21" s="256"/>
    </row>
    <row r="22" spans="2:14" x14ac:dyDescent="0.3">
      <c r="B22" s="263"/>
      <c r="C22" s="263"/>
      <c r="D22" s="287"/>
      <c r="E22" s="263"/>
      <c r="F22" s="263" t="s">
        <v>848</v>
      </c>
      <c r="G22" s="105">
        <v>7</v>
      </c>
      <c r="H22" s="257">
        <v>0.19800000000000001</v>
      </c>
      <c r="I22" s="295">
        <v>0.5</v>
      </c>
      <c r="J22" s="253"/>
      <c r="K22" s="253" t="s">
        <v>825</v>
      </c>
      <c r="L22" s="253"/>
      <c r="M22" s="253"/>
      <c r="N22" s="256"/>
    </row>
    <row r="23" spans="2:14" x14ac:dyDescent="0.3">
      <c r="B23" s="264">
        <v>4</v>
      </c>
      <c r="C23" s="264">
        <v>1</v>
      </c>
      <c r="D23" s="288" t="s">
        <v>787</v>
      </c>
      <c r="E23" s="264" t="s">
        <v>795</v>
      </c>
      <c r="F23" s="264" t="s">
        <v>808</v>
      </c>
      <c r="G23" s="105">
        <v>8</v>
      </c>
      <c r="H23" s="257">
        <v>0.19500000000000001</v>
      </c>
      <c r="I23" s="295">
        <v>0.6</v>
      </c>
      <c r="J23" s="253"/>
      <c r="K23" s="253" t="s">
        <v>826</v>
      </c>
      <c r="L23" s="253"/>
      <c r="M23" s="253"/>
      <c r="N23" s="256"/>
    </row>
    <row r="24" spans="2:14" ht="14.25" customHeight="1" x14ac:dyDescent="0.3">
      <c r="B24" s="264"/>
      <c r="C24" s="264"/>
      <c r="D24" s="288"/>
      <c r="E24" s="264"/>
      <c r="F24" s="264" t="s">
        <v>809</v>
      </c>
      <c r="G24" s="105">
        <v>9</v>
      </c>
      <c r="H24" s="257">
        <v>0.188</v>
      </c>
      <c r="I24" s="295">
        <v>0.7</v>
      </c>
      <c r="J24" s="253"/>
      <c r="K24" s="253"/>
      <c r="L24" s="253"/>
      <c r="M24" s="253"/>
      <c r="N24" s="256"/>
    </row>
    <row r="25" spans="2:14" x14ac:dyDescent="0.3">
      <c r="B25" s="264"/>
      <c r="C25" s="264"/>
      <c r="D25" s="288"/>
      <c r="E25" s="264"/>
      <c r="F25" s="264" t="s">
        <v>810</v>
      </c>
      <c r="G25" s="105">
        <v>10</v>
      </c>
      <c r="H25" s="257">
        <v>0.16</v>
      </c>
      <c r="I25" s="295">
        <v>0.8</v>
      </c>
      <c r="J25" s="253"/>
      <c r="K25" s="253" t="s">
        <v>833</v>
      </c>
      <c r="L25" s="253"/>
      <c r="M25" s="253"/>
      <c r="N25" s="256"/>
    </row>
    <row r="26" spans="2:14" x14ac:dyDescent="0.3">
      <c r="B26" s="264"/>
      <c r="C26" s="264"/>
      <c r="D26" s="288"/>
      <c r="E26" s="264"/>
      <c r="F26" s="264" t="s">
        <v>806</v>
      </c>
      <c r="G26" s="105">
        <v>11</v>
      </c>
      <c r="H26" s="257">
        <v>0.158</v>
      </c>
      <c r="I26" s="295">
        <v>0.82499999999999996</v>
      </c>
      <c r="J26" s="253"/>
      <c r="K26" s="253" t="s">
        <v>827</v>
      </c>
      <c r="L26" s="253"/>
      <c r="M26" s="253"/>
      <c r="N26" s="256"/>
    </row>
    <row r="27" spans="2:14" x14ac:dyDescent="0.3">
      <c r="B27" s="264"/>
      <c r="C27" s="264"/>
      <c r="D27" s="288"/>
      <c r="E27" s="264"/>
      <c r="F27" s="264" t="s">
        <v>807</v>
      </c>
      <c r="G27" s="105">
        <v>12</v>
      </c>
      <c r="H27" s="257">
        <v>0.155</v>
      </c>
      <c r="I27" s="295">
        <v>0.85</v>
      </c>
      <c r="J27" s="253"/>
      <c r="K27" s="253" t="s">
        <v>830</v>
      </c>
      <c r="L27" s="253"/>
      <c r="M27" s="253"/>
      <c r="N27" s="256"/>
    </row>
    <row r="28" spans="2:14" x14ac:dyDescent="0.3">
      <c r="B28" s="264"/>
      <c r="C28" s="264"/>
      <c r="D28" s="288"/>
      <c r="E28" s="264"/>
      <c r="F28" s="264" t="s">
        <v>812</v>
      </c>
      <c r="G28" s="105">
        <v>13</v>
      </c>
      <c r="H28" s="257">
        <v>0.153</v>
      </c>
      <c r="I28" s="295">
        <v>0.875</v>
      </c>
      <c r="J28" s="253"/>
      <c r="K28" s="253"/>
      <c r="L28" s="253"/>
      <c r="M28" s="253"/>
      <c r="N28" s="256"/>
    </row>
    <row r="29" spans="2:14" x14ac:dyDescent="0.3">
      <c r="B29" s="264"/>
      <c r="C29" s="264"/>
      <c r="D29" s="288"/>
      <c r="E29" s="264"/>
      <c r="F29" s="264" t="s">
        <v>811</v>
      </c>
      <c r="G29" s="105">
        <v>14</v>
      </c>
      <c r="H29" s="257">
        <v>0.153</v>
      </c>
      <c r="I29" s="295">
        <v>0.9</v>
      </c>
      <c r="J29" s="253"/>
      <c r="K29" s="253"/>
      <c r="L29" s="253"/>
      <c r="M29" s="253"/>
      <c r="N29" s="256"/>
    </row>
    <row r="30" spans="2:14" x14ac:dyDescent="0.3">
      <c r="B30" s="264"/>
      <c r="C30" s="264"/>
      <c r="D30" s="288"/>
      <c r="E30" s="264"/>
      <c r="F30" s="264" t="s">
        <v>796</v>
      </c>
      <c r="G30" s="105">
        <v>15</v>
      </c>
      <c r="H30" s="257">
        <v>0.158</v>
      </c>
      <c r="I30" s="295">
        <v>0.92500000000000004</v>
      </c>
      <c r="J30" s="253"/>
      <c r="K30" s="253" t="s">
        <v>828</v>
      </c>
      <c r="L30" s="253"/>
      <c r="M30" s="253"/>
      <c r="N30" s="256"/>
    </row>
    <row r="31" spans="2:14" x14ac:dyDescent="0.3">
      <c r="B31" s="264"/>
      <c r="C31" s="264"/>
      <c r="D31" s="288"/>
      <c r="E31" s="264"/>
      <c r="F31" s="264" t="s">
        <v>797</v>
      </c>
      <c r="G31" s="105">
        <v>16</v>
      </c>
      <c r="H31" s="257">
        <v>0.17799999999999999</v>
      </c>
      <c r="I31" s="295">
        <v>0.95</v>
      </c>
      <c r="J31" s="253"/>
      <c r="K31" s="253" t="s">
        <v>829</v>
      </c>
      <c r="L31" s="253"/>
      <c r="M31" s="253"/>
      <c r="N31" s="256"/>
    </row>
    <row r="32" spans="2:14" x14ac:dyDescent="0.3">
      <c r="B32" s="264"/>
      <c r="C32" s="264"/>
      <c r="D32" s="288"/>
      <c r="E32" s="264"/>
      <c r="F32" s="264" t="s">
        <v>798</v>
      </c>
      <c r="G32" s="105">
        <v>17</v>
      </c>
      <c r="H32" s="257">
        <v>0.22</v>
      </c>
      <c r="I32" s="295">
        <v>0.97499999999999998</v>
      </c>
      <c r="J32" s="253"/>
      <c r="K32" s="253" t="s">
        <v>831</v>
      </c>
      <c r="L32" s="253"/>
      <c r="M32" s="253"/>
      <c r="N32" s="256"/>
    </row>
    <row r="33" spans="1:14" x14ac:dyDescent="0.3">
      <c r="A33" s="105"/>
      <c r="B33" s="264"/>
      <c r="C33" s="264"/>
      <c r="D33" s="288"/>
      <c r="E33" s="264"/>
      <c r="F33" s="264" t="s">
        <v>804</v>
      </c>
      <c r="G33" s="105">
        <v>18</v>
      </c>
      <c r="H33" s="257">
        <v>0.32700000000000001</v>
      </c>
      <c r="I33" s="295">
        <v>1</v>
      </c>
      <c r="J33" s="253"/>
      <c r="K33" s="253" t="s">
        <v>832</v>
      </c>
      <c r="L33" s="253"/>
      <c r="M33" s="253"/>
      <c r="N33" s="256"/>
    </row>
    <row r="34" spans="1:14" x14ac:dyDescent="0.3">
      <c r="A34" s="105"/>
      <c r="B34" s="264"/>
      <c r="C34" s="264"/>
      <c r="D34" s="288"/>
      <c r="E34" s="264"/>
      <c r="F34" s="264" t="s">
        <v>799</v>
      </c>
      <c r="G34" s="105">
        <v>19</v>
      </c>
      <c r="H34" s="257">
        <v>0.34200000000000003</v>
      </c>
      <c r="I34" s="295">
        <v>1.0249999999999999</v>
      </c>
      <c r="J34" s="253"/>
      <c r="K34" s="253"/>
      <c r="L34" s="253"/>
      <c r="M34" s="253"/>
      <c r="N34" s="256"/>
    </row>
    <row r="35" spans="1:14" x14ac:dyDescent="0.3">
      <c r="A35" s="105"/>
      <c r="B35" s="264">
        <v>4</v>
      </c>
      <c r="C35" s="264">
        <v>2</v>
      </c>
      <c r="D35" s="288"/>
      <c r="E35" s="264"/>
      <c r="F35" s="264" t="s">
        <v>805</v>
      </c>
      <c r="G35" s="105">
        <v>20</v>
      </c>
      <c r="H35" s="257">
        <v>0.35099999999999998</v>
      </c>
      <c r="I35" s="295">
        <v>1.05</v>
      </c>
      <c r="J35" s="253"/>
      <c r="K35" s="253"/>
      <c r="L35" s="253"/>
      <c r="M35" s="253"/>
      <c r="N35" s="256"/>
    </row>
    <row r="36" spans="1:14" x14ac:dyDescent="0.3">
      <c r="A36" s="105"/>
      <c r="B36" s="264">
        <v>4</v>
      </c>
      <c r="C36" s="264">
        <v>3</v>
      </c>
      <c r="D36" s="288" t="s">
        <v>800</v>
      </c>
      <c r="E36" s="264" t="s">
        <v>795</v>
      </c>
      <c r="F36" s="264" t="s">
        <v>801</v>
      </c>
      <c r="G36" s="105">
        <v>21</v>
      </c>
      <c r="H36" s="257">
        <v>0.35599999999999998</v>
      </c>
      <c r="I36" s="295">
        <v>1.075</v>
      </c>
      <c r="J36" s="253"/>
      <c r="K36" s="253"/>
      <c r="L36" s="253"/>
      <c r="M36" s="253"/>
      <c r="N36" s="256"/>
    </row>
    <row r="37" spans="1:14" x14ac:dyDescent="0.3">
      <c r="A37" s="105"/>
      <c r="B37" s="264">
        <v>4</v>
      </c>
      <c r="C37" s="264">
        <v>4</v>
      </c>
      <c r="D37" s="288">
        <v>6.7999999999999996E-3</v>
      </c>
      <c r="E37" s="264" t="s">
        <v>795</v>
      </c>
      <c r="F37" s="264" t="s">
        <v>854</v>
      </c>
      <c r="G37" s="105">
        <v>22</v>
      </c>
      <c r="H37" s="257">
        <v>0.36</v>
      </c>
      <c r="I37" s="295">
        <v>1.1000000000000001</v>
      </c>
      <c r="J37" s="253"/>
      <c r="K37" s="253"/>
      <c r="L37" s="253"/>
      <c r="M37" s="253"/>
      <c r="N37" s="256"/>
    </row>
    <row r="38" spans="1:14" x14ac:dyDescent="0.3">
      <c r="A38" s="105"/>
      <c r="B38" s="264">
        <v>4</v>
      </c>
      <c r="C38" s="264">
        <v>5</v>
      </c>
      <c r="D38" s="288">
        <v>6.1799999999999997E-3</v>
      </c>
      <c r="E38" s="264" t="s">
        <v>795</v>
      </c>
      <c r="F38" s="264" t="s">
        <v>846</v>
      </c>
      <c r="G38" s="105">
        <v>23</v>
      </c>
      <c r="H38" s="257">
        <v>0.36299999999999999</v>
      </c>
      <c r="I38" s="295">
        <v>1.1499999999999999</v>
      </c>
      <c r="J38" s="253"/>
      <c r="K38" s="253"/>
      <c r="L38" s="253"/>
      <c r="M38" s="253"/>
      <c r="N38" s="256"/>
    </row>
    <row r="39" spans="1:14" x14ac:dyDescent="0.3">
      <c r="A39" s="105"/>
      <c r="B39" s="264">
        <v>4</v>
      </c>
      <c r="C39" s="264">
        <v>6</v>
      </c>
      <c r="D39" s="288">
        <v>3.2000000000000001E-2</v>
      </c>
      <c r="E39" s="264" t="s">
        <v>802</v>
      </c>
      <c r="F39" s="264" t="s">
        <v>847</v>
      </c>
      <c r="G39" s="105">
        <v>24</v>
      </c>
      <c r="H39" s="257">
        <v>0.36099999999999999</v>
      </c>
      <c r="I39" s="295">
        <v>1.2</v>
      </c>
      <c r="J39" s="253"/>
      <c r="K39" s="253"/>
      <c r="L39" s="253"/>
      <c r="M39" s="253"/>
      <c r="N39" s="256"/>
    </row>
    <row r="40" spans="1:14" x14ac:dyDescent="0.3">
      <c r="A40" s="105"/>
      <c r="B40" s="264">
        <v>5</v>
      </c>
      <c r="C40" s="264">
        <v>1</v>
      </c>
      <c r="D40" s="288" t="s">
        <v>789</v>
      </c>
      <c r="E40" s="264" t="s">
        <v>802</v>
      </c>
      <c r="F40" s="264" t="s">
        <v>803</v>
      </c>
      <c r="G40" s="105">
        <v>25</v>
      </c>
      <c r="H40" s="257">
        <v>0.35499999999999998</v>
      </c>
      <c r="I40" s="295">
        <v>1.3</v>
      </c>
      <c r="J40" s="253"/>
      <c r="K40" s="253"/>
      <c r="L40" s="253"/>
      <c r="M40" s="253"/>
      <c r="N40" s="256"/>
    </row>
    <row r="41" spans="1:14" x14ac:dyDescent="0.3">
      <c r="A41" s="105"/>
      <c r="B41" s="264">
        <v>5</v>
      </c>
      <c r="C41" s="264">
        <v>2</v>
      </c>
      <c r="D41" s="288">
        <v>0.2</v>
      </c>
      <c r="E41" s="264" t="s">
        <v>795</v>
      </c>
      <c r="F41" s="264" t="s">
        <v>817</v>
      </c>
      <c r="G41" s="105">
        <v>26</v>
      </c>
      <c r="H41" s="257">
        <v>0.35</v>
      </c>
      <c r="I41" s="295">
        <v>1.4</v>
      </c>
      <c r="J41" s="253"/>
      <c r="K41" s="253"/>
      <c r="L41" s="253"/>
      <c r="M41" s="253"/>
      <c r="N41" s="256"/>
    </row>
    <row r="42" spans="1:14" x14ac:dyDescent="0.3">
      <c r="A42" s="105"/>
      <c r="B42" s="264" t="s">
        <v>819</v>
      </c>
      <c r="C42" s="264" t="s">
        <v>819</v>
      </c>
      <c r="D42" s="288">
        <v>0</v>
      </c>
      <c r="E42" s="264" t="s">
        <v>795</v>
      </c>
      <c r="F42" s="264" t="s">
        <v>818</v>
      </c>
      <c r="G42" s="105">
        <v>27</v>
      </c>
      <c r="H42" s="257">
        <v>0.34399999999999997</v>
      </c>
      <c r="I42" s="295">
        <v>1.5</v>
      </c>
      <c r="J42" s="253"/>
      <c r="K42" s="253"/>
      <c r="L42" s="253"/>
      <c r="M42" s="253"/>
      <c r="N42" s="256"/>
    </row>
    <row r="43" spans="1:14" x14ac:dyDescent="0.3">
      <c r="A43" s="105"/>
      <c r="B43" s="264"/>
      <c r="C43" s="264"/>
      <c r="D43" s="288" t="s">
        <v>819</v>
      </c>
      <c r="E43" s="264"/>
      <c r="F43" s="264"/>
      <c r="G43" s="105">
        <v>28</v>
      </c>
      <c r="H43" s="257">
        <v>0.33900000000000002</v>
      </c>
      <c r="I43" s="295">
        <v>1.6</v>
      </c>
      <c r="J43" s="253"/>
      <c r="K43" s="253"/>
      <c r="L43" s="253"/>
      <c r="M43" s="253"/>
      <c r="N43" s="256"/>
    </row>
    <row r="44" spans="1:14" x14ac:dyDescent="0.3">
      <c r="A44" s="105"/>
      <c r="B44" s="264"/>
      <c r="C44" s="264"/>
      <c r="D44" s="288"/>
      <c r="E44" s="264"/>
      <c r="F44" s="264"/>
      <c r="G44" s="105">
        <v>29</v>
      </c>
      <c r="H44" s="257">
        <v>0.32900000000000001</v>
      </c>
      <c r="I44" s="295">
        <v>1.8</v>
      </c>
      <c r="J44" s="253"/>
      <c r="K44" s="253"/>
      <c r="L44" s="253"/>
      <c r="M44" s="253"/>
      <c r="N44" s="256"/>
    </row>
    <row r="45" spans="1:14" s="105" customFormat="1" x14ac:dyDescent="0.3">
      <c r="B45" s="105" t="s">
        <v>820</v>
      </c>
      <c r="C45"/>
      <c r="G45" s="105">
        <v>30</v>
      </c>
      <c r="H45" s="257">
        <v>0.31900000000000001</v>
      </c>
      <c r="I45" s="295">
        <v>2</v>
      </c>
      <c r="J45" s="253"/>
      <c r="K45" s="253"/>
      <c r="L45" s="253"/>
      <c r="M45" s="253"/>
      <c r="N45" s="256"/>
    </row>
    <row r="46" spans="1:14" s="105" customFormat="1" x14ac:dyDescent="0.3">
      <c r="B46" s="105" t="s">
        <v>850</v>
      </c>
      <c r="C46"/>
      <c r="D46"/>
      <c r="G46" s="105">
        <v>31</v>
      </c>
      <c r="H46" s="257">
        <v>0.30399999999999999</v>
      </c>
      <c r="I46" s="295">
        <v>2.2000000000000002</v>
      </c>
      <c r="J46" s="253"/>
      <c r="K46" s="253"/>
      <c r="L46" s="253"/>
      <c r="M46" s="253"/>
      <c r="N46" s="256"/>
    </row>
    <row r="47" spans="1:14" x14ac:dyDescent="0.3">
      <c r="A47" s="105"/>
      <c r="E47" s="105"/>
      <c r="G47" s="105">
        <v>32</v>
      </c>
      <c r="H47" s="257">
        <v>0.28999999999999998</v>
      </c>
      <c r="I47" s="295">
        <v>2.4</v>
      </c>
      <c r="J47" s="253"/>
      <c r="K47" s="253"/>
      <c r="L47" s="253"/>
      <c r="M47" s="253"/>
      <c r="N47" s="256"/>
    </row>
    <row r="48" spans="1:14" x14ac:dyDescent="0.3">
      <c r="A48" s="105"/>
      <c r="B48" t="s">
        <v>851</v>
      </c>
      <c r="E48" s="105"/>
      <c r="G48" s="105">
        <v>33</v>
      </c>
      <c r="H48" s="257">
        <v>0.27800000000000002</v>
      </c>
      <c r="I48" s="295">
        <v>2.6</v>
      </c>
      <c r="J48" s="253"/>
      <c r="K48" s="253"/>
      <c r="L48" s="253"/>
      <c r="M48" s="253"/>
      <c r="N48" s="256"/>
    </row>
    <row r="49" spans="1:14" x14ac:dyDescent="0.3">
      <c r="A49" s="105"/>
      <c r="B49" t="s">
        <v>813</v>
      </c>
      <c r="E49" s="105"/>
      <c r="G49" s="105">
        <v>34</v>
      </c>
      <c r="H49" s="257">
        <v>0.254</v>
      </c>
      <c r="I49" s="295">
        <v>3</v>
      </c>
      <c r="J49" s="253"/>
      <c r="K49" s="253"/>
      <c r="L49" s="253"/>
      <c r="M49" s="253"/>
      <c r="N49" s="256"/>
    </row>
    <row r="50" spans="1:14" x14ac:dyDescent="0.3">
      <c r="A50" s="105"/>
      <c r="B50" s="261">
        <f>_xll.BfX_U("kg",105,"gr")</f>
        <v>6.8038855499999995E-3</v>
      </c>
      <c r="C50" s="43" t="str">
        <f ca="1">_xll.BfX_Cell(B50)</f>
        <v>=BfX_U("kg";105;"gr")</v>
      </c>
      <c r="D50" s="43"/>
      <c r="E50" s="105"/>
      <c r="G50" s="105">
        <v>35</v>
      </c>
      <c r="H50" s="257">
        <v>0.22</v>
      </c>
      <c r="I50" s="295">
        <v>4</v>
      </c>
      <c r="J50" s="253"/>
      <c r="K50" s="253"/>
      <c r="L50" s="253"/>
      <c r="M50" s="253"/>
      <c r="N50" s="256"/>
    </row>
    <row r="51" spans="1:14" ht="16.5" thickBot="1" x14ac:dyDescent="0.35">
      <c r="A51" s="105"/>
      <c r="B51" s="261">
        <f>_xll.BfX_U(0.243,"in")</f>
        <v>6.1721999999999992E-3</v>
      </c>
      <c r="C51" s="43" t="str">
        <f ca="1">_xll.BfX_Cell(B51)</f>
        <v>=BfX_U(0,243;"in")</v>
      </c>
      <c r="D51" s="43"/>
      <c r="E51" s="105"/>
      <c r="G51" s="105">
        <v>36</v>
      </c>
      <c r="H51" s="258">
        <v>0.2</v>
      </c>
      <c r="I51" s="296">
        <v>5</v>
      </c>
      <c r="J51" s="259"/>
      <c r="K51" s="259"/>
      <c r="L51" s="259"/>
      <c r="M51" s="259"/>
      <c r="N51" s="260"/>
    </row>
    <row r="52" spans="1:14" x14ac:dyDescent="0.3">
      <c r="A52" s="105"/>
      <c r="B52" s="105"/>
      <c r="C52" s="105"/>
      <c r="D52" s="105"/>
      <c r="E52" s="105"/>
    </row>
    <row r="53" spans="1:14" x14ac:dyDescent="0.3">
      <c r="A53" s="105"/>
      <c r="B53" s="105" t="s">
        <v>838</v>
      </c>
      <c r="C53" s="105"/>
      <c r="D53" s="105"/>
      <c r="E53" s="105"/>
    </row>
    <row r="55" spans="1:14" x14ac:dyDescent="0.3">
      <c r="A55" s="2"/>
    </row>
    <row r="56" spans="1:14" x14ac:dyDescent="0.3">
      <c r="A56" s="2" t="s">
        <v>689</v>
      </c>
      <c r="B56" s="2" t="s">
        <v>835</v>
      </c>
      <c r="C56" s="2"/>
    </row>
    <row r="57" spans="1:14" s="105" customFormat="1" x14ac:dyDescent="0.3">
      <c r="F57" s="10"/>
    </row>
    <row r="58" spans="1:14" s="105" customFormat="1" x14ac:dyDescent="0.3">
      <c r="B58" s="105" t="s">
        <v>844</v>
      </c>
      <c r="F58" s="10"/>
    </row>
    <row r="59" spans="1:14" s="105" customFormat="1" x14ac:dyDescent="0.3">
      <c r="B59" s="105" t="s">
        <v>839</v>
      </c>
      <c r="F59" s="10"/>
    </row>
    <row r="60" spans="1:14" s="105" customFormat="1" ht="16.5" thickBot="1" x14ac:dyDescent="0.35">
      <c r="B60" s="272">
        <f>_xll.BfX_Vx(800,200,1,H16:M51)</f>
        <v>677.96897546903097</v>
      </c>
      <c r="C60" s="43" t="str">
        <f ca="1">_xll.BfX_Cell(B60)</f>
        <v>=BfX_Vx(800;200;1;H16:M51)</v>
      </c>
      <c r="D60" s="43"/>
      <c r="F60" s="10"/>
    </row>
    <row r="61" spans="1:14" s="105" customFormat="1" x14ac:dyDescent="0.3">
      <c r="B61" s="105" t="s">
        <v>837</v>
      </c>
      <c r="F61" s="10"/>
      <c r="I61" s="198" t="s">
        <v>861</v>
      </c>
      <c r="J61" s="199" t="s">
        <v>862</v>
      </c>
      <c r="K61" s="199"/>
      <c r="L61" s="199" t="str">
        <f>_xll.BfX_CRC(H17:N51,"od")</f>
        <v>BfX2297096548CRC</v>
      </c>
      <c r="M61" s="199"/>
      <c r="N61" s="200"/>
    </row>
    <row r="62" spans="1:14" s="105" customFormat="1" x14ac:dyDescent="0.3">
      <c r="B62" s="272">
        <f>_xll.BfX_Vx(800,200,1,dt)</f>
        <v>677.96897546903097</v>
      </c>
      <c r="C62" s="43" t="str">
        <f ca="1">_xll.BfX_Cell(B62)</f>
        <v>=BfX_Vx(800;200;1;dt)</v>
      </c>
      <c r="D62" s="43"/>
      <c r="F62" s="10"/>
      <c r="I62" s="201" t="s">
        <v>861</v>
      </c>
      <c r="J62" s="202" t="s">
        <v>863</v>
      </c>
      <c r="K62" s="202"/>
      <c r="L62" s="202" t="str">
        <f>_xll.BfX_CRC(B60:B64,"on")</f>
        <v>BfX526257727CRC</v>
      </c>
      <c r="M62" s="202"/>
      <c r="N62" s="203"/>
    </row>
    <row r="63" spans="1:14" s="105" customFormat="1" x14ac:dyDescent="0.3">
      <c r="B63" s="286" t="s">
        <v>845</v>
      </c>
      <c r="C63" s="286"/>
      <c r="D63" s="286"/>
      <c r="F63" s="10"/>
      <c r="I63" s="201" t="s">
        <v>861</v>
      </c>
      <c r="J63" s="202" t="s">
        <v>864</v>
      </c>
      <c r="K63" s="202"/>
      <c r="L63" s="202" t="str">
        <f>_xll.BfX_CRC(B68:H84,"ov")</f>
        <v>BfX1943923048CRC</v>
      </c>
      <c r="M63" s="202"/>
      <c r="N63" s="203"/>
    </row>
    <row r="64" spans="1:14" s="105" customFormat="1" ht="16.5" thickBot="1" x14ac:dyDescent="0.35">
      <c r="B64" s="272">
        <f>_xll.BfX_Vx(800,200,1*_xll.BfX_C(10,765,"mmHg",78,"%H"),dt)</f>
        <v>675.54001666273143</v>
      </c>
      <c r="C64" s="43" t="str">
        <f ca="1">_xll.BfX_Cell(B64)</f>
        <v>=BfX_Vx(800;200;1*BfX_C(10;765;"mmHg";78;"%H");dt)</v>
      </c>
      <c r="D64" s="43"/>
      <c r="E64" s="43"/>
      <c r="F64" s="43"/>
      <c r="I64" s="204" t="s">
        <v>861</v>
      </c>
      <c r="J64" s="205" t="s">
        <v>893</v>
      </c>
      <c r="K64" s="205"/>
      <c r="L64" s="205" t="str">
        <f ca="1">_xll.BfX_CRC(E107:F120,"ov")</f>
        <v>BfX2934419824CRC</v>
      </c>
      <c r="M64" s="205"/>
      <c r="N64" s="206"/>
    </row>
    <row r="65" spans="1:14" x14ac:dyDescent="0.3">
      <c r="I65" s="201" t="s">
        <v>761</v>
      </c>
      <c r="J65" s="202"/>
      <c r="K65" s="202"/>
      <c r="L65" s="202"/>
      <c r="M65" s="202"/>
      <c r="N65" s="203"/>
    </row>
    <row r="66" spans="1:14" x14ac:dyDescent="0.3">
      <c r="A66" s="2" t="s">
        <v>710</v>
      </c>
      <c r="B66" s="2" t="s">
        <v>840</v>
      </c>
      <c r="C66" s="2"/>
      <c r="D66" s="2"/>
      <c r="I66" s="201" t="s">
        <v>759</v>
      </c>
      <c r="J66" s="202"/>
      <c r="K66" s="202"/>
      <c r="L66" s="202"/>
      <c r="M66" s="202"/>
      <c r="N66" s="203"/>
    </row>
    <row r="67" spans="1:14" s="105" customFormat="1" ht="16.5" thickBot="1" x14ac:dyDescent="0.35">
      <c r="A67" s="2"/>
      <c r="B67" s="2"/>
      <c r="C67" s="2"/>
      <c r="D67" s="2"/>
      <c r="F67" s="10"/>
      <c r="I67" s="204" t="s">
        <v>760</v>
      </c>
      <c r="J67" s="205"/>
      <c r="K67" s="205"/>
      <c r="L67" s="205"/>
      <c r="M67" s="205"/>
      <c r="N67" s="206"/>
    </row>
    <row r="68" spans="1:14" ht="16.5" thickBot="1" x14ac:dyDescent="0.35">
      <c r="B68" t="s">
        <v>843</v>
      </c>
      <c r="C68">
        <v>800</v>
      </c>
      <c r="D68" t="s">
        <v>45</v>
      </c>
    </row>
    <row r="69" spans="1:14" ht="16.5" thickBot="1" x14ac:dyDescent="0.35">
      <c r="B69" s="267"/>
      <c r="C69" s="268"/>
      <c r="D69" s="268" t="s">
        <v>782</v>
      </c>
      <c r="E69" s="268"/>
      <c r="F69" s="268"/>
      <c r="G69" s="268"/>
      <c r="H69" s="269"/>
    </row>
    <row r="70" spans="1:14" ht="16.5" thickBot="1" x14ac:dyDescent="0.35">
      <c r="B70" s="267"/>
      <c r="C70" s="268"/>
      <c r="D70" s="270" t="s">
        <v>836</v>
      </c>
      <c r="E70" s="268">
        <v>1</v>
      </c>
      <c r="F70" s="268"/>
      <c r="G70" s="268"/>
      <c r="H70" s="269"/>
    </row>
    <row r="71" spans="1:14" ht="16.5" thickBot="1" x14ac:dyDescent="0.35">
      <c r="B71" s="280" t="s">
        <v>841</v>
      </c>
      <c r="C71" s="268" t="s">
        <v>785</v>
      </c>
      <c r="D71" s="268"/>
      <c r="E71" s="267" t="s">
        <v>842</v>
      </c>
      <c r="F71" s="269"/>
      <c r="G71" s="281" t="s">
        <v>786</v>
      </c>
      <c r="H71" s="282"/>
    </row>
    <row r="72" spans="1:14" x14ac:dyDescent="0.3">
      <c r="B72" s="271" t="s">
        <v>790</v>
      </c>
      <c r="C72" s="279" t="s">
        <v>791</v>
      </c>
      <c r="D72" s="279" t="s">
        <v>351</v>
      </c>
      <c r="E72" s="285" t="s">
        <v>791</v>
      </c>
      <c r="F72" s="283" t="s">
        <v>351</v>
      </c>
      <c r="G72" s="274" t="s">
        <v>791</v>
      </c>
      <c r="H72" s="275" t="s">
        <v>351</v>
      </c>
    </row>
    <row r="73" spans="1:14" x14ac:dyDescent="0.3">
      <c r="B73" s="173">
        <v>0</v>
      </c>
      <c r="C73" s="272">
        <v>800</v>
      </c>
      <c r="D73" s="272">
        <f>_xll.BfX_Vx(v0,B73,bc,dt)</f>
        <v>800</v>
      </c>
      <c r="E73" s="265">
        <v>0</v>
      </c>
      <c r="F73" s="283">
        <f>_xll.BfX_Tx(v0,B73,bc,dt)</f>
        <v>0</v>
      </c>
      <c r="G73" s="69">
        <v>0</v>
      </c>
      <c r="H73" s="276">
        <f>_xll.BfX_D("cm",v0,B73,bc,dt)</f>
        <v>0</v>
      </c>
      <c r="J73" s="44"/>
    </row>
    <row r="74" spans="1:14" x14ac:dyDescent="0.3">
      <c r="B74" s="173">
        <v>100</v>
      </c>
      <c r="C74" s="272">
        <v>738</v>
      </c>
      <c r="D74" s="272">
        <f>_xll.BfX_Vx(v0,B74,bc,dt)</f>
        <v>737.76631545600344</v>
      </c>
      <c r="E74" s="265">
        <v>0.13020000000000001</v>
      </c>
      <c r="F74" s="283">
        <f>_xll.BfX_Tx(v0,B74,bc,dt)</f>
        <v>0.13016265881883535</v>
      </c>
      <c r="G74" s="69">
        <v>8.1</v>
      </c>
      <c r="H74" s="276">
        <f>_xll.BfX_D("cm",v0,B74,bc,dt)</f>
        <v>8.0875835294840588</v>
      </c>
      <c r="J74" s="44"/>
    </row>
    <row r="75" spans="1:14" x14ac:dyDescent="0.3">
      <c r="B75" s="173">
        <v>200</v>
      </c>
      <c r="C75" s="272">
        <v>678</v>
      </c>
      <c r="D75" s="272">
        <f>_xll.BfX_Vx(v0,B75,bc,dt)</f>
        <v>677.96897546903097</v>
      </c>
      <c r="E75" s="265">
        <v>0.27160000000000001</v>
      </c>
      <c r="F75" s="283">
        <f>_xll.BfX_Tx(v0,B75,bc,dt)</f>
        <v>0.27155784849766074</v>
      </c>
      <c r="G75" s="69">
        <v>34.200000000000003</v>
      </c>
      <c r="H75" s="276">
        <f>_xll.BfX_D("cm",v0,B75,bc,dt)</f>
        <v>34.243973756665923</v>
      </c>
      <c r="J75" s="44"/>
    </row>
    <row r="76" spans="1:14" x14ac:dyDescent="0.3">
      <c r="B76" s="173">
        <v>300</v>
      </c>
      <c r="C76" s="272">
        <v>621</v>
      </c>
      <c r="D76" s="272">
        <f>_xll.BfX_Vx(v0,B76,bc,dt)</f>
        <v>621.23212335479332</v>
      </c>
      <c r="E76" s="265">
        <v>0.42580000000000001</v>
      </c>
      <c r="F76" s="283">
        <f>_xll.BfX_Tx(v0,B76,bc,dt)</f>
        <v>0.42566591363667294</v>
      </c>
      <c r="G76" s="69">
        <v>81.8</v>
      </c>
      <c r="H76" s="276">
        <f>_xll.BfX_D("cm",v0,B76,bc,dt)</f>
        <v>81.798643816663059</v>
      </c>
      <c r="J76" s="44"/>
    </row>
    <row r="77" spans="1:14" x14ac:dyDescent="0.3">
      <c r="B77" s="173">
        <v>400</v>
      </c>
      <c r="C77" s="272">
        <v>568</v>
      </c>
      <c r="D77" s="272">
        <f>_xll.BfX_Vx(v0,B77,bc,dt)</f>
        <v>568.00077214200849</v>
      </c>
      <c r="E77" s="265">
        <v>0.59430000000000005</v>
      </c>
      <c r="F77" s="283">
        <f>_xll.BfX_Tx(v0,B77,bc,dt)</f>
        <v>0.59403766208648889</v>
      </c>
      <c r="G77" s="69">
        <v>154.80000000000001</v>
      </c>
      <c r="H77" s="276">
        <f>_xll.BfX_D("cm",v0,B77,bc,dt)</f>
        <v>154.83967157518424</v>
      </c>
      <c r="J77" s="44"/>
    </row>
    <row r="78" spans="1:14" x14ac:dyDescent="0.3">
      <c r="B78" s="173">
        <v>500</v>
      </c>
      <c r="C78" s="272">
        <v>518</v>
      </c>
      <c r="D78" s="272">
        <f>_xll.BfX_Vx(v0,B78,bc,dt)</f>
        <v>518.26281783167121</v>
      </c>
      <c r="E78" s="265">
        <v>0.77880000000000005</v>
      </c>
      <c r="F78" s="283">
        <f>_xll.BfX_Tx(v0,B78,bc,dt)</f>
        <v>0.77838202284850289</v>
      </c>
      <c r="G78" s="69">
        <v>258.39999999999998</v>
      </c>
      <c r="H78" s="276">
        <f>_xll.BfX_D("cm",v0,B78,bc,dt)</f>
        <v>258.37103728995521</v>
      </c>
      <c r="J78" s="44"/>
    </row>
    <row r="79" spans="1:14" x14ac:dyDescent="0.3">
      <c r="B79" s="173">
        <v>577</v>
      </c>
      <c r="C79" s="272">
        <v>482</v>
      </c>
      <c r="D79" s="272">
        <f>_xll.BfX_Vx(v0,B79,bc,dt)</f>
        <v>482.28728393287821</v>
      </c>
      <c r="E79" s="265">
        <v>0.93300000000000005</v>
      </c>
      <c r="F79" s="283">
        <f>_xll.BfX_Tx(v0,B79,bc,dt)</f>
        <v>0.93241368888940157</v>
      </c>
      <c r="G79" s="69">
        <v>362.9</v>
      </c>
      <c r="H79" s="276">
        <f>_xll.BfX_D("cm",v0,B79,bc,dt)</f>
        <v>362.68116244710302</v>
      </c>
      <c r="J79" s="44"/>
    </row>
    <row r="80" spans="1:14" x14ac:dyDescent="0.3">
      <c r="B80" s="173">
        <v>600</v>
      </c>
      <c r="C80" s="272">
        <v>471</v>
      </c>
      <c r="D80" s="272">
        <f>_xll.BfX_Vx(v0,B80,bc,dt)</f>
        <v>471.91557668730911</v>
      </c>
      <c r="E80" s="265">
        <v>0.98129999999999995</v>
      </c>
      <c r="F80" s="283">
        <f>_xll.BfX_Tx(v0,B80,bc,dt)</f>
        <v>0.98062483446062387</v>
      </c>
      <c r="G80" s="69">
        <v>398.7</v>
      </c>
      <c r="H80" s="276">
        <f>_xll.BfX_D("cm",v0,B80,bc,dt)</f>
        <v>398.52999120203145</v>
      </c>
      <c r="J80" s="44"/>
    </row>
    <row r="81" spans="1:13" x14ac:dyDescent="0.3">
      <c r="B81" s="173">
        <v>700</v>
      </c>
      <c r="C81" s="272">
        <v>428</v>
      </c>
      <c r="D81" s="272">
        <f>_xll.BfX_Vx(v0,B81,bc,dt)</f>
        <v>428.88318093048485</v>
      </c>
      <c r="E81" s="265">
        <v>1.204</v>
      </c>
      <c r="F81" s="283">
        <f>_xll.BfX_Tx(v0,B81,bc,dt)</f>
        <v>1.2029552892858515</v>
      </c>
      <c r="G81" s="69">
        <v>583.29999999999995</v>
      </c>
      <c r="H81" s="276">
        <f>_xll.BfX_D("cm",v0,B81,bc,dt)</f>
        <v>582.86907349552303</v>
      </c>
      <c r="J81" s="44"/>
    </row>
    <row r="82" spans="1:13" x14ac:dyDescent="0.3">
      <c r="B82" s="173">
        <v>800</v>
      </c>
      <c r="C82" s="272">
        <v>388</v>
      </c>
      <c r="D82" s="272">
        <f>_xll.BfX_Vx(v0,B82,bc,dt)</f>
        <v>389.06774872906777</v>
      </c>
      <c r="E82" s="265">
        <v>1.4493</v>
      </c>
      <c r="F82" s="283">
        <f>_xll.BfX_Tx(v0,B82,bc,dt)</f>
        <v>1.4478235163451112</v>
      </c>
      <c r="G82" s="69">
        <v>821.6</v>
      </c>
      <c r="H82" s="276">
        <f>_xll.BfX_D("cm",v0,B82,bc,dt)</f>
        <v>820.70528910716905</v>
      </c>
      <c r="J82" s="44"/>
    </row>
    <row r="83" spans="1:13" x14ac:dyDescent="0.3">
      <c r="B83" s="173">
        <v>900</v>
      </c>
      <c r="C83" s="272">
        <v>352</v>
      </c>
      <c r="D83" s="272">
        <f>_xll.BfX_Vx(v0,B83,bc,dt)</f>
        <v>353.28398012149711</v>
      </c>
      <c r="E83" s="265">
        <v>1.7198</v>
      </c>
      <c r="F83" s="283">
        <f>_xll.BfX_Tx(v0,B83,bc,dt)</f>
        <v>1.7177469320733063</v>
      </c>
      <c r="G83" s="69">
        <v>1125.0999999999999</v>
      </c>
      <c r="H83" s="276">
        <f>_xll.BfX_D("cm",v0,B83,bc,dt)</f>
        <v>1123.5231167325699</v>
      </c>
      <c r="J83" s="44"/>
    </row>
    <row r="84" spans="1:13" ht="16.5" thickBot="1" x14ac:dyDescent="0.35">
      <c r="B84" s="174">
        <v>1000</v>
      </c>
      <c r="C84" s="273">
        <v>326</v>
      </c>
      <c r="D84" s="273">
        <f>_xll.BfX_Vx(v0,B84,bc,dt)</f>
        <v>327.38022633657346</v>
      </c>
      <c r="E84" s="266">
        <v>2.016</v>
      </c>
      <c r="F84" s="284">
        <f>_xll.BfX_Tx(v0,B84,bc,dt)</f>
        <v>2.0130886157042731</v>
      </c>
      <c r="G84" s="277">
        <v>1507.7</v>
      </c>
      <c r="H84" s="278">
        <f>_xll.BfX_D("cm",v0,B84,bc,dt)</f>
        <v>1504.9420304783198</v>
      </c>
      <c r="J84" s="44"/>
    </row>
    <row r="88" spans="1:13" x14ac:dyDescent="0.3">
      <c r="A88" s="2" t="s">
        <v>869</v>
      </c>
      <c r="B88" s="2" t="s">
        <v>872</v>
      </c>
      <c r="C88" s="2"/>
    </row>
    <row r="89" spans="1:13" s="105" customFormat="1" x14ac:dyDescent="0.3">
      <c r="F89" s="10"/>
    </row>
    <row r="90" spans="1:13" s="105" customFormat="1" ht="16.5" thickBot="1" x14ac:dyDescent="0.35">
      <c r="B90" s="105" t="s">
        <v>873</v>
      </c>
      <c r="F90" s="10"/>
    </row>
    <row r="91" spans="1:13" s="105" customFormat="1" x14ac:dyDescent="0.3">
      <c r="B91" s="105" t="s">
        <v>887</v>
      </c>
      <c r="F91" s="10"/>
      <c r="H91" s="310" t="str">
        <f>_xll.BfX_CRC(H92:M181,"od")</f>
        <v>BfX3541101107CRC</v>
      </c>
      <c r="I91" s="311"/>
      <c r="J91" s="312"/>
      <c r="K91" s="312"/>
      <c r="L91" s="312"/>
      <c r="M91" s="313"/>
    </row>
    <row r="92" spans="1:13" s="105" customFormat="1" x14ac:dyDescent="0.3">
      <c r="B92" s="105" t="s">
        <v>879</v>
      </c>
      <c r="F92" s="10"/>
      <c r="H92" s="301" t="s">
        <v>783</v>
      </c>
      <c r="I92" s="287">
        <v>1</v>
      </c>
      <c r="J92" s="253" t="s">
        <v>886</v>
      </c>
      <c r="K92" s="253"/>
      <c r="L92" s="253"/>
      <c r="M92" s="302"/>
    </row>
    <row r="93" spans="1:13" x14ac:dyDescent="0.3">
      <c r="H93" s="301" t="s">
        <v>784</v>
      </c>
      <c r="I93" s="287" t="s">
        <v>553</v>
      </c>
      <c r="J93" s="289" t="s">
        <v>876</v>
      </c>
      <c r="K93" s="289" t="s">
        <v>877</v>
      </c>
      <c r="L93" s="289" t="s">
        <v>878</v>
      </c>
      <c r="M93" s="303" t="s">
        <v>853</v>
      </c>
    </row>
    <row r="94" spans="1:13" x14ac:dyDescent="0.3">
      <c r="B94" t="s">
        <v>870</v>
      </c>
      <c r="C94" t="s">
        <v>871</v>
      </c>
      <c r="D94" t="s">
        <v>209</v>
      </c>
      <c r="H94" s="304" t="s">
        <v>874</v>
      </c>
      <c r="I94" s="300" t="str">
        <f t="shared" ref="I94:I125" si="0">D94</f>
        <v>G5</v>
      </c>
      <c r="J94" s="288">
        <v>1</v>
      </c>
      <c r="K94" s="288">
        <v>1</v>
      </c>
      <c r="L94" s="288">
        <v>1</v>
      </c>
      <c r="M94" s="305" t="s">
        <v>875</v>
      </c>
    </row>
    <row r="95" spans="1:13" x14ac:dyDescent="0.3">
      <c r="B95">
        <v>0</v>
      </c>
      <c r="C95">
        <v>0</v>
      </c>
      <c r="D95">
        <v>0.17100000000000001</v>
      </c>
      <c r="H95" s="304">
        <f t="shared" ref="H95:H126" si="1">B95</f>
        <v>0</v>
      </c>
      <c r="I95" s="288">
        <f t="shared" si="0"/>
        <v>0.17100000000000001</v>
      </c>
      <c r="J95" s="253"/>
      <c r="K95" s="253"/>
      <c r="L95" s="253"/>
      <c r="M95" s="302"/>
    </row>
    <row r="96" spans="1:13" x14ac:dyDescent="0.3">
      <c r="B96">
        <v>0.05</v>
      </c>
      <c r="C96">
        <v>17.015000000000001</v>
      </c>
      <c r="D96">
        <v>0.1719</v>
      </c>
      <c r="H96" s="304">
        <f t="shared" si="1"/>
        <v>0.05</v>
      </c>
      <c r="I96" s="288">
        <f t="shared" si="0"/>
        <v>0.1719</v>
      </c>
      <c r="J96" s="253"/>
      <c r="K96" s="253"/>
      <c r="L96" s="253"/>
      <c r="M96" s="302"/>
    </row>
    <row r="97" spans="2:13" x14ac:dyDescent="0.3">
      <c r="B97">
        <v>0.1</v>
      </c>
      <c r="C97">
        <v>34.03</v>
      </c>
      <c r="D97">
        <v>0.17269999999999999</v>
      </c>
      <c r="H97" s="304">
        <f t="shared" si="1"/>
        <v>0.1</v>
      </c>
      <c r="I97" s="288">
        <f t="shared" si="0"/>
        <v>0.17269999999999999</v>
      </c>
      <c r="J97" s="253"/>
      <c r="K97" s="253"/>
      <c r="L97" s="253"/>
      <c r="M97" s="302"/>
    </row>
    <row r="98" spans="2:13" x14ac:dyDescent="0.3">
      <c r="B98">
        <v>0.15</v>
      </c>
      <c r="C98">
        <v>51.045000000000002</v>
      </c>
      <c r="D98">
        <v>0.17319999999999999</v>
      </c>
      <c r="H98" s="304">
        <f t="shared" si="1"/>
        <v>0.15</v>
      </c>
      <c r="I98" s="288">
        <f t="shared" si="0"/>
        <v>0.17319999999999999</v>
      </c>
      <c r="J98" s="253"/>
      <c r="K98" s="253"/>
      <c r="L98" s="253"/>
      <c r="M98" s="302"/>
    </row>
    <row r="99" spans="2:13" x14ac:dyDescent="0.3">
      <c r="B99">
        <v>0.2</v>
      </c>
      <c r="C99">
        <v>68.06</v>
      </c>
      <c r="D99">
        <v>0.1734</v>
      </c>
      <c r="F99" s="10" t="s">
        <v>880</v>
      </c>
      <c r="H99" s="304">
        <f t="shared" si="1"/>
        <v>0.2</v>
      </c>
      <c r="I99" s="288">
        <f t="shared" si="0"/>
        <v>0.1734</v>
      </c>
      <c r="J99" s="253"/>
      <c r="K99" s="253"/>
      <c r="L99" s="253"/>
      <c r="M99" s="302"/>
    </row>
    <row r="100" spans="2:13" x14ac:dyDescent="0.3">
      <c r="B100">
        <v>0.25</v>
      </c>
      <c r="C100">
        <v>85.075000000000003</v>
      </c>
      <c r="D100">
        <v>0.17299999999999999</v>
      </c>
      <c r="H100" s="304">
        <f t="shared" si="1"/>
        <v>0.25</v>
      </c>
      <c r="I100" s="288">
        <f t="shared" si="0"/>
        <v>0.17299999999999999</v>
      </c>
      <c r="J100" s="253"/>
      <c r="K100" s="253"/>
      <c r="L100" s="253"/>
      <c r="M100" s="302"/>
    </row>
    <row r="101" spans="2:13" x14ac:dyDescent="0.3">
      <c r="B101">
        <v>0.3</v>
      </c>
      <c r="C101">
        <v>102.09</v>
      </c>
      <c r="D101">
        <v>0.17180000000000001</v>
      </c>
      <c r="H101" s="304">
        <f t="shared" si="1"/>
        <v>0.3</v>
      </c>
      <c r="I101" s="288">
        <f t="shared" si="0"/>
        <v>0.17180000000000001</v>
      </c>
      <c r="J101" s="253"/>
      <c r="K101" s="253"/>
      <c r="L101" s="253"/>
      <c r="M101" s="302"/>
    </row>
    <row r="102" spans="2:13" x14ac:dyDescent="0.3">
      <c r="B102">
        <v>0.35</v>
      </c>
      <c r="C102">
        <v>119.10499999999999</v>
      </c>
      <c r="D102">
        <v>0.1696</v>
      </c>
      <c r="H102" s="304">
        <f t="shared" si="1"/>
        <v>0.35</v>
      </c>
      <c r="I102" s="288">
        <f t="shared" si="0"/>
        <v>0.1696</v>
      </c>
      <c r="J102" s="253"/>
      <c r="K102" s="253"/>
      <c r="L102" s="253"/>
      <c r="M102" s="302"/>
    </row>
    <row r="103" spans="2:13" x14ac:dyDescent="0.3">
      <c r="B103">
        <v>0.4</v>
      </c>
      <c r="C103">
        <v>136.12</v>
      </c>
      <c r="D103">
        <v>0.1668</v>
      </c>
      <c r="H103" s="304">
        <f t="shared" si="1"/>
        <v>0.4</v>
      </c>
      <c r="I103" s="288">
        <f t="shared" si="0"/>
        <v>0.1668</v>
      </c>
      <c r="J103" s="253"/>
      <c r="K103" s="253"/>
      <c r="L103" s="253"/>
      <c r="M103" s="302"/>
    </row>
    <row r="104" spans="2:13" x14ac:dyDescent="0.3">
      <c r="B104">
        <v>0.45</v>
      </c>
      <c r="C104">
        <v>153.13500000000002</v>
      </c>
      <c r="D104">
        <v>0.16370000000000001</v>
      </c>
      <c r="E104" s="286" t="s">
        <v>882</v>
      </c>
      <c r="H104" s="304">
        <f t="shared" si="1"/>
        <v>0.45</v>
      </c>
      <c r="I104" s="288">
        <f t="shared" si="0"/>
        <v>0.16370000000000001</v>
      </c>
      <c r="J104" s="253"/>
      <c r="K104" s="253"/>
      <c r="L104" s="253"/>
      <c r="M104" s="302"/>
    </row>
    <row r="105" spans="2:13" x14ac:dyDescent="0.3">
      <c r="B105">
        <v>0.5</v>
      </c>
      <c r="C105">
        <v>170.15</v>
      </c>
      <c r="D105">
        <v>0.1603</v>
      </c>
      <c r="H105" s="304">
        <f t="shared" si="1"/>
        <v>0.5</v>
      </c>
      <c r="I105" s="288">
        <f t="shared" si="0"/>
        <v>0.1603</v>
      </c>
      <c r="J105" s="253"/>
      <c r="K105" s="253"/>
      <c r="L105" s="253"/>
      <c r="M105" s="302"/>
    </row>
    <row r="106" spans="2:13" ht="16.5" thickBot="1" x14ac:dyDescent="0.35">
      <c r="B106">
        <v>0.55000000000000004</v>
      </c>
      <c r="C106">
        <v>187.16500000000002</v>
      </c>
      <c r="D106">
        <v>0.15659999999999999</v>
      </c>
      <c r="H106" s="304">
        <f t="shared" si="1"/>
        <v>0.55000000000000004</v>
      </c>
      <c r="I106" s="288">
        <f t="shared" si="0"/>
        <v>0.15659999999999999</v>
      </c>
      <c r="J106" s="253"/>
      <c r="K106" s="253"/>
      <c r="L106" s="253"/>
      <c r="M106" s="302"/>
    </row>
    <row r="107" spans="2:13" x14ac:dyDescent="0.3">
      <c r="B107">
        <v>0.6</v>
      </c>
      <c r="C107">
        <v>204.18</v>
      </c>
      <c r="D107">
        <v>0.15290000000000001</v>
      </c>
      <c r="E107" s="318">
        <v>740</v>
      </c>
      <c r="F107" s="319" t="s">
        <v>883</v>
      </c>
      <c r="H107" s="304">
        <f t="shared" si="1"/>
        <v>0.6</v>
      </c>
      <c r="I107" s="288">
        <f t="shared" si="0"/>
        <v>0.15290000000000001</v>
      </c>
      <c r="J107" s="253"/>
      <c r="K107" s="253"/>
      <c r="L107" s="253"/>
      <c r="M107" s="302"/>
    </row>
    <row r="108" spans="2:13" x14ac:dyDescent="0.3">
      <c r="B108">
        <v>0.65</v>
      </c>
      <c r="C108">
        <v>221.19500000000002</v>
      </c>
      <c r="D108">
        <v>0.1497</v>
      </c>
      <c r="E108" s="320">
        <v>700</v>
      </c>
      <c r="F108" s="283" t="s">
        <v>49</v>
      </c>
      <c r="H108" s="304">
        <f t="shared" si="1"/>
        <v>0.65</v>
      </c>
      <c r="I108" s="288">
        <f t="shared" si="0"/>
        <v>0.1497</v>
      </c>
      <c r="J108" s="253"/>
      <c r="K108" s="253"/>
      <c r="L108" s="253"/>
      <c r="M108" s="302"/>
    </row>
    <row r="109" spans="2:13" ht="16.5" thickBot="1" x14ac:dyDescent="0.35">
      <c r="B109">
        <v>0.7</v>
      </c>
      <c r="C109">
        <v>238.20999999999998</v>
      </c>
      <c r="D109">
        <v>0.14729999999999999</v>
      </c>
      <c r="E109" s="322">
        <v>0.5</v>
      </c>
      <c r="F109" s="284" t="s">
        <v>40</v>
      </c>
      <c r="H109" s="304">
        <f t="shared" si="1"/>
        <v>0.7</v>
      </c>
      <c r="I109" s="288">
        <f t="shared" si="0"/>
        <v>0.14729999999999999</v>
      </c>
      <c r="J109" s="253"/>
      <c r="K109" s="253"/>
      <c r="L109" s="253"/>
      <c r="M109" s="302"/>
    </row>
    <row r="110" spans="2:13" x14ac:dyDescent="0.3">
      <c r="B110">
        <v>0.72499999999999998</v>
      </c>
      <c r="C110">
        <v>246.7175</v>
      </c>
      <c r="D110">
        <v>0.14365000000000014</v>
      </c>
      <c r="E110" s="315"/>
      <c r="F110" s="319"/>
      <c r="H110" s="304">
        <f t="shared" si="1"/>
        <v>0.72499999999999998</v>
      </c>
      <c r="I110" s="288">
        <f t="shared" si="0"/>
        <v>0.14365000000000014</v>
      </c>
      <c r="J110" s="253"/>
      <c r="K110" s="253"/>
      <c r="L110" s="253"/>
      <c r="M110" s="302"/>
    </row>
    <row r="111" spans="2:13" x14ac:dyDescent="0.3">
      <c r="B111">
        <v>0.75</v>
      </c>
      <c r="C111">
        <v>255.22500000000002</v>
      </c>
      <c r="D111">
        <v>0.14630000000000001</v>
      </c>
      <c r="E111" s="321" t="s">
        <v>881</v>
      </c>
      <c r="F111" s="314"/>
      <c r="H111" s="304">
        <f t="shared" si="1"/>
        <v>0.75</v>
      </c>
      <c r="I111" s="288">
        <f t="shared" si="0"/>
        <v>0.14630000000000001</v>
      </c>
      <c r="J111" s="253"/>
      <c r="K111" s="253"/>
      <c r="L111" s="253"/>
      <c r="M111" s="302"/>
    </row>
    <row r="112" spans="2:13" x14ac:dyDescent="0.3">
      <c r="B112">
        <v>0.77500000000000002</v>
      </c>
      <c r="C112">
        <v>263.73250000000002</v>
      </c>
      <c r="D112">
        <v>0.14695341796875003</v>
      </c>
      <c r="E112" s="285">
        <f>_xll.BfX_D(E107,E108,E109,"G5")</f>
        <v>5.7160968342537188</v>
      </c>
      <c r="F112" s="314" t="str">
        <f ca="1">_xll.BfX_Cell(E112)</f>
        <v>=BfX_D(E107;E108;E109;"G5")</v>
      </c>
      <c r="H112" s="304">
        <f t="shared" si="1"/>
        <v>0.77500000000000002</v>
      </c>
      <c r="I112" s="288">
        <f t="shared" si="0"/>
        <v>0.14695341796875003</v>
      </c>
      <c r="J112" s="253"/>
      <c r="K112" s="253"/>
      <c r="L112" s="253"/>
      <c r="M112" s="302"/>
    </row>
    <row r="113" spans="2:13" x14ac:dyDescent="0.3">
      <c r="B113">
        <v>0.8</v>
      </c>
      <c r="C113">
        <v>272.24</v>
      </c>
      <c r="D113">
        <v>0.1489</v>
      </c>
      <c r="E113" s="285"/>
      <c r="F113" s="314"/>
      <c r="H113" s="304">
        <f t="shared" si="1"/>
        <v>0.8</v>
      </c>
      <c r="I113" s="288">
        <f t="shared" si="0"/>
        <v>0.1489</v>
      </c>
      <c r="J113" s="253"/>
      <c r="K113" s="253"/>
      <c r="L113" s="253"/>
      <c r="M113" s="302"/>
    </row>
    <row r="114" spans="2:13" ht="16.5" thickBot="1" x14ac:dyDescent="0.35">
      <c r="B114">
        <v>0.82499999999999996</v>
      </c>
      <c r="C114">
        <v>280.7475</v>
      </c>
      <c r="D114">
        <v>0.15247968749999996</v>
      </c>
      <c r="E114" s="316">
        <f>_xll.BfX_D(E107,E108,E109,H91:M181)</f>
        <v>5.7175137200699329</v>
      </c>
      <c r="F114" s="323" t="str">
        <f ca="1">_xll.BfX_Cell(E114)</f>
        <v>=BfX_D(E107;E108;E109;H91:M181)</v>
      </c>
      <c r="H114" s="304">
        <f t="shared" si="1"/>
        <v>0.82499999999999996</v>
      </c>
      <c r="I114" s="288">
        <f t="shared" si="0"/>
        <v>0.15247968749999996</v>
      </c>
      <c r="J114" s="253"/>
      <c r="K114" s="253"/>
      <c r="L114" s="253"/>
      <c r="M114" s="302"/>
    </row>
    <row r="115" spans="2:13" x14ac:dyDescent="0.3">
      <c r="B115">
        <v>0.85</v>
      </c>
      <c r="C115">
        <v>289.255</v>
      </c>
      <c r="D115">
        <v>0.1583</v>
      </c>
      <c r="E115" s="320"/>
      <c r="F115" s="314"/>
      <c r="H115" s="304">
        <f t="shared" si="1"/>
        <v>0.85</v>
      </c>
      <c r="I115" s="288">
        <f t="shared" si="0"/>
        <v>0.1583</v>
      </c>
      <c r="J115" s="253"/>
      <c r="K115" s="253"/>
      <c r="L115" s="253"/>
      <c r="M115" s="302"/>
    </row>
    <row r="116" spans="2:13" x14ac:dyDescent="0.3">
      <c r="B116">
        <v>0.875</v>
      </c>
      <c r="C116">
        <v>297.76249999999999</v>
      </c>
      <c r="D116">
        <v>0.16719999999999999</v>
      </c>
      <c r="E116" s="321" t="s">
        <v>884</v>
      </c>
      <c r="F116" s="314"/>
      <c r="H116" s="304">
        <f t="shared" si="1"/>
        <v>0.875</v>
      </c>
      <c r="I116" s="288">
        <f t="shared" si="0"/>
        <v>0.16719999999999999</v>
      </c>
      <c r="J116" s="253"/>
      <c r="K116" s="253"/>
      <c r="L116" s="253"/>
      <c r="M116" s="302"/>
    </row>
    <row r="117" spans="2:13" x14ac:dyDescent="0.3">
      <c r="B117">
        <v>0.9</v>
      </c>
      <c r="C117">
        <v>306.27000000000004</v>
      </c>
      <c r="D117">
        <v>0.18149999999999999</v>
      </c>
      <c r="E117" s="320"/>
      <c r="F117" s="314"/>
      <c r="H117" s="304">
        <f t="shared" si="1"/>
        <v>0.9</v>
      </c>
      <c r="I117" s="288">
        <f t="shared" si="0"/>
        <v>0.18149999999999999</v>
      </c>
      <c r="J117" s="253"/>
      <c r="K117" s="253"/>
      <c r="L117" s="253"/>
      <c r="M117" s="302"/>
    </row>
    <row r="118" spans="2:13" x14ac:dyDescent="0.3">
      <c r="B118">
        <v>0.92500000000000004</v>
      </c>
      <c r="C118">
        <v>314.77750000000003</v>
      </c>
      <c r="D118">
        <v>0.2051</v>
      </c>
      <c r="E118" s="320">
        <f>_xll.BfX_Vx(E107,E108,E109,"G5")</f>
        <v>500.45902010031028</v>
      </c>
      <c r="F118" s="314" t="str">
        <f ca="1">_xll.BfX_Cell(E118)</f>
        <v>=BfX_Vx(E107;E108;E109;"G5")</v>
      </c>
      <c r="H118" s="304">
        <f t="shared" si="1"/>
        <v>0.92500000000000004</v>
      </c>
      <c r="I118" s="288">
        <f t="shared" si="0"/>
        <v>0.2051</v>
      </c>
      <c r="J118" s="253"/>
      <c r="K118" s="253"/>
      <c r="L118" s="253"/>
      <c r="M118" s="302"/>
    </row>
    <row r="119" spans="2:13" x14ac:dyDescent="0.3">
      <c r="B119">
        <v>0.95</v>
      </c>
      <c r="C119">
        <v>323.28499999999997</v>
      </c>
      <c r="D119">
        <v>0.24129999999999999</v>
      </c>
      <c r="E119" s="320"/>
      <c r="F119" s="314"/>
      <c r="H119" s="304">
        <f t="shared" si="1"/>
        <v>0.95</v>
      </c>
      <c r="I119" s="288">
        <f t="shared" si="0"/>
        <v>0.24129999999999999</v>
      </c>
      <c r="J119" s="253"/>
      <c r="K119" s="253"/>
      <c r="L119" s="253"/>
      <c r="M119" s="302"/>
    </row>
    <row r="120" spans="2:13" ht="16.5" thickBot="1" x14ac:dyDescent="0.35">
      <c r="B120">
        <v>0.97499999999999998</v>
      </c>
      <c r="C120">
        <v>331.79250000000002</v>
      </c>
      <c r="D120">
        <v>0.28839999999999999</v>
      </c>
      <c r="E120" s="322">
        <f>_xll.BfX_Vx(E107,E108,E109,H91:M181)</f>
        <v>500.46061371206156</v>
      </c>
      <c r="F120" s="323" t="str">
        <f ca="1">_xll.BfX_Cell(E120)</f>
        <v>=BfX_Vx(E107;E108;E109;H91:M181)</v>
      </c>
      <c r="H120" s="304">
        <f t="shared" si="1"/>
        <v>0.97499999999999998</v>
      </c>
      <c r="I120" s="288">
        <f t="shared" si="0"/>
        <v>0.28839999999999999</v>
      </c>
      <c r="J120" s="253"/>
      <c r="K120" s="253"/>
      <c r="L120" s="253"/>
      <c r="M120" s="302"/>
    </row>
    <row r="121" spans="2:13" x14ac:dyDescent="0.3">
      <c r="B121">
        <v>1</v>
      </c>
      <c r="C121">
        <v>340.3</v>
      </c>
      <c r="D121">
        <v>0.33789999999999998</v>
      </c>
      <c r="H121" s="304">
        <f t="shared" si="1"/>
        <v>1</v>
      </c>
      <c r="I121" s="288">
        <f t="shared" si="0"/>
        <v>0.33789999999999998</v>
      </c>
      <c r="J121" s="253"/>
      <c r="K121" s="253"/>
      <c r="L121" s="253"/>
      <c r="M121" s="302"/>
    </row>
    <row r="122" spans="2:13" x14ac:dyDescent="0.3">
      <c r="B122">
        <v>1.0249999999999999</v>
      </c>
      <c r="C122">
        <v>348.8075</v>
      </c>
      <c r="D122">
        <v>0.3785</v>
      </c>
      <c r="H122" s="304">
        <f t="shared" si="1"/>
        <v>1.0249999999999999</v>
      </c>
      <c r="I122" s="288">
        <f t="shared" si="0"/>
        <v>0.3785</v>
      </c>
      <c r="J122" s="253"/>
      <c r="K122" s="253"/>
      <c r="L122" s="253"/>
      <c r="M122" s="302"/>
    </row>
    <row r="123" spans="2:13" x14ac:dyDescent="0.3">
      <c r="B123">
        <v>1.05</v>
      </c>
      <c r="C123">
        <v>357.31500000000005</v>
      </c>
      <c r="D123">
        <v>0.4032</v>
      </c>
      <c r="H123" s="304">
        <f t="shared" si="1"/>
        <v>1.05</v>
      </c>
      <c r="I123" s="288">
        <f t="shared" si="0"/>
        <v>0.4032</v>
      </c>
      <c r="J123" s="253"/>
      <c r="K123" s="253"/>
      <c r="L123" s="253"/>
      <c r="M123" s="302"/>
    </row>
    <row r="124" spans="2:13" x14ac:dyDescent="0.3">
      <c r="B124">
        <v>1.075</v>
      </c>
      <c r="C124">
        <v>365.82249999999999</v>
      </c>
      <c r="D124">
        <v>0.41470000000000001</v>
      </c>
      <c r="H124" s="304">
        <f t="shared" si="1"/>
        <v>1.075</v>
      </c>
      <c r="I124" s="288">
        <f t="shared" si="0"/>
        <v>0.41470000000000001</v>
      </c>
      <c r="J124" s="253"/>
      <c r="K124" s="253"/>
      <c r="L124" s="253"/>
      <c r="M124" s="302"/>
    </row>
    <row r="125" spans="2:13" x14ac:dyDescent="0.3">
      <c r="B125">
        <v>1.1000000000000001</v>
      </c>
      <c r="C125">
        <v>374.33000000000004</v>
      </c>
      <c r="D125">
        <v>0.42009999999999997</v>
      </c>
      <c r="H125" s="304">
        <f t="shared" si="1"/>
        <v>1.1000000000000001</v>
      </c>
      <c r="I125" s="288">
        <f t="shared" si="0"/>
        <v>0.42009999999999997</v>
      </c>
      <c r="J125" s="253"/>
      <c r="K125" s="253"/>
      <c r="L125" s="253"/>
      <c r="M125" s="302"/>
    </row>
    <row r="126" spans="2:13" x14ac:dyDescent="0.3">
      <c r="B126">
        <v>1.125</v>
      </c>
      <c r="C126">
        <v>382.83750000000003</v>
      </c>
      <c r="D126">
        <v>0.4240165877525251</v>
      </c>
      <c r="H126" s="304">
        <f t="shared" si="1"/>
        <v>1.125</v>
      </c>
      <c r="I126" s="288">
        <f t="shared" ref="I126:I157" si="2">D126</f>
        <v>0.4240165877525251</v>
      </c>
      <c r="J126" s="253"/>
      <c r="K126" s="253"/>
      <c r="L126" s="253"/>
      <c r="M126" s="302"/>
    </row>
    <row r="127" spans="2:13" x14ac:dyDescent="0.3">
      <c r="B127">
        <v>1.1499999999999999</v>
      </c>
      <c r="C127">
        <v>391.34499999999997</v>
      </c>
      <c r="D127">
        <v>0.42780000000000001</v>
      </c>
      <c r="H127" s="304">
        <f t="shared" ref="H127:H158" si="3">B127</f>
        <v>1.1499999999999999</v>
      </c>
      <c r="I127" s="288">
        <f t="shared" si="2"/>
        <v>0.42780000000000001</v>
      </c>
      <c r="J127" s="253"/>
      <c r="K127" s="253"/>
      <c r="L127" s="253"/>
      <c r="M127" s="302"/>
    </row>
    <row r="128" spans="2:13" x14ac:dyDescent="0.3">
      <c r="B128">
        <v>1.175</v>
      </c>
      <c r="C128">
        <v>399.85250000000002</v>
      </c>
      <c r="D128">
        <v>0.43124026442307706</v>
      </c>
      <c r="H128" s="304">
        <f t="shared" si="3"/>
        <v>1.175</v>
      </c>
      <c r="I128" s="288">
        <f t="shared" si="2"/>
        <v>0.43124026442307706</v>
      </c>
      <c r="J128" s="253"/>
      <c r="K128" s="253"/>
      <c r="L128" s="253"/>
      <c r="M128" s="302"/>
    </row>
    <row r="129" spans="2:13" x14ac:dyDescent="0.3">
      <c r="B129">
        <v>1.2</v>
      </c>
      <c r="C129">
        <v>408.36</v>
      </c>
      <c r="D129">
        <v>0.43380000000000002</v>
      </c>
      <c r="H129" s="304">
        <f t="shared" si="3"/>
        <v>1.2</v>
      </c>
      <c r="I129" s="288">
        <f t="shared" si="2"/>
        <v>0.43380000000000002</v>
      </c>
      <c r="J129" s="253"/>
      <c r="K129" s="253"/>
      <c r="L129" s="253"/>
      <c r="M129" s="302"/>
    </row>
    <row r="130" spans="2:13" x14ac:dyDescent="0.3">
      <c r="B130">
        <v>1.2250000000000001</v>
      </c>
      <c r="C130">
        <v>416.86750000000006</v>
      </c>
      <c r="D130">
        <v>0.4358198155685461</v>
      </c>
      <c r="H130" s="304">
        <f t="shared" si="3"/>
        <v>1.2250000000000001</v>
      </c>
      <c r="I130" s="288">
        <f t="shared" si="2"/>
        <v>0.4358198155685461</v>
      </c>
      <c r="J130" s="253"/>
      <c r="K130" s="253"/>
      <c r="L130" s="253"/>
      <c r="M130" s="302"/>
    </row>
    <row r="131" spans="2:13" x14ac:dyDescent="0.3">
      <c r="B131">
        <v>1.25</v>
      </c>
      <c r="C131">
        <v>425.375</v>
      </c>
      <c r="D131">
        <v>0.43730000000000002</v>
      </c>
      <c r="H131" s="304">
        <f t="shared" si="3"/>
        <v>1.25</v>
      </c>
      <c r="I131" s="288">
        <f t="shared" si="2"/>
        <v>0.43730000000000002</v>
      </c>
      <c r="J131" s="253"/>
      <c r="K131" s="253"/>
      <c r="L131" s="253"/>
      <c r="M131" s="302"/>
    </row>
    <row r="132" spans="2:13" x14ac:dyDescent="0.3">
      <c r="B132">
        <v>1.3</v>
      </c>
      <c r="C132">
        <v>442.39000000000004</v>
      </c>
      <c r="D132">
        <v>0.43919999999999998</v>
      </c>
      <c r="H132" s="304">
        <f t="shared" si="3"/>
        <v>1.3</v>
      </c>
      <c r="I132" s="288">
        <f t="shared" si="2"/>
        <v>0.43919999999999998</v>
      </c>
      <c r="J132" s="253"/>
      <c r="K132" s="253"/>
      <c r="L132" s="253"/>
      <c r="M132" s="302"/>
    </row>
    <row r="133" spans="2:13" x14ac:dyDescent="0.3">
      <c r="B133">
        <v>1.35</v>
      </c>
      <c r="C133">
        <v>459.40500000000003</v>
      </c>
      <c r="D133">
        <v>0.44030000000000002</v>
      </c>
      <c r="H133" s="304">
        <f t="shared" si="3"/>
        <v>1.35</v>
      </c>
      <c r="I133" s="288">
        <f t="shared" si="2"/>
        <v>0.44030000000000002</v>
      </c>
      <c r="J133" s="253"/>
      <c r="K133" s="253"/>
      <c r="L133" s="253"/>
      <c r="M133" s="302"/>
    </row>
    <row r="134" spans="2:13" x14ac:dyDescent="0.3">
      <c r="B134">
        <v>1.4</v>
      </c>
      <c r="C134">
        <v>476.41999999999996</v>
      </c>
      <c r="D134">
        <v>0.44059999999999999</v>
      </c>
      <c r="H134" s="304">
        <f t="shared" si="3"/>
        <v>1.4</v>
      </c>
      <c r="I134" s="288">
        <f t="shared" si="2"/>
        <v>0.44059999999999999</v>
      </c>
      <c r="J134" s="253"/>
      <c r="K134" s="253"/>
      <c r="L134" s="253"/>
      <c r="M134" s="302"/>
    </row>
    <row r="135" spans="2:13" x14ac:dyDescent="0.3">
      <c r="B135">
        <v>1.45</v>
      </c>
      <c r="C135">
        <v>493.435</v>
      </c>
      <c r="D135">
        <v>0.44009999999999999</v>
      </c>
      <c r="H135" s="304">
        <f t="shared" si="3"/>
        <v>1.45</v>
      </c>
      <c r="I135" s="288">
        <f t="shared" si="2"/>
        <v>0.44009999999999999</v>
      </c>
      <c r="J135" s="253"/>
      <c r="K135" s="253"/>
      <c r="L135" s="253"/>
      <c r="M135" s="302"/>
    </row>
    <row r="136" spans="2:13" x14ac:dyDescent="0.3">
      <c r="B136">
        <v>1.5</v>
      </c>
      <c r="C136">
        <v>510.45000000000005</v>
      </c>
      <c r="D136">
        <v>0.43859999999999999</v>
      </c>
      <c r="H136" s="304">
        <f t="shared" si="3"/>
        <v>1.5</v>
      </c>
      <c r="I136" s="288">
        <f t="shared" si="2"/>
        <v>0.43859999999999999</v>
      </c>
      <c r="J136" s="253"/>
      <c r="K136" s="253"/>
      <c r="L136" s="253"/>
      <c r="M136" s="302"/>
    </row>
    <row r="137" spans="2:13" x14ac:dyDescent="0.3">
      <c r="B137">
        <v>1.55</v>
      </c>
      <c r="C137">
        <v>527.46500000000003</v>
      </c>
      <c r="D137">
        <v>0.43619999999999998</v>
      </c>
      <c r="H137" s="304">
        <f t="shared" si="3"/>
        <v>1.55</v>
      </c>
      <c r="I137" s="288">
        <f t="shared" si="2"/>
        <v>0.43619999999999998</v>
      </c>
      <c r="J137" s="253"/>
      <c r="K137" s="253"/>
      <c r="L137" s="253"/>
      <c r="M137" s="302"/>
    </row>
    <row r="138" spans="2:13" x14ac:dyDescent="0.3">
      <c r="B138">
        <v>1.6</v>
      </c>
      <c r="C138">
        <v>544.48</v>
      </c>
      <c r="D138">
        <v>0.43280000000000002</v>
      </c>
      <c r="H138" s="304">
        <f t="shared" si="3"/>
        <v>1.6</v>
      </c>
      <c r="I138" s="288">
        <f t="shared" si="2"/>
        <v>0.43280000000000002</v>
      </c>
      <c r="J138" s="253"/>
      <c r="K138" s="253"/>
      <c r="L138" s="253"/>
      <c r="M138" s="302"/>
    </row>
    <row r="139" spans="2:13" x14ac:dyDescent="0.3">
      <c r="B139">
        <v>1.65</v>
      </c>
      <c r="C139">
        <v>561.495</v>
      </c>
      <c r="D139">
        <v>0.42859999999999998</v>
      </c>
      <c r="H139" s="304">
        <f t="shared" si="3"/>
        <v>1.65</v>
      </c>
      <c r="I139" s="288">
        <f t="shared" si="2"/>
        <v>0.42859999999999998</v>
      </c>
      <c r="J139" s="253"/>
      <c r="K139" s="253"/>
      <c r="L139" s="253"/>
      <c r="M139" s="302"/>
    </row>
    <row r="140" spans="2:13" x14ac:dyDescent="0.3">
      <c r="B140">
        <v>1.7</v>
      </c>
      <c r="C140">
        <v>578.51</v>
      </c>
      <c r="D140">
        <v>0.42370000000000002</v>
      </c>
      <c r="H140" s="304">
        <f t="shared" si="3"/>
        <v>1.7</v>
      </c>
      <c r="I140" s="288">
        <f t="shared" si="2"/>
        <v>0.42370000000000002</v>
      </c>
      <c r="J140" s="253"/>
      <c r="K140" s="253"/>
      <c r="L140" s="253"/>
      <c r="M140" s="302"/>
    </row>
    <row r="141" spans="2:13" x14ac:dyDescent="0.3">
      <c r="B141">
        <v>1.75</v>
      </c>
      <c r="C141">
        <v>595.52499999999998</v>
      </c>
      <c r="D141">
        <v>0.41820000000000002</v>
      </c>
      <c r="H141" s="304">
        <f t="shared" si="3"/>
        <v>1.75</v>
      </c>
      <c r="I141" s="288">
        <f t="shared" si="2"/>
        <v>0.41820000000000002</v>
      </c>
      <c r="J141" s="253"/>
      <c r="K141" s="253"/>
      <c r="L141" s="253"/>
      <c r="M141" s="302"/>
    </row>
    <row r="142" spans="2:13" x14ac:dyDescent="0.3">
      <c r="B142">
        <v>1.8</v>
      </c>
      <c r="C142">
        <v>612.54000000000008</v>
      </c>
      <c r="D142">
        <v>0.41210000000000002</v>
      </c>
      <c r="H142" s="304">
        <f t="shared" si="3"/>
        <v>1.8</v>
      </c>
      <c r="I142" s="288">
        <f t="shared" si="2"/>
        <v>0.41210000000000002</v>
      </c>
      <c r="J142" s="253"/>
      <c r="K142" s="253"/>
      <c r="L142" s="253"/>
      <c r="M142" s="302"/>
    </row>
    <row r="143" spans="2:13" x14ac:dyDescent="0.3">
      <c r="B143">
        <v>1.85</v>
      </c>
      <c r="C143">
        <v>629.55500000000006</v>
      </c>
      <c r="D143">
        <v>0.40570000000000001</v>
      </c>
      <c r="H143" s="304">
        <f t="shared" si="3"/>
        <v>1.85</v>
      </c>
      <c r="I143" s="288">
        <f t="shared" si="2"/>
        <v>0.40570000000000001</v>
      </c>
      <c r="J143" s="253"/>
      <c r="K143" s="253"/>
      <c r="L143" s="253"/>
      <c r="M143" s="302"/>
    </row>
    <row r="144" spans="2:13" x14ac:dyDescent="0.3">
      <c r="B144">
        <v>1.9</v>
      </c>
      <c r="C144">
        <v>646.56999999999994</v>
      </c>
      <c r="D144">
        <v>0.39910000000000001</v>
      </c>
      <c r="H144" s="304">
        <f t="shared" si="3"/>
        <v>1.9</v>
      </c>
      <c r="I144" s="288">
        <f t="shared" si="2"/>
        <v>0.39910000000000001</v>
      </c>
      <c r="J144" s="253"/>
      <c r="K144" s="253"/>
      <c r="L144" s="253"/>
      <c r="M144" s="302"/>
    </row>
    <row r="145" spans="2:13" x14ac:dyDescent="0.3">
      <c r="B145">
        <v>1.95</v>
      </c>
      <c r="C145">
        <v>663.58500000000004</v>
      </c>
      <c r="D145">
        <v>0.3926</v>
      </c>
      <c r="H145" s="304">
        <f t="shared" si="3"/>
        <v>1.95</v>
      </c>
      <c r="I145" s="288">
        <f t="shared" si="2"/>
        <v>0.3926</v>
      </c>
      <c r="J145" s="253"/>
      <c r="K145" s="253"/>
      <c r="L145" s="253"/>
      <c r="M145" s="302"/>
    </row>
    <row r="146" spans="2:13" x14ac:dyDescent="0.3">
      <c r="B146">
        <v>2</v>
      </c>
      <c r="C146">
        <v>680.6</v>
      </c>
      <c r="D146">
        <v>0.3861</v>
      </c>
      <c r="H146" s="304">
        <f t="shared" si="3"/>
        <v>2</v>
      </c>
      <c r="I146" s="288">
        <f t="shared" si="2"/>
        <v>0.3861</v>
      </c>
      <c r="J146" s="253"/>
      <c r="K146" s="253"/>
      <c r="L146" s="253"/>
      <c r="M146" s="302"/>
    </row>
    <row r="147" spans="2:13" x14ac:dyDescent="0.3">
      <c r="B147">
        <v>2.0499999999999998</v>
      </c>
      <c r="C147">
        <v>697.61500000000001</v>
      </c>
      <c r="D147">
        <v>0.38</v>
      </c>
      <c r="H147" s="304">
        <f t="shared" si="3"/>
        <v>2.0499999999999998</v>
      </c>
      <c r="I147" s="288">
        <f t="shared" si="2"/>
        <v>0.38</v>
      </c>
      <c r="J147" s="253"/>
      <c r="K147" s="253"/>
      <c r="L147" s="253"/>
      <c r="M147" s="302"/>
    </row>
    <row r="148" spans="2:13" x14ac:dyDescent="0.3">
      <c r="B148">
        <v>2.1</v>
      </c>
      <c r="C148">
        <v>714.63000000000011</v>
      </c>
      <c r="D148">
        <v>0.37409999999999999</v>
      </c>
      <c r="H148" s="304">
        <f t="shared" si="3"/>
        <v>2.1</v>
      </c>
      <c r="I148" s="288">
        <f t="shared" si="2"/>
        <v>0.37409999999999999</v>
      </c>
      <c r="J148" s="253"/>
      <c r="K148" s="253"/>
      <c r="L148" s="253"/>
      <c r="M148" s="302"/>
    </row>
    <row r="149" spans="2:13" x14ac:dyDescent="0.3">
      <c r="B149">
        <v>2.15</v>
      </c>
      <c r="C149">
        <v>731.64499999999998</v>
      </c>
      <c r="D149">
        <v>0.36840000000000001</v>
      </c>
      <c r="H149" s="304">
        <f t="shared" si="3"/>
        <v>2.15</v>
      </c>
      <c r="I149" s="288">
        <f t="shared" si="2"/>
        <v>0.36840000000000001</v>
      </c>
      <c r="J149" s="253"/>
      <c r="K149" s="253"/>
      <c r="L149" s="253"/>
      <c r="M149" s="302"/>
    </row>
    <row r="150" spans="2:13" x14ac:dyDescent="0.3">
      <c r="B150">
        <v>2.2000000000000002</v>
      </c>
      <c r="C150">
        <v>748.66000000000008</v>
      </c>
      <c r="D150">
        <v>0.36299999999999999</v>
      </c>
      <c r="H150" s="304">
        <f t="shared" si="3"/>
        <v>2.2000000000000002</v>
      </c>
      <c r="I150" s="288">
        <f t="shared" si="2"/>
        <v>0.36299999999999999</v>
      </c>
      <c r="J150" s="253"/>
      <c r="K150" s="253"/>
      <c r="L150" s="253"/>
      <c r="M150" s="302"/>
    </row>
    <row r="151" spans="2:13" x14ac:dyDescent="0.3">
      <c r="B151">
        <v>2.25</v>
      </c>
      <c r="C151">
        <v>765.67500000000007</v>
      </c>
      <c r="D151">
        <v>0.35780000000000001</v>
      </c>
      <c r="H151" s="304">
        <f t="shared" si="3"/>
        <v>2.25</v>
      </c>
      <c r="I151" s="288">
        <f t="shared" si="2"/>
        <v>0.35780000000000001</v>
      </c>
      <c r="J151" s="253"/>
      <c r="K151" s="253"/>
      <c r="L151" s="253"/>
      <c r="M151" s="302"/>
    </row>
    <row r="152" spans="2:13" x14ac:dyDescent="0.3">
      <c r="B152">
        <v>2.2999999999999998</v>
      </c>
      <c r="C152">
        <v>782.68999999999994</v>
      </c>
      <c r="D152">
        <v>0.35289999999999999</v>
      </c>
      <c r="H152" s="304">
        <f t="shared" si="3"/>
        <v>2.2999999999999998</v>
      </c>
      <c r="I152" s="288">
        <f t="shared" si="2"/>
        <v>0.35289999999999999</v>
      </c>
      <c r="J152" s="253"/>
      <c r="K152" s="253"/>
      <c r="L152" s="253"/>
      <c r="M152" s="302"/>
    </row>
    <row r="153" spans="2:13" x14ac:dyDescent="0.3">
      <c r="B153">
        <v>2.35</v>
      </c>
      <c r="C153">
        <v>799.70500000000004</v>
      </c>
      <c r="D153">
        <v>0.34810000000000002</v>
      </c>
      <c r="H153" s="304">
        <f t="shared" si="3"/>
        <v>2.35</v>
      </c>
      <c r="I153" s="288">
        <f t="shared" si="2"/>
        <v>0.34810000000000002</v>
      </c>
      <c r="J153" s="253"/>
      <c r="K153" s="253"/>
      <c r="L153" s="253"/>
      <c r="M153" s="302"/>
    </row>
    <row r="154" spans="2:13" x14ac:dyDescent="0.3">
      <c r="B154">
        <v>2.4</v>
      </c>
      <c r="C154">
        <v>816.72</v>
      </c>
      <c r="D154">
        <v>0.34350000000000003</v>
      </c>
      <c r="H154" s="304">
        <f t="shared" si="3"/>
        <v>2.4</v>
      </c>
      <c r="I154" s="288">
        <f t="shared" si="2"/>
        <v>0.34350000000000003</v>
      </c>
      <c r="J154" s="253"/>
      <c r="K154" s="253"/>
      <c r="L154" s="253"/>
      <c r="M154" s="302"/>
    </row>
    <row r="155" spans="2:13" x14ac:dyDescent="0.3">
      <c r="B155">
        <v>2.4500000000000002</v>
      </c>
      <c r="C155">
        <v>833.73500000000013</v>
      </c>
      <c r="D155">
        <v>0.33910000000000001</v>
      </c>
      <c r="H155" s="304">
        <f t="shared" si="3"/>
        <v>2.4500000000000002</v>
      </c>
      <c r="I155" s="288">
        <f t="shared" si="2"/>
        <v>0.33910000000000001</v>
      </c>
      <c r="J155" s="253"/>
      <c r="K155" s="253"/>
      <c r="L155" s="253"/>
      <c r="M155" s="302"/>
    </row>
    <row r="156" spans="2:13" x14ac:dyDescent="0.3">
      <c r="B156">
        <v>2.5</v>
      </c>
      <c r="C156">
        <v>850.75</v>
      </c>
      <c r="D156">
        <v>0.33489999999999998</v>
      </c>
      <c r="H156" s="304">
        <f t="shared" si="3"/>
        <v>2.5</v>
      </c>
      <c r="I156" s="288">
        <f t="shared" si="2"/>
        <v>0.33489999999999998</v>
      </c>
      <c r="J156" s="253"/>
      <c r="K156" s="253"/>
      <c r="L156" s="253"/>
      <c r="M156" s="302"/>
    </row>
    <row r="157" spans="2:13" x14ac:dyDescent="0.3">
      <c r="B157">
        <v>2.5499999999999998</v>
      </c>
      <c r="C157">
        <v>867.76499999999999</v>
      </c>
      <c r="D157">
        <v>0.33090000000000031</v>
      </c>
      <c r="H157" s="304">
        <f t="shared" si="3"/>
        <v>2.5499999999999998</v>
      </c>
      <c r="I157" s="288">
        <f t="shared" si="2"/>
        <v>0.33090000000000031</v>
      </c>
      <c r="J157" s="253"/>
      <c r="K157" s="253"/>
      <c r="L157" s="253"/>
      <c r="M157" s="302"/>
    </row>
    <row r="158" spans="2:13" x14ac:dyDescent="0.3">
      <c r="B158">
        <v>2.6</v>
      </c>
      <c r="C158">
        <v>884.78000000000009</v>
      </c>
      <c r="D158">
        <v>0.32690000000000002</v>
      </c>
      <c r="H158" s="304">
        <f t="shared" si="3"/>
        <v>2.6</v>
      </c>
      <c r="I158" s="288">
        <f t="shared" ref="I158:I181" si="4">D158</f>
        <v>0.32690000000000002</v>
      </c>
      <c r="J158" s="253"/>
      <c r="K158" s="253"/>
      <c r="L158" s="253"/>
      <c r="M158" s="302"/>
    </row>
    <row r="159" spans="2:13" x14ac:dyDescent="0.3">
      <c r="B159">
        <v>2.65</v>
      </c>
      <c r="C159">
        <v>901.79499999999996</v>
      </c>
      <c r="D159">
        <v>0.32349999999999846</v>
      </c>
      <c r="H159" s="304">
        <f t="shared" ref="H159:H181" si="5">B159</f>
        <v>2.65</v>
      </c>
      <c r="I159" s="288">
        <f t="shared" si="4"/>
        <v>0.32349999999999846</v>
      </c>
      <c r="J159" s="253"/>
      <c r="K159" s="253"/>
      <c r="L159" s="253"/>
      <c r="M159" s="302"/>
    </row>
    <row r="160" spans="2:13" x14ac:dyDescent="0.3">
      <c r="B160">
        <v>2.7</v>
      </c>
      <c r="C160">
        <v>918.81000000000006</v>
      </c>
      <c r="D160">
        <v>0.31940000000000002</v>
      </c>
      <c r="H160" s="304">
        <f t="shared" si="5"/>
        <v>2.7</v>
      </c>
      <c r="I160" s="288">
        <f t="shared" si="4"/>
        <v>0.31940000000000002</v>
      </c>
      <c r="J160" s="253"/>
      <c r="K160" s="253"/>
      <c r="L160" s="253"/>
      <c r="M160" s="302"/>
    </row>
    <row r="161" spans="2:13" x14ac:dyDescent="0.3">
      <c r="B161">
        <v>2.75</v>
      </c>
      <c r="C161">
        <v>935.82500000000005</v>
      </c>
      <c r="D161">
        <v>0.31587187499999986</v>
      </c>
      <c r="H161" s="304">
        <f t="shared" si="5"/>
        <v>2.75</v>
      </c>
      <c r="I161" s="288">
        <f t="shared" si="4"/>
        <v>0.31587187499999986</v>
      </c>
      <c r="J161" s="253"/>
      <c r="K161" s="253"/>
      <c r="L161" s="253"/>
      <c r="M161" s="302"/>
    </row>
    <row r="162" spans="2:13" x14ac:dyDescent="0.3">
      <c r="B162">
        <v>2.8</v>
      </c>
      <c r="C162">
        <v>952.83999999999992</v>
      </c>
      <c r="D162">
        <v>0.3125</v>
      </c>
      <c r="H162" s="304">
        <f t="shared" si="5"/>
        <v>2.8</v>
      </c>
      <c r="I162" s="288">
        <f t="shared" si="4"/>
        <v>0.3125</v>
      </c>
      <c r="J162" s="253"/>
      <c r="K162" s="253"/>
      <c r="L162" s="253"/>
      <c r="M162" s="302"/>
    </row>
    <row r="163" spans="2:13" x14ac:dyDescent="0.3">
      <c r="B163">
        <v>2.85</v>
      </c>
      <c r="C163">
        <v>969.85500000000002</v>
      </c>
      <c r="D163">
        <v>0.30921808712121213</v>
      </c>
      <c r="H163" s="304">
        <f t="shared" si="5"/>
        <v>2.85</v>
      </c>
      <c r="I163" s="288">
        <f t="shared" si="4"/>
        <v>0.30921808712121213</v>
      </c>
      <c r="J163" s="253"/>
      <c r="K163" s="253"/>
      <c r="L163" s="253"/>
      <c r="M163" s="302"/>
    </row>
    <row r="164" spans="2:13" x14ac:dyDescent="0.3">
      <c r="B164">
        <v>2.9</v>
      </c>
      <c r="C164">
        <v>986.87</v>
      </c>
      <c r="D164">
        <v>0.30599999999999999</v>
      </c>
      <c r="H164" s="304">
        <f t="shared" si="5"/>
        <v>2.9</v>
      </c>
      <c r="I164" s="288">
        <f t="shared" si="4"/>
        <v>0.30599999999999999</v>
      </c>
      <c r="J164" s="253"/>
      <c r="K164" s="253"/>
      <c r="L164" s="253"/>
      <c r="M164" s="302"/>
    </row>
    <row r="165" spans="2:13" x14ac:dyDescent="0.3">
      <c r="B165">
        <v>2.96</v>
      </c>
      <c r="C165">
        <v>1007.288</v>
      </c>
      <c r="D165">
        <v>0.30228477824000005</v>
      </c>
      <c r="H165" s="304">
        <f t="shared" si="5"/>
        <v>2.96</v>
      </c>
      <c r="I165" s="288">
        <f t="shared" si="4"/>
        <v>0.30228477824000005</v>
      </c>
      <c r="J165" s="253"/>
      <c r="K165" s="253"/>
      <c r="L165" s="253"/>
      <c r="M165" s="302"/>
    </row>
    <row r="166" spans="2:13" x14ac:dyDescent="0.3">
      <c r="B166">
        <v>3</v>
      </c>
      <c r="C166">
        <v>1020.9000000000001</v>
      </c>
      <c r="D166">
        <v>0.2999</v>
      </c>
      <c r="H166" s="304">
        <f t="shared" si="5"/>
        <v>3</v>
      </c>
      <c r="I166" s="288">
        <f t="shared" si="4"/>
        <v>0.2999</v>
      </c>
      <c r="J166" s="253"/>
      <c r="K166" s="253"/>
      <c r="L166" s="253"/>
      <c r="M166" s="302"/>
    </row>
    <row r="167" spans="2:13" x14ac:dyDescent="0.3">
      <c r="B167">
        <v>3.1</v>
      </c>
      <c r="C167">
        <v>1054.93</v>
      </c>
      <c r="D167">
        <v>0.29420000000000002</v>
      </c>
      <c r="H167" s="304">
        <f t="shared" si="5"/>
        <v>3.1</v>
      </c>
      <c r="I167" s="288">
        <f t="shared" si="4"/>
        <v>0.29420000000000002</v>
      </c>
      <c r="J167" s="253"/>
      <c r="K167" s="253"/>
      <c r="L167" s="253"/>
      <c r="M167" s="302"/>
    </row>
    <row r="168" spans="2:13" x14ac:dyDescent="0.3">
      <c r="B168">
        <v>3.2</v>
      </c>
      <c r="C168">
        <v>1088.96</v>
      </c>
      <c r="D168">
        <v>0.28889999999999999</v>
      </c>
      <c r="H168" s="304">
        <f t="shared" si="5"/>
        <v>3.2</v>
      </c>
      <c r="I168" s="288">
        <f t="shared" si="4"/>
        <v>0.28889999999999999</v>
      </c>
      <c r="J168" s="253"/>
      <c r="K168" s="253"/>
      <c r="L168" s="253"/>
      <c r="M168" s="302"/>
    </row>
    <row r="169" spans="2:13" x14ac:dyDescent="0.3">
      <c r="B169">
        <v>3.3</v>
      </c>
      <c r="C169">
        <v>1122.99</v>
      </c>
      <c r="D169">
        <v>0.2838</v>
      </c>
      <c r="H169" s="304">
        <f t="shared" si="5"/>
        <v>3.3</v>
      </c>
      <c r="I169" s="288">
        <f t="shared" si="4"/>
        <v>0.2838</v>
      </c>
      <c r="J169" s="253"/>
      <c r="K169" s="253"/>
      <c r="L169" s="253"/>
      <c r="M169" s="302"/>
    </row>
    <row r="170" spans="2:13" x14ac:dyDescent="0.3">
      <c r="B170">
        <v>3.4</v>
      </c>
      <c r="C170">
        <v>1157.02</v>
      </c>
      <c r="D170">
        <v>0.27900000000000003</v>
      </c>
      <c r="H170" s="304">
        <f t="shared" si="5"/>
        <v>3.4</v>
      </c>
      <c r="I170" s="288">
        <f t="shared" si="4"/>
        <v>0.27900000000000003</v>
      </c>
      <c r="J170" s="253"/>
      <c r="K170" s="253"/>
      <c r="L170" s="253"/>
      <c r="M170" s="302"/>
    </row>
    <row r="171" spans="2:13" x14ac:dyDescent="0.3">
      <c r="B171">
        <v>3.5</v>
      </c>
      <c r="C171">
        <v>1191.05</v>
      </c>
      <c r="D171">
        <v>0.27450000000000002</v>
      </c>
      <c r="H171" s="304">
        <f t="shared" si="5"/>
        <v>3.5</v>
      </c>
      <c r="I171" s="288">
        <f t="shared" si="4"/>
        <v>0.27450000000000002</v>
      </c>
      <c r="J171" s="253"/>
      <c r="K171" s="253"/>
      <c r="L171" s="253"/>
      <c r="M171" s="302"/>
    </row>
    <row r="172" spans="2:13" x14ac:dyDescent="0.3">
      <c r="B172">
        <v>3.6</v>
      </c>
      <c r="C172">
        <v>1225.0800000000002</v>
      </c>
      <c r="D172">
        <v>0.27029999999999998</v>
      </c>
      <c r="H172" s="304">
        <f t="shared" si="5"/>
        <v>3.6</v>
      </c>
      <c r="I172" s="288">
        <f t="shared" si="4"/>
        <v>0.27029999999999998</v>
      </c>
      <c r="J172" s="253"/>
      <c r="K172" s="253"/>
      <c r="L172" s="253"/>
      <c r="M172" s="302"/>
    </row>
    <row r="173" spans="2:13" x14ac:dyDescent="0.3">
      <c r="B173">
        <v>3.7</v>
      </c>
      <c r="C173">
        <v>1259.1100000000001</v>
      </c>
      <c r="D173">
        <v>0.26619999999999999</v>
      </c>
      <c r="H173" s="304">
        <f t="shared" si="5"/>
        <v>3.7</v>
      </c>
      <c r="I173" s="288">
        <f t="shared" si="4"/>
        <v>0.26619999999999999</v>
      </c>
      <c r="J173" s="253"/>
      <c r="K173" s="253"/>
      <c r="L173" s="253"/>
      <c r="M173" s="302"/>
    </row>
    <row r="174" spans="2:13" x14ac:dyDescent="0.3">
      <c r="B174">
        <v>3.8</v>
      </c>
      <c r="C174">
        <v>1293.1399999999999</v>
      </c>
      <c r="D174">
        <v>0.26240000000000002</v>
      </c>
      <c r="H174" s="304">
        <f t="shared" si="5"/>
        <v>3.8</v>
      </c>
      <c r="I174" s="288">
        <f t="shared" si="4"/>
        <v>0.26240000000000002</v>
      </c>
      <c r="J174" s="253"/>
      <c r="K174" s="253"/>
      <c r="L174" s="253"/>
      <c r="M174" s="302"/>
    </row>
    <row r="175" spans="2:13" x14ac:dyDescent="0.3">
      <c r="B175">
        <v>3.9</v>
      </c>
      <c r="C175">
        <v>1327.17</v>
      </c>
      <c r="D175">
        <v>0.25879999999999997</v>
      </c>
      <c r="H175" s="304">
        <f t="shared" si="5"/>
        <v>3.9</v>
      </c>
      <c r="I175" s="288">
        <f t="shared" si="4"/>
        <v>0.25879999999999997</v>
      </c>
      <c r="J175" s="253"/>
      <c r="K175" s="253"/>
      <c r="L175" s="253"/>
      <c r="M175" s="302"/>
    </row>
    <row r="176" spans="2:13" x14ac:dyDescent="0.3">
      <c r="B176">
        <v>4</v>
      </c>
      <c r="C176">
        <v>1361.2</v>
      </c>
      <c r="D176">
        <v>0.25530000000000003</v>
      </c>
      <c r="H176" s="304">
        <f t="shared" si="5"/>
        <v>4</v>
      </c>
      <c r="I176" s="288">
        <f t="shared" si="4"/>
        <v>0.25530000000000003</v>
      </c>
      <c r="J176" s="253"/>
      <c r="K176" s="253"/>
      <c r="L176" s="253"/>
      <c r="M176" s="302"/>
    </row>
    <row r="177" spans="1:13" x14ac:dyDescent="0.3">
      <c r="B177">
        <v>4.2</v>
      </c>
      <c r="C177">
        <v>1429.2600000000002</v>
      </c>
      <c r="D177">
        <v>0.24879999999999999</v>
      </c>
      <c r="H177" s="304">
        <f t="shared" si="5"/>
        <v>4.2</v>
      </c>
      <c r="I177" s="288">
        <f t="shared" si="4"/>
        <v>0.24879999999999999</v>
      </c>
      <c r="J177" s="253"/>
      <c r="K177" s="253"/>
      <c r="L177" s="253"/>
      <c r="M177" s="302"/>
    </row>
    <row r="178" spans="1:13" x14ac:dyDescent="0.3">
      <c r="B178">
        <v>4.4000000000000004</v>
      </c>
      <c r="C178">
        <v>1497.3200000000002</v>
      </c>
      <c r="D178">
        <v>0.2429</v>
      </c>
      <c r="H178" s="304">
        <f t="shared" si="5"/>
        <v>4.4000000000000004</v>
      </c>
      <c r="I178" s="288">
        <f t="shared" si="4"/>
        <v>0.2429</v>
      </c>
      <c r="J178" s="253"/>
      <c r="K178" s="253"/>
      <c r="L178" s="253"/>
      <c r="M178" s="302"/>
    </row>
    <row r="179" spans="1:13" x14ac:dyDescent="0.3">
      <c r="B179">
        <v>4.5999999999999996</v>
      </c>
      <c r="C179">
        <v>1565.3799999999999</v>
      </c>
      <c r="D179">
        <v>0.23760000000000001</v>
      </c>
      <c r="H179" s="304">
        <f t="shared" si="5"/>
        <v>4.5999999999999996</v>
      </c>
      <c r="I179" s="288">
        <f t="shared" si="4"/>
        <v>0.23760000000000001</v>
      </c>
      <c r="J179" s="253"/>
      <c r="K179" s="253"/>
      <c r="L179" s="253"/>
      <c r="M179" s="302"/>
    </row>
    <row r="180" spans="1:13" x14ac:dyDescent="0.3">
      <c r="B180">
        <v>4.8</v>
      </c>
      <c r="C180">
        <v>1633.44</v>
      </c>
      <c r="D180">
        <v>0.2326</v>
      </c>
      <c r="H180" s="304">
        <f t="shared" si="5"/>
        <v>4.8</v>
      </c>
      <c r="I180" s="288">
        <f t="shared" si="4"/>
        <v>0.2326</v>
      </c>
      <c r="J180" s="253"/>
      <c r="K180" s="253"/>
      <c r="L180" s="253"/>
      <c r="M180" s="302"/>
    </row>
    <row r="181" spans="1:13" ht="16.5" thickBot="1" x14ac:dyDescent="0.35">
      <c r="B181">
        <v>5</v>
      </c>
      <c r="C181">
        <v>1701.5</v>
      </c>
      <c r="D181">
        <v>0.22800000000000001</v>
      </c>
      <c r="H181" s="306">
        <f t="shared" si="5"/>
        <v>5</v>
      </c>
      <c r="I181" s="307">
        <f t="shared" si="4"/>
        <v>0.22800000000000001</v>
      </c>
      <c r="J181" s="308"/>
      <c r="K181" s="308"/>
      <c r="L181" s="308"/>
      <c r="M181" s="309"/>
    </row>
    <row r="186" spans="1:13" x14ac:dyDescent="0.3">
      <c r="A186" s="2" t="s">
        <v>888</v>
      </c>
      <c r="B186" s="2" t="s">
        <v>889</v>
      </c>
    </row>
    <row r="187" spans="1:13" s="105" customFormat="1" x14ac:dyDescent="0.3">
      <c r="A187" s="2"/>
      <c r="B187" s="20" t="s">
        <v>891</v>
      </c>
      <c r="F187" s="10"/>
    </row>
    <row r="188" spans="1:13" ht="16.5" thickBot="1" x14ac:dyDescent="0.35"/>
    <row r="189" spans="1:13" x14ac:dyDescent="0.3">
      <c r="B189" s="324" t="s">
        <v>890</v>
      </c>
      <c r="C189" s="325" t="str">
        <f>I19</f>
        <v xml:space="preserve"> 6mm Lapua GB542 Scenar-L 6.8g ( 105gr )</v>
      </c>
      <c r="D189" s="326" t="s">
        <v>892</v>
      </c>
    </row>
    <row r="190" spans="1:13" x14ac:dyDescent="0.3">
      <c r="B190" s="321">
        <v>0</v>
      </c>
      <c r="C190" s="317">
        <f>_xll.BfX_Cd(B190,dt)</f>
        <v>0.2</v>
      </c>
      <c r="D190" s="314">
        <f>_xll.BfX_Cd(B190,$H$91:$M$181)</f>
        <v>0.17100000000000004</v>
      </c>
    </row>
    <row r="191" spans="1:13" x14ac:dyDescent="0.3">
      <c r="B191" s="321">
        <v>20</v>
      </c>
      <c r="C191" s="317">
        <f>_xll.BfX_Cd(B191,dt)</f>
        <v>0.2</v>
      </c>
      <c r="D191" s="314">
        <f>_xll.BfX_Cd(B191,$H$91:$M$181)</f>
        <v>0.17208622231773799</v>
      </c>
    </row>
    <row r="192" spans="1:13" x14ac:dyDescent="0.3">
      <c r="B192" s="321">
        <v>40</v>
      </c>
      <c r="C192" s="317">
        <f>_xll.BfX_Cd(B192,dt)</f>
        <v>0.2</v>
      </c>
      <c r="D192" s="314">
        <f>_xll.BfX_Cd(B192,$H$91:$M$181)</f>
        <v>0.172899149657323</v>
      </c>
    </row>
    <row r="193" spans="2:4" x14ac:dyDescent="0.3">
      <c r="B193" s="321">
        <v>60</v>
      </c>
      <c r="C193" s="317">
        <f>_xll.BfX_Cd(B193,dt)</f>
        <v>0.2</v>
      </c>
      <c r="D193" s="314">
        <f>_xll.BfX_Cd(B193,$H$91:$M$181)</f>
        <v>0.17331234353109948</v>
      </c>
    </row>
    <row r="194" spans="2:4" x14ac:dyDescent="0.3">
      <c r="B194" s="321">
        <v>80</v>
      </c>
      <c r="C194" s="317">
        <f>_xll.BfX_Cd(B194,dt)</f>
        <v>0.2</v>
      </c>
      <c r="D194" s="314">
        <f>_xll.BfX_Cd(B194,$H$91:$M$181)</f>
        <v>0.17311016253387793</v>
      </c>
    </row>
    <row r="195" spans="2:4" x14ac:dyDescent="0.3">
      <c r="B195" s="321">
        <v>100</v>
      </c>
      <c r="C195" s="317">
        <f>_xll.BfX_Cd(B195,dt)</f>
        <v>0.2</v>
      </c>
      <c r="D195" s="314">
        <f>_xll.BfX_Cd(B195,$H$91:$M$181)</f>
        <v>0.17193572170552116</v>
      </c>
    </row>
    <row r="196" spans="2:4" x14ac:dyDescent="0.3">
      <c r="B196" s="321">
        <v>120</v>
      </c>
      <c r="C196" s="317">
        <f>_xll.BfX_Cd(B196,dt)</f>
        <v>0.2</v>
      </c>
      <c r="D196" s="314">
        <f>_xll.BfX_Cd(B196,$H$91:$M$181)</f>
        <v>0.1694417847685763</v>
      </c>
    </row>
    <row r="197" spans="2:4" x14ac:dyDescent="0.3">
      <c r="B197" s="321">
        <v>140</v>
      </c>
      <c r="C197" s="317">
        <f>_xll.BfX_Cd(B197,dt)</f>
        <v>0.19974698642531488</v>
      </c>
      <c r="D197" s="314">
        <f>_xll.BfX_Cd(B197,$H$91:$M$181)</f>
        <v>0.16605498159311599</v>
      </c>
    </row>
    <row r="198" spans="2:4" x14ac:dyDescent="0.3">
      <c r="B198" s="321">
        <v>160</v>
      </c>
      <c r="C198" s="317">
        <f>_xll.BfX_Cd(B198,dt)</f>
        <v>0.19854926855094582</v>
      </c>
      <c r="D198" s="314">
        <f>_xll.BfX_Cd(B198,$H$91:$M$181)</f>
        <v>0.16227615226956099</v>
      </c>
    </row>
    <row r="199" spans="2:4" x14ac:dyDescent="0.3">
      <c r="B199" s="321">
        <v>180</v>
      </c>
      <c r="C199" s="317">
        <f>_xll.BfX_Cd(B199,dt)</f>
        <v>0.19706911060234261</v>
      </c>
      <c r="D199" s="314">
        <f>_xll.BfX_Cd(B199,$H$91:$M$181)</f>
        <v>0.15810487401285808</v>
      </c>
    </row>
    <row r="200" spans="2:4" x14ac:dyDescent="0.3">
      <c r="B200" s="321">
        <v>200</v>
      </c>
      <c r="C200" s="317">
        <f>_xll.BfX_Cd(B200,dt)</f>
        <v>0.19533805459733744</v>
      </c>
      <c r="D200" s="314">
        <f>_xll.BfX_Cd(B200,$H$91:$M$181)</f>
        <v>0.15377157550599793</v>
      </c>
    </row>
    <row r="201" spans="2:4" x14ac:dyDescent="0.3">
      <c r="B201" s="321">
        <v>220</v>
      </c>
      <c r="C201" s="317">
        <f>_xll.BfX_Cd(B201,dt)</f>
        <v>0.19157928260575138</v>
      </c>
      <c r="D201" s="314">
        <f>_xll.BfX_Cd(B201,$H$91:$M$181)</f>
        <v>0.14991444035670143</v>
      </c>
    </row>
    <row r="202" spans="2:4" x14ac:dyDescent="0.3">
      <c r="B202" s="321">
        <v>240</v>
      </c>
      <c r="C202" s="317">
        <f>_xll.BfX_Cd(B202,dt)</f>
        <v>0.18630789366150283</v>
      </c>
      <c r="D202" s="314">
        <f>_xll.BfX_Cd(B202,$H$91:$M$181)</f>
        <v>0.14651361564107582</v>
      </c>
    </row>
    <row r="203" spans="2:4" x14ac:dyDescent="0.3">
      <c r="B203" s="321">
        <v>260</v>
      </c>
      <c r="C203" s="317">
        <f>_xll.BfX_Cd(B203,dt)</f>
        <v>0.1691408330956212</v>
      </c>
      <c r="D203" s="314">
        <f>_xll.BfX_Cd(B203,$H$91:$M$181)</f>
        <v>0.14666902006950733</v>
      </c>
    </row>
    <row r="204" spans="2:4" x14ac:dyDescent="0.3">
      <c r="B204" s="321">
        <v>280</v>
      </c>
      <c r="C204" s="317">
        <f>_xll.BfX_Cd(B204,dt)</f>
        <v>0.15817228820997523</v>
      </c>
      <c r="D204" s="314">
        <f>_xll.BfX_Cd(B204,$H$91:$M$181)</f>
        <v>0.15216616416193465</v>
      </c>
    </row>
    <row r="205" spans="2:4" x14ac:dyDescent="0.3">
      <c r="B205" s="321">
        <v>300</v>
      </c>
      <c r="C205" s="317">
        <f>_xll.BfX_Cd(B205,dt)</f>
        <v>0.153</v>
      </c>
      <c r="D205" s="314">
        <f>_xll.BfX_Cd(B205,$H$91:$M$181)</f>
        <v>0.17088641540924049</v>
      </c>
    </row>
    <row r="206" spans="2:4" x14ac:dyDescent="0.3">
      <c r="B206" s="321">
        <v>320</v>
      </c>
      <c r="C206" s="317">
        <f>_xll.BfX_Cd(B206,dt)</f>
        <v>0.17005760646208554</v>
      </c>
      <c r="D206" s="314">
        <f>_xll.BfX_Cd(B206,$H$91:$M$181)</f>
        <v>0.22673701716261455</v>
      </c>
    </row>
    <row r="207" spans="2:4" x14ac:dyDescent="0.3">
      <c r="B207" s="321">
        <v>340</v>
      </c>
      <c r="C207" s="317">
        <f>_xll.BfX_Cd(B207,dt)</f>
        <v>0.32251628828633899</v>
      </c>
      <c r="D207" s="314">
        <f>_xll.BfX_Cd(B207,$H$91:$M$181)</f>
        <v>0.33604059174342477</v>
      </c>
    </row>
    <row r="208" spans="2:4" x14ac:dyDescent="0.3">
      <c r="B208" s="321">
        <v>360</v>
      </c>
      <c r="C208" s="317">
        <f>_xll.BfX_Cd(B208,dt)</f>
        <v>0.35258309796183129</v>
      </c>
      <c r="D208" s="314">
        <f>_xll.BfX_Cd(B208,$H$91:$M$181)</f>
        <v>0.40682373469970134</v>
      </c>
    </row>
    <row r="209" spans="2:6" x14ac:dyDescent="0.3">
      <c r="B209" s="321">
        <v>400</v>
      </c>
      <c r="C209" s="317">
        <f>_xll.BfX_Cd(B209,dt)</f>
        <v>0.3619706489671905</v>
      </c>
      <c r="D209" s="314">
        <f>_xll.BfX_Cd(B209,$H$91:$M$181)</f>
        <v>0.43128497616036016</v>
      </c>
    </row>
    <row r="210" spans="2:6" x14ac:dyDescent="0.3">
      <c r="B210" s="321">
        <v>500</v>
      </c>
      <c r="C210" s="317">
        <f>_xll.BfX_Cd(B210,dt)</f>
        <v>0.34578796891766445</v>
      </c>
      <c r="D210" s="314">
        <f>_xll.BfX_Cd(B210,$H$91:$M$181)</f>
        <v>0.43951459634047585</v>
      </c>
    </row>
    <row r="211" spans="2:6" x14ac:dyDescent="0.3">
      <c r="B211" s="321">
        <v>600</v>
      </c>
      <c r="C211" s="317">
        <f>_xll.BfX_Cd(B211,dt)</f>
        <v>0.33073455635115362</v>
      </c>
      <c r="D211" s="314">
        <f>_xll.BfX_Cd(B211,$H$91:$M$181)</f>
        <v>0.41657019731394729</v>
      </c>
    </row>
    <row r="212" spans="2:6" x14ac:dyDescent="0.3">
      <c r="B212" s="321">
        <v>700</v>
      </c>
      <c r="C212" s="317">
        <f>_xll.BfX_Cd(B212,dt)</f>
        <v>0.31450136699706271</v>
      </c>
      <c r="D212" s="314">
        <f>_xll.BfX_Cd(B212,$H$91:$M$181)</f>
        <v>0.37915875462700765</v>
      </c>
    </row>
    <row r="213" spans="2:6" x14ac:dyDescent="0.3">
      <c r="B213" s="321">
        <v>800</v>
      </c>
      <c r="C213" s="317">
        <f>_xll.BfX_Cd(B213,dt)</f>
        <v>0.2932685636830013</v>
      </c>
      <c r="D213" s="314">
        <f>_xll.BfX_Cd(B213,$H$91:$M$181)</f>
        <v>0.34801888851542045</v>
      </c>
    </row>
    <row r="214" spans="2:6" x14ac:dyDescent="0.3">
      <c r="B214" s="321">
        <v>900</v>
      </c>
      <c r="C214" s="317">
        <f>_xll.BfX_Cd(B214,dt)</f>
        <v>0.27502447950828424</v>
      </c>
      <c r="D214" s="314">
        <f>_xll.BfX_Cd(B214,$H$91:$M$181)</f>
        <v>0.32385398063764792</v>
      </c>
    </row>
    <row r="215" spans="2:6" x14ac:dyDescent="0.3">
      <c r="B215" s="321">
        <v>1000</v>
      </c>
      <c r="C215" s="317">
        <f>_xll.BfX_Cd(B215,dt)</f>
        <v>0.25733656757820939</v>
      </c>
      <c r="D215" s="314">
        <f>_xll.BfX_Cd(B215,$H$91:$M$181)</f>
        <v>0.30359698468722285</v>
      </c>
    </row>
    <row r="216" spans="2:6" ht="16.5" thickBot="1" x14ac:dyDescent="0.35">
      <c r="B216" s="321">
        <v>1100</v>
      </c>
      <c r="C216" s="317">
        <f>_xll.BfX_Cd(B216,dt)</f>
        <v>0.24470571237318653</v>
      </c>
      <c r="D216" s="314">
        <f>_xll.BfX_Cd(B216,$H$91:$M$181)</f>
        <v>0.28721818259980353</v>
      </c>
    </row>
    <row r="217" spans="2:6" ht="16.5" thickBot="1" x14ac:dyDescent="0.35">
      <c r="B217" s="321">
        <v>1200</v>
      </c>
      <c r="C217" s="329">
        <f>_xll.BfX_Cd(B217,dt)</f>
        <v>0.23429740050408393</v>
      </c>
      <c r="D217" s="314">
        <f>_xll.BfX_Cd(B217,$H$91:$M$181)</f>
        <v>0.27337754297646061</v>
      </c>
      <c r="E217" s="317" t="str">
        <f ca="1">_xll.BfX_Cell(C217)</f>
        <v>=BfX_Cd(B217;dt)</v>
      </c>
      <c r="F217" s="317"/>
    </row>
    <row r="218" spans="2:6" ht="16.5" thickBot="1" x14ac:dyDescent="0.35">
      <c r="B218" s="327">
        <v>1300</v>
      </c>
      <c r="C218" s="328">
        <f>_xll.BfX_Cd(B218,dt)</f>
        <v>0.22511407369638486</v>
      </c>
      <c r="D218" s="329">
        <f>_xll.BfX_Cd(B218,$H$91:$M$181)</f>
        <v>0.26166268440056256</v>
      </c>
      <c r="E218" s="317" t="str">
        <f ca="1">_xll.BfX_Cell(D218)</f>
        <v>=BfX_Cd(B218;$H$91:$M$181)</v>
      </c>
      <c r="F218" s="3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97"/>
  <sheetViews>
    <sheetView workbookViewId="0">
      <selection activeCell="S8" sqref="S8"/>
    </sheetView>
  </sheetViews>
  <sheetFormatPr defaultRowHeight="15.75" x14ac:dyDescent="0.3"/>
  <sheetData>
    <row r="1" spans="1:15" x14ac:dyDescent="0.3">
      <c r="A1">
        <v>2</v>
      </c>
      <c r="B1" t="s">
        <v>81</v>
      </c>
    </row>
    <row r="2" spans="1:15" x14ac:dyDescent="0.3">
      <c r="A2" t="s">
        <v>26</v>
      </c>
      <c r="B2" s="2" t="s">
        <v>18</v>
      </c>
    </row>
    <row r="3" spans="1:15" x14ac:dyDescent="0.3">
      <c r="C3" t="s">
        <v>68</v>
      </c>
    </row>
    <row r="4" spans="1:15" x14ac:dyDescent="0.3">
      <c r="C4" t="s">
        <v>19</v>
      </c>
    </row>
    <row r="5" spans="1:15" x14ac:dyDescent="0.3">
      <c r="C5" t="s">
        <v>67</v>
      </c>
    </row>
    <row r="6" spans="1:15" x14ac:dyDescent="0.3">
      <c r="C6" s="5" t="str">
        <f>_xll.BfX_Xv()</f>
        <v>x=BfX_Xv(v0; v; c; df=GP) [m]</v>
      </c>
      <c r="D6" s="4"/>
      <c r="E6" s="4"/>
      <c r="F6" s="4"/>
      <c r="G6" s="4"/>
      <c r="H6" s="4"/>
      <c r="I6" s="4"/>
      <c r="J6" s="4"/>
      <c r="K6" s="4"/>
      <c r="L6" s="4"/>
    </row>
    <row r="7" spans="1:15" x14ac:dyDescent="0.3">
      <c r="C7" s="5"/>
      <c r="D7" s="4"/>
      <c r="E7" s="4"/>
      <c r="F7" s="4"/>
      <c r="G7" s="4"/>
      <c r="H7" s="4"/>
      <c r="I7" s="4"/>
      <c r="J7" s="4"/>
      <c r="K7" s="4"/>
      <c r="L7" s="4"/>
    </row>
    <row r="8" spans="1:15" x14ac:dyDescent="0.3">
      <c r="A8" t="s">
        <v>27</v>
      </c>
      <c r="B8" s="2" t="s">
        <v>23</v>
      </c>
    </row>
    <row r="9" spans="1:15" x14ac:dyDescent="0.3">
      <c r="C9" s="105" t="s">
        <v>540</v>
      </c>
      <c r="D9" s="105"/>
      <c r="E9" s="105"/>
      <c r="F9" s="105"/>
      <c r="G9" s="105"/>
      <c r="H9" s="105"/>
      <c r="I9" s="105"/>
      <c r="J9" s="105"/>
      <c r="K9" s="153" t="s">
        <v>541</v>
      </c>
      <c r="L9" s="105"/>
    </row>
    <row r="10" spans="1:15" s="105" customFormat="1" x14ac:dyDescent="0.3"/>
    <row r="11" spans="1:15" x14ac:dyDescent="0.3">
      <c r="C11" s="105" t="s">
        <v>676</v>
      </c>
    </row>
    <row r="12" spans="1:15" s="105" customFormat="1" x14ac:dyDescent="0.3"/>
    <row r="15" spans="1:15" x14ac:dyDescent="0.3">
      <c r="C15" s="5">
        <v>0</v>
      </c>
      <c r="D15" s="5" t="str">
        <f>_xll.BfX_Help(C15)</f>
        <v>Ballistics for Excel - use =BfX_Help(i) with i=1,2,3,...157 for more</v>
      </c>
      <c r="E15" s="4"/>
      <c r="F15" s="4"/>
      <c r="G15" s="4"/>
      <c r="H15" s="4"/>
      <c r="I15" s="4"/>
      <c r="J15" s="4"/>
      <c r="K15" s="4"/>
      <c r="L15" s="4"/>
      <c r="N15" s="5" t="str">
        <f ca="1">_xll.BfX_Cell(D15)</f>
        <v>=BfX_Help(C15)</v>
      </c>
      <c r="O15" s="5"/>
    </row>
    <row r="16" spans="1:15" x14ac:dyDescent="0.3">
      <c r="C16" s="5">
        <v>1</v>
      </c>
      <c r="D16" s="5" t="str">
        <f>_xll.BfX_Help(C16)</f>
        <v>==BfX Excel 2010 32bit==(C) Robert Meijer==Bld: Oct 18 2015 21:51:12 (Release)==</v>
      </c>
      <c r="E16" s="4"/>
      <c r="F16" s="4"/>
      <c r="G16" s="4"/>
      <c r="H16" s="4"/>
      <c r="I16" s="4"/>
      <c r="J16" s="4"/>
      <c r="K16" s="4"/>
      <c r="L16" s="4"/>
    </row>
    <row r="17" spans="3:12" x14ac:dyDescent="0.3">
      <c r="C17" s="5">
        <v>2</v>
      </c>
      <c r="D17" s="5" t="str">
        <f>_xll.BfX_Help(C17)</f>
        <v>All examples are in European locale, e.g. =bfx_vx(740,3;200,1;0,5)</v>
      </c>
      <c r="E17" s="4"/>
      <c r="F17" s="4"/>
      <c r="G17" s="4"/>
      <c r="H17" s="4"/>
      <c r="I17" s="4"/>
      <c r="J17" s="4"/>
      <c r="K17" s="4"/>
      <c r="L17" s="4"/>
    </row>
    <row r="18" spans="3:12" x14ac:dyDescent="0.3">
      <c r="C18" s="5">
        <v>3</v>
      </c>
      <c r="D18" s="5" t="str">
        <f>_xll.BfX_Help(C18)</f>
        <v>However, your computer might expect input as =bfx_vx(740.3,200.1,0.5)</v>
      </c>
      <c r="E18" s="4"/>
      <c r="F18" s="4"/>
      <c r="G18" s="4"/>
      <c r="H18" s="4"/>
      <c r="I18" s="4"/>
      <c r="J18" s="4"/>
      <c r="K18" s="4"/>
      <c r="L18" s="4"/>
    </row>
    <row r="19" spans="3:12" x14ac:dyDescent="0.3">
      <c r="C19" s="5">
        <v>4</v>
      </c>
      <c r="D19" s="5" t="str">
        <f>_xll.BfX_Help(C19)</f>
        <v>Function arguments with default values can be omitted</v>
      </c>
      <c r="E19" s="4"/>
      <c r="F19" s="4"/>
      <c r="G19" s="4"/>
      <c r="H19" s="4"/>
      <c r="I19" s="4"/>
      <c r="J19" s="4"/>
      <c r="K19" s="4"/>
      <c r="L19" s="4"/>
    </row>
    <row r="20" spans="3:12" x14ac:dyDescent="0.3">
      <c r="C20" s="5">
        <v>5</v>
      </c>
      <c r="D20" s="5" t="str">
        <f>_xll.BfX_Help(C20)</f>
        <v>Empty first arguments eg BfX_Xv( or BfX_Xv() or BfX_Xv(;400;300;0,5) return help</v>
      </c>
      <c r="E20" s="4"/>
      <c r="F20" s="4"/>
      <c r="G20" s="4"/>
      <c r="H20" s="4"/>
      <c r="I20" s="4"/>
      <c r="J20" s="4"/>
      <c r="K20" s="4"/>
      <c r="L20" s="4"/>
    </row>
    <row r="21" spans="3:12" x14ac:dyDescent="0.3">
      <c r="C21" s="5">
        <v>6</v>
      </c>
      <c r="D21" s="5" t="str">
        <f>_xll.BfX_Help(C21)</f>
        <v>=============================Atmospheric condition==============================</v>
      </c>
      <c r="E21" s="4"/>
      <c r="F21" s="4"/>
      <c r="G21" s="4"/>
      <c r="H21" s="4"/>
      <c r="I21" s="4"/>
      <c r="J21" s="4"/>
      <c r="K21" s="4"/>
      <c r="L21" s="4"/>
    </row>
    <row r="22" spans="3:12" x14ac:dyDescent="0.3">
      <c r="C22" s="5">
        <v>7</v>
      </c>
      <c r="D22" s="5" t="str">
        <f>_xll.BfX_Help(C22)</f>
        <v>BfX assumes 15 degrees Celsius, 101325 Pascal, 0% humidity (ICAO conditions)</v>
      </c>
      <c r="E22" s="4"/>
      <c r="F22" s="4"/>
      <c r="G22" s="4"/>
      <c r="H22" s="4"/>
      <c r="I22" s="4"/>
      <c r="J22" s="4"/>
      <c r="K22" s="4"/>
      <c r="L22" s="4"/>
    </row>
    <row r="23" spans="3:12" x14ac:dyDescent="0.3">
      <c r="C23" s="5">
        <v>8</v>
      </c>
      <c r="D23" s="5" t="str">
        <f>_xll.BfX_Help(C23)</f>
        <v>========Calculating projectile velocity, flight time and flight distance========</v>
      </c>
      <c r="E23" s="4"/>
      <c r="F23" s="4"/>
      <c r="G23" s="4"/>
      <c r="H23" s="4"/>
      <c r="I23" s="4"/>
      <c r="J23" s="4"/>
      <c r="K23" s="4"/>
      <c r="L23" s="4"/>
    </row>
    <row r="24" spans="3:12" x14ac:dyDescent="0.3">
      <c r="C24" s="5">
        <v>9</v>
      </c>
      <c r="D24" s="5" t="str">
        <f>_xll.BfX_Help(C24)</f>
        <v>v0: muzzle velocity [m/s],</v>
      </c>
      <c r="E24" s="4"/>
      <c r="F24" s="4"/>
      <c r="G24" s="4"/>
      <c r="H24" s="4"/>
      <c r="I24" s="4"/>
      <c r="J24" s="4"/>
      <c r="K24" s="4"/>
      <c r="L24" s="4"/>
    </row>
    <row r="25" spans="3:12" x14ac:dyDescent="0.3">
      <c r="C25" s="5">
        <v>10</v>
      </c>
      <c r="D25" s="5" t="str">
        <f>_xll.BfX_Help(C25)</f>
        <v>v:  velocity of slowed down projectile &lt;v0 [m/s]</v>
      </c>
      <c r="E25" s="4"/>
      <c r="F25" s="4"/>
      <c r="G25" s="4"/>
      <c r="H25" s="4"/>
      <c r="I25" s="4"/>
      <c r="J25" s="4"/>
      <c r="K25" s="4"/>
      <c r="L25" s="4"/>
    </row>
    <row r="26" spans="3:12" x14ac:dyDescent="0.3">
      <c r="C26" s="5">
        <v>11</v>
      </c>
      <c r="D26" s="5" t="str">
        <f>_xll.BfX_Help(C26)</f>
        <v xml:space="preserve">x:  distance &gt;0 [m], c: ballistic coefficient [lb/in^2] &gt;0, take c of the </v>
      </c>
      <c r="E26" s="4"/>
      <c r="F26" s="4"/>
      <c r="G26" s="4"/>
      <c r="H26" s="4"/>
      <c r="I26" s="4"/>
      <c r="J26" s="4"/>
      <c r="K26" s="4"/>
      <c r="L26" s="4"/>
    </row>
    <row r="27" spans="3:12" x14ac:dyDescent="0.3">
      <c r="C27" s="5">
        <v>12</v>
      </c>
      <c r="D27" s="5" t="str">
        <f>_xll.BfX_Help(C27)</f>
        <v>highest supersonic velocity range</v>
      </c>
      <c r="E27" s="4"/>
      <c r="F27" s="4"/>
      <c r="G27" s="4"/>
      <c r="H27" s="4"/>
      <c r="I27" s="4"/>
      <c r="J27" s="4"/>
      <c r="K27" s="4"/>
      <c r="L27" s="4"/>
    </row>
    <row r="28" spans="3:12" x14ac:dyDescent="0.3">
      <c r="C28" s="5">
        <v>13</v>
      </c>
      <c r="D28" s="5" t="str">
        <f>_xll.BfX_Help(C28)</f>
        <v>df: drag function. BfX uses by default the Pejsa drag function in combination</v>
      </c>
      <c r="E28" s="4"/>
      <c r="F28" s="4"/>
      <c r="G28" s="4"/>
      <c r="H28" s="4"/>
      <c r="I28" s="4"/>
      <c r="J28" s="4"/>
      <c r="K28" s="4"/>
      <c r="L28" s="4"/>
    </row>
    <row r="29" spans="3:12" x14ac:dyDescent="0.3">
      <c r="C29" s="5">
        <v>14</v>
      </c>
      <c r="D29" s="5" t="str">
        <f>_xll.BfX_Help(C29)</f>
        <v>with the G1 ballistic coefficient, BfX_Help2 lists available drag functions</v>
      </c>
      <c r="E29" s="4"/>
      <c r="F29" s="4"/>
      <c r="G29" s="4"/>
      <c r="H29" s="4"/>
      <c r="I29" s="4"/>
      <c r="J29" s="4"/>
      <c r="K29" s="4"/>
      <c r="L29" s="4"/>
    </row>
    <row r="30" spans="3:12" x14ac:dyDescent="0.3">
      <c r="C30" s="5">
        <v>15</v>
      </c>
      <c r="D30" s="5" t="str">
        <f>_xll.BfX_Help(C30)</f>
        <v>v=BfX_Vx(v0; x; c; df=GP) [m/s]</v>
      </c>
      <c r="E30" s="4"/>
      <c r="F30" s="4"/>
      <c r="G30" s="4"/>
      <c r="H30" s="4"/>
      <c r="I30" s="4"/>
      <c r="J30" s="4"/>
      <c r="K30" s="4"/>
      <c r="L30" s="4"/>
    </row>
    <row r="31" spans="3:12" x14ac:dyDescent="0.3">
      <c r="C31" s="5">
        <v>16</v>
      </c>
      <c r="D31" s="5" t="str">
        <f>_xll.BfX_Help(C31)</f>
        <v>v=BfX_Vt(v0; t; c; df=GP) [m/s]</v>
      </c>
      <c r="E31" s="4"/>
      <c r="F31" s="4"/>
      <c r="G31" s="4"/>
      <c r="H31" s="4"/>
      <c r="I31" s="4"/>
      <c r="J31" s="4"/>
      <c r="K31" s="4"/>
      <c r="L31" s="4"/>
    </row>
    <row r="32" spans="3:12" x14ac:dyDescent="0.3">
      <c r="C32" s="5">
        <v>17</v>
      </c>
      <c r="D32" s="5" t="str">
        <f>_xll.BfX_Help(C32)</f>
        <v>t=BfX_Tv(v0; v; c; df=GP) [s]</v>
      </c>
      <c r="E32" s="4"/>
      <c r="F32" s="4"/>
      <c r="G32" s="4"/>
      <c r="H32" s="4"/>
      <c r="I32" s="4"/>
      <c r="J32" s="4"/>
      <c r="K32" s="4"/>
      <c r="L32" s="4"/>
    </row>
    <row r="33" spans="3:12" x14ac:dyDescent="0.3">
      <c r="C33" s="5">
        <v>18</v>
      </c>
      <c r="D33" s="5" t="str">
        <f>_xll.BfX_Help(C33)</f>
        <v>t=BfX_Tx(v0; x; c; df=GP) [s]</v>
      </c>
      <c r="E33" s="4"/>
      <c r="F33" s="4"/>
      <c r="G33" s="4"/>
      <c r="H33" s="4"/>
      <c r="I33" s="4"/>
      <c r="J33" s="4"/>
      <c r="K33" s="4"/>
      <c r="L33" s="4"/>
    </row>
    <row r="34" spans="3:12" x14ac:dyDescent="0.3">
      <c r="C34" s="5">
        <v>19</v>
      </c>
      <c r="D34" s="5" t="str">
        <f>_xll.BfX_Help(C34)</f>
        <v>x=BfX_Xv(v0; v; c; df=GP) [m]</v>
      </c>
      <c r="E34" s="4"/>
      <c r="F34" s="4"/>
      <c r="G34" s="4"/>
      <c r="H34" s="4"/>
      <c r="I34" s="4"/>
      <c r="J34" s="4"/>
      <c r="K34" s="4"/>
      <c r="L34" s="4"/>
    </row>
    <row r="35" spans="3:12" x14ac:dyDescent="0.3">
      <c r="C35" s="5">
        <v>20</v>
      </c>
      <c r="D35" s="5" t="str">
        <f>_xll.BfX_Help(C35)</f>
        <v>x=BfX_Xt(v0; t; c; df=GP) [m]</v>
      </c>
      <c r="E35" s="4"/>
      <c r="F35" s="4"/>
      <c r="G35" s="4"/>
      <c r="H35" s="4"/>
      <c r="I35" s="4"/>
      <c r="J35" s="4"/>
      <c r="K35" s="4"/>
      <c r="L35" s="4"/>
    </row>
    <row r="36" spans="3:12" x14ac:dyDescent="0.3">
      <c r="C36" s="5">
        <v>21</v>
      </c>
      <c r="D36" s="5" t="str">
        <f>_xll.BfX_Help(C36)</f>
        <v>Examples: =BfX_Vx(750;300;0,45) =BfX_Vx(750;300;0,23;"G7")</v>
      </c>
      <c r="E36" s="4"/>
      <c r="F36" s="4"/>
      <c r="G36" s="4"/>
      <c r="H36" s="4"/>
      <c r="I36" s="4"/>
      <c r="J36" s="4"/>
      <c r="K36" s="4"/>
      <c r="L36" s="4"/>
    </row>
    <row r="37" spans="3:12" x14ac:dyDescent="0.3">
      <c r="C37" s="5">
        <v>22</v>
      </c>
      <c r="D37" s="5" t="str">
        <f>_xll.BfX_Help(C37)</f>
        <v xml:space="preserve"> =BfX_Vx("fps";750;30000;"cm";0,45), &lt;dt&gt; indicates a user defined </v>
      </c>
      <c r="E37" s="4"/>
      <c r="F37" s="4"/>
      <c r="G37" s="4"/>
      <c r="H37" s="4"/>
      <c r="I37" s="4"/>
      <c r="J37" s="4"/>
      <c r="K37" s="4"/>
      <c r="L37" s="4"/>
    </row>
    <row r="38" spans="3:12" x14ac:dyDescent="0.3">
      <c r="C38" s="5">
        <v>23</v>
      </c>
      <c r="D38" s="5" t="str">
        <f>_xll.BfX_Help(C38)</f>
        <v>drag table =BfX_Vx(750;300;1.0;&lt;dt&gt;)</v>
      </c>
      <c r="E38" s="4"/>
      <c r="F38" s="4"/>
      <c r="G38" s="4"/>
      <c r="H38" s="4"/>
      <c r="I38" s="4"/>
      <c r="J38" s="4"/>
      <c r="K38" s="4"/>
      <c r="L38" s="4"/>
    </row>
    <row r="39" spans="3:12" x14ac:dyDescent="0.3">
      <c r="C39" s="5">
        <v>24</v>
      </c>
      <c r="D39" s="5" t="str">
        <f>_xll.BfX_Help(C39)</f>
        <v>======================================Drop======================================</v>
      </c>
      <c r="E39" s="4"/>
      <c r="F39" s="4"/>
      <c r="G39" s="4"/>
      <c r="H39" s="4"/>
      <c r="I39" s="4"/>
      <c r="J39" s="4"/>
      <c r="K39" s="4"/>
      <c r="L39" s="4"/>
    </row>
    <row r="40" spans="3:12" x14ac:dyDescent="0.3">
      <c r="C40" s="5">
        <v>25</v>
      </c>
      <c r="D40" s="5" t="str">
        <f>_xll.BfX_Help(C40)</f>
        <v>drop=BfX_D(v0; x; c; df=GP) [m] or converted to angle</v>
      </c>
      <c r="E40" s="4"/>
      <c r="F40" s="4"/>
      <c r="G40" s="4"/>
      <c r="H40" s="4"/>
      <c r="I40" s="4"/>
      <c r="J40" s="4"/>
      <c r="K40" s="4"/>
      <c r="L40" s="4"/>
    </row>
    <row r="41" spans="3:12" x14ac:dyDescent="0.3">
      <c r="C41" s="5">
        <v>26</v>
      </c>
      <c r="D41" s="5" t="str">
        <f>_xll.BfX_Help(C41)</f>
        <v>to convert to angle specify an unit of angle as output unit</v>
      </c>
      <c r="E41" s="4"/>
      <c r="F41" s="4"/>
      <c r="G41" s="4"/>
      <c r="H41" s="4"/>
      <c r="I41" s="4"/>
      <c r="J41" s="4"/>
      <c r="K41" s="4"/>
      <c r="L41" s="4"/>
    </row>
    <row r="42" spans="3:12" x14ac:dyDescent="0.3">
      <c r="C42" s="5">
        <v>27</v>
      </c>
      <c r="D42" s="5" t="str">
        <f>_xll.BfX_Help(C42)</f>
        <v>================================Wind deflection=================================</v>
      </c>
      <c r="E42" s="4"/>
      <c r="F42" s="4"/>
      <c r="G42" s="4"/>
      <c r="H42" s="4"/>
      <c r="I42" s="4"/>
      <c r="J42" s="4"/>
      <c r="K42" s="4"/>
      <c r="L42" s="4"/>
    </row>
    <row r="43" spans="3:12" x14ac:dyDescent="0.3">
      <c r="C43" s="5">
        <v>28</v>
      </c>
      <c r="D43" s="5" t="str">
        <f>_xll.BfX_Help(C43)</f>
        <v>&lt;xw&gt; &lt;vw&gt; are ranges (possible multiple Excel cells) containing</v>
      </c>
      <c r="E43" s="4"/>
      <c r="F43" s="4"/>
      <c r="G43" s="4"/>
      <c r="H43" s="4"/>
      <c r="I43" s="4"/>
      <c r="J43" s="4"/>
      <c r="K43" s="4"/>
      <c r="L43" s="4"/>
    </row>
    <row r="44" spans="3:12" x14ac:dyDescent="0.3">
      <c r="C44" s="5">
        <v>29</v>
      </c>
      <c r="D44" s="5" t="str">
        <f>_xll.BfX_Help(C44)</f>
        <v>wind velocities vw [m/s] at xw [m]</v>
      </c>
      <c r="E44" s="4"/>
      <c r="F44" s="4"/>
      <c r="G44" s="4"/>
      <c r="H44" s="4"/>
      <c r="I44" s="4"/>
      <c r="J44" s="4"/>
      <c r="K44" s="4"/>
      <c r="L44" s="4"/>
    </row>
    <row r="45" spans="3:12" x14ac:dyDescent="0.3">
      <c r="C45" s="5">
        <v>30</v>
      </c>
      <c r="D45" s="5" t="str">
        <f>_xll.BfX_Help(C45)</f>
        <v>wind_deflection=BfX_Y(v0; &lt;xw&gt;; &lt;vw&gt;; x; c; df=GP) [m] or converted to angle</v>
      </c>
      <c r="E45" s="4"/>
      <c r="F45" s="4"/>
      <c r="G45" s="4"/>
      <c r="H45" s="4"/>
      <c r="I45" s="4"/>
      <c r="J45" s="4"/>
      <c r="K45" s="4"/>
      <c r="L45" s="4"/>
    </row>
    <row r="46" spans="3:12" x14ac:dyDescent="0.3">
      <c r="C46" s="5">
        <v>31</v>
      </c>
      <c r="D46" s="5" t="str">
        <f>_xll.BfX_Help(C46)</f>
        <v>to convert to angle specify an unit of angle as output unit</v>
      </c>
      <c r="E46" s="4"/>
      <c r="F46" s="4"/>
      <c r="G46" s="4"/>
      <c r="H46" s="4"/>
      <c r="I46" s="4"/>
      <c r="J46" s="4"/>
      <c r="K46" s="4"/>
      <c r="L46" s="4"/>
    </row>
    <row r="47" spans="3:12" x14ac:dyDescent="0.3">
      <c r="C47" s="5">
        <v>32</v>
      </c>
      <c r="D47" s="5" t="str">
        <f>_xll.BfX_Help(C47)</f>
        <v>===========================Bullet path and elevation============================</v>
      </c>
      <c r="E47" s="4"/>
      <c r="F47" s="4"/>
      <c r="G47" s="4"/>
      <c r="H47" s="4"/>
      <c r="I47" s="4"/>
      <c r="J47" s="4"/>
      <c r="K47" s="4"/>
      <c r="L47" s="4"/>
    </row>
    <row r="48" spans="3:12" x14ac:dyDescent="0.3">
      <c r="C48" s="5">
        <v>33</v>
      </c>
      <c r="D48" s="5" t="str">
        <f>_xll.BfX_Help(C48)</f>
        <v>zx: distance [m] at which impact is h [m]</v>
      </c>
      <c r="E48" s="4"/>
      <c r="F48" s="4"/>
      <c r="G48" s="4"/>
      <c r="H48" s="4"/>
      <c r="I48" s="4"/>
      <c r="J48" s="4"/>
      <c r="K48" s="4"/>
      <c r="L48" s="4"/>
    </row>
    <row r="49" spans="3:12" x14ac:dyDescent="0.3">
      <c r="C49" s="5">
        <v>34</v>
      </c>
      <c r="D49" s="5" t="str">
        <f>_xll.BfX_Help(C49)</f>
        <v>s:  distance line of sight to bore at muzzle &gt;0 [m]</v>
      </c>
      <c r="E49" s="4"/>
      <c r="F49" s="4"/>
      <c r="G49" s="4"/>
      <c r="H49" s="4"/>
      <c r="I49" s="4"/>
      <c r="J49" s="4"/>
      <c r="K49" s="4"/>
      <c r="L49" s="4"/>
    </row>
    <row r="50" spans="3:12" x14ac:dyDescent="0.3">
      <c r="C50" s="5">
        <v>35</v>
      </c>
      <c r="D50" s="5" t="str">
        <f>_xll.BfX_Help(C50)</f>
        <v>e:  elevation,  -pi/2 &lt; e &lt;pi/2 [radians]</v>
      </c>
      <c r="E50" s="4"/>
      <c r="F50" s="4"/>
      <c r="G50" s="4"/>
      <c r="H50" s="4"/>
      <c r="I50" s="4"/>
      <c r="J50" s="4"/>
      <c r="K50" s="4"/>
      <c r="L50" s="4"/>
    </row>
    <row r="51" spans="3:12" x14ac:dyDescent="0.3">
      <c r="C51" s="5">
        <v>36</v>
      </c>
      <c r="D51" s="5" t="str">
        <f>_xll.BfX_Help(C51)</f>
        <v>height_at_x=BfX_Zx(v0; s; h; zx; x; c; df=GP) [m] or converted to angle</v>
      </c>
      <c r="E51" s="4"/>
      <c r="F51" s="4"/>
      <c r="G51" s="4"/>
      <c r="H51" s="4"/>
      <c r="I51" s="4"/>
      <c r="J51" s="4"/>
      <c r="K51" s="4"/>
      <c r="L51" s="4"/>
    </row>
    <row r="52" spans="3:12" x14ac:dyDescent="0.3">
      <c r="C52" s="5">
        <v>37</v>
      </c>
      <c r="D52" s="5" t="str">
        <f>_xll.BfX_Help(C52)</f>
        <v>height_at_x=BfX_Ze(v0; s; e; x; c; df=GP) [m] or converted to angle</v>
      </c>
      <c r="E52" s="4"/>
      <c r="F52" s="4"/>
      <c r="G52" s="4"/>
      <c r="H52" s="4"/>
      <c r="I52" s="4"/>
      <c r="J52" s="4"/>
      <c r="K52" s="4"/>
      <c r="L52" s="4"/>
    </row>
    <row r="53" spans="3:12" x14ac:dyDescent="0.3">
      <c r="C53" s="5">
        <v>38</v>
      </c>
      <c r="D53" s="5" t="str">
        <f>_xll.BfX_Help(C53)</f>
        <v>to convert to angle specify an unit of angle as output unit</v>
      </c>
      <c r="E53" s="4"/>
      <c r="F53" s="4"/>
      <c r="G53" s="4"/>
      <c r="H53" s="4"/>
      <c r="I53" s="4"/>
      <c r="J53" s="4"/>
      <c r="K53" s="4"/>
      <c r="L53" s="4"/>
    </row>
    <row r="54" spans="3:12" x14ac:dyDescent="0.3">
      <c r="C54" s="5">
        <v>39</v>
      </c>
      <c r="D54" s="5" t="str">
        <f>_xll.BfX_Help(C54)</f>
        <v>elevation=BfX_E(v0; s; h; zx; c; df=GP) [radians]</v>
      </c>
      <c r="E54" s="4"/>
      <c r="F54" s="4"/>
      <c r="G54" s="4"/>
      <c r="H54" s="4"/>
      <c r="I54" s="4"/>
      <c r="J54" s="4"/>
      <c r="K54" s="4"/>
      <c r="L54" s="4"/>
    </row>
    <row r="55" spans="3:12" x14ac:dyDescent="0.3">
      <c r="C55" s="5">
        <v>40</v>
      </c>
      <c r="D55" s="5" t="str">
        <f>_xll.BfX_Help(C55)</f>
        <v>============================Weather influences on bc============================</v>
      </c>
      <c r="E55" s="4"/>
      <c r="F55" s="4"/>
      <c r="G55" s="4"/>
      <c r="H55" s="4"/>
      <c r="I55" s="4"/>
      <c r="J55" s="4"/>
      <c r="K55" s="4"/>
      <c r="L55" s="4"/>
    </row>
    <row r="56" spans="3:12" x14ac:dyDescent="0.3">
      <c r="C56" s="5">
        <v>41</v>
      </c>
      <c r="D56" s="5" t="str">
        <f>_xll.BfX_Help(C56)</f>
        <v>P: pressure [Pascal], T: temperature [C], H: humidity [fraction of 1].</v>
      </c>
      <c r="E56" s="4"/>
      <c r="F56" s="4"/>
      <c r="G56" s="4"/>
      <c r="H56" s="4"/>
      <c r="I56" s="4"/>
      <c r="J56" s="4"/>
      <c r="K56" s="4"/>
      <c r="L56" s="4"/>
    </row>
    <row r="57" spans="3:12" x14ac:dyDescent="0.3">
      <c r="C57" s="5">
        <v>42</v>
      </c>
      <c r="D57" s="5" t="str">
        <f>_xll.BfX_Help(C57)</f>
        <v xml:space="preserve">for other than default atmospheric conditions, multiply ballistic </v>
      </c>
      <c r="E57" s="4"/>
      <c r="F57" s="4"/>
      <c r="G57" s="4"/>
      <c r="H57" s="4"/>
      <c r="I57" s="4"/>
      <c r="J57" s="4"/>
      <c r="K57" s="4"/>
      <c r="L57" s="4"/>
    </row>
    <row r="58" spans="3:12" x14ac:dyDescent="0.3">
      <c r="C58" s="5">
        <v>43</v>
      </c>
      <c r="D58" s="5" t="str">
        <f>_xll.BfX_Help(C58)</f>
        <v>coefficient with</v>
      </c>
      <c r="E58" s="4"/>
      <c r="F58" s="4"/>
      <c r="G58" s="4"/>
      <c r="H58" s="4"/>
      <c r="I58" s="4"/>
      <c r="J58" s="4"/>
      <c r="K58" s="4"/>
      <c r="L58" s="4"/>
    </row>
    <row r="59" spans="3:12" x14ac:dyDescent="0.3">
      <c r="C59" s="5">
        <v>44</v>
      </c>
      <c r="D59" s="5" t="str">
        <f>_xll.BfX_Help(C59)</f>
        <v>BfX_C(T=15 [Celcius]; P=101324.6  [Pa], H=0.0 [fraction of 1]) []</v>
      </c>
      <c r="E59" s="4"/>
      <c r="F59" s="4"/>
      <c r="G59" s="4"/>
      <c r="H59" s="4"/>
      <c r="I59" s="4"/>
      <c r="J59" s="4"/>
      <c r="K59" s="4"/>
      <c r="L59" s="4"/>
    </row>
    <row r="60" spans="3:12" x14ac:dyDescent="0.3">
      <c r="C60" s="5">
        <v>45</v>
      </c>
      <c r="D60" s="5" t="str">
        <f>_xll.BfX_Help(C60)</f>
        <v>=================================Air properties=================================</v>
      </c>
      <c r="E60" s="4"/>
      <c r="F60" s="4"/>
      <c r="G60" s="4"/>
      <c r="H60" s="4"/>
      <c r="I60" s="4"/>
      <c r="J60" s="4"/>
      <c r="K60" s="4"/>
      <c r="L60" s="4"/>
    </row>
    <row r="61" spans="3:12" x14ac:dyDescent="0.3">
      <c r="C61" s="5">
        <v>46</v>
      </c>
      <c r="D61" s="5" t="str">
        <f>_xll.BfX_Help(C61)</f>
        <v>P: pressure [Pascal], T: temperature [C], H: humidity [fraction of 1].</v>
      </c>
      <c r="E61" s="4"/>
      <c r="F61" s="4"/>
      <c r="G61" s="4"/>
      <c r="H61" s="4"/>
      <c r="I61" s="4"/>
      <c r="J61" s="4"/>
      <c r="K61" s="4"/>
      <c r="L61" s="4"/>
    </row>
    <row r="62" spans="3:12" x14ac:dyDescent="0.3">
      <c r="C62" s="5">
        <v>47</v>
      </c>
      <c r="D62" s="5" t="str">
        <f>_xll.BfX_Help(C62)</f>
        <v>air density = BfX_Ad(T=15 [C]; P=101324.6 [Pa]; H=0.0 [fraction of 1]) [kg/m^3]</v>
      </c>
      <c r="E62" s="4"/>
      <c r="F62" s="4"/>
      <c r="G62" s="4"/>
      <c r="H62" s="4"/>
      <c r="I62" s="4"/>
      <c r="J62" s="4"/>
      <c r="K62" s="4"/>
      <c r="L62" s="4"/>
    </row>
    <row r="63" spans="3:12" x14ac:dyDescent="0.3">
      <c r="C63" s="5">
        <v>48</v>
      </c>
      <c r="D63" s="5" t="str">
        <f>_xll.BfX_Help(C63)</f>
        <v>======================Input output unit conversion in BfX=======================</v>
      </c>
      <c r="E63" s="4"/>
      <c r="F63" s="4"/>
      <c r="G63" s="4"/>
      <c r="H63" s="4"/>
      <c r="I63" s="4"/>
      <c r="J63" s="4"/>
      <c r="K63" s="4"/>
      <c r="L63" s="4"/>
    </row>
    <row r="64" spans="3:12" x14ac:dyDescent="0.3">
      <c r="C64" s="5">
        <v>49</v>
      </c>
      <c r="D64" s="5" t="str">
        <f>_xll.BfX_Help(C64)</f>
        <v>Functions can produce output in other units: specify as first</v>
      </c>
      <c r="E64" s="4"/>
      <c r="F64" s="4"/>
      <c r="G64" s="4"/>
      <c r="H64" s="4"/>
      <c r="I64" s="4"/>
      <c r="J64" s="4"/>
      <c r="K64" s="4"/>
      <c r="L64" s="4"/>
    </row>
    <row r="65" spans="3:12" x14ac:dyDescent="0.3">
      <c r="C65" s="5">
        <v>50</v>
      </c>
      <c r="D65" s="5" t="str">
        <f>_xll.BfX_Help(C65)</f>
        <v>argument the desired unit, e.g. =BFX_D("cm"; v0; x; c). The</v>
      </c>
      <c r="E65" s="4"/>
      <c r="F65" s="4"/>
      <c r="G65" s="4"/>
      <c r="H65" s="4"/>
      <c r="I65" s="4"/>
      <c r="J65" s="4"/>
      <c r="K65" s="4"/>
      <c r="L65" s="4"/>
    </row>
    <row r="66" spans="3:12" x14ac:dyDescent="0.3">
      <c r="C66" s="5">
        <v>51</v>
      </c>
      <c r="D66" s="5" t="str">
        <f>_xll.BfX_Help(C66)</f>
        <v>functions accept also input in other units, just input the</v>
      </c>
      <c r="E66" s="4"/>
      <c r="F66" s="4"/>
      <c r="G66" s="4"/>
      <c r="H66" s="4"/>
      <c r="I66" s="4"/>
      <c r="J66" s="4"/>
      <c r="K66" s="4"/>
      <c r="L66" s="4"/>
    </row>
    <row r="67" spans="3:12" x14ac:dyDescent="0.3">
      <c r="C67" s="5">
        <v>52</v>
      </c>
      <c r="D67" s="5" t="str">
        <f>_xll.BfX_Help(C67)</f>
        <v>desired unit after the value as an separate argument, e.g.</v>
      </c>
      <c r="E67" s="4"/>
      <c r="F67" s="4"/>
      <c r="G67" s="4"/>
      <c r="H67" s="4"/>
      <c r="I67" s="4"/>
      <c r="J67" s="4"/>
      <c r="K67" s="4"/>
      <c r="L67" s="4"/>
    </row>
    <row r="68" spans="3:12" x14ac:dyDescent="0.3">
      <c r="C68" s="5">
        <v>53</v>
      </c>
      <c r="D68" s="5" t="str">
        <f>_xll.BfX_Help(C68)</f>
        <v>=BFX_D("cm"; v0; "fps"; x; "yd"; c; "G7"), here input in Imperial</v>
      </c>
      <c r="E68" s="4"/>
      <c r="F68" s="4"/>
      <c r="G68" s="4"/>
      <c r="H68" s="4"/>
      <c r="I68" s="4"/>
      <c r="J68" s="4"/>
      <c r="K68" s="4"/>
      <c r="L68" s="4"/>
    </row>
    <row r="69" spans="3:12" x14ac:dyDescent="0.3">
      <c r="C69" s="5">
        <v>54</v>
      </c>
      <c r="D69" s="5" t="str">
        <f>_xll.BfX_Help(C69)</f>
        <v>units and output in centimeters and c according to the G7 drag tables.</v>
      </c>
      <c r="E69" s="4"/>
      <c r="F69" s="4"/>
      <c r="G69" s="4"/>
      <c r="H69" s="4"/>
      <c r="I69" s="4"/>
      <c r="J69" s="4"/>
      <c r="K69" s="4"/>
      <c r="L69" s="4"/>
    </row>
    <row r="70" spans="3:12" x14ac:dyDescent="0.3">
      <c r="C70" s="5">
        <v>55</v>
      </c>
      <c r="D70" s="5" t="str">
        <f>_xll.BfX_Help(C70)</f>
        <v>==============================Conversion of units===============================</v>
      </c>
      <c r="E70" s="4"/>
      <c r="F70" s="4"/>
      <c r="G70" s="4"/>
      <c r="H70" s="4"/>
      <c r="I70" s="4"/>
      <c r="J70" s="4"/>
      <c r="K70" s="4"/>
      <c r="L70" s="4"/>
    </row>
    <row r="71" spans="3:12" x14ac:dyDescent="0.3">
      <c r="C71" s="5">
        <v>56</v>
      </c>
      <c r="D71" s="5" t="str">
        <f>_xll.BfX_Help(C71)</f>
        <v>Unit conversion, v is a value, specify either or both input and output unit</v>
      </c>
      <c r="E71" s="4"/>
      <c r="F71" s="4"/>
      <c r="G71" s="4"/>
      <c r="H71" s="4"/>
      <c r="I71" s="4"/>
      <c r="J71" s="4"/>
      <c r="K71" s="4"/>
      <c r="L71" s="4"/>
    </row>
    <row r="72" spans="3:12" x14ac:dyDescent="0.3">
      <c r="C72" s="5">
        <v>57</v>
      </c>
      <c r="D72" s="5" t="str">
        <f>_xll.BfX_Help(C72)</f>
        <v>units might be of different(!), eg. "ft" and "kg"</v>
      </c>
      <c r="E72" s="4"/>
      <c r="F72" s="4"/>
      <c r="G72" s="4"/>
      <c r="H72" s="4"/>
      <c r="I72" s="4"/>
      <c r="J72" s="4"/>
      <c r="K72" s="4"/>
      <c r="L72" s="4"/>
    </row>
    <row r="73" spans="3:12" x14ac:dyDescent="0.3">
      <c r="C73" s="5">
        <v>58</v>
      </c>
      <c r="D73" s="5" t="str">
        <f>_xll.BfX_Help(C73)</f>
        <v>value_in_other_unit = BfX_U(value) e.g. v=BfX_U("km";120;"ft")</v>
      </c>
      <c r="E73" s="4"/>
      <c r="F73" s="4"/>
      <c r="G73" s="4"/>
      <c r="H73" s="4"/>
      <c r="I73" s="4"/>
      <c r="J73" s="4"/>
      <c r="K73" s="4"/>
      <c r="L73" s="4"/>
    </row>
    <row r="74" spans="3:12" x14ac:dyDescent="0.3">
      <c r="C74" s="5">
        <v>59</v>
      </c>
      <c r="D74" s="5" t="str">
        <f>_xll.BfX_Help(C74)</f>
        <v>Calculation of an angle from distance and height:</v>
      </c>
      <c r="E74" s="4"/>
      <c r="F74" s="4"/>
      <c r="G74" s="4"/>
      <c r="H74" s="4"/>
      <c r="I74" s="4"/>
      <c r="J74" s="4"/>
      <c r="K74" s="4"/>
      <c r="L74" s="4"/>
    </row>
    <row r="75" spans="3:12" x14ac:dyDescent="0.3">
      <c r="C75" s="5">
        <v>60</v>
      </c>
      <c r="D75" s="5" t="str">
        <f>_xll.BfX_Help(C75)</f>
        <v>angle = bfx_ax(x; h) [radians]</v>
      </c>
      <c r="E75" s="4"/>
      <c r="F75" s="4"/>
      <c r="G75" s="4"/>
      <c r="H75" s="4"/>
      <c r="I75" s="4"/>
      <c r="J75" s="4"/>
      <c r="K75" s="4"/>
      <c r="L75" s="4"/>
    </row>
    <row r="76" spans="3:12" x14ac:dyDescent="0.3">
      <c r="C76" s="5">
        <v>61</v>
      </c>
      <c r="D76" s="5" t="str">
        <f>_xll.BfX_Help(C76)</f>
        <v>===================List of supported units and drag functions===================</v>
      </c>
      <c r="E76" s="4"/>
      <c r="F76" s="4"/>
      <c r="G76" s="4"/>
      <c r="H76" s="4"/>
      <c r="I76" s="4"/>
      <c r="J76" s="4"/>
      <c r="K76" s="4"/>
      <c r="L76" s="4"/>
    </row>
    <row r="77" spans="3:12" x14ac:dyDescent="0.3">
      <c r="C77" s="5">
        <v>62</v>
      </c>
      <c r="D77" s="5" t="str">
        <f>_xll.BfX_Help(C77)</f>
        <v>use =BfX_Help2(i) with i=0,1,2, ...</v>
      </c>
      <c r="E77" s="4"/>
      <c r="F77" s="4"/>
      <c r="G77" s="4"/>
      <c r="H77" s="4"/>
      <c r="I77" s="4"/>
      <c r="J77" s="4"/>
      <c r="K77" s="4"/>
      <c r="L77" s="4"/>
    </row>
    <row r="78" spans="3:12" x14ac:dyDescent="0.3">
      <c r="C78" s="5">
        <v>63</v>
      </c>
      <c r="D78" s="5" t="str">
        <f>_xll.BfX_Help(C78)</f>
        <v>================================Error reporting=================================</v>
      </c>
      <c r="E78" s="4"/>
      <c r="F78" s="4"/>
      <c r="G78" s="4"/>
      <c r="H78" s="4"/>
      <c r="I78" s="4"/>
      <c r="J78" s="4"/>
      <c r="K78" s="4"/>
      <c r="L78" s="4"/>
    </row>
    <row r="79" spans="3:12" x14ac:dyDescent="0.3">
      <c r="C79" s="5">
        <v>64</v>
      </c>
      <c r="D79" s="5" t="str">
        <f>_xll.BfX_Help(C79)</f>
        <v>&lt;r&gt; is an optional range</v>
      </c>
      <c r="E79" s="4"/>
      <c r="F79" s="4"/>
      <c r="G79" s="4"/>
      <c r="H79" s="4"/>
      <c r="I79" s="4"/>
      <c r="J79" s="4"/>
      <c r="K79" s="4"/>
      <c r="L79" s="4"/>
    </row>
    <row r="80" spans="3:12" x14ac:dyDescent="0.3">
      <c r="C80" s="5">
        <v>65</v>
      </c>
      <c r="D80" s="5" t="str">
        <f>_xll.BfX_Help(C80)</f>
        <v>use =BfX_IQ(&lt;r&gt;) for information on your recent (un)succesful calculation</v>
      </c>
      <c r="E80" s="4"/>
      <c r="F80" s="4"/>
      <c r="G80" s="4"/>
      <c r="H80" s="4"/>
      <c r="I80" s="4"/>
      <c r="J80" s="4"/>
      <c r="K80" s="4"/>
      <c r="L80" s="4"/>
    </row>
    <row r="81" spans="3:12" s="105" customFormat="1" x14ac:dyDescent="0.3">
      <c r="C81" s="5">
        <v>66</v>
      </c>
      <c r="D81" s="5" t="str">
        <f>_xll.BfX_Help(C81)</f>
        <v>use =BfX_Info(i,&lt;r&gt;) with i=0,1,2,... for a history on calculations</v>
      </c>
      <c r="E81" s="4"/>
      <c r="F81" s="4"/>
      <c r="G81" s="4"/>
      <c r="H81" s="4"/>
      <c r="I81" s="4"/>
      <c r="J81" s="4"/>
      <c r="K81" s="4"/>
      <c r="L81" s="4"/>
    </row>
    <row r="82" spans="3:12" s="105" customFormat="1" x14ac:dyDescent="0.3">
      <c r="C82" s="5">
        <v>67</v>
      </c>
      <c r="D82" s="5" t="str">
        <f>_xll.BfX_Help(C82)</f>
        <v>==============================Display Cell Formula==============================</v>
      </c>
      <c r="E82" s="4"/>
      <c r="F82" s="4"/>
      <c r="G82" s="4"/>
      <c r="H82" s="4"/>
      <c r="I82" s="4"/>
      <c r="J82" s="4"/>
      <c r="K82" s="4"/>
      <c r="L82" s="4"/>
    </row>
    <row r="83" spans="3:12" s="105" customFormat="1" x14ac:dyDescent="0.3">
      <c r="C83" s="5">
        <v>68</v>
      </c>
      <c r="D83" s="5" t="str">
        <f>_xll.BfX_Help(C83)</f>
        <v>use =BfX_Cell(&lt;r&gt;) to display the formula of the cell left top cell of a range</v>
      </c>
      <c r="E83" s="4"/>
      <c r="F83" s="4"/>
      <c r="G83" s="4"/>
      <c r="H83" s="4"/>
      <c r="I83" s="4"/>
      <c r="J83" s="4"/>
      <c r="K83" s="4"/>
      <c r="L83" s="4"/>
    </row>
    <row r="84" spans="3:12" s="105" customFormat="1" x14ac:dyDescent="0.3">
      <c r="C84" s="5">
        <v>69</v>
      </c>
      <c r="D84" s="5" t="str">
        <f>_xll.BfX_Help(C84)</f>
        <v>use if necessary, ANY change, wherever in the WHOLE workbook updates BFX_Cell</v>
      </c>
      <c r="E84" s="4"/>
      <c r="F84" s="4"/>
      <c r="G84" s="4"/>
      <c r="H84" s="4"/>
      <c r="I84" s="4"/>
      <c r="J84" s="4"/>
      <c r="K84" s="4"/>
      <c r="L84" s="4"/>
    </row>
    <row r="85" spans="3:12" s="105" customFormat="1" x14ac:dyDescent="0.3">
      <c r="C85" s="5">
        <v>70</v>
      </c>
      <c r="D85" s="5" t="str">
        <f>_xll.BfX_Help(C85)</f>
        <v>BfX_Cell is a volatile function, incompatible with some other Excel functions</v>
      </c>
      <c r="E85" s="4"/>
      <c r="F85" s="4"/>
      <c r="G85" s="4"/>
      <c r="H85" s="4"/>
      <c r="I85" s="4"/>
      <c r="J85" s="4"/>
      <c r="K85" s="4"/>
      <c r="L85" s="4"/>
    </row>
    <row r="86" spans="3:12" s="105" customFormat="1" x14ac:dyDescent="0.3">
      <c r="C86" s="5">
        <v>71</v>
      </c>
      <c r="D86" s="5" t="str">
        <f>_xll.BfX_Help(C86)</f>
        <v>Volatile Excel functions are currently crashing the Excel SOLVER addin</v>
      </c>
      <c r="E86" s="4"/>
      <c r="F86" s="4"/>
      <c r="G86" s="4"/>
      <c r="H86" s="4"/>
      <c r="I86" s="4"/>
      <c r="J86" s="4"/>
      <c r="K86" s="4"/>
      <c r="L86" s="4"/>
    </row>
    <row r="87" spans="3:12" s="105" customFormat="1" x14ac:dyDescent="0.3">
      <c r="C87" s="5">
        <v>72</v>
      </c>
      <c r="D87" s="5" t="str">
        <f>_xll.BfX_Help(C87)</f>
        <v>Remove BfX_Cell when ready</v>
      </c>
      <c r="E87" s="4"/>
      <c r="F87" s="4"/>
      <c r="G87" s="4"/>
      <c r="H87" s="4"/>
      <c r="I87" s="4"/>
      <c r="J87" s="4"/>
      <c r="K87" s="4"/>
      <c r="L87" s="4"/>
    </row>
    <row r="88" spans="3:12" s="105" customFormat="1" x14ac:dyDescent="0.3">
      <c r="C88" s="5">
        <v>73</v>
      </c>
      <c r="D88" s="5" t="str">
        <f>_xll.BfX_Help(C88)</f>
        <v>=================================Interpolation==================================</v>
      </c>
      <c r="E88" s="4"/>
      <c r="F88" s="4"/>
      <c r="G88" s="4"/>
      <c r="H88" s="4"/>
      <c r="I88" s="4"/>
      <c r="J88" s="4"/>
      <c r="K88" s="4"/>
      <c r="L88" s="4"/>
    </row>
    <row r="89" spans="3:12" s="105" customFormat="1" x14ac:dyDescent="0.3">
      <c r="C89" s="5">
        <v>74</v>
      </c>
      <c r="D89" s="5" t="str">
        <f>_xll.BfX_Help(C89)</f>
        <v>&lt;xi&gt; a (possible unordered) range with at least two elements,</v>
      </c>
      <c r="E89" s="4"/>
      <c r="F89" s="4"/>
      <c r="G89" s="4"/>
      <c r="H89" s="4"/>
      <c r="I89" s="4"/>
      <c r="J89" s="4"/>
      <c r="K89" s="4"/>
      <c r="L89" s="4"/>
    </row>
    <row r="90" spans="3:12" s="105" customFormat="1" x14ac:dyDescent="0.3">
      <c r="C90" s="5">
        <v>75</v>
      </c>
      <c r="D90" s="5" t="str">
        <f>_xll.BfX_Help(C90)</f>
        <v>&lt;gxi&gt; a range containing g(xi) where g(x) is a function of x</v>
      </c>
      <c r="E90" s="4"/>
      <c r="F90" s="4"/>
      <c r="G90" s="4"/>
      <c r="H90" s="4"/>
      <c r="I90" s="4"/>
      <c r="J90" s="4"/>
      <c r="K90" s="4"/>
      <c r="L90" s="4"/>
    </row>
    <row r="91" spans="3:12" s="105" customFormat="1" x14ac:dyDescent="0.3">
      <c r="C91" s="5">
        <v>76</v>
      </c>
      <c r="D91" s="5" t="str">
        <f>_xll.BfX_Help(C91)</f>
        <v>x is a value for which g(x) is to be estimated with an accuracy a (if possible)</v>
      </c>
      <c r="E91" s="4"/>
      <c r="F91" s="4"/>
      <c r="G91" s="4"/>
      <c r="H91" s="4"/>
      <c r="I91" s="4"/>
      <c r="J91" s="4"/>
      <c r="K91" s="4"/>
      <c r="L91" s="4"/>
    </row>
    <row r="92" spans="3:12" s="105" customFormat="1" x14ac:dyDescent="0.3">
      <c r="C92" s="5">
        <v>77</v>
      </c>
      <c r="D92" s="5" t="str">
        <f>_xll.BfX_Help(C92)</f>
        <v>m is the output mode, m= I, A, N, T,</v>
      </c>
      <c r="E92" s="4"/>
      <c r="F92" s="4"/>
      <c r="G92" s="4"/>
      <c r="H92" s="4"/>
      <c r="I92" s="4"/>
      <c r="J92" s="4"/>
      <c r="K92" s="4"/>
      <c r="L92" s="4"/>
    </row>
    <row r="93" spans="3:12" s="105" customFormat="1" x14ac:dyDescent="0.3">
      <c r="C93" s="5">
        <v>78</v>
      </c>
      <c r="D93" s="5" t="str">
        <f>_xll.BfX_Help(C93)</f>
        <v xml:space="preserve">   I: returns the inter/extra polated value, (default if m is omitted)</v>
      </c>
      <c r="E93" s="4"/>
      <c r="F93" s="4"/>
      <c r="G93" s="4"/>
      <c r="H93" s="4"/>
      <c r="I93" s="4"/>
      <c r="J93" s="4"/>
      <c r="K93" s="4"/>
      <c r="L93" s="4"/>
    </row>
    <row r="94" spans="3:12" s="105" customFormat="1" x14ac:dyDescent="0.3">
      <c r="C94" s="5">
        <v>79</v>
      </c>
      <c r="D94" s="5" t="str">
        <f>_xll.BfX_Help(C94)</f>
        <v xml:space="preserve">   A: returns the estimated accuracy of interpolated value,</v>
      </c>
      <c r="E94" s="4"/>
      <c r="F94" s="4"/>
      <c r="G94" s="4"/>
      <c r="H94" s="4"/>
      <c r="I94" s="4"/>
      <c r="J94" s="4"/>
      <c r="K94" s="4"/>
      <c r="L94" s="4"/>
    </row>
    <row r="95" spans="3:12" s="105" customFormat="1" x14ac:dyDescent="0.3">
      <c r="C95" s="5">
        <v>80</v>
      </c>
      <c r="D95" s="5" t="str">
        <f>_xll.BfX_Help(C95)</f>
        <v xml:space="preserve">   N: returns the the number of points used in the interpolation,</v>
      </c>
      <c r="E95" s="4"/>
      <c r="F95" s="4"/>
      <c r="G95" s="4"/>
      <c r="H95" s="4"/>
      <c r="I95" s="4"/>
      <c r="J95" s="4"/>
      <c r="K95" s="4"/>
      <c r="L95" s="4"/>
    </row>
    <row r="96" spans="3:12" s="105" customFormat="1" x14ac:dyDescent="0.3">
      <c r="C96" s="5">
        <v>81</v>
      </c>
      <c r="D96" s="5" t="str">
        <f>_xll.BfX_Help(C96)</f>
        <v xml:space="preserve">   T: returns the type of the result,</v>
      </c>
      <c r="E96" s="4"/>
      <c r="F96" s="4"/>
      <c r="G96" s="4"/>
      <c r="H96" s="4"/>
      <c r="I96" s="4"/>
      <c r="J96" s="4"/>
      <c r="K96" s="4"/>
      <c r="L96" s="4"/>
    </row>
    <row r="97" spans="3:12" s="105" customFormat="1" x14ac:dyDescent="0.3">
      <c r="C97" s="5">
        <v>82</v>
      </c>
      <c r="D97" s="5" t="str">
        <f>_xll.BfX_Help(C97)</f>
        <v xml:space="preserve">      -1 interpolation with better then the requested accuracy</v>
      </c>
      <c r="E97" s="4"/>
      <c r="F97" s="4"/>
      <c r="G97" s="4"/>
      <c r="H97" s="4"/>
      <c r="I97" s="4"/>
      <c r="J97" s="4"/>
      <c r="K97" s="4"/>
      <c r="L97" s="4"/>
    </row>
    <row r="98" spans="3:12" s="105" customFormat="1" x14ac:dyDescent="0.3">
      <c r="C98" s="5">
        <v>83</v>
      </c>
      <c r="D98" s="5" t="str">
        <f>_xll.BfX_Help(C98)</f>
        <v xml:space="preserve">      -2 interpolation not neccessary, x was present in &lt;xi&gt; and &lt;gi&gt; returned</v>
      </c>
      <c r="E98" s="4"/>
      <c r="F98" s="4"/>
      <c r="G98" s="4"/>
      <c r="H98" s="4"/>
      <c r="I98" s="4"/>
      <c r="J98" s="4"/>
      <c r="K98" s="4"/>
      <c r="L98" s="4"/>
    </row>
    <row r="99" spans="3:12" s="105" customFormat="1" x14ac:dyDescent="0.3">
      <c r="C99" s="5">
        <v>84</v>
      </c>
      <c r="D99" s="5" t="str">
        <f>_xll.BfX_Help(C99)</f>
        <v xml:space="preserve">      -3 extrapolation with better then the requested accuracy</v>
      </c>
      <c r="E99" s="4"/>
      <c r="F99" s="4"/>
      <c r="G99" s="4"/>
      <c r="H99" s="4"/>
      <c r="I99" s="4"/>
      <c r="J99" s="4"/>
      <c r="K99" s="4"/>
      <c r="L99" s="4"/>
    </row>
    <row r="100" spans="3:12" s="105" customFormat="1" x14ac:dyDescent="0.3">
      <c r="C100" s="5">
        <v>85</v>
      </c>
      <c r="D100" s="5" t="str">
        <f>_xll.BfX_Help(C100)</f>
        <v xml:space="preserve">       0 interpolation with less then the requested accuracy</v>
      </c>
      <c r="E100" s="4"/>
      <c r="F100" s="4"/>
      <c r="G100" s="4"/>
      <c r="H100" s="4"/>
      <c r="I100" s="4"/>
      <c r="J100" s="4"/>
      <c r="K100" s="4"/>
      <c r="L100" s="4"/>
    </row>
    <row r="101" spans="3:12" s="105" customFormat="1" x14ac:dyDescent="0.3">
      <c r="C101" s="5">
        <v>86</v>
      </c>
      <c r="D101" s="5" t="str">
        <f>_xll.BfX_Help(C101)</f>
        <v xml:space="preserve">       1 extrapolation with less then the requested accuracy</v>
      </c>
      <c r="E101" s="4"/>
      <c r="F101" s="4"/>
      <c r="G101" s="4"/>
      <c r="H101" s="4"/>
      <c r="I101" s="4"/>
      <c r="J101" s="4"/>
      <c r="K101" s="4"/>
      <c r="L101" s="4"/>
    </row>
    <row r="102" spans="3:12" s="105" customFormat="1" x14ac:dyDescent="0.3">
      <c r="C102" s="5">
        <v>87</v>
      </c>
      <c r="D102" s="5" t="str">
        <f>_xll.BfX_Help(C102)</f>
        <v>interpolation g(x)= BfX_I(&lt;xi&gt;; &lt;gxi&gt;; x; accuracy=1E-5; m=I)</v>
      </c>
      <c r="E102" s="4"/>
      <c r="F102" s="4"/>
      <c r="G102" s="4"/>
      <c r="H102" s="4"/>
      <c r="I102" s="4"/>
      <c r="J102" s="4"/>
      <c r="K102" s="4"/>
      <c r="L102" s="4"/>
    </row>
    <row r="103" spans="3:12" s="105" customFormat="1" x14ac:dyDescent="0.3">
      <c r="C103" s="5">
        <v>88</v>
      </c>
      <c r="D103" s="5" t="str">
        <f>_xll.BfX_Help(C103)</f>
        <v>===============================Drag coefficients================================</v>
      </c>
      <c r="E103" s="4"/>
      <c r="F103" s="4"/>
      <c r="G103" s="4"/>
      <c r="H103" s="4"/>
      <c r="I103" s="4"/>
      <c r="J103" s="4"/>
      <c r="K103" s="4"/>
      <c r="L103" s="4"/>
    </row>
    <row r="104" spans="3:12" s="105" customFormat="1" x14ac:dyDescent="0.3">
      <c r="C104" s="5">
        <v>89</v>
      </c>
      <c r="D104" s="5" t="str">
        <f>_xll.BfX_Help(C104)</f>
        <v>Cd=BfX_Cd(v0; df=GP) []</v>
      </c>
      <c r="E104" s="4"/>
      <c r="F104" s="4"/>
      <c r="G104" s="4"/>
      <c r="H104" s="4"/>
      <c r="I104" s="4"/>
      <c r="J104" s="4"/>
      <c r="K104" s="4"/>
      <c r="L104" s="4"/>
    </row>
    <row r="105" spans="3:12" s="105" customFormat="1" x14ac:dyDescent="0.3">
      <c r="C105" s="5">
        <v>90</v>
      </c>
      <c r="D105" s="5" t="str">
        <f>_xll.BfX_Help(C105)</f>
        <v>==========================Non volatile random numbers===========================</v>
      </c>
      <c r="E105" s="4"/>
      <c r="F105" s="4"/>
      <c r="G105" s="4"/>
      <c r="H105" s="4"/>
      <c r="I105" s="4"/>
      <c r="J105" s="4"/>
      <c r="K105" s="4"/>
      <c r="L105" s="4"/>
    </row>
    <row r="106" spans="3:12" s="105" customFormat="1" x14ac:dyDescent="0.3">
      <c r="C106" s="5">
        <v>91</v>
      </c>
      <c r="D106" s="5" t="str">
        <f>_xll.BfX_Help(C106)</f>
        <v>i is a positive integer number, b is the bottom value, t (&gt;b) is the top value</v>
      </c>
      <c r="E106" s="4"/>
      <c r="F106" s="4"/>
      <c r="G106" s="4"/>
      <c r="H106" s="4"/>
      <c r="I106" s="4"/>
      <c r="J106" s="4"/>
      <c r="K106" s="4"/>
      <c r="L106" s="4"/>
    </row>
    <row r="107" spans="3:12" s="105" customFormat="1" x14ac:dyDescent="0.3">
      <c r="C107" s="5">
        <v>92</v>
      </c>
      <c r="D107" s="5" t="str">
        <f>_xll.BfX_Help(C107)</f>
        <v>&lt;r&gt; is an optional range</v>
      </c>
      <c r="E107" s="4"/>
      <c r="F107" s="4"/>
      <c r="G107" s="4"/>
      <c r="H107" s="4"/>
      <c r="I107" s="4"/>
      <c r="J107" s="4"/>
      <c r="K107" s="4"/>
      <c r="L107" s="4"/>
    </row>
    <row r="108" spans="3:12" s="105" customFormat="1" x14ac:dyDescent="0.3">
      <c r="C108" s="5">
        <v>93</v>
      </c>
      <c r="D108" s="5" t="str">
        <f>_xll.BfX_Help(C108)</f>
        <v>random_number = BfX_Ran(i; &lt;r&gt;) 0 &lt;= random_number &lt;= 1]</v>
      </c>
      <c r="E108" s="4"/>
      <c r="F108" s="4"/>
      <c r="G108" s="4"/>
      <c r="H108" s="4"/>
      <c r="I108" s="4"/>
      <c r="J108" s="4"/>
      <c r="K108" s="4"/>
      <c r="L108" s="4"/>
    </row>
    <row r="109" spans="3:12" s="105" customFormat="1" x14ac:dyDescent="0.3">
      <c r="C109" s="5">
        <v>94</v>
      </c>
      <c r="D109" s="5" t="str">
        <f>_xll.BfX_Help(C109)</f>
        <v>b &lt;= random_number &lt;= t = BfX_Ranb(i; b; t; &lt;r&gt;)</v>
      </c>
      <c r="E109" s="4"/>
      <c r="F109" s="4"/>
      <c r="G109" s="4"/>
      <c r="H109" s="4"/>
      <c r="I109" s="4"/>
      <c r="J109" s="4"/>
      <c r="K109" s="4"/>
      <c r="L109" s="4"/>
    </row>
    <row r="110" spans="3:12" s="105" customFormat="1" x14ac:dyDescent="0.3">
      <c r="C110" s="5">
        <v>95</v>
      </c>
      <c r="D110" s="5" t="str">
        <f>_xll.BfX_Help(C110)</f>
        <v>c and s are center and width of normal distribution</v>
      </c>
      <c r="E110" s="4"/>
      <c r="F110" s="4"/>
      <c r="G110" s="4"/>
      <c r="H110" s="4"/>
      <c r="I110" s="4"/>
      <c r="J110" s="4"/>
      <c r="K110" s="4"/>
      <c r="L110" s="4"/>
    </row>
    <row r="111" spans="3:12" s="105" customFormat="1" x14ac:dyDescent="0.3">
      <c r="C111" s="5">
        <v>96</v>
      </c>
      <c r="D111" s="5" t="str">
        <f>_xll.BfX_Help(C111)</f>
        <v xml:space="preserve">normal distribution b &lt;= random_number &lt;= t= BfX_Rang(i; c; s; b; t; &lt;r&gt;) </v>
      </c>
      <c r="E111" s="4"/>
      <c r="F111" s="4"/>
      <c r="G111" s="4"/>
      <c r="H111" s="4"/>
      <c r="I111" s="4"/>
      <c r="J111" s="4"/>
      <c r="K111" s="4"/>
      <c r="L111" s="4"/>
    </row>
    <row r="112" spans="3:12" s="105" customFormat="1" x14ac:dyDescent="0.3">
      <c r="C112" s="5">
        <v>97</v>
      </c>
      <c r="D112" s="5" t="str">
        <f>_xll.BfX_Help(C112)</f>
        <v>use &lt;r&gt; to link cells to guide Excels calculation order</v>
      </c>
      <c r="E112" s="4"/>
      <c r="F112" s="4"/>
      <c r="G112" s="4"/>
      <c r="H112" s="4"/>
      <c r="I112" s="4"/>
      <c r="J112" s="4"/>
      <c r="K112" s="4"/>
      <c r="L112" s="4"/>
    </row>
    <row r="113" spans="3:12" s="105" customFormat="1" x14ac:dyDescent="0.3">
      <c r="C113" s="5">
        <v>98</v>
      </c>
      <c r="D113" s="5" t="str">
        <f>_xll.BfX_Help(C113)</f>
        <v>==========================check if a range has changed==========================</v>
      </c>
      <c r="E113" s="4"/>
      <c r="F113" s="4"/>
      <c r="G113" s="4"/>
      <c r="H113" s="4"/>
      <c r="I113" s="4"/>
      <c r="J113" s="4"/>
      <c r="K113" s="4"/>
      <c r="L113" s="4"/>
    </row>
    <row r="114" spans="3:12" s="105" customFormat="1" x14ac:dyDescent="0.3">
      <c r="C114" s="5">
        <v>99</v>
      </c>
      <c r="D114" s="5" t="str">
        <f>_xll.BfX_Help(C114)</f>
        <v>Compute a short text that uniquely identifies all values in a range &lt;r&gt;,</v>
      </c>
      <c r="E114" s="4"/>
      <c r="F114" s="4"/>
      <c r="G114" s="4"/>
      <c r="H114" s="4"/>
      <c r="I114" s="4"/>
      <c r="J114" s="4"/>
      <c r="K114" s="4"/>
      <c r="L114" s="4"/>
    </row>
    <row r="115" spans="3:12" s="105" customFormat="1" x14ac:dyDescent="0.3">
      <c r="C115" s="5">
        <v>100</v>
      </c>
      <c r="D115" s="5" t="str">
        <f>_xll.BfX_Help(C115)</f>
        <v>m specifies what is included in the check, m=FC, OV, ON, OT, OB, OE, OD</v>
      </c>
      <c r="E115" s="4"/>
      <c r="F115" s="4"/>
      <c r="G115" s="4"/>
      <c r="H115" s="4"/>
      <c r="I115" s="4"/>
      <c r="J115" s="4"/>
      <c r="K115" s="4"/>
      <c r="L115" s="4"/>
    </row>
    <row r="116" spans="3:12" s="105" customFormat="1" x14ac:dyDescent="0.3">
      <c r="C116" s="5">
        <v>101</v>
      </c>
      <c r="D116" s="5" t="str">
        <f>_xll.BfX_Help(C116)</f>
        <v xml:space="preserve">   FC: full check - range dimensions, all contents and their place (default)</v>
      </c>
      <c r="E116" s="4"/>
      <c r="F116" s="4"/>
      <c r="G116" s="4"/>
      <c r="H116" s="4"/>
      <c r="I116" s="4"/>
      <c r="J116" s="4"/>
      <c r="K116" s="4"/>
      <c r="L116" s="4"/>
    </row>
    <row r="117" spans="3:12" s="105" customFormat="1" x14ac:dyDescent="0.3">
      <c r="C117" s="5">
        <v>102</v>
      </c>
      <c r="D117" s="5" t="str">
        <f>_xll.BfX_Help(C117)</f>
        <v xml:space="preserve">   OV: only values - skip empty cells</v>
      </c>
      <c r="E117" s="4"/>
      <c r="F117" s="4"/>
      <c r="G117" s="4"/>
      <c r="H117" s="4"/>
      <c r="I117" s="4"/>
      <c r="J117" s="4"/>
      <c r="K117" s="4"/>
      <c r="L117" s="4"/>
    </row>
    <row r="118" spans="3:12" s="105" customFormat="1" x14ac:dyDescent="0.3">
      <c r="C118" s="5">
        <v>103</v>
      </c>
      <c r="D118" s="5" t="str">
        <f>_xll.BfX_Help(C118)</f>
        <v xml:space="preserve">   ON: only numbers - skip empty cells, booleans and text, ignore position</v>
      </c>
      <c r="E118" s="4"/>
      <c r="F118" s="4"/>
      <c r="G118" s="4"/>
      <c r="H118" s="4"/>
      <c r="I118" s="4"/>
      <c r="J118" s="4"/>
      <c r="K118" s="4"/>
      <c r="L118" s="4"/>
    </row>
    <row r="119" spans="3:12" s="105" customFormat="1" x14ac:dyDescent="0.3">
      <c r="C119" s="5">
        <v>104</v>
      </c>
      <c r="D119" s="5" t="str">
        <f>_xll.BfX_Help(C119)</f>
        <v xml:space="preserve">   OT: only text - skip empty cells, booleans and numbers, ignore position</v>
      </c>
      <c r="E119" s="4"/>
      <c r="F119" s="4"/>
      <c r="G119" s="4"/>
      <c r="H119" s="4"/>
      <c r="I119" s="4"/>
      <c r="J119" s="4"/>
      <c r="K119" s="4"/>
      <c r="L119" s="4"/>
    </row>
    <row r="120" spans="3:12" s="105" customFormat="1" x14ac:dyDescent="0.3">
      <c r="C120" s="5">
        <v>105</v>
      </c>
      <c r="D120" s="5" t="str">
        <f>_xll.BfX_Help(C120)</f>
        <v xml:space="preserve">   OB: only booleans - skip empty cells, text and numbers, ignore position</v>
      </c>
      <c r="E120" s="4"/>
      <c r="F120" s="4"/>
      <c r="G120" s="4"/>
      <c r="H120" s="4"/>
      <c r="I120" s="4"/>
      <c r="J120" s="4"/>
      <c r="K120" s="4"/>
      <c r="L120" s="4"/>
    </row>
    <row r="121" spans="3:12" s="105" customFormat="1" x14ac:dyDescent="0.3">
      <c r="C121" s="5">
        <v>106</v>
      </c>
      <c r="D121" s="5" t="str">
        <f>_xll.BfX_Help(C121)</f>
        <v xml:space="preserve">   OE: only empty cells - skip booleans, text and numbers, ignore position</v>
      </c>
      <c r="E121" s="4"/>
      <c r="F121" s="4"/>
      <c r="G121" s="4"/>
      <c r="H121" s="4"/>
      <c r="I121" s="4"/>
      <c r="J121" s="4"/>
      <c r="K121" s="4"/>
      <c r="L121" s="4"/>
    </row>
    <row r="122" spans="3:12" s="105" customFormat="1" x14ac:dyDescent="0.3">
      <c r="C122" s="5">
        <v>107</v>
      </c>
      <c r="D122" s="5" t="str">
        <f>_xll.BfX_Help(C122)</f>
        <v xml:space="preserve">   OD: only drag table - required for drag tables</v>
      </c>
      <c r="E122" s="4"/>
      <c r="F122" s="4"/>
      <c r="G122" s="4"/>
      <c r="H122" s="4"/>
      <c r="I122" s="4"/>
      <c r="J122" s="4"/>
      <c r="K122" s="4"/>
      <c r="L122" s="4"/>
    </row>
    <row r="123" spans="3:12" s="105" customFormat="1" x14ac:dyDescent="0.3">
      <c r="C123" s="5">
        <v>108</v>
      </c>
      <c r="D123" s="5" t="str">
        <f>_xll.BfX_Help(C123)</f>
        <v xml:space="preserve">32 bit Cyclic Redundancy Check = BfX_CRC(&lt;r&gt;; m=FC) (AUTODIN II polynomial) </v>
      </c>
      <c r="E123" s="4"/>
      <c r="F123" s="4"/>
      <c r="G123" s="4"/>
      <c r="H123" s="4"/>
      <c r="I123" s="4"/>
      <c r="J123" s="4"/>
      <c r="K123" s="4"/>
      <c r="L123" s="4"/>
    </row>
    <row r="124" spans="3:12" s="105" customFormat="1" x14ac:dyDescent="0.3">
      <c r="C124" s="5">
        <v>109</v>
      </c>
      <c r="D124" s="5" t="str">
        <f>_xll.BfX_Help(C124)</f>
        <v>====================================Contact=====================================</v>
      </c>
      <c r="E124" s="4"/>
      <c r="F124" s="4"/>
      <c r="G124" s="4"/>
      <c r="H124" s="4"/>
      <c r="I124" s="4"/>
      <c r="J124" s="4"/>
      <c r="K124" s="4"/>
      <c r="L124" s="4"/>
    </row>
    <row r="125" spans="3:12" s="105" customFormat="1" x14ac:dyDescent="0.3">
      <c r="C125" s="5">
        <v>110</v>
      </c>
      <c r="D125" s="5" t="str">
        <f>_xll.BfX_Help(C125)</f>
        <v>use =BfX_Help(i) with i=-2,-3 for email and website address</v>
      </c>
      <c r="E125" s="4"/>
      <c r="F125" s="4"/>
      <c r="G125" s="4"/>
      <c r="H125" s="4"/>
      <c r="I125" s="4"/>
      <c r="J125" s="4"/>
      <c r="K125" s="4"/>
      <c r="L125" s="4"/>
    </row>
    <row r="126" spans="3:12" s="105" customFormat="1" x14ac:dyDescent="0.3">
      <c r="C126" s="5">
        <v>111</v>
      </c>
      <c r="D126" s="5" t="str">
        <f>_xll.BfX_Help(C126)</f>
        <v>use =BfX_Info(i) with i=-2,-3 for email and website address</v>
      </c>
      <c r="E126" s="4"/>
      <c r="F126" s="4"/>
      <c r="G126" s="4"/>
      <c r="H126" s="4"/>
      <c r="I126" s="4"/>
      <c r="J126" s="4"/>
      <c r="K126" s="4"/>
      <c r="L126" s="4"/>
    </row>
    <row r="127" spans="3:12" s="105" customFormat="1" x14ac:dyDescent="0.3">
      <c r="C127" s="5">
        <v>112</v>
      </c>
      <c r="D127" s="5" t="str">
        <f>_xll.BfX_Help(C127)</f>
        <v>=================Visual Basic for Applications (VBA) interface==================</v>
      </c>
      <c r="E127" s="4"/>
      <c r="F127" s="4"/>
      <c r="G127" s="4"/>
      <c r="H127" s="4"/>
      <c r="I127" s="4"/>
      <c r="J127" s="4"/>
      <c r="K127" s="4"/>
      <c r="L127" s="4"/>
    </row>
    <row r="128" spans="3:12" s="105" customFormat="1" x14ac:dyDescent="0.3">
      <c r="C128" s="5">
        <v>113</v>
      </c>
      <c r="D128" s="5" t="str">
        <f>_xll.BfX_Help(C128)</f>
        <v>The argments are passed in the same order as with the BfX worksheet functions</v>
      </c>
      <c r="E128" s="4"/>
      <c r="F128" s="4"/>
      <c r="G128" s="4"/>
      <c r="H128" s="4"/>
      <c r="I128" s="4"/>
      <c r="J128" s="4"/>
      <c r="K128" s="4"/>
      <c r="L128" s="4"/>
    </row>
    <row r="129" spans="3:12" s="105" customFormat="1" x14ac:dyDescent="0.3">
      <c r="C129" s="5">
        <v>114</v>
      </c>
      <c r="D129" s="5" t="str">
        <f>_xll.BfX_Help(C129)</f>
        <v>All arguments are VARIANTS - the default type of VBA.</v>
      </c>
      <c r="E129" s="4"/>
      <c r="F129" s="4"/>
      <c r="G129" s="4"/>
      <c r="H129" s="4"/>
      <c r="I129" s="4"/>
      <c r="J129" s="4"/>
      <c r="K129" s="4"/>
      <c r="L129" s="4"/>
    </row>
    <row r="130" spans="3:12" s="105" customFormat="1" x14ac:dyDescent="0.3">
      <c r="C130" s="5">
        <v>115</v>
      </c>
      <c r="D130" s="5" t="str">
        <f>_xll.BfX_Help(C130)</f>
        <v>However, arrays should be declared as e.g. Dim x(10), vw(10)</v>
      </c>
      <c r="E130" s="4"/>
      <c r="F130" s="4"/>
      <c r="G130" s="4"/>
      <c r="H130" s="4"/>
      <c r="I130" s="4"/>
      <c r="J130" s="4"/>
      <c r="K130" s="4"/>
      <c r="L130" s="4"/>
    </row>
    <row r="131" spans="3:12" s="105" customFormat="1" x14ac:dyDescent="0.3">
      <c r="C131" s="5">
        <v>116</v>
      </c>
      <c r="D131" s="5" t="str">
        <f>_xll.BfX_Help(C131)</f>
        <v>then declare Dim xv, vwv to create VARIANTS that will contain x and vw</v>
      </c>
      <c r="E131" s="4"/>
      <c r="F131" s="4"/>
      <c r="G131" s="4"/>
      <c r="H131" s="4"/>
      <c r="I131" s="4"/>
      <c r="J131" s="4"/>
      <c r="K131" s="4"/>
      <c r="L131" s="4"/>
    </row>
    <row r="132" spans="3:12" s="105" customFormat="1" x14ac:dyDescent="0.3">
      <c r="C132" s="5">
        <v>117</v>
      </c>
      <c r="D132" s="5" t="str">
        <f>_xll.BfX_Help(C132)</f>
        <v>and just before calling vb_y (the only procedure that need arrays) set:</v>
      </c>
      <c r="E132" s="4"/>
      <c r="F132" s="4"/>
      <c r="G132" s="4"/>
      <c r="H132" s="4"/>
      <c r="I132" s="4"/>
      <c r="J132" s="4"/>
      <c r="K132" s="4"/>
      <c r="L132" s="4"/>
    </row>
    <row r="133" spans="3:12" s="105" customFormat="1" x14ac:dyDescent="0.3">
      <c r="C133" s="5">
        <v>118</v>
      </c>
      <c r="D133" s="5" t="str">
        <f>_xll.BfX_Help(C133)</f>
        <v>xv=x and yv=y and make the call e.g. returnval=vb_y(v0,x,vw,r,c)</v>
      </c>
      <c r="E133" s="4"/>
      <c r="F133" s="4"/>
      <c r="G133" s="4"/>
      <c r="H133" s="4"/>
      <c r="I133" s="4"/>
      <c r="J133" s="4"/>
      <c r="K133" s="4"/>
      <c r="L133" s="4"/>
    </row>
    <row r="134" spans="3:12" s="105" customFormat="1" x14ac:dyDescent="0.3">
      <c r="C134" s="5">
        <v>119</v>
      </c>
      <c r="D134" s="5" t="str">
        <f>_xll.BfX_Help(C134)</f>
        <v>Declare the VBA interfaces as:</v>
      </c>
      <c r="E134" s="4"/>
      <c r="F134" s="4"/>
      <c r="G134" s="4"/>
      <c r="H134" s="4"/>
      <c r="I134" s="4"/>
      <c r="J134" s="4"/>
      <c r="K134" s="4"/>
      <c r="L134" s="4"/>
    </row>
    <row r="135" spans="3:12" s="105" customFormat="1" x14ac:dyDescent="0.3">
      <c r="C135" s="5">
        <v>120</v>
      </c>
      <c r="D135" s="5" t="str">
        <f>_xll.BfX_Help(C135)</f>
        <v>Private Declare Function vb_y Lib "FullPath\BfX.XLL" Alias "BfX_VB_Y" _</v>
      </c>
      <c r="E135" s="4"/>
      <c r="F135" s="4"/>
      <c r="G135" s="4"/>
      <c r="H135" s="4"/>
      <c r="I135" s="4"/>
      <c r="J135" s="4"/>
      <c r="K135" s="4"/>
      <c r="L135" s="4"/>
    </row>
    <row r="136" spans="3:12" s="105" customFormat="1" x14ac:dyDescent="0.3">
      <c r="C136" s="5">
        <v>121</v>
      </c>
      <c r="D136" s="5" t="str">
        <f>_xll.BfX_Help(C136)</f>
        <v>(Optional, v1 As Variant, Optional v2 As Variant, ...) As Variant</v>
      </c>
      <c r="E136" s="4"/>
      <c r="F136" s="4"/>
      <c r="G136" s="4"/>
      <c r="H136" s="4"/>
      <c r="I136" s="4"/>
      <c r="J136" s="4"/>
      <c r="K136" s="4"/>
      <c r="L136" s="4"/>
    </row>
    <row r="137" spans="3:12" s="105" customFormat="1" x14ac:dyDescent="0.3">
      <c r="C137" s="5">
        <v>122</v>
      </c>
      <c r="D137" s="5" t="str">
        <f>_xll.BfX_Help(C137)</f>
        <v>The naming convention is VBA Alias name = Worksheet name with _VB_in the</v>
      </c>
      <c r="E137" s="4"/>
      <c r="F137" s="4"/>
      <c r="G137" s="4"/>
      <c r="H137" s="4"/>
      <c r="I137" s="4"/>
      <c r="J137" s="4"/>
      <c r="K137" s="4"/>
      <c r="L137" s="4"/>
    </row>
    <row r="138" spans="3:12" s="105" customFormat="1" x14ac:dyDescent="0.3">
      <c r="C138" s="5">
        <v>123</v>
      </c>
      <c r="D138" s="5" t="str">
        <f>_xll.BfX_Help(C138)</f>
        <v>middle: BfX_VB_Zx, BfX_VB_C, etc. Use BfX_IQ() on the worksheet to obtain</v>
      </c>
      <c r="E138" s="4"/>
      <c r="F138" s="4"/>
      <c r="G138" s="4"/>
      <c r="H138" s="4"/>
      <c r="I138" s="4"/>
      <c r="J138" s="4"/>
      <c r="K138" s="4"/>
      <c r="L138" s="4"/>
    </row>
    <row r="139" spans="3:12" s="105" customFormat="1" x14ac:dyDescent="0.3">
      <c r="C139" s="5">
        <v>124</v>
      </c>
      <c r="D139" s="5" t="str">
        <f>_xll.BfX_Help(C139)</f>
        <v>error/succes information</v>
      </c>
      <c r="E139" s="4"/>
      <c r="F139" s="4"/>
      <c r="G139" s="4"/>
      <c r="H139" s="4"/>
      <c r="I139" s="4"/>
      <c r="J139" s="4"/>
      <c r="K139" s="4"/>
      <c r="L139" s="4"/>
    </row>
    <row r="140" spans="3:12" s="105" customFormat="1" x14ac:dyDescent="0.3">
      <c r="C140" s="5">
        <v>125</v>
      </c>
      <c r="D140" s="5" t="str">
        <f>_xll.BfX_Help(C140)</f>
        <v>===================================About BfX====================================</v>
      </c>
      <c r="E140" s="4"/>
      <c r="F140" s="4"/>
      <c r="G140" s="4"/>
      <c r="H140" s="4"/>
      <c r="I140" s="4"/>
      <c r="J140" s="4"/>
      <c r="K140" s="4"/>
      <c r="L140" s="4"/>
    </row>
    <row r="141" spans="3:12" s="105" customFormat="1" x14ac:dyDescent="0.3">
      <c r="C141" s="5">
        <v>126</v>
      </c>
      <c r="D141" s="5" t="str">
        <f>_xll.BfX_Help(C141)</f>
        <v>Created: Robert Meijer (c) 2008, 2009, 2010, 2011, 2015</v>
      </c>
      <c r="E141" s="4"/>
      <c r="F141" s="4"/>
      <c r="G141" s="4"/>
      <c r="H141" s="4"/>
      <c r="I141" s="4"/>
      <c r="J141" s="4"/>
      <c r="K141" s="4"/>
      <c r="L141" s="4"/>
    </row>
    <row r="142" spans="3:12" s="105" customFormat="1" x14ac:dyDescent="0.3">
      <c r="C142" s="5">
        <v>127</v>
      </c>
      <c r="D142" s="5" t="str">
        <f>_xll.BfX_Help(C142)</f>
        <v>inspired on Arthur Pejsa's book: Modern Practical Ballistics.</v>
      </c>
      <c r="E142" s="4"/>
      <c r="F142" s="4"/>
      <c r="G142" s="4"/>
      <c r="H142" s="4"/>
      <c r="I142" s="4"/>
      <c r="J142" s="4"/>
      <c r="K142" s="4"/>
      <c r="L142" s="4"/>
    </row>
    <row r="143" spans="3:12" s="105" customFormat="1" x14ac:dyDescent="0.3">
      <c r="C143" s="5">
        <v>128</v>
      </c>
      <c r="D143" s="5" t="str">
        <f>_xll.BfX_Help(C143)</f>
        <v>BfX has however less approximations and more drag functions. Calculated results</v>
      </c>
      <c r="E143" s="4"/>
      <c r="F143" s="4"/>
      <c r="G143" s="4"/>
      <c r="H143" s="4"/>
      <c r="I143" s="4"/>
      <c r="J143" s="4"/>
      <c r="K143" s="4"/>
      <c r="L143" s="4"/>
    </row>
    <row r="144" spans="3:12" s="105" customFormat="1" x14ac:dyDescent="0.3">
      <c r="C144" s="5">
        <v>129</v>
      </c>
      <c r="D144" s="5" t="str">
        <f>_xll.BfX_Help(C144)</f>
        <v>DO include sub and super sonic regions. Implementation is checked</v>
      </c>
      <c r="E144" s="4"/>
      <c r="F144" s="4"/>
      <c r="G144" s="4"/>
      <c r="H144" s="4"/>
      <c r="I144" s="4"/>
      <c r="J144" s="4"/>
      <c r="K144" s="4"/>
      <c r="L144" s="4"/>
    </row>
    <row r="145" spans="3:12" s="105" customFormat="1" x14ac:dyDescent="0.3">
      <c r="C145" s="5">
        <v>130</v>
      </c>
      <c r="D145" s="5" t="str">
        <f>_xll.BfX_Help(C145)</f>
        <v>against numerical simulations of projectile behavior. Significant</v>
      </c>
      <c r="E145" s="4"/>
      <c r="F145" s="4"/>
      <c r="G145" s="4"/>
      <c r="H145" s="4"/>
      <c r="I145" s="4"/>
      <c r="J145" s="4"/>
      <c r="K145" s="4"/>
      <c r="L145" s="4"/>
    </row>
    <row r="146" spans="3:12" s="105" customFormat="1" x14ac:dyDescent="0.3">
      <c r="C146" s="5">
        <v>131</v>
      </c>
      <c r="D146" s="5" t="str">
        <f>_xll.BfX_Help(C146)</f>
        <v>errors in BfX results start to occur for elevations above</v>
      </c>
      <c r="E146" s="4"/>
      <c r="F146" s="4"/>
      <c r="G146" s="4"/>
      <c r="H146" s="4"/>
      <c r="I146" s="4"/>
      <c r="J146" s="4"/>
      <c r="K146" s="4"/>
      <c r="L146" s="4"/>
    </row>
    <row r="147" spans="3:12" s="105" customFormat="1" x14ac:dyDescent="0.3">
      <c r="C147" s="5">
        <v>132</v>
      </c>
      <c r="D147" s="5" t="str">
        <f>_xll.BfX_Help(C147)</f>
        <v>15 degrees.</v>
      </c>
      <c r="E147" s="4"/>
      <c r="F147" s="4"/>
      <c r="G147" s="4"/>
      <c r="H147" s="4"/>
      <c r="I147" s="4"/>
      <c r="J147" s="4"/>
      <c r="K147" s="4"/>
      <c r="L147" s="4"/>
    </row>
    <row r="148" spans="3:12" s="105" customFormat="1" x14ac:dyDescent="0.3">
      <c r="C148" s="5">
        <v>133</v>
      </c>
      <c r="D148" s="5" t="str">
        <f>_xll.BfX_Help(C148)</f>
        <v>==========================Right to use and distribute===========================</v>
      </c>
      <c r="E148" s="4"/>
      <c r="F148" s="4"/>
      <c r="G148" s="4"/>
      <c r="H148" s="4"/>
      <c r="I148" s="4"/>
      <c r="J148" s="4"/>
      <c r="K148" s="4"/>
      <c r="L148" s="4"/>
    </row>
    <row r="149" spans="3:12" s="105" customFormat="1" x14ac:dyDescent="0.3">
      <c r="C149" s="5">
        <v>134</v>
      </c>
      <c r="D149" s="5" t="str">
        <f>_xll.BfX_Help(C149)</f>
        <v>Use and re-distribution of this addin is only granted to private persons</v>
      </c>
      <c r="E149" s="4"/>
      <c r="F149" s="4"/>
      <c r="G149" s="4"/>
      <c r="H149" s="4"/>
      <c r="I149" s="4"/>
      <c r="J149" s="4"/>
      <c r="K149" s="4"/>
      <c r="L149" s="4"/>
    </row>
    <row r="150" spans="3:12" s="105" customFormat="1" x14ac:dyDescent="0.3">
      <c r="C150" s="5">
        <v>135</v>
      </c>
      <c r="D150" s="5" t="str">
        <f>_xll.BfX_Help(C150)</f>
        <v>having non-commercial purposes. Dit werk is auteursrechtelijk beschermd</v>
      </c>
      <c r="E150" s="4"/>
      <c r="F150" s="4"/>
      <c r="G150" s="4"/>
      <c r="H150" s="4"/>
      <c r="I150" s="4"/>
      <c r="J150" s="4"/>
      <c r="K150" s="4"/>
      <c r="L150" s="4"/>
    </row>
    <row r="151" spans="3:12" s="105" customFormat="1" x14ac:dyDescent="0.3">
      <c r="C151" s="5">
        <v>136</v>
      </c>
      <c r="D151" s="5" t="str">
        <f>_xll.BfX_Help(C151)</f>
        <v>Formula's, source code etc of the BfX add-in cannot be distributed or claimed</v>
      </c>
      <c r="E151" s="4"/>
      <c r="F151" s="4"/>
      <c r="G151" s="4"/>
      <c r="H151" s="4"/>
      <c r="I151" s="4"/>
      <c r="J151" s="4"/>
      <c r="K151" s="4"/>
      <c r="L151" s="4"/>
    </row>
    <row r="152" spans="3:12" s="105" customFormat="1" x14ac:dyDescent="0.3">
      <c r="C152" s="5">
        <v>137</v>
      </c>
      <c r="D152" s="5" t="str">
        <f>_xll.BfX_Help(C152)</f>
        <v>=============================Disclaimer of Warranty=============================</v>
      </c>
      <c r="E152" s="4"/>
      <c r="F152" s="4"/>
      <c r="G152" s="4"/>
      <c r="H152" s="4"/>
      <c r="I152" s="4"/>
      <c r="J152" s="4"/>
      <c r="K152" s="4"/>
      <c r="L152" s="4"/>
    </row>
    <row r="153" spans="3:12" s="105" customFormat="1" x14ac:dyDescent="0.3">
      <c r="C153" s="5">
        <v>138</v>
      </c>
      <c r="D153" s="5" t="str">
        <f>_xll.BfX_Help(C153)</f>
        <v>THERE IS NO WARRANTY FOR THE PROGRAM, TO THE EXTENT PERMITTED BY APPLICABLE</v>
      </c>
      <c r="E153" s="4"/>
      <c r="F153" s="4"/>
      <c r="G153" s="4"/>
      <c r="H153" s="4"/>
      <c r="I153" s="4"/>
      <c r="J153" s="4"/>
      <c r="K153" s="4"/>
      <c r="L153" s="4"/>
    </row>
    <row r="154" spans="3:12" s="105" customFormat="1" x14ac:dyDescent="0.3">
      <c r="C154" s="5">
        <v>139</v>
      </c>
      <c r="D154" s="5" t="str">
        <f>_xll.BfX_Help(C154)</f>
        <v>LAW. EXCEPT WHEN OTHERWISE STATED IN WRITING THE COPYRIGHT HOLDERS AND/OR</v>
      </c>
      <c r="E154" s="4"/>
      <c r="F154" s="4"/>
      <c r="G154" s="4"/>
      <c r="H154" s="4"/>
      <c r="I154" s="4"/>
      <c r="J154" s="4"/>
      <c r="K154" s="4"/>
      <c r="L154" s="4"/>
    </row>
    <row r="155" spans="3:12" s="105" customFormat="1" x14ac:dyDescent="0.3">
      <c r="C155" s="5">
        <v>140</v>
      </c>
      <c r="D155" s="5" t="str">
        <f>_xll.BfX_Help(C155)</f>
        <v>OTHER PARTIES PROVIDE THE PROGRAM "AS IS" WITHOUT WARRANTY OF ANY KIND, EITHER</v>
      </c>
      <c r="E155" s="4"/>
      <c r="F155" s="4"/>
      <c r="G155" s="4"/>
      <c r="H155" s="4"/>
      <c r="I155" s="4"/>
      <c r="J155" s="4"/>
      <c r="K155" s="4"/>
      <c r="L155" s="4"/>
    </row>
    <row r="156" spans="3:12" s="105" customFormat="1" x14ac:dyDescent="0.3">
      <c r="C156" s="5">
        <v>141</v>
      </c>
      <c r="D156" s="5" t="str">
        <f>_xll.BfX_Help(C156)</f>
        <v>EXPRESSED OR IMPLIED, INCLUDING, BUT NOT LIMITED TO, THE IMPLIED WARRANTIES</v>
      </c>
      <c r="E156" s="4"/>
      <c r="F156" s="4"/>
      <c r="G156" s="4"/>
      <c r="H156" s="4"/>
      <c r="I156" s="4"/>
      <c r="J156" s="4"/>
      <c r="K156" s="4"/>
      <c r="L156" s="4"/>
    </row>
    <row r="157" spans="3:12" s="105" customFormat="1" x14ac:dyDescent="0.3">
      <c r="C157" s="5">
        <v>142</v>
      </c>
      <c r="D157" s="5" t="str">
        <f>_xll.BfX_Help(C157)</f>
        <v>OF MERCHANTABILITY AND FITNESS FOR A PARTICULAR PURPOSE. THE ENTIRE RISK AS TO</v>
      </c>
      <c r="E157" s="4"/>
      <c r="F157" s="4"/>
      <c r="G157" s="4"/>
      <c r="H157" s="4"/>
      <c r="I157" s="4"/>
      <c r="J157" s="4"/>
      <c r="K157" s="4"/>
      <c r="L157" s="4"/>
    </row>
    <row r="158" spans="3:12" s="105" customFormat="1" x14ac:dyDescent="0.3">
      <c r="C158" s="5">
        <v>143</v>
      </c>
      <c r="D158" s="5" t="str">
        <f>_xll.BfX_Help(C158)</f>
        <v>THE QUALITY AND PERFORMANCE OF THE PROGRAM IS WITH YOU. SHOULD THE PROGRAM</v>
      </c>
      <c r="E158" s="4"/>
      <c r="F158" s="4"/>
      <c r="G158" s="4"/>
      <c r="H158" s="4"/>
      <c r="I158" s="4"/>
      <c r="J158" s="4"/>
      <c r="K158" s="4"/>
      <c r="L158" s="4"/>
    </row>
    <row r="159" spans="3:12" s="105" customFormat="1" x14ac:dyDescent="0.3">
      <c r="C159" s="5">
        <v>144</v>
      </c>
      <c r="D159" s="5" t="str">
        <f>_xll.BfX_Help(C159)</f>
        <v>PROVE DEFECTIVE, YOU ASSUME THE COST OF ALL NECESSARY SERVICING, REPAIR OR</v>
      </c>
      <c r="E159" s="4"/>
      <c r="F159" s="4"/>
      <c r="G159" s="4"/>
      <c r="H159" s="4"/>
      <c r="I159" s="4"/>
      <c r="J159" s="4"/>
      <c r="K159" s="4"/>
      <c r="L159" s="4"/>
    </row>
    <row r="160" spans="3:12" s="105" customFormat="1" x14ac:dyDescent="0.3">
      <c r="C160" s="5">
        <v>145</v>
      </c>
      <c r="D160" s="5" t="str">
        <f>_xll.BfX_Help(C160)</f>
        <v>CORRECTION</v>
      </c>
      <c r="E160" s="4"/>
      <c r="F160" s="4"/>
      <c r="G160" s="4"/>
      <c r="H160" s="4"/>
      <c r="I160" s="4"/>
      <c r="J160" s="4"/>
      <c r="K160" s="4"/>
      <c r="L160" s="4"/>
    </row>
    <row r="161" spans="3:12" s="105" customFormat="1" x14ac:dyDescent="0.3">
      <c r="C161" s="5">
        <v>146</v>
      </c>
      <c r="D161" s="5" t="str">
        <f>_xll.BfX_Help(C161)</f>
        <v>============================Limitation of Liability=============================</v>
      </c>
      <c r="E161" s="4"/>
      <c r="F161" s="4"/>
      <c r="G161" s="4"/>
      <c r="H161" s="4"/>
      <c r="I161" s="4"/>
      <c r="J161" s="4"/>
      <c r="K161" s="4"/>
      <c r="L161" s="4"/>
    </row>
    <row r="162" spans="3:12" s="105" customFormat="1" x14ac:dyDescent="0.3">
      <c r="C162" s="5">
        <v>147</v>
      </c>
      <c r="D162" s="5" t="str">
        <f>_xll.BfX_Help(C162)</f>
        <v>IN NO EVENT WILL ANY COPYRIGHT HOLDER, OR ANY OTHER PARTY WHO CONVEYS THE</v>
      </c>
      <c r="E162" s="4"/>
      <c r="F162" s="4"/>
      <c r="G162" s="4"/>
      <c r="H162" s="4"/>
      <c r="I162" s="4"/>
      <c r="J162" s="4"/>
      <c r="K162" s="4"/>
      <c r="L162" s="4"/>
    </row>
    <row r="163" spans="3:12" s="105" customFormat="1" x14ac:dyDescent="0.3">
      <c r="C163" s="5">
        <v>148</v>
      </c>
      <c r="D163" s="5" t="str">
        <f>_xll.BfX_Help(C163)</f>
        <v>PROGRAM, BE LIABLE TO YOU FOR DAMAGES, INCLUDING ANY GENERAL, SPECIAL,</v>
      </c>
      <c r="E163" s="4"/>
      <c r="F163" s="4"/>
      <c r="G163" s="4"/>
      <c r="H163" s="4"/>
      <c r="I163" s="4"/>
      <c r="J163" s="4"/>
      <c r="K163" s="4"/>
      <c r="L163" s="4"/>
    </row>
    <row r="164" spans="3:12" s="105" customFormat="1" x14ac:dyDescent="0.3">
      <c r="C164" s="5">
        <v>149</v>
      </c>
      <c r="D164" s="5" t="str">
        <f>_xll.BfX_Help(C164)</f>
        <v>INCIDENTAL OR CONSEQUENTIAL DAMAGES ARISING OUT OF THE USE OR INABILITY TO</v>
      </c>
      <c r="E164" s="4"/>
      <c r="F164" s="4"/>
      <c r="G164" s="4"/>
      <c r="H164" s="4"/>
      <c r="I164" s="4"/>
      <c r="J164" s="4"/>
      <c r="K164" s="4"/>
      <c r="L164" s="4"/>
    </row>
    <row r="165" spans="3:12" s="105" customFormat="1" x14ac:dyDescent="0.3">
      <c r="C165" s="5">
        <v>150</v>
      </c>
      <c r="D165" s="5" t="str">
        <f>_xll.BfX_Help(C165)</f>
        <v>USE THE PROGRAM (INCLUDING BUT NOT LIMITED TO LOSS OF DATA OR DATA BEING</v>
      </c>
      <c r="E165" s="4"/>
      <c r="F165" s="4"/>
      <c r="G165" s="4"/>
      <c r="H165" s="4"/>
      <c r="I165" s="4"/>
      <c r="J165" s="4"/>
      <c r="K165" s="4"/>
      <c r="L165" s="4"/>
    </row>
    <row r="166" spans="3:12" s="105" customFormat="1" x14ac:dyDescent="0.3">
      <c r="C166" s="5">
        <v>151</v>
      </c>
      <c r="D166" s="5" t="str">
        <f>_xll.BfX_Help(C166)</f>
        <v>RENDERED INACCURATE OR LOSSES SUSTAINED BY YOU OR THIRD PARTIES OR A FAILURE</v>
      </c>
      <c r="E166" s="4"/>
      <c r="F166" s="4"/>
      <c r="G166" s="4"/>
      <c r="H166" s="4"/>
      <c r="I166" s="4"/>
      <c r="J166" s="4"/>
      <c r="K166" s="4"/>
      <c r="L166" s="4"/>
    </row>
    <row r="167" spans="3:12" s="105" customFormat="1" x14ac:dyDescent="0.3">
      <c r="C167" s="5">
        <v>152</v>
      </c>
      <c r="D167" s="5" t="str">
        <f>_xll.BfX_Help(C167)</f>
        <v>OF THE PROGRAM TO OPERATE WITH ANY OTHER PROGRAMS), EVEN IF SUCH HOLDER OR</v>
      </c>
      <c r="E167" s="4"/>
      <c r="F167" s="4"/>
      <c r="G167" s="4"/>
      <c r="H167" s="4"/>
      <c r="I167" s="4"/>
      <c r="J167" s="4"/>
      <c r="K167" s="4"/>
      <c r="L167" s="4"/>
    </row>
    <row r="168" spans="3:12" s="105" customFormat="1" x14ac:dyDescent="0.3">
      <c r="C168" s="5">
        <v>153</v>
      </c>
      <c r="D168" s="5" t="str">
        <f>_xll.BfX_Help(C168)</f>
        <v>OTHER PARTY HAS BEEN ADVISED OF THE POSSIBILITY OF SUCH DAMAGES</v>
      </c>
      <c r="E168" s="4"/>
      <c r="F168" s="4"/>
      <c r="G168" s="4"/>
      <c r="H168" s="4"/>
      <c r="I168" s="4"/>
      <c r="J168" s="4"/>
      <c r="K168" s="4"/>
      <c r="L168" s="4"/>
    </row>
    <row r="169" spans="3:12" s="105" customFormat="1" x14ac:dyDescent="0.3">
      <c r="C169" s="5">
        <v>154</v>
      </c>
      <c r="D169" s="5" t="str">
        <f>_xll.BfX_Help(C169)</f>
        <v>In short: the use of this addin is completely your own responsibility</v>
      </c>
      <c r="E169" s="4"/>
      <c r="F169" s="4"/>
      <c r="G169" s="4"/>
      <c r="H169" s="4"/>
      <c r="I169" s="4"/>
      <c r="J169" s="4"/>
      <c r="K169" s="4"/>
      <c r="L169" s="4"/>
    </row>
    <row r="170" spans="3:12" s="105" customFormat="1" x14ac:dyDescent="0.3">
      <c r="C170" s="5">
        <v>155</v>
      </c>
      <c r="D170" s="5" t="str">
        <f>_xll.BfX_Help(C170)</f>
        <v>and all consequences are yours.</v>
      </c>
      <c r="E170" s="4"/>
      <c r="F170" s="4"/>
      <c r="G170" s="4"/>
      <c r="H170" s="4"/>
      <c r="I170" s="4"/>
      <c r="J170" s="4"/>
      <c r="K170" s="4"/>
      <c r="L170" s="4"/>
    </row>
    <row r="171" spans="3:12" s="105" customFormat="1" x14ac:dyDescent="0.3">
      <c r="C171" s="5">
        <v>156</v>
      </c>
      <c r="D171" s="5" t="str">
        <f>_xll.BfX_Help(C171)</f>
        <v>Take care, firearms are potentially lethal</v>
      </c>
      <c r="E171" s="4"/>
      <c r="F171" s="4"/>
      <c r="G171" s="4"/>
      <c r="H171" s="4"/>
      <c r="I171" s="4"/>
      <c r="J171" s="4"/>
      <c r="K171" s="4"/>
      <c r="L171" s="4"/>
    </row>
    <row r="172" spans="3:12" s="105" customFormat="1" x14ac:dyDescent="0.3">
      <c r="C172" s="5">
        <v>157</v>
      </c>
      <c r="D172" s="5" t="str">
        <f>_xll.BfX_Help(C172)</f>
        <v>================================End of BfX_Help=================================</v>
      </c>
      <c r="E172" s="4"/>
      <c r="F172" s="4"/>
      <c r="G172" s="4"/>
      <c r="H172" s="4"/>
      <c r="I172" s="4"/>
      <c r="J172" s="4"/>
      <c r="K172" s="4"/>
      <c r="L172" s="4"/>
    </row>
    <row r="173" spans="3:12" s="105" customFormat="1" x14ac:dyDescent="0.3">
      <c r="C173" s="5">
        <v>158</v>
      </c>
      <c r="D173" s="5" t="str">
        <f>_xll.BfX_Help(C173)</f>
        <v>Ballistics for Excel - use =BfX_Help(i) with i=1,2,3,...157 for more</v>
      </c>
      <c r="E173" s="4"/>
      <c r="F173" s="4"/>
      <c r="G173" s="4"/>
      <c r="H173" s="4"/>
      <c r="I173" s="4"/>
      <c r="J173" s="4"/>
      <c r="K173" s="4"/>
      <c r="L173" s="4"/>
    </row>
    <row r="174" spans="3:12" s="105" customFormat="1" x14ac:dyDescent="0.3">
      <c r="C174" s="5">
        <v>159</v>
      </c>
      <c r="D174" s="5" t="str">
        <f>_xll.BfX_Help(C174)</f>
        <v>Ballistics for Excel - use =BfX_Help(i) with i=1,2,3,...157 for more</v>
      </c>
      <c r="E174" s="4"/>
      <c r="F174" s="4"/>
      <c r="G174" s="4"/>
      <c r="H174" s="4"/>
      <c r="I174" s="4"/>
      <c r="J174" s="4"/>
      <c r="K174" s="4"/>
      <c r="L174" s="4"/>
    </row>
    <row r="175" spans="3:12" s="105" customFormat="1" x14ac:dyDescent="0.3">
      <c r="C175" s="5">
        <v>160</v>
      </c>
      <c r="D175" s="5" t="str">
        <f>_xll.BfX_Help(C175)</f>
        <v>Ballistics for Excel - use =BfX_Help(i) with i=1,2,3,...157 for more</v>
      </c>
      <c r="E175" s="4"/>
      <c r="F175" s="4"/>
      <c r="G175" s="4"/>
      <c r="H175" s="4"/>
      <c r="I175" s="4"/>
      <c r="J175" s="4"/>
      <c r="K175" s="4"/>
      <c r="L175" s="4"/>
    </row>
    <row r="176" spans="3:12" s="105" customFormat="1" x14ac:dyDescent="0.3">
      <c r="C176" s="5">
        <v>161</v>
      </c>
      <c r="D176" s="5" t="str">
        <f>_xll.BfX_Help(C176)</f>
        <v>Ballistics for Excel - use =BfX_Help(i) with i=1,2,3,...157 for more</v>
      </c>
      <c r="E176" s="4"/>
      <c r="F176" s="4"/>
      <c r="G176" s="4"/>
      <c r="H176" s="4"/>
      <c r="I176" s="4"/>
      <c r="J176" s="4"/>
      <c r="K176" s="4"/>
      <c r="L176" s="4"/>
    </row>
    <row r="177" spans="1:14" s="105" customFormat="1" x14ac:dyDescent="0.3">
      <c r="C177" s="5">
        <v>162</v>
      </c>
      <c r="D177" s="5" t="str">
        <f>_xll.BfX_Help(C177)</f>
        <v>Ballistics for Excel - use =BfX_Help(i) with i=1,2,3,...157 for more</v>
      </c>
      <c r="E177" s="4"/>
      <c r="F177" s="4"/>
      <c r="G177" s="4"/>
      <c r="H177" s="4"/>
      <c r="I177" s="4"/>
      <c r="J177" s="4"/>
      <c r="K177" s="4"/>
      <c r="L177" s="4"/>
    </row>
    <row r="178" spans="1:14" s="105" customFormat="1" x14ac:dyDescent="0.3">
      <c r="C178" s="5">
        <v>163</v>
      </c>
      <c r="D178" s="5" t="str">
        <f>_xll.BfX_Help(C178)</f>
        <v>Ballistics for Excel - use =BfX_Help(i) with i=1,2,3,...157 for more</v>
      </c>
      <c r="E178" s="4"/>
      <c r="F178" s="4"/>
      <c r="G178" s="4"/>
      <c r="H178" s="4"/>
      <c r="I178" s="4"/>
      <c r="J178" s="4"/>
      <c r="K178" s="4"/>
      <c r="L178" s="4"/>
    </row>
    <row r="179" spans="1:14" s="105" customFormat="1" x14ac:dyDescent="0.3">
      <c r="C179" s="5">
        <v>164</v>
      </c>
      <c r="D179" s="5" t="str">
        <f>_xll.BfX_Help(C179)</f>
        <v>Ballistics for Excel - use =BfX_Help(i) with i=1,2,3,...157 for more</v>
      </c>
      <c r="E179" s="4"/>
      <c r="F179" s="4"/>
      <c r="G179" s="4"/>
      <c r="H179" s="4"/>
      <c r="I179" s="4"/>
      <c r="J179" s="4"/>
      <c r="K179" s="4"/>
      <c r="L179" s="4"/>
    </row>
    <row r="180" spans="1:14" s="105" customFormat="1" x14ac:dyDescent="0.3"/>
    <row r="181" spans="1:14" s="105" customFormat="1" x14ac:dyDescent="0.3">
      <c r="C181" s="105" t="s">
        <v>520</v>
      </c>
    </row>
    <row r="182" spans="1:14" s="105" customFormat="1" x14ac:dyDescent="0.3"/>
    <row r="183" spans="1:14" x14ac:dyDescent="0.3">
      <c r="A183" s="105"/>
      <c r="C183" s="1" t="s">
        <v>469</v>
      </c>
      <c r="D183" s="1"/>
    </row>
    <row r="184" spans="1:14" s="105" customFormat="1" x14ac:dyDescent="0.3">
      <c r="A184"/>
      <c r="C184" s="1"/>
      <c r="D184" s="1"/>
    </row>
    <row r="185" spans="1:14" x14ac:dyDescent="0.3">
      <c r="A185" s="105"/>
      <c r="B185" s="2" t="s">
        <v>7</v>
      </c>
      <c r="D185" s="105" t="s">
        <v>540</v>
      </c>
      <c r="L185" s="153" t="s">
        <v>541</v>
      </c>
    </row>
    <row r="186" spans="1:14" x14ac:dyDescent="0.3">
      <c r="A186" t="s">
        <v>28</v>
      </c>
      <c r="C186" t="s">
        <v>6</v>
      </c>
    </row>
    <row r="187" spans="1:14" x14ac:dyDescent="0.3">
      <c r="C187" t="s">
        <v>20</v>
      </c>
    </row>
    <row r="188" spans="1:14" x14ac:dyDescent="0.3">
      <c r="C188" t="s">
        <v>21</v>
      </c>
    </row>
    <row r="189" spans="1:14" x14ac:dyDescent="0.3">
      <c r="C189" t="s">
        <v>677</v>
      </c>
    </row>
    <row r="190" spans="1:14" x14ac:dyDescent="0.3">
      <c r="D190" s="5" t="str">
        <f ca="1">_xll.BfX_Cell(D192)</f>
        <v>=BfX_Help2(C192)</v>
      </c>
      <c r="E190" s="5"/>
    </row>
    <row r="192" spans="1:14" x14ac:dyDescent="0.3">
      <c r="C192" s="5">
        <v>0</v>
      </c>
      <c r="D192" s="5" t="str">
        <f>_xll.BfX_Help2(C192)</f>
        <v>Ballistics for Excel - use =BfX_Help2(i) with i=1,2,3,...104 for more</v>
      </c>
      <c r="E192" s="4"/>
      <c r="F192" s="4"/>
      <c r="G192" s="4"/>
      <c r="H192" s="4"/>
      <c r="I192" s="4"/>
      <c r="J192" s="4"/>
      <c r="K192" s="4"/>
      <c r="L192" s="4"/>
      <c r="M192" s="4"/>
      <c r="N192" s="4"/>
    </row>
    <row r="193" spans="3:14" x14ac:dyDescent="0.3">
      <c r="C193" s="5">
        <v>1</v>
      </c>
      <c r="D193" s="5" t="str">
        <f>_xll.BfX_Help2(C193)</f>
        <v>Use BfX_Help(0) for help on BfX functions</v>
      </c>
      <c r="E193" s="4"/>
      <c r="F193" s="4"/>
      <c r="G193" s="4"/>
      <c r="H193" s="4"/>
      <c r="I193" s="4"/>
      <c r="J193" s="4"/>
      <c r="K193" s="4"/>
      <c r="L193" s="4"/>
      <c r="M193" s="4"/>
      <c r="N193" s="4"/>
    </row>
    <row r="194" spans="3:14" x14ac:dyDescent="0.3">
      <c r="C194" s="5">
        <v>2</v>
      </c>
      <c r="D194" s="5" t="str">
        <f>_xll.BfX_Help2(C194)</f>
        <v>===================================BfX_Help2====================================</v>
      </c>
      <c r="E194" s="4"/>
      <c r="F194" s="4"/>
      <c r="G194" s="4"/>
      <c r="H194" s="4"/>
      <c r="I194" s="4"/>
      <c r="J194" s="4"/>
      <c r="K194" s="4"/>
      <c r="L194" s="4"/>
      <c r="M194" s="4"/>
      <c r="N194" s="4"/>
    </row>
    <row r="195" spans="3:14" x14ac:dyDescent="0.3">
      <c r="C195" s="5">
        <v>3</v>
      </c>
      <c r="D195" s="5" t="str">
        <f>_xll.BfX_Help2(C195)</f>
        <v>BfX_Help2 lists available input and output units as well as supported drag</v>
      </c>
      <c r="E195" s="4"/>
      <c r="F195" s="4"/>
      <c r="G195" s="4"/>
      <c r="H195" s="4"/>
      <c r="I195" s="4"/>
      <c r="J195" s="4"/>
      <c r="K195" s="4"/>
      <c r="L195" s="4"/>
      <c r="M195" s="4"/>
      <c r="N195" s="4"/>
    </row>
    <row r="196" spans="3:14" x14ac:dyDescent="0.3">
      <c r="C196" s="5">
        <v>4</v>
      </c>
      <c r="D196" s="5" t="str">
        <f>_xll.BfX_Help2(C196)</f>
        <v>functions. Units and functions must be specified in abreviated form, lower case</v>
      </c>
      <c r="E196" s="4"/>
      <c r="F196" s="4"/>
      <c r="G196" s="4"/>
      <c r="H196" s="4"/>
      <c r="I196" s="4"/>
      <c r="J196" s="4"/>
      <c r="K196" s="4"/>
      <c r="L196" s="4"/>
      <c r="M196" s="4"/>
      <c r="N196" s="4"/>
    </row>
    <row r="197" spans="3:14" x14ac:dyDescent="0.3">
      <c r="C197" s="5">
        <v>5</v>
      </c>
      <c r="D197" s="5" t="str">
        <f>_xll.BfX_Help2(C197)</f>
        <v xml:space="preserve">without spaces and other blanks. If no units are specified, the metric standards </v>
      </c>
      <c r="E197" s="4"/>
      <c r="F197" s="4"/>
      <c r="G197" s="4"/>
      <c r="H197" s="4"/>
      <c r="I197" s="4"/>
      <c r="J197" s="4"/>
      <c r="K197" s="4"/>
      <c r="L197" s="4"/>
      <c r="M197" s="4"/>
      <c r="N197" s="4"/>
    </row>
    <row r="198" spans="3:14" x14ac:dyDescent="0.3">
      <c r="C198" s="5">
        <v>6</v>
      </c>
      <c r="D198" s="5" t="str">
        <f>_xll.BfX_Help2(C198)</f>
        <v>are used. eg BfX_D("in";740;1000;"yd";0,22;"g7") calculates the drop</v>
      </c>
      <c r="E198" s="4"/>
      <c r="F198" s="4"/>
      <c r="G198" s="4"/>
      <c r="H198" s="4"/>
      <c r="I198" s="4"/>
      <c r="J198" s="4"/>
      <c r="K198" s="4"/>
      <c r="L198" s="4"/>
      <c r="M198" s="4"/>
      <c r="N198" s="4"/>
    </row>
    <row r="199" spans="3:14" x14ac:dyDescent="0.3">
      <c r="C199" s="5">
        <v>7</v>
      </c>
      <c r="D199" s="5" t="str">
        <f>_xll.BfX_Help2(C199)</f>
        <v>in [inches] for a bullet of 740 [m/s] (units omitted) at a distance of</v>
      </c>
      <c r="E199" s="4"/>
      <c r="F199" s="4"/>
      <c r="G199" s="4"/>
      <c r="H199" s="4"/>
      <c r="I199" s="4"/>
      <c r="J199" s="4"/>
      <c r="K199" s="4"/>
      <c r="L199" s="4"/>
      <c r="M199" s="4"/>
      <c r="N199" s="4"/>
    </row>
    <row r="200" spans="3:14" x14ac:dyDescent="0.3">
      <c r="C200" s="5">
        <v>8</v>
      </c>
      <c r="D200" s="5" t="str">
        <f>_xll.BfX_Help2(C200)</f>
        <v>1000 [yards] with a G7 ballistic coefficient of 0,22</v>
      </c>
      <c r="E200" s="4"/>
      <c r="F200" s="4"/>
      <c r="G200" s="4"/>
      <c r="H200" s="4"/>
      <c r="I200" s="4"/>
      <c r="J200" s="4"/>
      <c r="K200" s="4"/>
      <c r="L200" s="4"/>
      <c r="M200" s="4"/>
      <c r="N200" s="4"/>
    </row>
    <row r="201" spans="3:14" x14ac:dyDescent="0.3">
      <c r="C201" s="5">
        <v>9</v>
      </c>
      <c r="D201" s="5" t="str">
        <f>_xll.BfX_Help2(C201)</f>
        <v>=================================Drag functions=================================</v>
      </c>
      <c r="E201" s="4"/>
      <c r="F201" s="4"/>
      <c r="G201" s="4"/>
      <c r="H201" s="4"/>
      <c r="I201" s="4"/>
      <c r="J201" s="4"/>
      <c r="K201" s="4"/>
      <c r="L201" s="4"/>
      <c r="M201" s="4"/>
      <c r="N201" s="4"/>
    </row>
    <row r="202" spans="3:14" x14ac:dyDescent="0.3">
      <c r="C202" s="5">
        <v>10</v>
      </c>
      <c r="D202" s="5" t="str">
        <f>_xll.BfX_Help2(C202)</f>
        <v>Pejsa, use G1 bc,  VLD / boat tail bullet (default)                            -&gt;  GP</v>
      </c>
      <c r="E202" s="4"/>
      <c r="F202" s="4"/>
      <c r="G202" s="4"/>
      <c r="H202" s="4"/>
      <c r="I202" s="4"/>
      <c r="J202" s="4"/>
      <c r="K202" s="4"/>
      <c r="L202" s="4"/>
      <c r="M202" s="4"/>
      <c r="N202" s="4"/>
    </row>
    <row r="203" spans="3:14" x14ac:dyDescent="0.3">
      <c r="C203" s="5">
        <v>11</v>
      </c>
      <c r="D203" s="5" t="str">
        <f>_xll.BfX_Help2(C203)</f>
        <v>G1                                                                             -&gt;  G1</v>
      </c>
      <c r="E203" s="4"/>
      <c r="F203" s="4"/>
      <c r="G203" s="4"/>
      <c r="H203" s="4"/>
      <c r="I203" s="4"/>
      <c r="J203" s="4"/>
      <c r="K203" s="4"/>
      <c r="L203" s="4"/>
      <c r="M203" s="4"/>
      <c r="N203" s="4"/>
    </row>
    <row r="204" spans="3:14" x14ac:dyDescent="0.3">
      <c r="C204" s="5">
        <v>12</v>
      </c>
      <c r="D204" s="5" t="str">
        <f>_xll.BfX_Help2(C204)</f>
        <v>G2                                                                             -&gt;  G2</v>
      </c>
      <c r="E204" s="4"/>
      <c r="F204" s="4"/>
      <c r="G204" s="4"/>
      <c r="H204" s="4"/>
      <c r="I204" s="4"/>
      <c r="J204" s="4"/>
      <c r="K204" s="4"/>
      <c r="L204" s="4"/>
      <c r="M204" s="4"/>
      <c r="N204" s="4"/>
    </row>
    <row r="205" spans="3:14" x14ac:dyDescent="0.3">
      <c r="C205" s="5">
        <v>13</v>
      </c>
      <c r="D205" s="5" t="str">
        <f>_xll.BfX_Help2(C205)</f>
        <v>G5                                                                             -&gt;  G5</v>
      </c>
      <c r="E205" s="4"/>
      <c r="F205" s="4"/>
      <c r="G205" s="4"/>
      <c r="H205" s="4"/>
      <c r="I205" s="4"/>
      <c r="J205" s="4"/>
      <c r="K205" s="4"/>
      <c r="L205" s="4"/>
      <c r="M205" s="4"/>
      <c r="N205" s="4"/>
    </row>
    <row r="206" spans="3:14" x14ac:dyDescent="0.3">
      <c r="C206" s="5">
        <v>14</v>
      </c>
      <c r="D206" s="5" t="str">
        <f>_xll.BfX_Help2(C206)</f>
        <v>G6                                                                             -&gt;  G6</v>
      </c>
      <c r="E206" s="4"/>
      <c r="F206" s="4"/>
      <c r="G206" s="4"/>
      <c r="H206" s="4"/>
      <c r="I206" s="4"/>
      <c r="J206" s="4"/>
      <c r="K206" s="4"/>
      <c r="L206" s="4"/>
      <c r="M206" s="4"/>
      <c r="N206" s="4"/>
    </row>
    <row r="207" spans="3:14" x14ac:dyDescent="0.3">
      <c r="C207" s="5">
        <v>15</v>
      </c>
      <c r="D207" s="5" t="str">
        <f>_xll.BfX_Help2(C207)</f>
        <v>G7, VLD /boat tail bullet                                                      -&gt;  G7</v>
      </c>
      <c r="E207" s="4"/>
      <c r="F207" s="4"/>
      <c r="G207" s="4"/>
      <c r="H207" s="4"/>
      <c r="I207" s="4"/>
      <c r="J207" s="4"/>
      <c r="K207" s="4"/>
      <c r="L207" s="4"/>
      <c r="M207" s="4"/>
      <c r="N207" s="4"/>
    </row>
    <row r="208" spans="3:14" x14ac:dyDescent="0.3">
      <c r="C208" s="5">
        <v>16</v>
      </c>
      <c r="D208" s="5" t="str">
        <f>_xll.BfX_Help2(C208)</f>
        <v>G8                                                                             -&gt;  G8</v>
      </c>
      <c r="E208" s="4"/>
      <c r="F208" s="4"/>
      <c r="G208" s="4"/>
      <c r="H208" s="4"/>
      <c r="I208" s="4"/>
      <c r="J208" s="4"/>
      <c r="K208" s="4"/>
      <c r="L208" s="4"/>
      <c r="M208" s="4"/>
      <c r="N208" s="4"/>
    </row>
    <row r="209" spans="3:14" x14ac:dyDescent="0.3">
      <c r="C209" s="5">
        <v>17</v>
      </c>
      <c r="D209" s="5" t="str">
        <f>_xll.BfX_Help2(C209)</f>
        <v>GS, sphere (e.g. shotgun)                                                      -&gt;  GS</v>
      </c>
      <c r="E209" s="4"/>
      <c r="F209" s="4"/>
      <c r="G209" s="4"/>
      <c r="H209" s="4"/>
      <c r="I209" s="4"/>
      <c r="J209" s="4"/>
      <c r="K209" s="4"/>
      <c r="L209" s="4"/>
      <c r="M209" s="4"/>
      <c r="N209" s="4"/>
    </row>
    <row r="210" spans="3:14" x14ac:dyDescent="0.3">
      <c r="C210" s="5">
        <v>18</v>
      </c>
      <c r="D210" s="5" t="str">
        <f>_xll.BfX_Help2(C210)</f>
        <v>Ingalls / Mayevski                                                             -&gt;  GIM</v>
      </c>
      <c r="E210" s="4"/>
      <c r="F210" s="4"/>
      <c r="G210" s="4"/>
      <c r="H210" s="4"/>
      <c r="I210" s="4"/>
      <c r="J210" s="4"/>
      <c r="K210" s="4"/>
      <c r="L210" s="4"/>
      <c r="M210" s="4"/>
      <c r="N210" s="4"/>
    </row>
    <row r="211" spans="3:14" x14ac:dyDescent="0.3">
      <c r="C211" s="5">
        <v>19</v>
      </c>
      <c r="D211" s="5" t="str">
        <f>_xll.BfX_Help2(C211)</f>
        <v>RA4, small bore                                                                -&gt;  RA4</v>
      </c>
      <c r="E211" s="4"/>
      <c r="F211" s="4"/>
      <c r="G211" s="4"/>
      <c r="H211" s="4"/>
      <c r="I211" s="4"/>
      <c r="J211" s="4"/>
      <c r="K211" s="4"/>
      <c r="L211" s="4"/>
      <c r="M211" s="4"/>
      <c r="N211" s="4"/>
    </row>
    <row r="212" spans="3:14" x14ac:dyDescent="0.3">
      <c r="C212" s="5">
        <v>20</v>
      </c>
      <c r="D212" s="5" t="str">
        <f>_xll.BfX_Help2(C212)</f>
        <v>Air rifle, consistent with Chairgun                                            -&gt;  A</v>
      </c>
      <c r="E212" s="4"/>
      <c r="F212" s="4"/>
      <c r="G212" s="4"/>
      <c r="H212" s="4"/>
      <c r="I212" s="4"/>
      <c r="J212" s="4"/>
      <c r="K212" s="4"/>
      <c r="L212" s="4"/>
      <c r="M212" s="4"/>
      <c r="N212" s="4"/>
    </row>
    <row r="213" spans="3:14" x14ac:dyDescent="0.3">
      <c r="C213" s="5">
        <v>21</v>
      </c>
      <c r="D213" s="5" t="str">
        <f>_xll.BfX_Help2(C213)</f>
        <v>====================================Distance====================================</v>
      </c>
      <c r="E213" s="4"/>
      <c r="F213" s="4"/>
      <c r="G213" s="4"/>
      <c r="H213" s="4"/>
      <c r="I213" s="4"/>
      <c r="J213" s="4"/>
      <c r="K213" s="4"/>
      <c r="L213" s="4"/>
      <c r="M213" s="4"/>
      <c r="N213" s="4"/>
    </row>
    <row r="214" spans="3:14" x14ac:dyDescent="0.3">
      <c r="C214" s="5">
        <v>22</v>
      </c>
      <c r="D214" s="5" t="str">
        <f>_xll.BfX_Help2(C214)</f>
        <v>km                                                                             -&gt;  km</v>
      </c>
      <c r="E214" s="4"/>
      <c r="F214" s="4"/>
      <c r="G214" s="4"/>
      <c r="H214" s="4"/>
      <c r="I214" s="4"/>
      <c r="J214" s="4"/>
      <c r="K214" s="4"/>
      <c r="L214" s="4"/>
      <c r="M214" s="4"/>
      <c r="N214" s="4"/>
    </row>
    <row r="215" spans="3:14" x14ac:dyDescent="0.3">
      <c r="C215" s="5">
        <v>23</v>
      </c>
      <c r="D215" s="5" t="str">
        <f>_xll.BfX_Help2(C215)</f>
        <v>m (default)                                                                    -&gt;  m</v>
      </c>
      <c r="E215" s="4"/>
      <c r="F215" s="4"/>
      <c r="G215" s="4"/>
      <c r="H215" s="4"/>
      <c r="I215" s="4"/>
      <c r="J215" s="4"/>
      <c r="K215" s="4"/>
      <c r="L215" s="4"/>
      <c r="M215" s="4"/>
      <c r="N215" s="4"/>
    </row>
    <row r="216" spans="3:14" x14ac:dyDescent="0.3">
      <c r="C216" s="5">
        <v>24</v>
      </c>
      <c r="D216" s="5" t="str">
        <f>_xll.BfX_Help2(C216)</f>
        <v>cm                                                                             -&gt;  cm</v>
      </c>
      <c r="E216" s="4"/>
      <c r="F216" s="4"/>
      <c r="G216" s="4"/>
      <c r="H216" s="4"/>
      <c r="I216" s="4"/>
      <c r="J216" s="4"/>
      <c r="K216" s="4"/>
      <c r="L216" s="4"/>
      <c r="M216" s="4"/>
      <c r="N216" s="4"/>
    </row>
    <row r="217" spans="3:14" x14ac:dyDescent="0.3">
      <c r="C217" s="5">
        <v>25</v>
      </c>
      <c r="D217" s="5" t="str">
        <f>_xll.BfX_Help2(C217)</f>
        <v>mm                                                                             -&gt;  mm</v>
      </c>
      <c r="E217" s="4"/>
      <c r="F217" s="4"/>
      <c r="G217" s="4"/>
      <c r="H217" s="4"/>
      <c r="I217" s="4"/>
      <c r="J217" s="4"/>
      <c r="K217" s="4"/>
      <c r="L217" s="4"/>
      <c r="M217" s="4"/>
      <c r="N217" s="4"/>
    </row>
    <row r="218" spans="3:14" x14ac:dyDescent="0.3">
      <c r="C218" s="5">
        <v>26</v>
      </c>
      <c r="D218" s="5" t="str">
        <f>_xll.BfX_Help2(C218)</f>
        <v>mile                                                                           -&gt;  mi</v>
      </c>
      <c r="E218" s="4"/>
      <c r="F218" s="4"/>
      <c r="G218" s="4"/>
      <c r="H218" s="4"/>
      <c r="I218" s="4"/>
      <c r="J218" s="4"/>
      <c r="K218" s="4"/>
      <c r="L218" s="4"/>
      <c r="M218" s="4"/>
      <c r="N218" s="4"/>
    </row>
    <row r="219" spans="3:14" x14ac:dyDescent="0.3">
      <c r="C219" s="5">
        <v>27</v>
      </c>
      <c r="D219" s="5" t="str">
        <f>_xll.BfX_Help2(C219)</f>
        <v>foot                                                                           -&gt;  ft</v>
      </c>
      <c r="E219" s="4"/>
      <c r="F219" s="4"/>
      <c r="G219" s="4"/>
      <c r="H219" s="4"/>
      <c r="I219" s="4"/>
      <c r="J219" s="4"/>
      <c r="K219" s="4"/>
      <c r="L219" s="4"/>
      <c r="M219" s="4"/>
      <c r="N219" s="4"/>
    </row>
    <row r="220" spans="3:14" x14ac:dyDescent="0.3">
      <c r="C220" s="5">
        <v>28</v>
      </c>
      <c r="D220" s="5" t="str">
        <f>_xll.BfX_Help2(C220)</f>
        <v>yard                                                                           -&gt;  yd</v>
      </c>
      <c r="E220" s="4"/>
      <c r="F220" s="4"/>
      <c r="G220" s="4"/>
      <c r="H220" s="4"/>
      <c r="I220" s="4"/>
      <c r="J220" s="4"/>
      <c r="K220" s="4"/>
      <c r="L220" s="4"/>
      <c r="M220" s="4"/>
      <c r="N220" s="4"/>
    </row>
    <row r="221" spans="3:14" x14ac:dyDescent="0.3">
      <c r="C221" s="5">
        <v>29</v>
      </c>
      <c r="D221" s="5" t="str">
        <f>_xll.BfX_Help2(C221)</f>
        <v>inch                                                                           -&gt;  in</v>
      </c>
      <c r="E221" s="4"/>
      <c r="F221" s="4"/>
      <c r="G221" s="4"/>
      <c r="H221" s="4"/>
      <c r="I221" s="4"/>
      <c r="J221" s="4"/>
      <c r="K221" s="4"/>
      <c r="L221" s="4"/>
      <c r="M221" s="4"/>
      <c r="N221" s="4"/>
    </row>
    <row r="222" spans="3:14" x14ac:dyDescent="0.3">
      <c r="C222" s="5">
        <v>30</v>
      </c>
      <c r="D222" s="5" t="str">
        <f>_xll.BfX_Help2(C222)</f>
        <v>====================================Velocity====================================</v>
      </c>
      <c r="E222" s="4"/>
      <c r="F222" s="4"/>
      <c r="G222" s="4"/>
      <c r="H222" s="4"/>
      <c r="I222" s="4"/>
      <c r="J222" s="4"/>
      <c r="K222" s="4"/>
      <c r="L222" s="4"/>
      <c r="M222" s="4"/>
      <c r="N222" s="4"/>
    </row>
    <row r="223" spans="3:14" x14ac:dyDescent="0.3">
      <c r="C223" s="5">
        <v>31</v>
      </c>
      <c r="D223" s="5" t="str">
        <f>_xll.BfX_Help2(C223)</f>
        <v>m/s (default)                                                                  -&gt;  m/s</v>
      </c>
      <c r="E223" s="4"/>
      <c r="F223" s="4"/>
      <c r="G223" s="4"/>
      <c r="H223" s="4"/>
      <c r="I223" s="4"/>
      <c r="J223" s="4"/>
      <c r="K223" s="4"/>
      <c r="L223" s="4"/>
      <c r="M223" s="4"/>
      <c r="N223" s="4"/>
    </row>
    <row r="224" spans="3:14" x14ac:dyDescent="0.3">
      <c r="C224" s="5">
        <v>32</v>
      </c>
      <c r="D224" s="5" t="str">
        <f>_xll.BfX_Help2(C224)</f>
        <v>foot/s                                                                         -&gt;  ft/s</v>
      </c>
      <c r="E224" s="4"/>
      <c r="F224" s="4"/>
      <c r="G224" s="4"/>
      <c r="H224" s="4"/>
      <c r="I224" s="4"/>
      <c r="J224" s="4"/>
      <c r="K224" s="4"/>
      <c r="L224" s="4"/>
      <c r="M224" s="4"/>
      <c r="N224" s="4"/>
    </row>
    <row r="225" spans="3:14" x14ac:dyDescent="0.3">
      <c r="C225" s="5">
        <v>33</v>
      </c>
      <c r="D225" s="5" t="str">
        <f>_xll.BfX_Help2(C225)</f>
        <v>foot/s                                                                         -&gt;  fps</v>
      </c>
      <c r="E225" s="4"/>
      <c r="F225" s="4"/>
      <c r="G225" s="4"/>
      <c r="H225" s="4"/>
      <c r="I225" s="4"/>
      <c r="J225" s="4"/>
      <c r="K225" s="4"/>
      <c r="L225" s="4"/>
      <c r="M225" s="4"/>
      <c r="N225" s="4"/>
    </row>
    <row r="226" spans="3:14" x14ac:dyDescent="0.3">
      <c r="C226" s="5">
        <v>34</v>
      </c>
      <c r="D226" s="5" t="str">
        <f>_xll.BfX_Help2(C226)</f>
        <v>=================================Wind velocity==================================</v>
      </c>
      <c r="E226" s="4"/>
      <c r="F226" s="4"/>
      <c r="G226" s="4"/>
      <c r="H226" s="4"/>
      <c r="I226" s="4"/>
      <c r="J226" s="4"/>
      <c r="K226" s="4"/>
      <c r="L226" s="4"/>
      <c r="M226" s="4"/>
      <c r="N226" s="4"/>
    </row>
    <row r="227" spans="3:14" x14ac:dyDescent="0.3">
      <c r="C227" s="5">
        <v>35</v>
      </c>
      <c r="D227" s="5" t="str">
        <f>_xll.BfX_Help2(C227)</f>
        <v>Beaufort                                                                       -&gt;  bf</v>
      </c>
      <c r="E227" s="4"/>
      <c r="F227" s="4"/>
      <c r="G227" s="4"/>
      <c r="H227" s="4"/>
      <c r="I227" s="4"/>
      <c r="J227" s="4"/>
      <c r="K227" s="4"/>
      <c r="L227" s="4"/>
      <c r="M227" s="4"/>
      <c r="N227" s="4"/>
    </row>
    <row r="228" spans="3:14" x14ac:dyDescent="0.3">
      <c r="C228" s="5">
        <v>36</v>
      </c>
      <c r="D228" s="5" t="str">
        <f>_xll.BfX_Help2(C228)</f>
        <v>Beaufort                                                                       -&gt;  bft</v>
      </c>
      <c r="E228" s="4"/>
      <c r="F228" s="4"/>
      <c r="G228" s="4"/>
      <c r="H228" s="4"/>
      <c r="I228" s="4"/>
      <c r="J228" s="4"/>
      <c r="K228" s="4"/>
      <c r="L228" s="4"/>
      <c r="M228" s="4"/>
      <c r="N228" s="4"/>
    </row>
    <row r="229" spans="3:14" x14ac:dyDescent="0.3">
      <c r="C229" s="5">
        <v>37</v>
      </c>
      <c r="D229" s="5" t="str">
        <f>_xll.BfX_Help2(C229)</f>
        <v>m/s (default)                                                                  -&gt;  m/s</v>
      </c>
      <c r="E229" s="4"/>
      <c r="F229" s="4"/>
      <c r="G229" s="4"/>
      <c r="H229" s="4"/>
      <c r="I229" s="4"/>
      <c r="J229" s="4"/>
      <c r="K229" s="4"/>
      <c r="L229" s="4"/>
      <c r="M229" s="4"/>
      <c r="N229" s="4"/>
    </row>
    <row r="230" spans="3:14" x14ac:dyDescent="0.3">
      <c r="C230" s="5">
        <v>38</v>
      </c>
      <c r="D230" s="5" t="str">
        <f>_xll.BfX_Help2(C230)</f>
        <v>km/h                                                                           -&gt;  km/h</v>
      </c>
      <c r="E230" s="4"/>
      <c r="F230" s="4"/>
      <c r="G230" s="4"/>
      <c r="H230" s="4"/>
      <c r="I230" s="4"/>
      <c r="J230" s="4"/>
      <c r="K230" s="4"/>
      <c r="L230" s="4"/>
      <c r="M230" s="4"/>
      <c r="N230" s="4"/>
    </row>
    <row r="231" spans="3:14" x14ac:dyDescent="0.3">
      <c r="C231" s="5">
        <v>39</v>
      </c>
      <c r="D231" s="5" t="str">
        <f>_xll.BfX_Help2(C231)</f>
        <v>km/h                                                                           -&gt;  kmh</v>
      </c>
      <c r="E231" s="4"/>
      <c r="F231" s="4"/>
      <c r="G231" s="4"/>
      <c r="H231" s="4"/>
      <c r="I231" s="4"/>
      <c r="J231" s="4"/>
      <c r="K231" s="4"/>
      <c r="L231" s="4"/>
      <c r="M231" s="4"/>
      <c r="N231" s="4"/>
    </row>
    <row r="232" spans="3:14" x14ac:dyDescent="0.3">
      <c r="C232" s="5">
        <v>40</v>
      </c>
      <c r="D232" s="5" t="str">
        <f>_xll.BfX_Help2(C232)</f>
        <v>mile/h                                                                         -&gt;  mp/h</v>
      </c>
      <c r="E232" s="4"/>
      <c r="F232" s="4"/>
      <c r="G232" s="4"/>
      <c r="H232" s="4"/>
      <c r="I232" s="4"/>
      <c r="J232" s="4"/>
      <c r="K232" s="4"/>
      <c r="L232" s="4"/>
      <c r="M232" s="4"/>
      <c r="N232" s="4"/>
    </row>
    <row r="233" spans="3:14" x14ac:dyDescent="0.3">
      <c r="C233" s="5">
        <v>41</v>
      </c>
      <c r="D233" s="5" t="str">
        <f>_xll.BfX_Help2(C233)</f>
        <v>mile/h                                                                         -&gt;  mph</v>
      </c>
      <c r="E233" s="4"/>
      <c r="F233" s="4"/>
      <c r="G233" s="4"/>
      <c r="H233" s="4"/>
      <c r="I233" s="4"/>
      <c r="J233" s="4"/>
      <c r="K233" s="4"/>
      <c r="L233" s="4"/>
      <c r="M233" s="4"/>
      <c r="N233" s="4"/>
    </row>
    <row r="234" spans="3:14" x14ac:dyDescent="0.3">
      <c r="C234" s="5">
        <v>42</v>
      </c>
      <c r="D234" s="5" t="str">
        <f>_xll.BfX_Help2(C234)</f>
        <v>=====================================Angle======================================</v>
      </c>
      <c r="E234" s="4"/>
      <c r="F234" s="4"/>
      <c r="G234" s="4"/>
      <c r="H234" s="4"/>
      <c r="I234" s="4"/>
      <c r="J234" s="4"/>
      <c r="K234" s="4"/>
      <c r="L234" s="4"/>
      <c r="M234" s="4"/>
      <c r="N234" s="4"/>
    </row>
    <row r="235" spans="3:14" x14ac:dyDescent="0.3">
      <c r="C235" s="5">
        <v>43</v>
      </c>
      <c r="D235" s="5" t="str">
        <f>_xll.BfX_Help2(C235)</f>
        <v>radian (default)                                                               -&gt;  rad</v>
      </c>
      <c r="E235" s="4"/>
      <c r="F235" s="4"/>
      <c r="G235" s="4"/>
      <c r="H235" s="4"/>
      <c r="I235" s="4"/>
      <c r="J235" s="4"/>
      <c r="K235" s="4"/>
      <c r="L235" s="4"/>
      <c r="M235" s="4"/>
      <c r="N235" s="4"/>
    </row>
    <row r="236" spans="3:14" x14ac:dyDescent="0.3">
      <c r="C236" s="5">
        <v>44</v>
      </c>
      <c r="D236" s="5" t="str">
        <f>_xll.BfX_Help2(C236)</f>
        <v>mili radian (= distance between 2 mildots in scope recticle)                   -&gt;  mrad</v>
      </c>
      <c r="E236" s="4"/>
      <c r="F236" s="4"/>
      <c r="G236" s="4"/>
      <c r="H236" s="4"/>
      <c r="I236" s="4"/>
      <c r="J236" s="4"/>
      <c r="K236" s="4"/>
      <c r="L236" s="4"/>
      <c r="M236" s="4"/>
      <c r="N236" s="4"/>
    </row>
    <row r="237" spans="3:14" x14ac:dyDescent="0.3">
      <c r="C237" s="5">
        <v>45</v>
      </c>
      <c r="D237" s="5" t="str">
        <f>_xll.BfX_Help2(C237)</f>
        <v>mil = mili radian                                                              -&gt;  mil</v>
      </c>
      <c r="E237" s="4"/>
      <c r="F237" s="4"/>
      <c r="G237" s="4"/>
      <c r="H237" s="4"/>
      <c r="I237" s="4"/>
      <c r="J237" s="4"/>
      <c r="K237" s="4"/>
      <c r="L237" s="4"/>
      <c r="M237" s="4"/>
      <c r="N237" s="4"/>
    </row>
    <row r="238" spans="3:14" x14ac:dyDescent="0.3">
      <c r="C238" s="5">
        <v>46</v>
      </c>
      <c r="D238" s="5" t="str">
        <f>_xll.BfX_Help2(C238)</f>
        <v>degrees                                                                        -&gt;  deg</v>
      </c>
      <c r="E238" s="4"/>
      <c r="F238" s="4"/>
      <c r="G238" s="4"/>
      <c r="H238" s="4"/>
      <c r="I238" s="4"/>
      <c r="J238" s="4"/>
      <c r="K238" s="4"/>
      <c r="L238" s="4"/>
      <c r="M238" s="4"/>
      <c r="N238" s="4"/>
    </row>
    <row r="239" spans="3:14" x14ac:dyDescent="0.3">
      <c r="C239" s="5">
        <v>47</v>
      </c>
      <c r="D239" s="5" t="str">
        <f>_xll.BfX_Help2(C239)</f>
        <v>minutes of angle = 1/60 degrees                                                -&gt;  moa</v>
      </c>
      <c r="E239" s="4"/>
      <c r="F239" s="4"/>
      <c r="G239" s="4"/>
      <c r="H239" s="4"/>
      <c r="I239" s="4"/>
      <c r="J239" s="4"/>
      <c r="K239" s="4"/>
      <c r="L239" s="4"/>
      <c r="M239" s="4"/>
      <c r="N239" s="4"/>
    </row>
    <row r="240" spans="3:14" x14ac:dyDescent="0.3">
      <c r="C240" s="5">
        <v>48</v>
      </c>
      <c r="D240" s="5" t="str">
        <f>_xll.BfX_Help2(C240)</f>
        <v>centimeter per 100 meter                                                       -&gt;  cphm</v>
      </c>
      <c r="E240" s="4"/>
      <c r="F240" s="4"/>
      <c r="G240" s="4"/>
      <c r="H240" s="4"/>
      <c r="I240" s="4"/>
      <c r="J240" s="4"/>
      <c r="K240" s="4"/>
      <c r="L240" s="4"/>
      <c r="M240" s="4"/>
      <c r="N240" s="4"/>
    </row>
    <row r="241" spans="3:14" x14ac:dyDescent="0.3">
      <c r="C241" s="5">
        <v>49</v>
      </c>
      <c r="D241" s="5" t="str">
        <f>_xll.BfX_Help2(C241)</f>
        <v>inch per 100 yards                                                             -&gt;  iphy</v>
      </c>
      <c r="E241" s="4"/>
      <c r="F241" s="4"/>
      <c r="G241" s="4"/>
      <c r="H241" s="4"/>
      <c r="I241" s="4"/>
      <c r="J241" s="4"/>
      <c r="K241" s="4"/>
      <c r="L241" s="4"/>
      <c r="M241" s="4"/>
      <c r="N241" s="4"/>
    </row>
    <row r="242" spans="3:14" x14ac:dyDescent="0.3">
      <c r="C242" s="5">
        <v>50</v>
      </c>
      <c r="D242" s="5" t="str">
        <f>_xll.BfX_Help2(C242)</f>
        <v>==================================Target score==================================</v>
      </c>
      <c r="E242" s="4"/>
      <c r="F242" s="4"/>
      <c r="G242" s="4"/>
      <c r="H242" s="4"/>
      <c r="I242" s="4"/>
      <c r="J242" s="4"/>
      <c r="K242" s="4"/>
      <c r="L242" s="4"/>
      <c r="M242" s="4"/>
      <c r="N242" s="4"/>
    </row>
    <row r="243" spans="3:14" x14ac:dyDescent="0.3">
      <c r="C243" s="5">
        <v>51</v>
      </c>
      <c r="D243" s="5" t="str">
        <f>_xll.BfX_Help2(C243)</f>
        <v>Woerden Integer                                                                -&gt;  WI</v>
      </c>
      <c r="E243" s="4"/>
      <c r="F243" s="4"/>
      <c r="G243" s="4"/>
      <c r="H243" s="4"/>
      <c r="I243" s="4"/>
      <c r="J243" s="4"/>
      <c r="K243" s="4"/>
      <c r="L243" s="4"/>
      <c r="M243" s="4"/>
      <c r="N243" s="4"/>
    </row>
    <row r="244" spans="3:14" x14ac:dyDescent="0.3">
      <c r="C244" s="5">
        <v>52</v>
      </c>
      <c r="D244" s="5" t="str">
        <f>_xll.BfX_Help2(C244)</f>
        <v>ISSF300m Integer                                                               -&gt;  300mI</v>
      </c>
      <c r="E244" s="4"/>
      <c r="F244" s="4"/>
      <c r="G244" s="4"/>
      <c r="H244" s="4"/>
      <c r="I244" s="4"/>
      <c r="J244" s="4"/>
      <c r="K244" s="4"/>
      <c r="L244" s="4"/>
      <c r="M244" s="4"/>
      <c r="N244" s="4"/>
    </row>
    <row r="245" spans="3:14" x14ac:dyDescent="0.3">
      <c r="C245" s="5">
        <v>53</v>
      </c>
      <c r="D245" s="5" t="str">
        <f>_xll.BfX_Help2(C245)</f>
        <v>==================================Temperature===================================</v>
      </c>
      <c r="E245" s="4"/>
      <c r="F245" s="4"/>
      <c r="G245" s="4"/>
      <c r="H245" s="4"/>
      <c r="I245" s="4"/>
      <c r="J245" s="4"/>
      <c r="K245" s="4"/>
      <c r="L245" s="4"/>
      <c r="M245" s="4"/>
      <c r="N245" s="4"/>
    </row>
    <row r="246" spans="3:14" x14ac:dyDescent="0.3">
      <c r="C246" s="5">
        <v>54</v>
      </c>
      <c r="D246" s="5" t="str">
        <f>_xll.BfX_Help2(C246)</f>
        <v>Kelvin                                                                         -&gt;  k</v>
      </c>
      <c r="E246" s="4"/>
      <c r="F246" s="4"/>
      <c r="G246" s="4"/>
      <c r="H246" s="4"/>
      <c r="I246" s="4"/>
      <c r="J246" s="4"/>
      <c r="K246" s="4"/>
      <c r="L246" s="4"/>
      <c r="M246" s="4"/>
      <c r="N246" s="4"/>
    </row>
    <row r="247" spans="3:14" x14ac:dyDescent="0.3">
      <c r="C247" s="5">
        <v>55</v>
      </c>
      <c r="D247" s="5" t="str">
        <f>_xll.BfX_Help2(C247)</f>
        <v>Fahrenheit                                                                     -&gt;  f</v>
      </c>
      <c r="E247" s="4"/>
      <c r="F247" s="4"/>
      <c r="G247" s="4"/>
      <c r="H247" s="4"/>
      <c r="I247" s="4"/>
      <c r="J247" s="4"/>
      <c r="K247" s="4"/>
      <c r="L247" s="4"/>
      <c r="M247" s="4"/>
      <c r="N247" s="4"/>
    </row>
    <row r="248" spans="3:14" x14ac:dyDescent="0.3">
      <c r="C248" s="5">
        <v>56</v>
      </c>
      <c r="D248" s="5" t="str">
        <f>_xll.BfX_Help2(C248)</f>
        <v>Celcius (default)                                                              -&gt;  c</v>
      </c>
      <c r="E248" s="4"/>
      <c r="F248" s="4"/>
      <c r="G248" s="4"/>
      <c r="H248" s="4"/>
      <c r="I248" s="4"/>
      <c r="J248" s="4"/>
      <c r="K248" s="4"/>
      <c r="L248" s="4"/>
      <c r="M248" s="4"/>
      <c r="N248" s="4"/>
    </row>
    <row r="249" spans="3:14" x14ac:dyDescent="0.3">
      <c r="C249" s="5">
        <v>57</v>
      </c>
      <c r="D249" s="5" t="str">
        <f>_xll.BfX_Help2(C249)</f>
        <v>====================================Pressure====================================</v>
      </c>
      <c r="E249" s="5"/>
      <c r="F249" s="5"/>
      <c r="G249" s="5"/>
      <c r="H249" s="5"/>
      <c r="I249" s="5"/>
      <c r="J249" s="5"/>
      <c r="K249" s="5"/>
      <c r="L249" s="5"/>
      <c r="M249" s="4"/>
      <c r="N249" s="4"/>
    </row>
    <row r="250" spans="3:14" x14ac:dyDescent="0.3">
      <c r="C250" s="5">
        <v>58</v>
      </c>
      <c r="D250" s="5" t="str">
        <f>_xll.BfX_Help2(C250)</f>
        <v>Pascal (default)                                                               -&gt;  Pa</v>
      </c>
      <c r="E250" s="5"/>
      <c r="F250" s="5"/>
      <c r="G250" s="5"/>
      <c r="H250" s="5"/>
      <c r="I250" s="5"/>
      <c r="J250" s="5"/>
      <c r="K250" s="5"/>
      <c r="L250" s="5"/>
      <c r="M250" s="4"/>
      <c r="N250" s="4"/>
    </row>
    <row r="251" spans="3:14" x14ac:dyDescent="0.3">
      <c r="C251" s="5">
        <v>59</v>
      </c>
      <c r="D251" s="5" t="str">
        <f>_xll.BfX_Help2(C251)</f>
        <v>hectoPascal                                                                    -&gt;  hPa</v>
      </c>
      <c r="E251" s="5"/>
      <c r="F251" s="5"/>
      <c r="G251" s="5"/>
      <c r="H251" s="5"/>
      <c r="I251" s="5"/>
      <c r="J251" s="5"/>
      <c r="K251" s="5"/>
      <c r="L251" s="5"/>
      <c r="M251" s="4"/>
      <c r="N251" s="4"/>
    </row>
    <row r="252" spans="3:14" x14ac:dyDescent="0.3">
      <c r="C252" s="5">
        <v>60</v>
      </c>
      <c r="D252" s="5" t="str">
        <f>_xll.BfX_Help2(C252)</f>
        <v>mbar                                                                           -&gt;  mbar</v>
      </c>
      <c r="E252" s="5"/>
      <c r="F252" s="5"/>
      <c r="G252" s="5"/>
      <c r="H252" s="5"/>
      <c r="I252" s="5"/>
      <c r="J252" s="5"/>
      <c r="K252" s="5"/>
      <c r="L252" s="5"/>
      <c r="M252" s="4"/>
      <c r="N252" s="4"/>
    </row>
    <row r="253" spans="3:14" x14ac:dyDescent="0.3">
      <c r="C253" s="5">
        <v>61</v>
      </c>
      <c r="D253" s="5" t="str">
        <f>_xll.BfX_Help2(C253)</f>
        <v>bar                                                                            -&gt;  bar</v>
      </c>
      <c r="E253" s="5"/>
      <c r="F253" s="5"/>
      <c r="G253" s="5"/>
      <c r="H253" s="5"/>
      <c r="I253" s="5"/>
      <c r="J253" s="5"/>
      <c r="K253" s="5"/>
      <c r="L253" s="5"/>
      <c r="M253" s="4"/>
      <c r="N253" s="4"/>
    </row>
    <row r="254" spans="3:14" x14ac:dyDescent="0.3">
      <c r="C254" s="5">
        <v>62</v>
      </c>
      <c r="D254" s="5" t="str">
        <f>_xll.BfX_Help2(C254)</f>
        <v>at                                                                             -&gt;  atm</v>
      </c>
      <c r="E254" s="5"/>
      <c r="F254" s="5"/>
      <c r="G254" s="5"/>
      <c r="H254" s="5"/>
      <c r="I254" s="5"/>
      <c r="J254" s="5"/>
      <c r="K254" s="5"/>
      <c r="L254" s="5"/>
      <c r="M254" s="4"/>
      <c r="N254" s="4"/>
    </row>
    <row r="255" spans="3:14" x14ac:dyDescent="0.3">
      <c r="C255" s="5">
        <v>63</v>
      </c>
      <c r="D255" s="5" t="str">
        <f>_xll.BfX_Help2(C255)</f>
        <v>mmHg                                                                           -&gt;  mmHg</v>
      </c>
      <c r="E255" s="5"/>
      <c r="F255" s="5"/>
      <c r="G255" s="5"/>
      <c r="H255" s="5"/>
      <c r="I255" s="5"/>
      <c r="J255" s="5"/>
      <c r="K255" s="5"/>
      <c r="L255" s="5"/>
      <c r="M255" s="4"/>
      <c r="N255" s="4"/>
    </row>
    <row r="256" spans="3:14" x14ac:dyDescent="0.3">
      <c r="C256" s="5">
        <v>64</v>
      </c>
      <c r="D256" s="5" t="str">
        <f>_xll.BfX_Help2(C256)</f>
        <v>inchHg                                                                         -&gt;  inHg</v>
      </c>
      <c r="E256" s="5"/>
      <c r="F256" s="5"/>
      <c r="G256" s="5"/>
      <c r="H256" s="5"/>
      <c r="I256" s="5"/>
      <c r="J256" s="5"/>
      <c r="K256" s="5"/>
      <c r="L256" s="5"/>
      <c r="M256" s="4"/>
      <c r="N256" s="4"/>
    </row>
    <row r="257" spans="3:14" x14ac:dyDescent="0.3">
      <c r="C257" s="5">
        <v>65</v>
      </c>
      <c r="D257" s="5" t="str">
        <f>_xll.BfX_Help2(C257)</f>
        <v>pounds/inch^2                                                                  -&gt;  PSI</v>
      </c>
      <c r="E257" s="5"/>
      <c r="F257" s="5"/>
      <c r="G257" s="5"/>
      <c r="H257" s="5"/>
      <c r="I257" s="5"/>
      <c r="J257" s="5"/>
      <c r="K257" s="5"/>
      <c r="L257" s="5"/>
      <c r="M257" s="4"/>
      <c r="N257" s="4"/>
    </row>
    <row r="258" spans="3:14" x14ac:dyDescent="0.3">
      <c r="C258" s="5">
        <v>66</v>
      </c>
      <c r="D258" s="5" t="str">
        <f>_xll.BfX_Help2(C258)</f>
        <v>====================================Humidity====================================</v>
      </c>
      <c r="E258" s="5"/>
      <c r="F258" s="5"/>
      <c r="G258" s="5"/>
      <c r="H258" s="5"/>
      <c r="I258" s="5"/>
      <c r="J258" s="5"/>
      <c r="K258" s="5"/>
      <c r="L258" s="5"/>
      <c r="M258" s="4"/>
      <c r="N258" s="4"/>
    </row>
    <row r="259" spans="3:14" x14ac:dyDescent="0.3">
      <c r="C259" s="5">
        <v>67</v>
      </c>
      <c r="D259" s="5" t="str">
        <f>_xll.BfX_Help2(C259)</f>
        <v>fraction of 1 (default)                                                        -&gt;  fH</v>
      </c>
      <c r="E259" s="5"/>
      <c r="F259" s="5"/>
      <c r="G259" s="5"/>
      <c r="H259" s="5"/>
      <c r="I259" s="5"/>
      <c r="J259" s="5"/>
      <c r="K259" s="5"/>
      <c r="L259" s="5"/>
      <c r="M259" s="4"/>
      <c r="N259" s="4"/>
    </row>
    <row r="260" spans="3:14" x14ac:dyDescent="0.3">
      <c r="C260" s="5">
        <v>68</v>
      </c>
      <c r="D260" s="5" t="str">
        <f>_xll.BfX_Help2(C260)</f>
        <v>percentage                                                                     -&gt;  %H</v>
      </c>
      <c r="E260" s="5"/>
      <c r="F260" s="5"/>
      <c r="G260" s="5"/>
      <c r="H260" s="5"/>
      <c r="I260" s="5"/>
      <c r="J260" s="5"/>
      <c r="K260" s="5"/>
      <c r="L260" s="5"/>
      <c r="M260" s="4"/>
      <c r="N260" s="4"/>
    </row>
    <row r="261" spans="3:14" x14ac:dyDescent="0.3">
      <c r="C261" s="5">
        <v>69</v>
      </c>
      <c r="D261" s="5" t="str">
        <f>_xll.BfX_Help2(C261)</f>
        <v>======================================Time======================================</v>
      </c>
      <c r="E261" s="5"/>
      <c r="F261" s="5"/>
      <c r="G261" s="5"/>
      <c r="H261" s="5"/>
      <c r="I261" s="5"/>
      <c r="J261" s="5"/>
      <c r="K261" s="5"/>
      <c r="L261" s="5"/>
      <c r="M261" s="4"/>
      <c r="N261" s="4"/>
    </row>
    <row r="262" spans="3:14" x14ac:dyDescent="0.3">
      <c r="C262" s="5">
        <v>70</v>
      </c>
      <c r="D262" s="5" t="str">
        <f>_xll.BfX_Help2(C262)</f>
        <v>second (default)                                                               -&gt;  s</v>
      </c>
      <c r="E262" s="5"/>
      <c r="F262" s="5"/>
      <c r="G262" s="5"/>
      <c r="H262" s="5"/>
      <c r="I262" s="5"/>
      <c r="J262" s="5"/>
      <c r="K262" s="5"/>
      <c r="L262" s="5"/>
      <c r="M262" s="4"/>
      <c r="N262" s="4"/>
    </row>
    <row r="263" spans="3:14" x14ac:dyDescent="0.3">
      <c r="C263" s="5">
        <v>71</v>
      </c>
      <c r="D263" s="5" t="str">
        <f>_xll.BfX_Help2(C263)</f>
        <v>milisecond                                                                     -&gt;  ms</v>
      </c>
      <c r="E263" s="5"/>
      <c r="F263" s="5"/>
      <c r="G263" s="5"/>
      <c r="H263" s="5"/>
      <c r="I263" s="5"/>
      <c r="J263" s="5"/>
      <c r="K263" s="5"/>
      <c r="L263" s="5"/>
      <c r="M263" s="4"/>
      <c r="N263" s="4"/>
    </row>
    <row r="264" spans="3:14" x14ac:dyDescent="0.3">
      <c r="C264" s="5">
        <v>72</v>
      </c>
      <c r="D264" s="5" t="str">
        <f>_xll.BfX_Help2(C264)</f>
        <v>======================================Mass======================================</v>
      </c>
      <c r="E264" s="5"/>
      <c r="F264" s="5"/>
      <c r="G264" s="5"/>
      <c r="H264" s="5"/>
      <c r="I264" s="5"/>
      <c r="J264" s="5"/>
      <c r="K264" s="5"/>
      <c r="L264" s="5"/>
      <c r="M264" s="4"/>
      <c r="N264" s="4"/>
    </row>
    <row r="265" spans="3:14" x14ac:dyDescent="0.3">
      <c r="C265" s="5">
        <v>73</v>
      </c>
      <c r="D265" s="5" t="str">
        <f>_xll.BfX_Help2(C265)</f>
        <v>kilogram (default)                                                             -&gt;  kg</v>
      </c>
      <c r="E265" s="5"/>
      <c r="F265" s="5"/>
      <c r="G265" s="5"/>
      <c r="H265" s="5"/>
      <c r="I265" s="5"/>
      <c r="J265" s="5"/>
      <c r="K265" s="5"/>
      <c r="L265" s="5"/>
      <c r="M265" s="4"/>
      <c r="N265" s="4"/>
    </row>
    <row r="266" spans="3:14" x14ac:dyDescent="0.3">
      <c r="C266" s="5">
        <v>74</v>
      </c>
      <c r="D266" s="5" t="str">
        <f>_xll.BfX_Help2(C266)</f>
        <v>gram                                                                           -&gt;  g</v>
      </c>
      <c r="E266" s="5"/>
      <c r="F266" s="5"/>
      <c r="G266" s="5"/>
      <c r="H266" s="5"/>
      <c r="I266" s="5"/>
      <c r="J266" s="5"/>
      <c r="K266" s="5"/>
      <c r="L266" s="5"/>
      <c r="M266" s="4"/>
      <c r="N266" s="4"/>
    </row>
    <row r="267" spans="3:14" x14ac:dyDescent="0.3">
      <c r="C267" s="5">
        <v>75</v>
      </c>
      <c r="D267" s="5" t="str">
        <f>_xll.BfX_Help2(C267)</f>
        <v>grain                                                                          -&gt;  gr</v>
      </c>
      <c r="E267" s="5"/>
      <c r="F267" s="5"/>
      <c r="G267" s="5"/>
      <c r="H267" s="5"/>
      <c r="I267" s="5"/>
      <c r="J267" s="5"/>
      <c r="K267" s="5"/>
      <c r="L267" s="5"/>
      <c r="M267" s="4"/>
      <c r="N267" s="4"/>
    </row>
    <row r="268" spans="3:14" x14ac:dyDescent="0.3">
      <c r="C268" s="5">
        <v>76</v>
      </c>
      <c r="D268" s="5" t="str">
        <f>_xll.BfX_Help2(C268)</f>
        <v>pound                                                                          -&gt;  lb</v>
      </c>
      <c r="E268" s="5"/>
      <c r="F268" s="5"/>
      <c r="G268" s="5"/>
      <c r="H268" s="5"/>
      <c r="I268" s="5"/>
      <c r="J268" s="5"/>
      <c r="K268" s="5"/>
      <c r="L268" s="5"/>
      <c r="M268" s="4"/>
      <c r="N268" s="4"/>
    </row>
    <row r="269" spans="3:14" x14ac:dyDescent="0.3">
      <c r="C269" s="5">
        <v>77</v>
      </c>
      <c r="D269" s="5" t="str">
        <f>_xll.BfX_Help2(C269)</f>
        <v>pound                                                                          -&gt;  lbs</v>
      </c>
      <c r="E269" s="5"/>
      <c r="F269" s="5"/>
      <c r="G269" s="5"/>
      <c r="H269" s="5"/>
      <c r="I269" s="5"/>
      <c r="J269" s="5"/>
      <c r="K269" s="5"/>
      <c r="L269" s="5"/>
      <c r="M269" s="4"/>
      <c r="N269" s="4"/>
    </row>
    <row r="270" spans="3:14" x14ac:dyDescent="0.3">
      <c r="C270" s="5">
        <v>78</v>
      </c>
      <c r="D270" s="5" t="str">
        <f>_xll.BfX_Help2(C270)</f>
        <v>pound                                                                          -&gt;  lbm</v>
      </c>
      <c r="E270" s="5"/>
      <c r="F270" s="5"/>
      <c r="G270" s="5"/>
      <c r="H270" s="5"/>
      <c r="I270" s="5"/>
      <c r="J270" s="5"/>
      <c r="K270" s="5"/>
      <c r="L270" s="5"/>
      <c r="M270" s="4"/>
      <c r="N270" s="4"/>
    </row>
    <row r="271" spans="3:14" x14ac:dyDescent="0.3">
      <c r="C271" s="5">
        <v>79</v>
      </c>
      <c r="D271" s="5" t="str">
        <f>_xll.BfX_Help2(C271)</f>
        <v>pound                                                                          -&gt;  #</v>
      </c>
      <c r="E271" s="5"/>
      <c r="F271" s="5"/>
      <c r="G271" s="5"/>
      <c r="H271" s="5"/>
      <c r="I271" s="5"/>
      <c r="J271" s="5"/>
      <c r="K271" s="5"/>
      <c r="L271" s="5"/>
      <c r="M271" s="4"/>
      <c r="N271" s="4"/>
    </row>
    <row r="272" spans="3:14" x14ac:dyDescent="0.3">
      <c r="C272" s="5">
        <v>80</v>
      </c>
      <c r="D272" s="5" t="str">
        <f>_xll.BfX_Help2(C272)</f>
        <v>====================================Density=====================================</v>
      </c>
      <c r="E272" s="5"/>
      <c r="F272" s="5"/>
      <c r="G272" s="5"/>
      <c r="H272" s="5"/>
      <c r="I272" s="5"/>
      <c r="J272" s="5"/>
      <c r="K272" s="5"/>
      <c r="L272" s="5"/>
      <c r="M272" s="4"/>
      <c r="N272" s="4"/>
    </row>
    <row r="273" spans="3:14" x14ac:dyDescent="0.3">
      <c r="C273" s="5">
        <v>81</v>
      </c>
      <c r="D273" s="5" t="str">
        <f>_xll.BfX_Help2(C273)</f>
        <v>kg/m^3 (default)                                                               -&gt;  kg/m^3</v>
      </c>
      <c r="E273" s="5"/>
      <c r="F273" s="5"/>
      <c r="G273" s="5"/>
      <c r="H273" s="5"/>
      <c r="I273" s="5"/>
      <c r="J273" s="5"/>
      <c r="K273" s="5"/>
      <c r="L273" s="5"/>
      <c r="M273" s="4"/>
      <c r="N273" s="4"/>
    </row>
    <row r="274" spans="3:14" x14ac:dyDescent="0.3">
      <c r="C274" s="5">
        <v>82</v>
      </c>
      <c r="D274" s="5" t="str">
        <f>_xll.BfX_Help2(C274)</f>
        <v>g/m^3                                                                          -&gt;  g/m^3</v>
      </c>
      <c r="E274" s="5"/>
      <c r="F274" s="5"/>
      <c r="G274" s="5"/>
      <c r="H274" s="5"/>
      <c r="I274" s="5"/>
      <c r="J274" s="5"/>
      <c r="K274" s="5"/>
      <c r="L274" s="5"/>
      <c r="M274" s="4"/>
      <c r="N274" s="4"/>
    </row>
    <row r="275" spans="3:14" x14ac:dyDescent="0.3">
      <c r="C275" s="5">
        <v>83</v>
      </c>
      <c r="D275" s="5" t="str">
        <f>_xll.BfX_Help2(C275)</f>
        <v>g/cm^3                                                                         -&gt;  g/cm^3</v>
      </c>
      <c r="E275" s="5"/>
      <c r="F275" s="5"/>
      <c r="G275" s="5"/>
      <c r="H275" s="5"/>
      <c r="I275" s="5"/>
      <c r="J275" s="5"/>
      <c r="K275" s="5"/>
      <c r="L275" s="5"/>
      <c r="M275" s="4"/>
      <c r="N275" s="4"/>
    </row>
    <row r="276" spans="3:14" x14ac:dyDescent="0.3">
      <c r="C276" s="5">
        <v>84</v>
      </c>
      <c r="D276" s="5" t="str">
        <f>_xll.BfX_Help2(C276)</f>
        <v>pounds/ft^3                                                                    -&gt;  lb/ft^3</v>
      </c>
      <c r="E276" s="5"/>
      <c r="F276" s="5"/>
      <c r="G276" s="5"/>
      <c r="H276" s="5"/>
      <c r="I276" s="5"/>
      <c r="J276" s="5"/>
      <c r="K276" s="5"/>
      <c r="L276" s="5"/>
      <c r="M276" s="4"/>
      <c r="N276" s="4"/>
    </row>
    <row r="277" spans="3:14" x14ac:dyDescent="0.3">
      <c r="C277" s="5">
        <v>85</v>
      </c>
      <c r="D277" s="5" t="str">
        <f>_xll.BfX_Help2(C277)</f>
        <v>======================Sectional density = mass/diameter^2=======================</v>
      </c>
      <c r="E277" s="5"/>
      <c r="F277" s="5"/>
      <c r="G277" s="5"/>
      <c r="H277" s="5"/>
      <c r="I277" s="5"/>
      <c r="J277" s="5"/>
      <c r="K277" s="5"/>
      <c r="L277" s="5"/>
      <c r="M277" s="4"/>
      <c r="N277" s="4"/>
    </row>
    <row r="278" spans="3:14" x14ac:dyDescent="0.3">
      <c r="C278" s="5">
        <v>86</v>
      </c>
      <c r="D278" s="5" t="str">
        <f>_xll.BfX_Help2(C278)</f>
        <v>kg/m^2 (default)                                                               -&gt;  kg/m^2</v>
      </c>
      <c r="E278" s="5"/>
      <c r="F278" s="5"/>
      <c r="G278" s="5"/>
      <c r="H278" s="5"/>
      <c r="I278" s="5"/>
      <c r="J278" s="5"/>
      <c r="K278" s="5"/>
      <c r="L278" s="5"/>
      <c r="M278" s="4"/>
      <c r="N278" s="4"/>
    </row>
    <row r="279" spans="3:14" x14ac:dyDescent="0.3">
      <c r="C279" s="5">
        <v>87</v>
      </c>
      <c r="D279" s="5" t="str">
        <f>_xll.BfX_Help2(C279)</f>
        <v>pounds/inch^2                                                                  -&gt;  lb/in^2</v>
      </c>
      <c r="E279" s="5"/>
      <c r="F279" s="5"/>
      <c r="G279" s="5"/>
      <c r="H279" s="5"/>
      <c r="I279" s="5"/>
      <c r="J279" s="5"/>
      <c r="K279" s="5"/>
      <c r="L279" s="5"/>
      <c r="M279" s="4"/>
      <c r="N279" s="4"/>
    </row>
    <row r="280" spans="3:14" x14ac:dyDescent="0.3">
      <c r="C280" s="5">
        <v>88</v>
      </c>
      <c r="D280" s="5" t="str">
        <f>_xll.BfX_Help2(C280)</f>
        <v>=====================================Energy=====================================</v>
      </c>
      <c r="E280" s="5"/>
      <c r="F280" s="5"/>
      <c r="G280" s="5"/>
      <c r="H280" s="5"/>
      <c r="I280" s="5"/>
      <c r="J280" s="5"/>
      <c r="K280" s="5"/>
      <c r="L280" s="5"/>
      <c r="M280" s="4"/>
      <c r="N280" s="4"/>
    </row>
    <row r="281" spans="3:14" x14ac:dyDescent="0.3">
      <c r="C281" s="5">
        <v>89</v>
      </c>
      <c r="D281" s="5" t="str">
        <f>_xll.BfX_Help2(C281)</f>
        <v>Joule (default)                                                                -&gt;  J</v>
      </c>
      <c r="E281" s="5"/>
      <c r="F281" s="5"/>
      <c r="G281" s="5"/>
      <c r="H281" s="5"/>
      <c r="I281" s="5"/>
      <c r="J281" s="5"/>
      <c r="K281" s="5"/>
      <c r="L281" s="5"/>
      <c r="M281" s="4"/>
      <c r="N281" s="4"/>
    </row>
    <row r="282" spans="3:14" x14ac:dyDescent="0.3">
      <c r="C282" s="5">
        <v>90</v>
      </c>
      <c r="D282" s="5" t="str">
        <f>_xll.BfX_Help2(C282)</f>
        <v>foot pound                                                                     -&gt;  ft-lb</v>
      </c>
      <c r="E282" s="5"/>
      <c r="F282" s="5"/>
      <c r="G282" s="5"/>
      <c r="H282" s="5"/>
      <c r="I282" s="5"/>
      <c r="J282" s="5"/>
      <c r="K282" s="5"/>
      <c r="L282" s="5"/>
      <c r="M282" s="4"/>
      <c r="N282" s="4"/>
    </row>
    <row r="283" spans="3:14" x14ac:dyDescent="0.3">
      <c r="C283" s="5">
        <v>91</v>
      </c>
      <c r="D283" s="5" t="str">
        <f>_xll.BfX_Help2(C283)</f>
        <v>=========================Interpolation output selectors=========================</v>
      </c>
      <c r="E283" s="5"/>
      <c r="F283" s="5"/>
      <c r="G283" s="5"/>
      <c r="H283" s="5"/>
      <c r="I283" s="5"/>
      <c r="J283" s="5"/>
      <c r="K283" s="5"/>
      <c r="L283" s="5"/>
      <c r="M283" s="4"/>
      <c r="N283" s="4"/>
    </row>
    <row r="284" spans="3:14" x14ac:dyDescent="0.3">
      <c r="C284" s="5">
        <v>92</v>
      </c>
      <c r="D284" s="5" t="str">
        <f>_xll.BfX_Help2(C284)</f>
        <v>interpolated value (default)                                                   -&gt;  I</v>
      </c>
      <c r="E284" s="5"/>
      <c r="F284" s="5"/>
      <c r="G284" s="5"/>
      <c r="H284" s="5"/>
      <c r="I284" s="5"/>
      <c r="J284" s="5"/>
      <c r="K284" s="5"/>
      <c r="L284" s="5"/>
      <c r="M284" s="4"/>
      <c r="N284" s="4"/>
    </row>
    <row r="285" spans="3:14" x14ac:dyDescent="0.3">
      <c r="C285" s="5">
        <v>93</v>
      </c>
      <c r="D285" s="5" t="str">
        <f>_xll.BfX_Help2(C285)</f>
        <v>accuracy obtained                                                              -&gt;  A</v>
      </c>
      <c r="E285" s="5"/>
      <c r="F285" s="5"/>
      <c r="G285" s="5"/>
      <c r="H285" s="5"/>
      <c r="I285" s="5"/>
      <c r="J285" s="5"/>
      <c r="K285" s="5"/>
      <c r="L285" s="5"/>
      <c r="M285" s="4"/>
      <c r="N285" s="4"/>
    </row>
    <row r="286" spans="3:14" x14ac:dyDescent="0.3">
      <c r="C286" s="5">
        <v>94</v>
      </c>
      <c r="D286" s="5" t="str">
        <f>_xll.BfX_Help2(C286)</f>
        <v>number of inputs used for interpolation                                        -&gt;  N</v>
      </c>
      <c r="E286" s="5"/>
      <c r="F286" s="5"/>
      <c r="G286" s="5"/>
      <c r="H286" s="5"/>
      <c r="I286" s="5"/>
      <c r="J286" s="5"/>
      <c r="K286" s="5"/>
      <c r="L286" s="5"/>
      <c r="M286" s="4"/>
      <c r="N286" s="4"/>
    </row>
    <row r="287" spans="3:14" x14ac:dyDescent="0.3">
      <c r="C287" s="5">
        <v>95</v>
      </c>
      <c r="D287" s="5" t="str">
        <f>_xll.BfX_Help2(C287)</f>
        <v>type of result                                                                 -&gt;  T</v>
      </c>
      <c r="E287" s="5"/>
      <c r="F287" s="5"/>
      <c r="G287" s="5"/>
      <c r="H287" s="5"/>
      <c r="I287" s="5"/>
      <c r="J287" s="5"/>
      <c r="K287" s="5"/>
      <c r="L287" s="5"/>
      <c r="M287" s="4"/>
      <c r="N287" s="4"/>
    </row>
    <row r="288" spans="3:14" x14ac:dyDescent="0.3">
      <c r="C288" s="5">
        <v>96</v>
      </c>
      <c r="D288" s="5" t="str">
        <f>_xll.BfX_Help2(C288)</f>
        <v>==============================CRC output selectors==============================</v>
      </c>
      <c r="E288" s="5"/>
      <c r="F288" s="5"/>
      <c r="G288" s="5"/>
      <c r="H288" s="5"/>
      <c r="I288" s="5"/>
      <c r="J288" s="5"/>
      <c r="K288" s="5"/>
      <c r="L288" s="5"/>
      <c r="M288" s="4"/>
      <c r="N288" s="4"/>
    </row>
    <row r="289" spans="3:14" x14ac:dyDescent="0.3">
      <c r="C289" s="5">
        <v>97</v>
      </c>
      <c r="D289" s="5" t="str">
        <f>_xll.BfX_Help2(C289)</f>
        <v>full check - range dimensions + position of value and all contents (default)   -&gt;  FC</v>
      </c>
      <c r="E289" s="5"/>
      <c r="F289" s="5"/>
      <c r="G289" s="5"/>
      <c r="H289" s="5"/>
      <c r="I289" s="5"/>
      <c r="J289" s="5"/>
      <c r="K289" s="5"/>
      <c r="L289" s="5"/>
      <c r="M289" s="4"/>
      <c r="N289" s="4"/>
    </row>
    <row r="290" spans="3:14" x14ac:dyDescent="0.3">
      <c r="C290" s="5">
        <v>98</v>
      </c>
      <c r="D290" s="5" t="str">
        <f>_xll.BfX_Help2(C290)</f>
        <v>only values - skip empty cells                                                 -&gt;  OV</v>
      </c>
      <c r="E290" s="5"/>
      <c r="F290" s="5"/>
      <c r="G290" s="5"/>
      <c r="H290" s="5"/>
      <c r="I290" s="5"/>
      <c r="J290" s="5"/>
      <c r="K290" s="5"/>
      <c r="L290" s="5"/>
      <c r="M290" s="4"/>
      <c r="N290" s="4"/>
    </row>
    <row r="291" spans="3:14" x14ac:dyDescent="0.3">
      <c r="C291" s="5">
        <v>99</v>
      </c>
      <c r="D291" s="5" t="str">
        <f>_xll.BfX_Help2(C291)</f>
        <v>only numbers - skip empty cells, booleans and text, ignore position            -&gt;  ON</v>
      </c>
      <c r="E291" s="5"/>
      <c r="F291" s="5"/>
      <c r="G291" s="5"/>
      <c r="H291" s="5"/>
      <c r="I291" s="5"/>
      <c r="J291" s="5"/>
      <c r="K291" s="5"/>
      <c r="L291" s="5"/>
      <c r="M291" s="4"/>
      <c r="N291" s="4"/>
    </row>
    <row r="292" spans="3:14" x14ac:dyDescent="0.3">
      <c r="C292" s="5">
        <v>100</v>
      </c>
      <c r="D292" s="5" t="str">
        <f>_xll.BfX_Help2(C292)</f>
        <v>only text - skip empty cells, booleans and numbers, ignore position            -&gt;  OT</v>
      </c>
      <c r="E292" s="5"/>
      <c r="F292" s="5"/>
      <c r="G292" s="5"/>
      <c r="H292" s="5"/>
      <c r="I292" s="5"/>
      <c r="J292" s="5"/>
      <c r="K292" s="5"/>
      <c r="L292" s="5"/>
      <c r="M292" s="4"/>
      <c r="N292" s="4"/>
    </row>
    <row r="293" spans="3:14" x14ac:dyDescent="0.3">
      <c r="C293" s="5">
        <v>101</v>
      </c>
      <c r="D293" s="5" t="str">
        <f>_xll.BfX_Help2(C293)</f>
        <v>only booleans - skip empty cells, text and numbers, ignore position            -&gt;  OB</v>
      </c>
      <c r="E293" s="5"/>
      <c r="F293" s="5"/>
      <c r="G293" s="5"/>
      <c r="H293" s="5"/>
      <c r="I293" s="5"/>
      <c r="J293" s="5"/>
      <c r="K293" s="5"/>
      <c r="L293" s="5"/>
      <c r="M293" s="4"/>
      <c r="N293" s="4"/>
    </row>
    <row r="294" spans="3:14" x14ac:dyDescent="0.3">
      <c r="C294" s="5">
        <v>102</v>
      </c>
      <c r="D294" s="5" t="str">
        <f>_xll.BfX_Help2(C294)</f>
        <v>only empty cells - skip booleans, text and numbers, ignore position            -&gt;  OE</v>
      </c>
      <c r="E294" s="5"/>
      <c r="F294" s="5"/>
      <c r="G294" s="5"/>
      <c r="H294" s="5"/>
      <c r="I294" s="5"/>
      <c r="J294" s="5"/>
      <c r="K294" s="5"/>
      <c r="L294" s="5"/>
      <c r="M294" s="4"/>
      <c r="N294" s="4"/>
    </row>
    <row r="295" spans="3:14" x14ac:dyDescent="0.3">
      <c r="C295" s="5">
        <v>103</v>
      </c>
      <c r="D295" s="5" t="str">
        <f>_xll.BfX_Help2(C295)</f>
        <v>only drag table                                                                -&gt;  OD</v>
      </c>
      <c r="E295" s="5"/>
      <c r="F295" s="5"/>
      <c r="G295" s="5"/>
      <c r="H295" s="5"/>
      <c r="I295" s="5"/>
      <c r="J295" s="5"/>
      <c r="K295" s="5"/>
      <c r="L295" s="5"/>
      <c r="M295" s="4"/>
      <c r="N295" s="4"/>
    </row>
    <row r="296" spans="3:14" x14ac:dyDescent="0.3">
      <c r="C296" s="5">
        <v>104</v>
      </c>
      <c r="D296" s="5" t="str">
        <f>_xll.BfX_Help2(C296)</f>
        <v>================================End of BfX_Help2================================</v>
      </c>
      <c r="E296" s="5"/>
      <c r="F296" s="5"/>
      <c r="G296" s="5"/>
      <c r="H296" s="5"/>
      <c r="I296" s="5"/>
      <c r="J296" s="5"/>
      <c r="K296" s="5"/>
      <c r="L296" s="5"/>
      <c r="M296" s="4"/>
      <c r="N296" s="4"/>
    </row>
    <row r="297" spans="3:14" x14ac:dyDescent="0.3">
      <c r="C297" s="5">
        <v>105</v>
      </c>
      <c r="D297" s="5" t="str">
        <f>_xll.BfX_Help2(C297)</f>
        <v>Ballistics for Excel - use =BfX_Help2(i) with i=1,2,3,...104 for more</v>
      </c>
      <c r="E297" s="5"/>
      <c r="F297" s="5"/>
      <c r="G297" s="5"/>
      <c r="H297" s="5"/>
      <c r="I297" s="5"/>
      <c r="J297" s="5"/>
      <c r="K297" s="5"/>
      <c r="L297" s="5"/>
      <c r="M297" s="4"/>
      <c r="N297" s="4"/>
    </row>
  </sheetData>
  <hyperlinks>
    <hyperlink ref="K9" r:id="rId1"/>
    <hyperlink ref="L185" r:id="rId2"/>
  </hyperlinks>
  <pageMargins left="0.7" right="0.7" top="0.75" bottom="0.75" header="0.3" footer="0.3"/>
  <pageSetup paperSize="9" orientation="portrait" horizontalDpi="4294967293" verticalDpi="0" r:id="rId3"/>
  <webPublishItems count="2">
    <webPublishItem id="22525" divId="Getting started_22525" sourceType="range" sourceRef="B8:L168" destinationFile="C:\Users\meijerrj\Documents\ballistiek\vproj\BfXv1\site\BfXsite\docs\BfX_help.htm" autoRepublish="1"/>
    <webPublishItem id="29348" divId="Getting started_29348" sourceType="range" sourceRef="B185:N287" destinationFile="C:\Users\meijerrj\Documents\ballistiek\vproj\BfXv1\site\BfXsite\docs\BfX_help2.htm"/>
  </webPublishItem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7"/>
  <sheetViews>
    <sheetView topLeftCell="A43" workbookViewId="0">
      <selection activeCell="D6" sqref="D6"/>
    </sheetView>
  </sheetViews>
  <sheetFormatPr defaultRowHeight="15.75" x14ac:dyDescent="0.3"/>
  <sheetData>
    <row r="1" spans="1:14" x14ac:dyDescent="0.3">
      <c r="A1">
        <v>3</v>
      </c>
      <c r="B1" t="s">
        <v>82</v>
      </c>
    </row>
    <row r="2" spans="1:14" x14ac:dyDescent="0.3">
      <c r="A2" t="s">
        <v>29</v>
      </c>
      <c r="B2" s="2" t="s">
        <v>10</v>
      </c>
    </row>
    <row r="3" spans="1:14" x14ac:dyDescent="0.3">
      <c r="C3" t="s">
        <v>24</v>
      </c>
    </row>
    <row r="4" spans="1:14" x14ac:dyDescent="0.3">
      <c r="C4" s="105" t="s">
        <v>470</v>
      </c>
    </row>
    <row r="5" spans="1:14" x14ac:dyDescent="0.3">
      <c r="C5" s="5" t="s">
        <v>188</v>
      </c>
      <c r="D5" s="5" t="s">
        <v>337</v>
      </c>
      <c r="E5" s="5"/>
      <c r="F5" s="5"/>
      <c r="G5" s="5"/>
      <c r="H5" s="5"/>
      <c r="I5" s="5"/>
      <c r="J5" s="5"/>
      <c r="K5" s="5"/>
      <c r="L5" s="5"/>
      <c r="M5" s="5"/>
      <c r="N5" s="5"/>
    </row>
    <row r="6" spans="1:14" x14ac:dyDescent="0.3">
      <c r="C6" s="5">
        <v>350</v>
      </c>
      <c r="D6" s="103">
        <f>_xll.BfX_Vx(750,C6,0.5)</f>
        <v>554.74072476209017</v>
      </c>
      <c r="E6" s="4"/>
      <c r="F6" s="4"/>
      <c r="G6" s="4"/>
      <c r="H6" s="4"/>
      <c r="I6" s="4"/>
      <c r="J6" s="4"/>
      <c r="K6" s="4"/>
      <c r="L6" s="4"/>
      <c r="M6" s="4"/>
      <c r="N6" s="4"/>
    </row>
    <row r="7" spans="1:14" x14ac:dyDescent="0.3">
      <c r="C7" s="5">
        <v>450</v>
      </c>
      <c r="D7" s="103">
        <f>_xll.BfX_Vx(750,C7,0.5)</f>
        <v>504.34992535984111</v>
      </c>
      <c r="E7" s="4"/>
      <c r="F7" s="4"/>
      <c r="G7" s="4"/>
      <c r="H7" s="4"/>
      <c r="I7" s="4"/>
      <c r="J7" s="4"/>
      <c r="K7" s="4"/>
      <c r="L7" s="4"/>
      <c r="M7" s="4"/>
      <c r="N7" s="4"/>
    </row>
    <row r="8" spans="1:14" x14ac:dyDescent="0.3">
      <c r="C8" s="5">
        <v>550</v>
      </c>
      <c r="D8" s="103">
        <f>_xll.BfX_Vx(750,C8,0.5)</f>
        <v>456.35804371378742</v>
      </c>
      <c r="E8" s="4"/>
      <c r="F8" s="4"/>
      <c r="G8" s="4"/>
      <c r="H8" s="4"/>
      <c r="I8" s="4"/>
      <c r="J8" s="4"/>
      <c r="K8" s="4"/>
      <c r="L8" s="4"/>
      <c r="M8" s="4"/>
      <c r="N8" s="4"/>
    </row>
    <row r="9" spans="1:14" x14ac:dyDescent="0.3">
      <c r="C9" t="s">
        <v>22</v>
      </c>
    </row>
    <row r="10" spans="1:14" x14ac:dyDescent="0.3">
      <c r="C10" s="5" t="s">
        <v>8</v>
      </c>
      <c r="D10" s="5" t="e">
        <f>_xll.BfX_Vx(750,C10,0.5)</f>
        <v>#NULL!</v>
      </c>
      <c r="E10" s="4"/>
      <c r="F10" s="4"/>
      <c r="G10" s="4"/>
      <c r="H10" s="4"/>
      <c r="I10" s="4"/>
      <c r="J10" s="4"/>
      <c r="K10" s="4"/>
      <c r="L10" s="4"/>
      <c r="M10" s="4"/>
      <c r="N10" s="4"/>
    </row>
    <row r="11" spans="1:14" x14ac:dyDescent="0.3">
      <c r="C11" s="105" t="s">
        <v>17</v>
      </c>
    </row>
    <row r="12" spans="1:14" x14ac:dyDescent="0.3">
      <c r="C12" s="5">
        <v>0</v>
      </c>
      <c r="D12" s="5" t="str">
        <f>_xll.BfX_Info(C12)</f>
        <v>Ballistics for Excel - use BfX_Help(i) with i=0,1,2 ... for more.</v>
      </c>
      <c r="E12" s="4"/>
      <c r="F12" s="4"/>
      <c r="G12" s="4"/>
      <c r="H12" s="4"/>
      <c r="I12" s="4"/>
      <c r="J12" s="4"/>
      <c r="K12" s="4"/>
      <c r="L12" s="4"/>
      <c r="M12" s="4"/>
      <c r="N12" s="4"/>
    </row>
    <row r="13" spans="1:14" x14ac:dyDescent="0.3">
      <c r="C13" s="5">
        <v>1</v>
      </c>
      <c r="D13" s="5" t="str">
        <f>_xll.BfX_Info(C13)</f>
        <v>=================================================================</v>
      </c>
      <c r="E13" s="4"/>
      <c r="F13" s="4"/>
      <c r="G13" s="4"/>
      <c r="H13" s="4"/>
      <c r="I13" s="4"/>
      <c r="J13" s="4"/>
      <c r="K13" s="4"/>
      <c r="L13" s="4"/>
      <c r="M13" s="4"/>
      <c r="N13" s="4"/>
    </row>
    <row r="14" spans="1:14" x14ac:dyDescent="0.3">
      <c r="C14" s="5">
        <v>2</v>
      </c>
      <c r="D14" s="5" t="str">
        <f>_xll.BfX_Info(C14)</f>
        <v xml:space="preserve">use BfX_Info(i) with i=0,1,2 ... to see recent errors or </v>
      </c>
      <c r="E14" s="4"/>
      <c r="F14" s="4"/>
      <c r="G14" s="4"/>
      <c r="H14" s="4"/>
      <c r="I14" s="4"/>
      <c r="J14" s="4"/>
      <c r="K14" s="4"/>
      <c r="L14" s="4"/>
      <c r="M14" s="4"/>
      <c r="N14" s="4"/>
    </row>
    <row r="15" spans="1:14" x14ac:dyDescent="0.3">
      <c r="C15" s="5">
        <v>3</v>
      </c>
      <c r="D15" s="5" t="str">
        <f>_xll.BfX_Info(C15)</f>
        <v>r is an (optional) range in Excel</v>
      </c>
      <c r="E15" s="4"/>
      <c r="F15" s="4"/>
      <c r="G15" s="4"/>
      <c r="H15" s="4"/>
      <c r="I15" s="4"/>
      <c r="J15" s="4"/>
      <c r="K15" s="4"/>
      <c r="L15" s="4"/>
      <c r="M15" s="4"/>
      <c r="N15" s="4"/>
    </row>
    <row r="16" spans="1:14" x14ac:dyDescent="0.3">
      <c r="C16" s="5">
        <v>4</v>
      </c>
      <c r="D16" s="5" t="str">
        <f>_xll.BfX_Info(C16)</f>
        <v>use BfX_Info(i, r ) to trigger an update</v>
      </c>
      <c r="E16" s="4"/>
      <c r="F16" s="4"/>
      <c r="G16" s="4"/>
      <c r="H16" s="4"/>
      <c r="I16" s="4"/>
      <c r="J16" s="4"/>
      <c r="K16" s="4"/>
      <c r="L16" s="4"/>
      <c r="M16" s="4"/>
      <c r="N16" s="4"/>
    </row>
    <row r="17" spans="1:14" x14ac:dyDescent="0.3">
      <c r="C17" s="5">
        <v>5</v>
      </c>
      <c r="D17" s="5" t="str">
        <f>_xll.BfX_Info(C17)</f>
        <v>e.g. if cell A1=BfX_Vx(700;300;0,5) then Bfx_Info(i,$A$1) updates</v>
      </c>
      <c r="E17" s="4"/>
      <c r="F17" s="4"/>
      <c r="G17" s="4"/>
      <c r="H17" s="4"/>
      <c r="I17" s="4"/>
      <c r="J17" s="4"/>
      <c r="K17" s="4"/>
      <c r="L17" s="4"/>
      <c r="M17" s="4"/>
      <c r="N17" s="4"/>
    </row>
    <row r="18" spans="1:14" x14ac:dyDescent="0.3">
      <c r="C18" s="5">
        <v>6</v>
      </c>
      <c r="D18" s="5" t="str">
        <f>_xll.BfX_Info(C18)</f>
        <v>when A1 has changed. Note the absolute reference $A$1.</v>
      </c>
      <c r="E18" s="4"/>
      <c r="F18" s="4"/>
      <c r="G18" s="4"/>
      <c r="H18" s="4"/>
      <c r="I18" s="4"/>
      <c r="J18" s="4"/>
      <c r="K18" s="4"/>
      <c r="L18" s="4"/>
      <c r="M18" s="4"/>
      <c r="N18" s="4"/>
    </row>
    <row r="19" spans="1:14" x14ac:dyDescent="0.3">
      <c r="C19" s="5">
        <v>7</v>
      </c>
      <c r="D19" s="5" t="str">
        <f>_xll.BfX_Info(C19)</f>
        <v>=================================================================</v>
      </c>
      <c r="E19" s="4"/>
      <c r="F19" s="4"/>
      <c r="G19" s="4"/>
      <c r="H19" s="4"/>
      <c r="I19" s="4"/>
      <c r="J19" s="4"/>
      <c r="K19" s="4"/>
      <c r="L19" s="4"/>
      <c r="M19" s="4"/>
      <c r="N19" s="4"/>
    </row>
    <row r="20" spans="1:14" x14ac:dyDescent="0.3">
      <c r="C20" s="5">
        <v>8</v>
      </c>
      <c r="D20" s="5" t="str">
        <f>_xll.BfX_Info(C20)</f>
        <v>BfX - Succesful calculations: 2652 Total calculations: 3207</v>
      </c>
      <c r="E20" s="4"/>
      <c r="F20" s="4"/>
      <c r="G20" s="4"/>
      <c r="H20" s="4"/>
      <c r="I20" s="4"/>
      <c r="J20" s="4"/>
      <c r="K20" s="4"/>
      <c r="L20" s="4"/>
      <c r="M20" s="4"/>
      <c r="N20" s="4"/>
    </row>
    <row r="21" spans="1:14" x14ac:dyDescent="0.3">
      <c r="C21" s="5">
        <v>9</v>
      </c>
      <c r="D21" s="5" t="str">
        <f>_xll.BfX_Info(C21)</f>
        <v>BfX - unrecognized or invalid unit "gim" in argument 2</v>
      </c>
      <c r="E21" s="4"/>
      <c r="F21" s="4"/>
      <c r="G21" s="4"/>
      <c r="H21" s="4"/>
      <c r="I21" s="4"/>
      <c r="J21" s="4"/>
      <c r="K21" s="4"/>
      <c r="L21" s="4"/>
      <c r="M21" s="4"/>
      <c r="N21" s="4"/>
    </row>
    <row r="22" spans="1:14" x14ac:dyDescent="0.3">
      <c r="C22" s="5">
        <v>10</v>
      </c>
      <c r="D22" s="5" t="str">
        <f>_xll.BfX_Info(C22)</f>
        <v>BfX - Succesful calculations: 2647 Total calculations: 3201</v>
      </c>
      <c r="E22" s="4"/>
      <c r="F22" s="4"/>
      <c r="G22" s="4"/>
      <c r="H22" s="4"/>
      <c r="I22" s="4"/>
      <c r="J22" s="4"/>
      <c r="K22" s="4"/>
      <c r="L22" s="4"/>
      <c r="M22" s="4"/>
      <c r="N22" s="4"/>
    </row>
    <row r="23" spans="1:14" x14ac:dyDescent="0.3">
      <c r="C23" s="5">
        <v>11</v>
      </c>
      <c r="D23" s="5" t="str">
        <f>_xll.BfX_Info(C23)</f>
        <v>BfX - unrecognized or invalid unit "gim" in argument 2</v>
      </c>
      <c r="E23" s="4"/>
      <c r="F23" s="4"/>
      <c r="G23" s="4"/>
      <c r="H23" s="4"/>
      <c r="I23" s="4"/>
      <c r="J23" s="4"/>
      <c r="K23" s="4"/>
      <c r="L23" s="4"/>
      <c r="M23" s="4"/>
      <c r="N23" s="4"/>
    </row>
    <row r="24" spans="1:14" x14ac:dyDescent="0.3">
      <c r="C24" s="5">
        <v>12</v>
      </c>
      <c r="D24" s="5" t="str">
        <f>_xll.BfX_Info(C24)</f>
        <v>BfX - Succesful calculations: 2646 Total calculations: 3200</v>
      </c>
      <c r="E24" s="4"/>
      <c r="F24" s="4"/>
      <c r="G24" s="4"/>
      <c r="H24" s="4"/>
      <c r="I24" s="4"/>
      <c r="J24" s="4"/>
      <c r="K24" s="4"/>
      <c r="L24" s="4"/>
      <c r="M24" s="4"/>
      <c r="N24" s="4"/>
    </row>
    <row r="25" spans="1:14" x14ac:dyDescent="0.3">
      <c r="C25" s="5">
        <v>13</v>
      </c>
      <c r="D25" s="5" t="str">
        <f>_xll.BfX_Info(C25)</f>
        <v>BfX - unrecognized or invalid unit "gim" in argument 2</v>
      </c>
      <c r="E25" s="4"/>
      <c r="F25" s="4"/>
      <c r="G25" s="4"/>
      <c r="H25" s="4"/>
      <c r="I25" s="4"/>
      <c r="J25" s="4"/>
      <c r="K25" s="4"/>
      <c r="L25" s="4"/>
      <c r="M25" s="4"/>
      <c r="N25" s="4"/>
    </row>
    <row r="26" spans="1:14" x14ac:dyDescent="0.3">
      <c r="C26" t="s">
        <v>335</v>
      </c>
    </row>
    <row r="29" spans="1:14" x14ac:dyDescent="0.3">
      <c r="A29" t="s">
        <v>30</v>
      </c>
      <c r="B29" s="2" t="s">
        <v>11</v>
      </c>
    </row>
    <row r="30" spans="1:14" x14ac:dyDescent="0.3">
      <c r="C30" t="s">
        <v>9</v>
      </c>
    </row>
    <row r="31" spans="1:14" x14ac:dyDescent="0.3">
      <c r="C31" t="s">
        <v>25</v>
      </c>
    </row>
    <row r="32" spans="1:14" x14ac:dyDescent="0.3">
      <c r="C32" s="5" t="str">
        <f>_xll.BfX_Info(8,C6:D10)</f>
        <v>BfX - Succesful calculations: 1759 Total calculations: 4989</v>
      </c>
      <c r="D32" s="5"/>
      <c r="E32" s="4"/>
      <c r="F32" s="4"/>
      <c r="G32" s="4"/>
      <c r="H32" s="4"/>
      <c r="I32" s="4"/>
      <c r="J32" s="4"/>
      <c r="K32" s="4" t="str">
        <f ca="1">_xll.BfX_Cell(C32)</f>
        <v>=BfX_Info(8;C6:D10)</v>
      </c>
      <c r="L32" s="4"/>
      <c r="M32" s="4"/>
      <c r="N32" s="4"/>
    </row>
    <row r="33" spans="1:14" x14ac:dyDescent="0.3">
      <c r="A33" t="s">
        <v>31</v>
      </c>
      <c r="B33" s="2" t="s">
        <v>12</v>
      </c>
    </row>
    <row r="34" spans="1:14" x14ac:dyDescent="0.3">
      <c r="B34" s="2"/>
      <c r="C34" s="105" t="s">
        <v>523</v>
      </c>
    </row>
    <row r="35" spans="1:14" x14ac:dyDescent="0.3">
      <c r="A35" t="s">
        <v>32</v>
      </c>
      <c r="B35" s="2" t="s">
        <v>519</v>
      </c>
    </row>
    <row r="36" spans="1:14" x14ac:dyDescent="0.3">
      <c r="C36" s="105" t="s">
        <v>524</v>
      </c>
    </row>
    <row r="37" spans="1:14" x14ac:dyDescent="0.3">
      <c r="A37" t="s">
        <v>33</v>
      </c>
      <c r="B37" s="2" t="s">
        <v>13</v>
      </c>
    </row>
    <row r="38" spans="1:14" x14ac:dyDescent="0.3">
      <c r="C38" t="s">
        <v>15</v>
      </c>
    </row>
    <row r="39" spans="1:14" x14ac:dyDescent="0.3">
      <c r="C39" s="5" t="str">
        <f>_xll.BfX_IQ()</f>
        <v>BfX - Succesful calculations: 264 Total calculations: 3477</v>
      </c>
      <c r="D39" s="5"/>
      <c r="E39" s="4"/>
      <c r="F39" s="4"/>
      <c r="G39" s="4"/>
      <c r="H39" s="4"/>
      <c r="I39" s="4"/>
      <c r="J39" s="4"/>
      <c r="K39" s="4"/>
      <c r="L39" s="4"/>
      <c r="M39" s="4" t="str">
        <f ca="1">_xll.BfX_Cell(C39)</f>
        <v>=BfX_IQ()</v>
      </c>
      <c r="N39" s="4"/>
    </row>
    <row r="40" spans="1:14" x14ac:dyDescent="0.3">
      <c r="A40" t="s">
        <v>34</v>
      </c>
      <c r="B40" s="2" t="s">
        <v>14</v>
      </c>
    </row>
    <row r="41" spans="1:14" x14ac:dyDescent="0.3">
      <c r="C41" t="s">
        <v>16</v>
      </c>
    </row>
    <row r="42" spans="1:14" x14ac:dyDescent="0.3">
      <c r="C42" s="5" t="str">
        <f>_xll.BfX_IQ(C6:D10)</f>
        <v>BfX - Succesful calculations: 1774 Total calculations: 5010</v>
      </c>
      <c r="D42" s="5"/>
      <c r="E42" s="4"/>
      <c r="F42" s="4"/>
      <c r="G42" s="4"/>
      <c r="H42" s="4"/>
      <c r="I42" s="4"/>
      <c r="J42" s="4"/>
      <c r="K42" s="4"/>
      <c r="L42" s="4"/>
      <c r="M42" s="4" t="str">
        <f ca="1">_xll.BfX_Cell(C42)</f>
        <v>=BfX_IQ(C6:D10)</v>
      </c>
      <c r="N42" s="4"/>
    </row>
    <row r="44" spans="1:14" s="2" customFormat="1" x14ac:dyDescent="0.3">
      <c r="A44" s="2" t="s">
        <v>162</v>
      </c>
      <c r="B44" s="2" t="s">
        <v>163</v>
      </c>
    </row>
    <row r="45" spans="1:14" x14ac:dyDescent="0.3">
      <c r="C45" t="s">
        <v>164</v>
      </c>
    </row>
    <row r="46" spans="1:14" x14ac:dyDescent="0.3">
      <c r="C46" t="s">
        <v>165</v>
      </c>
    </row>
    <row r="47" spans="1:14" x14ac:dyDescent="0.3">
      <c r="C47" s="5" t="str">
        <f ca="1">_xll.BfX_Cell(C42)</f>
        <v>=BfX_IQ(C6:D10)</v>
      </c>
      <c r="D47" s="5"/>
      <c r="E47" s="5"/>
      <c r="F47" s="5"/>
      <c r="G47" s="5"/>
      <c r="H47" s="5"/>
      <c r="I47" s="5"/>
      <c r="J47" s="5"/>
      <c r="K47" s="5"/>
      <c r="L47" s="5"/>
      <c r="M47" s="4"/>
      <c r="N4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70"/>
  <sheetViews>
    <sheetView topLeftCell="A45" workbookViewId="0">
      <selection activeCell="D66" sqref="D66"/>
    </sheetView>
  </sheetViews>
  <sheetFormatPr defaultRowHeight="15.75" x14ac:dyDescent="0.3"/>
  <cols>
    <col min="2" max="2" width="12" customWidth="1"/>
    <col min="4" max="4" width="9.6640625" bestFit="1" customWidth="1"/>
  </cols>
  <sheetData>
    <row r="1" spans="1:6" x14ac:dyDescent="0.3">
      <c r="A1">
        <v>4</v>
      </c>
      <c r="B1" t="s">
        <v>84</v>
      </c>
    </row>
    <row r="2" spans="1:6" x14ac:dyDescent="0.3">
      <c r="A2" t="s">
        <v>35</v>
      </c>
      <c r="B2" s="2" t="s">
        <v>69</v>
      </c>
      <c r="C2" s="6" t="str">
        <f>_xll.BfX_Vx()</f>
        <v>v=BfX_Vx(v0; x; c; df=GP) [m/s]</v>
      </c>
      <c r="D2" s="6"/>
      <c r="E2" s="4"/>
      <c r="F2" s="4"/>
    </row>
    <row r="4" spans="1:6" x14ac:dyDescent="0.3">
      <c r="C4" s="105" t="s">
        <v>471</v>
      </c>
    </row>
    <row r="6" spans="1:6" x14ac:dyDescent="0.3">
      <c r="C6" s="105" t="s">
        <v>472</v>
      </c>
    </row>
    <row r="7" spans="1:6" x14ac:dyDescent="0.3">
      <c r="C7" s="105" t="s">
        <v>473</v>
      </c>
    </row>
    <row r="8" spans="1:6" x14ac:dyDescent="0.3">
      <c r="C8" s="105" t="s">
        <v>474</v>
      </c>
    </row>
    <row r="11" spans="1:6" x14ac:dyDescent="0.3">
      <c r="C11" t="s">
        <v>47</v>
      </c>
    </row>
    <row r="12" spans="1:6" x14ac:dyDescent="0.3">
      <c r="C12" s="105" t="s">
        <v>475</v>
      </c>
    </row>
    <row r="13" spans="1:6" x14ac:dyDescent="0.3">
      <c r="C13" s="105" t="s">
        <v>476</v>
      </c>
    </row>
    <row r="15" spans="1:6" x14ac:dyDescent="0.3">
      <c r="C15" s="105" t="s">
        <v>477</v>
      </c>
    </row>
    <row r="16" spans="1:6" x14ac:dyDescent="0.3">
      <c r="C16" s="105" t="s">
        <v>478</v>
      </c>
    </row>
    <row r="17" spans="3:6" x14ac:dyDescent="0.3">
      <c r="C17" t="s">
        <v>36</v>
      </c>
    </row>
    <row r="18" spans="3:6" x14ac:dyDescent="0.3">
      <c r="C18" s="105" t="s">
        <v>479</v>
      </c>
    </row>
    <row r="20" spans="3:6" x14ac:dyDescent="0.3">
      <c r="C20" s="105" t="s">
        <v>480</v>
      </c>
    </row>
    <row r="22" spans="3:6" x14ac:dyDescent="0.3">
      <c r="C22" s="7" t="s">
        <v>40</v>
      </c>
      <c r="D22" s="7" t="s">
        <v>37</v>
      </c>
      <c r="E22" s="5" t="s">
        <v>38</v>
      </c>
      <c r="F22" s="5" t="s">
        <v>39</v>
      </c>
    </row>
    <row r="23" spans="3:6" x14ac:dyDescent="0.3">
      <c r="C23" s="7">
        <v>0.5</v>
      </c>
      <c r="D23" s="7">
        <v>740</v>
      </c>
      <c r="E23" s="5">
        <v>0</v>
      </c>
      <c r="F23" s="104">
        <f>_xll.BfX_Vx(v0,E23,c_)</f>
        <v>740</v>
      </c>
    </row>
    <row r="24" spans="3:6" x14ac:dyDescent="0.3">
      <c r="C24" s="7" t="s">
        <v>46</v>
      </c>
      <c r="D24" s="7" t="s">
        <v>45</v>
      </c>
      <c r="E24" s="5">
        <v>100</v>
      </c>
      <c r="F24" s="104">
        <f>_xll.BfX_Vx(v0,E24,c_)</f>
        <v>681.61424024823043</v>
      </c>
    </row>
    <row r="25" spans="3:6" x14ac:dyDescent="0.3">
      <c r="C25" s="7"/>
      <c r="D25" s="7"/>
      <c r="E25" s="5">
        <v>200</v>
      </c>
      <c r="F25" s="104">
        <f>_xll.BfX_Vx(v0,E25,c_)</f>
        <v>625.62739825265612</v>
      </c>
    </row>
    <row r="26" spans="3:6" x14ac:dyDescent="0.3">
      <c r="C26" s="7"/>
      <c r="D26" s="7"/>
      <c r="E26" s="5">
        <v>300</v>
      </c>
      <c r="F26" s="104">
        <f>_xll.BfX_Vx(v0,E26,c_)</f>
        <v>572.03947401327719</v>
      </c>
    </row>
    <row r="27" spans="3:6" x14ac:dyDescent="0.3">
      <c r="C27" s="7"/>
      <c r="D27" s="7"/>
      <c r="E27" s="5">
        <v>400</v>
      </c>
      <c r="F27" s="104">
        <f>_xll.BfX_Vx(v0,E27,c_)</f>
        <v>520.85046753009351</v>
      </c>
    </row>
    <row r="28" spans="3:6" x14ac:dyDescent="0.3">
      <c r="C28" s="7"/>
      <c r="D28" s="7"/>
      <c r="E28" s="5">
        <v>500</v>
      </c>
      <c r="F28" s="104">
        <f>_xll.BfX_Vx(v0,E28,c_)</f>
        <v>472.06037880310544</v>
      </c>
    </row>
    <row r="29" spans="3:6" x14ac:dyDescent="0.3">
      <c r="C29" s="7"/>
      <c r="D29" s="7"/>
      <c r="E29" s="5">
        <v>600</v>
      </c>
      <c r="F29" s="104">
        <f>_xll.BfX_Vx(v0,E29,c_)</f>
        <v>425.66982891327359</v>
      </c>
    </row>
    <row r="30" spans="3:6" x14ac:dyDescent="0.3">
      <c r="C30" s="7"/>
      <c r="D30" s="7"/>
      <c r="E30" s="5">
        <v>700</v>
      </c>
      <c r="F30" s="104">
        <f>_xll.BfX_Vx(v0,E30,c_)</f>
        <v>382.84336652095004</v>
      </c>
    </row>
    <row r="31" spans="3:6" x14ac:dyDescent="0.3">
      <c r="C31" s="7"/>
      <c r="D31" s="7"/>
      <c r="E31" s="5">
        <v>800</v>
      </c>
      <c r="F31" s="104">
        <f>_xll.BfX_Vx(v0,E31,c_)</f>
        <v>346.01352056404073</v>
      </c>
    </row>
    <row r="32" spans="3:6" x14ac:dyDescent="0.3">
      <c r="C32" s="7"/>
      <c r="D32" s="7"/>
      <c r="E32" s="5">
        <v>900</v>
      </c>
      <c r="F32" s="104">
        <f>_xll.BfX_Vx(v0,E32,c_)</f>
        <v>319.57303768330524</v>
      </c>
    </row>
    <row r="33" spans="1:8" x14ac:dyDescent="0.3">
      <c r="C33" s="7"/>
      <c r="D33" s="7"/>
      <c r="E33" s="5">
        <v>1000</v>
      </c>
      <c r="F33" s="104">
        <f>_xll.BfX_Vx(v0,E33,c_)</f>
        <v>299.71972971296611</v>
      </c>
    </row>
    <row r="34" spans="1:8" x14ac:dyDescent="0.3">
      <c r="C34" s="7"/>
      <c r="D34" s="7"/>
      <c r="E34" s="5">
        <v>1100</v>
      </c>
      <c r="F34" s="104">
        <f>_xll.BfX_Vx(v0,E34,c_)</f>
        <v>284.03056882823711</v>
      </c>
    </row>
    <row r="35" spans="1:8" x14ac:dyDescent="0.3">
      <c r="C35" s="7"/>
      <c r="D35" s="7"/>
      <c r="E35" s="5">
        <v>1200</v>
      </c>
      <c r="F35" s="104">
        <f>_xll.BfX_Vx(v0,E35,c_)</f>
        <v>271.12911419992258</v>
      </c>
    </row>
    <row r="36" spans="1:8" x14ac:dyDescent="0.3">
      <c r="C36" s="7"/>
      <c r="D36" s="7"/>
      <c r="E36" s="5">
        <v>1300</v>
      </c>
      <c r="F36" s="104">
        <f>_xll.BfX_Vx(v0,E36,c_)</f>
        <v>259.26799385241389</v>
      </c>
    </row>
    <row r="37" spans="1:8" x14ac:dyDescent="0.3">
      <c r="C37" s="7"/>
      <c r="D37" s="7"/>
      <c r="E37" s="5">
        <v>1400</v>
      </c>
      <c r="F37" s="104">
        <f>_xll.BfX_Vx(v0,E37,c_)</f>
        <v>247.92576346739867</v>
      </c>
      <c r="H37" s="105" t="s">
        <v>481</v>
      </c>
    </row>
    <row r="38" spans="1:8" x14ac:dyDescent="0.3">
      <c r="C38" s="7"/>
      <c r="D38" s="7"/>
      <c r="E38" s="5">
        <v>1500</v>
      </c>
      <c r="F38" s="104">
        <f>_xll.BfX_Vx(v0,E38,c_)</f>
        <v>237.07972309872613</v>
      </c>
    </row>
    <row r="39" spans="1:8" x14ac:dyDescent="0.3">
      <c r="C39" s="5"/>
      <c r="D39" s="5"/>
      <c r="E39" s="5"/>
      <c r="F39" s="5"/>
    </row>
    <row r="41" spans="1:8" x14ac:dyDescent="0.3">
      <c r="C41" s="105" t="s">
        <v>482</v>
      </c>
    </row>
    <row r="43" spans="1:8" x14ac:dyDescent="0.3">
      <c r="A43" t="s">
        <v>41</v>
      </c>
      <c r="B43" s="2" t="s">
        <v>42</v>
      </c>
    </row>
    <row r="44" spans="1:8" x14ac:dyDescent="0.3">
      <c r="C44" t="s">
        <v>43</v>
      </c>
    </row>
    <row r="45" spans="1:8" x14ac:dyDescent="0.3">
      <c r="C45" t="s">
        <v>44</v>
      </c>
    </row>
    <row r="46" spans="1:8" x14ac:dyDescent="0.3">
      <c r="C46" t="s">
        <v>678</v>
      </c>
    </row>
    <row r="48" spans="1:8" x14ac:dyDescent="0.3">
      <c r="A48" s="2" t="s">
        <v>70</v>
      </c>
      <c r="B48" s="2" t="s">
        <v>71</v>
      </c>
      <c r="C48" s="6" t="str">
        <f>_xll.BfX_Vt()</f>
        <v>v=BfX_Vt(v0; t; c; df=GP) [m/s]</v>
      </c>
      <c r="D48" s="13"/>
      <c r="E48" s="13"/>
    </row>
    <row r="49" spans="1:6" x14ac:dyDescent="0.3">
      <c r="C49" t="s">
        <v>72</v>
      </c>
    </row>
    <row r="50" spans="1:6" x14ac:dyDescent="0.3">
      <c r="C50" s="104">
        <f>_xll.BfX_Vt(740,0.2,0.5)</f>
        <v>659.11309078431918</v>
      </c>
      <c r="D50" s="7" t="s">
        <v>52</v>
      </c>
    </row>
    <row r="52" spans="1:6" x14ac:dyDescent="0.3">
      <c r="A52" s="2" t="s">
        <v>73</v>
      </c>
      <c r="B52" s="2" t="s">
        <v>74</v>
      </c>
    </row>
    <row r="53" spans="1:6" x14ac:dyDescent="0.3">
      <c r="C53" t="s">
        <v>79</v>
      </c>
    </row>
    <row r="54" spans="1:6" x14ac:dyDescent="0.3">
      <c r="D54" s="7" t="s">
        <v>77</v>
      </c>
      <c r="E54" s="7">
        <v>1000</v>
      </c>
      <c r="F54" s="7" t="s">
        <v>451</v>
      </c>
    </row>
    <row r="55" spans="1:6" x14ac:dyDescent="0.3">
      <c r="C55" t="s">
        <v>71</v>
      </c>
      <c r="D55" s="7">
        <f>_xll.BfX_Vt(500,E54,0.5)</f>
        <v>2.2220449060001877</v>
      </c>
      <c r="E55" s="7" t="s">
        <v>52</v>
      </c>
      <c r="F55" s="7"/>
    </row>
    <row r="56" spans="1:6" x14ac:dyDescent="0.3">
      <c r="D56" t="s">
        <v>75</v>
      </c>
    </row>
    <row r="57" spans="1:6" x14ac:dyDescent="0.3">
      <c r="D57" s="7" t="s">
        <v>78</v>
      </c>
      <c r="E57" s="7">
        <v>10000</v>
      </c>
      <c r="F57" s="7" t="s">
        <v>149</v>
      </c>
    </row>
    <row r="58" spans="1:6" x14ac:dyDescent="0.3">
      <c r="C58" t="s">
        <v>69</v>
      </c>
      <c r="D58" s="7">
        <f>_xll.BfX_Vx(740,E57,0.5)</f>
        <v>5.2914943288650198</v>
      </c>
      <c r="E58" s="7" t="s">
        <v>52</v>
      </c>
      <c r="F58" s="7"/>
    </row>
    <row r="60" spans="1:6" x14ac:dyDescent="0.3">
      <c r="C60" s="105" t="s">
        <v>483</v>
      </c>
    </row>
    <row r="61" spans="1:6" x14ac:dyDescent="0.3">
      <c r="C61" t="s">
        <v>80</v>
      </c>
    </row>
    <row r="63" spans="1:6" x14ac:dyDescent="0.3">
      <c r="B63" s="2" t="s">
        <v>74</v>
      </c>
      <c r="C63" t="s">
        <v>130</v>
      </c>
    </row>
    <row r="65" spans="2:8" ht="16.5" thickBot="1" x14ac:dyDescent="0.35"/>
    <row r="66" spans="2:8" x14ac:dyDescent="0.3">
      <c r="B66" s="198" t="str">
        <f ca="1">MID(CELL("filename",A6),FIND("]",CELL("filename",A6))+1,1256)</f>
        <v>Bullet velocity</v>
      </c>
      <c r="C66" s="199" t="s">
        <v>69</v>
      </c>
      <c r="D66" s="199" t="str">
        <f>_xll.BfX_CRC(C22:F39,"ov")</f>
        <v>BfX1182428557CRC</v>
      </c>
      <c r="E66" s="199"/>
      <c r="F66" s="199"/>
      <c r="G66" s="199"/>
      <c r="H66" s="200"/>
    </row>
    <row r="67" spans="2:8" ht="16.5" thickBot="1" x14ac:dyDescent="0.35">
      <c r="B67" s="201" t="str">
        <f ca="1">MID(CELL("filename",A7),FIND("]",CELL("filename",A7))+1,1256)</f>
        <v>Bullet velocity</v>
      </c>
      <c r="C67" s="202" t="s">
        <v>71</v>
      </c>
      <c r="D67" s="202" t="str">
        <f>_xll.BfX_CRC(C50)</f>
        <v>BfX942455148CRC</v>
      </c>
      <c r="E67" s="202"/>
      <c r="F67" s="202"/>
      <c r="G67" s="202"/>
      <c r="H67" s="203"/>
    </row>
    <row r="68" spans="2:8" x14ac:dyDescent="0.3">
      <c r="B68" s="198" t="s">
        <v>761</v>
      </c>
      <c r="C68" s="199"/>
      <c r="D68" s="199"/>
      <c r="E68" s="199"/>
      <c r="F68" s="199"/>
      <c r="G68" s="199"/>
      <c r="H68" s="200"/>
    </row>
    <row r="69" spans="2:8" x14ac:dyDescent="0.3">
      <c r="B69" s="201" t="s">
        <v>759</v>
      </c>
      <c r="C69" s="202"/>
      <c r="D69" s="202"/>
      <c r="E69" s="202"/>
      <c r="F69" s="202"/>
      <c r="G69" s="202"/>
      <c r="H69" s="203"/>
    </row>
    <row r="70" spans="2:8" ht="16.5" thickBot="1" x14ac:dyDescent="0.35">
      <c r="B70" s="204" t="s">
        <v>760</v>
      </c>
      <c r="C70" s="205"/>
      <c r="D70" s="205"/>
      <c r="E70" s="205"/>
      <c r="F70" s="205"/>
      <c r="G70" s="205"/>
      <c r="H70" s="20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58" workbookViewId="0">
      <selection activeCell="K77" sqref="K77"/>
    </sheetView>
  </sheetViews>
  <sheetFormatPr defaultRowHeight="15.75" x14ac:dyDescent="0.3"/>
  <sheetData>
    <row r="1" spans="1:4" x14ac:dyDescent="0.3">
      <c r="A1">
        <v>5</v>
      </c>
      <c r="B1" s="105" t="s">
        <v>484</v>
      </c>
    </row>
    <row r="2" spans="1:4" x14ac:dyDescent="0.3">
      <c r="B2" t="s">
        <v>91</v>
      </c>
    </row>
    <row r="3" spans="1:4" x14ac:dyDescent="0.3">
      <c r="B3" t="s">
        <v>588</v>
      </c>
    </row>
    <row r="4" spans="1:4" s="105" customFormat="1" x14ac:dyDescent="0.3"/>
    <row r="5" spans="1:4" s="2" customFormat="1" x14ac:dyDescent="0.3">
      <c r="A5" s="2" t="s">
        <v>48</v>
      </c>
      <c r="B5" s="2" t="s">
        <v>92</v>
      </c>
    </row>
    <row r="6" spans="1:4" x14ac:dyDescent="0.3">
      <c r="B6" s="105" t="s">
        <v>485</v>
      </c>
    </row>
    <row r="7" spans="1:4" x14ac:dyDescent="0.3">
      <c r="B7" s="7">
        <f>_xll.BfX_Vx("fps",740,300,0.5)</f>
        <v>1876.7699278650825</v>
      </c>
      <c r="C7" s="105" t="s">
        <v>464</v>
      </c>
    </row>
    <row r="8" spans="1:4" x14ac:dyDescent="0.3">
      <c r="B8" t="s">
        <v>93</v>
      </c>
    </row>
    <row r="10" spans="1:4" s="2" customFormat="1" x14ac:dyDescent="0.3">
      <c r="A10" s="2" t="s">
        <v>54</v>
      </c>
      <c r="B10" s="2" t="s">
        <v>95</v>
      </c>
    </row>
    <row r="11" spans="1:4" x14ac:dyDescent="0.3">
      <c r="B11" t="s">
        <v>115</v>
      </c>
    </row>
    <row r="12" spans="1:4" x14ac:dyDescent="0.3">
      <c r="B12" s="7">
        <f>_xll.BfX_Vx(740,"fps",300,0.5)</f>
        <v>197.22635048677907</v>
      </c>
      <c r="C12" s="105" t="s">
        <v>52</v>
      </c>
    </row>
    <row r="13" spans="1:4" s="105" customFormat="1" x14ac:dyDescent="0.3">
      <c r="B13" s="105" t="s">
        <v>679</v>
      </c>
    </row>
    <row r="15" spans="1:4" s="2" customFormat="1" x14ac:dyDescent="0.3">
      <c r="A15" s="2" t="s">
        <v>59</v>
      </c>
      <c r="B15" s="2" t="s">
        <v>680</v>
      </c>
    </row>
    <row r="16" spans="1:4" x14ac:dyDescent="0.3">
      <c r="B16" s="7">
        <f>_xll.BfX_Vx("fps",740,"fps",10000,"cm",0.24,"G7")</f>
        <v>715.04519377817542</v>
      </c>
      <c r="C16" s="105" t="s">
        <v>464</v>
      </c>
      <c r="D16" t="str">
        <f ca="1">_xll.BfX_Cell(B16)</f>
        <v>=BfX_Vx("fps";740;"fps";10000;"cm";0,24;"G7")</v>
      </c>
    </row>
    <row r="17" spans="1:11" x14ac:dyDescent="0.3">
      <c r="B17" s="105" t="s">
        <v>486</v>
      </c>
    </row>
    <row r="19" spans="1:11" x14ac:dyDescent="0.3">
      <c r="B19" t="s">
        <v>96</v>
      </c>
    </row>
    <row r="20" spans="1:11" x14ac:dyDescent="0.3">
      <c r="B20" s="7">
        <f>740*0.3048</f>
        <v>225.55200000000002</v>
      </c>
      <c r="C20" t="str">
        <f ca="1">_xll.BfX_Cell(B20)</f>
        <v>=740*0,3048</v>
      </c>
      <c r="F20" s="105" t="s">
        <v>755</v>
      </c>
      <c r="H20">
        <v>100</v>
      </c>
      <c r="I20" s="105" t="s">
        <v>465</v>
      </c>
    </row>
    <row r="21" spans="1:11" x14ac:dyDescent="0.3">
      <c r="B21" s="105" t="s">
        <v>525</v>
      </c>
    </row>
    <row r="22" spans="1:11" x14ac:dyDescent="0.3">
      <c r="B22" s="7">
        <f>_xll.BfX_Vx(B20,H20,0.24,"G7")</f>
        <v>217.94577506358789</v>
      </c>
      <c r="C22" s="105" t="s">
        <v>52</v>
      </c>
      <c r="D22" s="14" t="str">
        <f ca="1">_xll.BfX_Cell(B22)</f>
        <v>=BfX_Vx(B20;H20;0,24;"G7")</v>
      </c>
      <c r="E22" s="14"/>
      <c r="F22" s="14"/>
      <c r="G22" s="14"/>
    </row>
    <row r="23" spans="1:11" x14ac:dyDescent="0.3">
      <c r="B23" s="7">
        <f>_xll.BfX_Vx("fps",B20,H20,0.24,"G7")</f>
        <v>715.04519377817542</v>
      </c>
      <c r="C23" s="105" t="s">
        <v>464</v>
      </c>
      <c r="D23" s="14" t="str">
        <f ca="1">_xll.BfX_Cell(B23)</f>
        <v>=BfX_Vx("fps";B20;H20;0,24;"G7")</v>
      </c>
      <c r="E23" s="14"/>
      <c r="F23" s="14"/>
      <c r="G23" s="14"/>
    </row>
    <row r="25" spans="1:11" s="2" customFormat="1" x14ac:dyDescent="0.3">
      <c r="A25" s="2" t="s">
        <v>59</v>
      </c>
      <c r="B25" s="2" t="s">
        <v>112</v>
      </c>
    </row>
    <row r="27" spans="1:11" x14ac:dyDescent="0.3">
      <c r="B27" t="s">
        <v>114</v>
      </c>
    </row>
    <row r="28" spans="1:11" x14ac:dyDescent="0.3">
      <c r="B28">
        <v>0</v>
      </c>
      <c r="C28" s="14" t="str">
        <f>_xll.BfX_Help2(B28)</f>
        <v>Ballistics for Excel - use =BfX_Help2(i) with i=1,2,3,...104 for more</v>
      </c>
      <c r="D28" s="14"/>
      <c r="E28" s="14"/>
      <c r="F28" s="14"/>
      <c r="G28" s="14"/>
      <c r="H28" s="14"/>
      <c r="I28" s="14"/>
      <c r="J28" s="14"/>
      <c r="K28" s="14"/>
    </row>
    <row r="29" spans="1:11" x14ac:dyDescent="0.3">
      <c r="B29">
        <v>1</v>
      </c>
      <c r="C29" s="14" t="str">
        <f>_xll.BfX_Help2(B29)</f>
        <v>Use BfX_Help(0) for help on BfX functions</v>
      </c>
      <c r="D29" s="14"/>
      <c r="E29" s="14"/>
      <c r="F29" s="14"/>
      <c r="G29" s="14"/>
      <c r="H29" s="14"/>
      <c r="I29" s="14"/>
      <c r="J29" s="14"/>
      <c r="K29" s="14"/>
    </row>
    <row r="30" spans="1:11" x14ac:dyDescent="0.3">
      <c r="B30">
        <v>2</v>
      </c>
      <c r="C30" s="14" t="str">
        <f>_xll.BfX_Help2(B30)</f>
        <v>===================================BfX_Help2====================================</v>
      </c>
      <c r="D30" s="14"/>
      <c r="E30" s="14"/>
      <c r="F30" s="14"/>
      <c r="G30" s="14"/>
      <c r="H30" s="14"/>
      <c r="I30" s="14"/>
      <c r="J30" s="14"/>
      <c r="K30" s="14"/>
    </row>
    <row r="31" spans="1:11" x14ac:dyDescent="0.3">
      <c r="B31">
        <v>3</v>
      </c>
      <c r="C31" s="14" t="str">
        <f>_xll.BfX_Help2(B31)</f>
        <v>BfX_Help2 lists available input and output units as well as supported drag</v>
      </c>
      <c r="D31" s="14"/>
      <c r="E31" s="14"/>
      <c r="F31" s="14"/>
      <c r="G31" s="14"/>
      <c r="H31" s="14"/>
      <c r="I31" s="14"/>
      <c r="J31" s="14"/>
      <c r="K31" s="14"/>
    </row>
    <row r="32" spans="1:11" x14ac:dyDescent="0.3">
      <c r="B32">
        <v>4</v>
      </c>
      <c r="C32" s="14" t="str">
        <f>_xll.BfX_Help2(B32)</f>
        <v>functions. Units and functions must be specified in abreviated form, lower case</v>
      </c>
      <c r="D32" s="14"/>
      <c r="E32" s="14"/>
      <c r="F32" s="14"/>
      <c r="G32" s="14"/>
      <c r="H32" s="14"/>
      <c r="I32" s="14"/>
      <c r="J32" s="14"/>
      <c r="K32" s="14"/>
    </row>
    <row r="33" spans="2:11" x14ac:dyDescent="0.3">
      <c r="B33">
        <v>5</v>
      </c>
      <c r="C33" s="14" t="str">
        <f>_xll.BfX_Help2(B33)</f>
        <v xml:space="preserve">without spaces and other blanks. If no units are specified, the metric standards </v>
      </c>
      <c r="D33" s="14"/>
      <c r="E33" s="14"/>
      <c r="F33" s="14"/>
      <c r="G33" s="14"/>
      <c r="H33" s="14"/>
      <c r="I33" s="14"/>
      <c r="J33" s="14"/>
      <c r="K33" s="14"/>
    </row>
    <row r="34" spans="2:11" x14ac:dyDescent="0.3">
      <c r="B34">
        <v>6</v>
      </c>
      <c r="C34" s="14" t="str">
        <f>_xll.BfX_Help2(B34)</f>
        <v>are used. eg BfX_D("in";740;1000;"yd";0,22;"g7") calculates the drop</v>
      </c>
      <c r="D34" s="14"/>
      <c r="E34" s="14"/>
      <c r="F34" s="14"/>
      <c r="G34" s="14"/>
      <c r="H34" s="14"/>
      <c r="I34" s="14"/>
      <c r="J34" s="14"/>
      <c r="K34" s="14"/>
    </row>
    <row r="35" spans="2:11" x14ac:dyDescent="0.3">
      <c r="B35">
        <v>7</v>
      </c>
      <c r="C35" s="14" t="str">
        <f>_xll.BfX_Help2(B35)</f>
        <v>in [inches] for a bullet of 740 [m/s] (units omitted) at a distance of</v>
      </c>
      <c r="D35" s="14"/>
      <c r="E35" s="14"/>
      <c r="F35" s="14"/>
      <c r="G35" s="14"/>
      <c r="H35" s="14"/>
      <c r="I35" s="14"/>
      <c r="J35" s="14"/>
      <c r="K35" s="14"/>
    </row>
    <row r="36" spans="2:11" x14ac:dyDescent="0.3">
      <c r="B36">
        <v>8</v>
      </c>
      <c r="C36" s="14" t="str">
        <f>_xll.BfX_Help2(B36)</f>
        <v>1000 [yards] with a G7 ballistic coefficient of 0,22</v>
      </c>
      <c r="D36" s="14"/>
      <c r="E36" s="14"/>
      <c r="F36" s="14"/>
      <c r="G36" s="14"/>
      <c r="H36" s="14"/>
      <c r="I36" s="14"/>
      <c r="J36" s="14"/>
      <c r="K36" s="14"/>
    </row>
    <row r="37" spans="2:11" x14ac:dyDescent="0.3">
      <c r="B37">
        <v>9</v>
      </c>
      <c r="C37" s="14" t="str">
        <f>_xll.BfX_Help2(B37)</f>
        <v>=================================Drag functions=================================</v>
      </c>
      <c r="D37" s="14"/>
      <c r="E37" s="14"/>
      <c r="F37" s="14"/>
      <c r="G37" s="14"/>
      <c r="H37" s="14"/>
      <c r="I37" s="14"/>
      <c r="J37" s="14"/>
      <c r="K37" s="14"/>
    </row>
    <row r="38" spans="2:11" x14ac:dyDescent="0.3">
      <c r="B38">
        <v>10</v>
      </c>
      <c r="C38" s="14" t="str">
        <f>_xll.BfX_Help2(B38)</f>
        <v>Pejsa, use G1 bc,  VLD / boat tail bullet (default)                            -&gt;  GP</v>
      </c>
      <c r="D38" s="14"/>
      <c r="E38" s="14"/>
      <c r="F38" s="14"/>
      <c r="G38" s="14"/>
      <c r="H38" s="14"/>
      <c r="I38" s="14"/>
      <c r="J38" s="14"/>
      <c r="K38" s="14"/>
    </row>
    <row r="39" spans="2:11" x14ac:dyDescent="0.3">
      <c r="B39">
        <v>11</v>
      </c>
      <c r="C39" s="14" t="str">
        <f>_xll.BfX_Help2(B39)</f>
        <v>G1                                                                             -&gt;  G1</v>
      </c>
      <c r="D39" s="14"/>
      <c r="E39" s="14"/>
      <c r="F39" s="14"/>
      <c r="G39" s="14"/>
      <c r="H39" s="14"/>
      <c r="I39" s="14"/>
      <c r="J39" s="14"/>
      <c r="K39" s="14"/>
    </row>
    <row r="40" spans="2:11" x14ac:dyDescent="0.3">
      <c r="B40">
        <v>12</v>
      </c>
      <c r="C40" s="14" t="str">
        <f>_xll.BfX_Help2(B40)</f>
        <v>G2                                                                             -&gt;  G2</v>
      </c>
      <c r="D40" s="14"/>
      <c r="E40" s="14"/>
      <c r="F40" s="14"/>
      <c r="G40" s="14"/>
      <c r="H40" s="14"/>
      <c r="I40" s="14"/>
      <c r="J40" s="14"/>
      <c r="K40" s="14"/>
    </row>
    <row r="41" spans="2:11" x14ac:dyDescent="0.3">
      <c r="B41">
        <v>13</v>
      </c>
      <c r="C41" s="14" t="str">
        <f>_xll.BfX_Help2(B41)</f>
        <v>G5                                                                             -&gt;  G5</v>
      </c>
      <c r="D41" s="14"/>
      <c r="E41" s="14"/>
      <c r="F41" s="14"/>
      <c r="G41" s="14"/>
      <c r="H41" s="14"/>
      <c r="I41" s="14"/>
      <c r="J41" s="14"/>
      <c r="K41" s="14"/>
    </row>
    <row r="42" spans="2:11" x14ac:dyDescent="0.3">
      <c r="B42">
        <v>14</v>
      </c>
      <c r="C42" s="14" t="str">
        <f>_xll.BfX_Help2(B42)</f>
        <v>G6                                                                             -&gt;  G6</v>
      </c>
      <c r="D42" s="14"/>
      <c r="E42" s="14"/>
      <c r="F42" s="14"/>
      <c r="G42" s="14"/>
      <c r="H42" s="14"/>
      <c r="I42" s="14"/>
      <c r="J42" s="14"/>
      <c r="K42" s="14"/>
    </row>
    <row r="43" spans="2:11" x14ac:dyDescent="0.3">
      <c r="B43">
        <v>15</v>
      </c>
      <c r="C43" s="14" t="str">
        <f>_xll.BfX_Help2(B43)</f>
        <v>G7, VLD /boat tail bullet                                                      -&gt;  G7</v>
      </c>
      <c r="D43" s="14"/>
      <c r="E43" s="14"/>
      <c r="F43" s="14"/>
      <c r="G43" s="14"/>
      <c r="H43" s="14"/>
      <c r="I43" s="14"/>
      <c r="J43" s="14"/>
      <c r="K43" s="14"/>
    </row>
    <row r="44" spans="2:11" x14ac:dyDescent="0.3">
      <c r="B44">
        <v>16</v>
      </c>
      <c r="C44" s="14" t="str">
        <f>_xll.BfX_Help2(B44)</f>
        <v>G8                                                                             -&gt;  G8</v>
      </c>
      <c r="D44" s="14"/>
      <c r="E44" s="14"/>
      <c r="F44" s="14"/>
      <c r="G44" s="14"/>
      <c r="H44" s="14"/>
      <c r="I44" s="14"/>
      <c r="J44" s="14"/>
      <c r="K44" s="14"/>
    </row>
    <row r="45" spans="2:11" x14ac:dyDescent="0.3">
      <c r="B45">
        <v>17</v>
      </c>
      <c r="C45" s="14" t="str">
        <f>_xll.BfX_Help2(B45)</f>
        <v>GS, sphere (e.g. shotgun)                                                      -&gt;  GS</v>
      </c>
      <c r="D45" s="14"/>
      <c r="E45" s="14"/>
      <c r="F45" s="14"/>
      <c r="G45" s="14"/>
      <c r="H45" s="14"/>
      <c r="I45" s="14"/>
      <c r="J45" s="14"/>
      <c r="K45" s="14"/>
    </row>
    <row r="46" spans="2:11" x14ac:dyDescent="0.3">
      <c r="B46">
        <v>18</v>
      </c>
      <c r="C46" s="14" t="str">
        <f>_xll.BfX_Help2(B46)</f>
        <v>Ingalls / Mayevski                                                             -&gt;  GIM</v>
      </c>
      <c r="D46" s="14"/>
      <c r="E46" s="14"/>
      <c r="F46" s="14"/>
      <c r="G46" s="14"/>
      <c r="H46" s="14"/>
      <c r="I46" s="14"/>
      <c r="J46" s="14"/>
      <c r="K46" s="14"/>
    </row>
    <row r="47" spans="2:11" x14ac:dyDescent="0.3">
      <c r="B47">
        <v>19</v>
      </c>
      <c r="C47" s="14" t="str">
        <f>_xll.BfX_Help2(B47)</f>
        <v>RA4, small bore                                                                -&gt;  RA4</v>
      </c>
      <c r="D47" s="14"/>
      <c r="E47" s="14"/>
      <c r="F47" s="14"/>
      <c r="G47" s="14"/>
      <c r="H47" s="14"/>
      <c r="I47" s="14"/>
      <c r="J47" s="14"/>
      <c r="K47" s="14"/>
    </row>
    <row r="48" spans="2:11" x14ac:dyDescent="0.3">
      <c r="B48">
        <v>20</v>
      </c>
      <c r="C48" s="14" t="str">
        <f>_xll.BfX_Help2(B48)</f>
        <v>Air rifle, consistent with Chairgun                                            -&gt;  A</v>
      </c>
      <c r="D48" s="14"/>
      <c r="E48" s="14"/>
      <c r="F48" s="14"/>
      <c r="G48" s="14"/>
      <c r="H48" s="14"/>
      <c r="I48" s="14"/>
      <c r="J48" s="14"/>
      <c r="K48" s="14"/>
    </row>
    <row r="49" spans="2:11" s="105" customFormat="1" x14ac:dyDescent="0.3">
      <c r="B49" s="105">
        <v>21</v>
      </c>
      <c r="C49" s="14" t="str">
        <f>_xll.BfX_Help2(B49)</f>
        <v>====================================Distance====================================</v>
      </c>
      <c r="D49" s="14"/>
      <c r="E49" s="14"/>
      <c r="F49" s="14"/>
      <c r="G49" s="14"/>
      <c r="H49" s="14"/>
      <c r="I49" s="14"/>
      <c r="J49" s="14"/>
      <c r="K49" s="14"/>
    </row>
    <row r="50" spans="2:11" s="105" customFormat="1" x14ac:dyDescent="0.3">
      <c r="B50" s="105">
        <v>22</v>
      </c>
      <c r="C50" s="14" t="str">
        <f>_xll.BfX_Help2(B50)</f>
        <v>km                                                                             -&gt;  km</v>
      </c>
      <c r="D50" s="14"/>
      <c r="E50" s="14"/>
      <c r="F50" s="14"/>
      <c r="G50" s="14"/>
      <c r="H50" s="14"/>
      <c r="I50" s="14"/>
      <c r="J50" s="14"/>
      <c r="K50" s="14"/>
    </row>
    <row r="51" spans="2:11" s="105" customFormat="1" x14ac:dyDescent="0.3">
      <c r="B51" s="105">
        <v>23</v>
      </c>
      <c r="C51" s="14" t="str">
        <f>_xll.BfX_Help2(B51)</f>
        <v>m (default)                                                                    -&gt;  m</v>
      </c>
      <c r="D51" s="14"/>
      <c r="E51" s="14"/>
      <c r="F51" s="14"/>
      <c r="G51" s="14"/>
      <c r="H51" s="14"/>
      <c r="I51" s="14"/>
      <c r="J51" s="14"/>
      <c r="K51" s="14"/>
    </row>
    <row r="52" spans="2:11" s="105" customFormat="1" x14ac:dyDescent="0.3">
      <c r="B52" s="105">
        <v>24</v>
      </c>
      <c r="C52" s="14" t="str">
        <f>_xll.BfX_Help2(B52)</f>
        <v>cm                                                                             -&gt;  cm</v>
      </c>
      <c r="D52" s="14"/>
      <c r="E52" s="14"/>
      <c r="F52" s="14"/>
      <c r="G52" s="14"/>
      <c r="H52" s="14"/>
      <c r="I52" s="14"/>
      <c r="J52" s="14"/>
      <c r="K52" s="14"/>
    </row>
    <row r="53" spans="2:11" s="105" customFormat="1" x14ac:dyDescent="0.3">
      <c r="B53" s="105">
        <v>25</v>
      </c>
      <c r="C53" s="14" t="str">
        <f>_xll.BfX_Help2(B53)</f>
        <v>mm                                                                             -&gt;  mm</v>
      </c>
      <c r="D53" s="14"/>
      <c r="E53" s="14"/>
      <c r="F53" s="14"/>
      <c r="G53" s="14"/>
      <c r="H53" s="14"/>
      <c r="I53" s="14"/>
      <c r="J53" s="14"/>
      <c r="K53" s="14"/>
    </row>
    <row r="54" spans="2:11" s="105" customFormat="1" x14ac:dyDescent="0.3">
      <c r="B54" s="105">
        <v>26</v>
      </c>
      <c r="C54" s="14" t="str">
        <f>_xll.BfX_Help2(B54)</f>
        <v>mile                                                                           -&gt;  mi</v>
      </c>
      <c r="D54" s="14"/>
      <c r="E54" s="14"/>
      <c r="F54" s="14"/>
      <c r="G54" s="14"/>
      <c r="H54" s="14"/>
      <c r="I54" s="14"/>
      <c r="J54" s="14"/>
      <c r="K54" s="14"/>
    </row>
    <row r="55" spans="2:11" s="105" customFormat="1" x14ac:dyDescent="0.3">
      <c r="B55" s="105">
        <v>27</v>
      </c>
      <c r="C55" s="14" t="str">
        <f>_xll.BfX_Help2(B55)</f>
        <v>foot                                                                           -&gt;  ft</v>
      </c>
      <c r="D55" s="14"/>
      <c r="E55" s="14"/>
      <c r="F55" s="14"/>
      <c r="G55" s="14"/>
      <c r="H55" s="14"/>
      <c r="I55" s="14"/>
      <c r="J55" s="14"/>
      <c r="K55" s="14"/>
    </row>
    <row r="56" spans="2:11" s="105" customFormat="1" x14ac:dyDescent="0.3">
      <c r="B56" s="105">
        <v>28</v>
      </c>
      <c r="C56" s="14" t="str">
        <f>_xll.BfX_Help2(B56)</f>
        <v>yard                                                                           -&gt;  yd</v>
      </c>
      <c r="D56" s="14"/>
      <c r="E56" s="14"/>
      <c r="F56" s="14"/>
      <c r="G56" s="14"/>
      <c r="H56" s="14"/>
      <c r="I56" s="14"/>
      <c r="J56" s="14"/>
      <c r="K56" s="14"/>
    </row>
    <row r="57" spans="2:11" s="105" customFormat="1" x14ac:dyDescent="0.3">
      <c r="B57" s="105">
        <v>29</v>
      </c>
      <c r="C57" s="14" t="str">
        <f>_xll.BfX_Help2(B57)</f>
        <v>inch                                                                           -&gt;  in</v>
      </c>
      <c r="D57" s="14"/>
      <c r="E57" s="14"/>
      <c r="F57" s="14"/>
      <c r="G57" s="14"/>
      <c r="H57" s="14"/>
      <c r="I57" s="14"/>
      <c r="J57" s="14"/>
      <c r="K57" s="14"/>
    </row>
    <row r="58" spans="2:11" s="105" customFormat="1" x14ac:dyDescent="0.3">
      <c r="B58" s="105">
        <v>30</v>
      </c>
      <c r="C58" s="14" t="str">
        <f>_xll.BfX_Help2(B58)</f>
        <v>====================================Velocity====================================</v>
      </c>
      <c r="D58" s="14"/>
      <c r="E58" s="14"/>
      <c r="F58" s="14"/>
      <c r="G58" s="14"/>
      <c r="H58" s="14"/>
      <c r="I58" s="14"/>
      <c r="J58" s="14"/>
      <c r="K58" s="14"/>
    </row>
    <row r="59" spans="2:11" s="105" customFormat="1" x14ac:dyDescent="0.3">
      <c r="B59" s="105">
        <v>31</v>
      </c>
      <c r="C59" s="14" t="str">
        <f>_xll.BfX_Help2(B59)</f>
        <v>m/s (default)                                                                  -&gt;  m/s</v>
      </c>
      <c r="D59" s="14"/>
      <c r="E59" s="14"/>
      <c r="F59" s="14"/>
      <c r="G59" s="14"/>
      <c r="H59" s="14"/>
      <c r="I59" s="14"/>
      <c r="J59" s="14"/>
      <c r="K59" s="14"/>
    </row>
    <row r="60" spans="2:11" s="105" customFormat="1" x14ac:dyDescent="0.3">
      <c r="B60" s="105">
        <v>32</v>
      </c>
      <c r="C60" s="14" t="str">
        <f>_xll.BfX_Help2(B60)</f>
        <v>foot/s                                                                         -&gt;  ft/s</v>
      </c>
      <c r="D60" s="14"/>
      <c r="E60" s="14"/>
      <c r="F60" s="14"/>
      <c r="G60" s="14"/>
      <c r="H60" s="14"/>
      <c r="I60" s="14"/>
      <c r="J60" s="14"/>
      <c r="K60" s="14"/>
    </row>
    <row r="61" spans="2:11" s="105" customFormat="1" x14ac:dyDescent="0.3">
      <c r="B61" s="105">
        <v>33</v>
      </c>
      <c r="C61" s="14" t="str">
        <f>_xll.BfX_Help2(B61)</f>
        <v>foot/s                                                                         -&gt;  fps</v>
      </c>
      <c r="D61" s="14"/>
      <c r="E61" s="14"/>
      <c r="F61" s="14"/>
      <c r="G61" s="14"/>
      <c r="H61" s="14"/>
      <c r="I61" s="14"/>
      <c r="J61" s="14"/>
      <c r="K61" s="14"/>
    </row>
    <row r="62" spans="2:11" s="105" customFormat="1" x14ac:dyDescent="0.3">
      <c r="B62" s="105">
        <v>34</v>
      </c>
      <c r="C62" s="14" t="str">
        <f>_xll.BfX_Help2(B62)</f>
        <v>=================================Wind velocity==================================</v>
      </c>
      <c r="D62" s="14"/>
      <c r="E62" s="14"/>
      <c r="F62" s="14"/>
      <c r="G62" s="14"/>
      <c r="H62" s="14"/>
      <c r="I62" s="14"/>
      <c r="J62" s="14"/>
      <c r="K62" s="14"/>
    </row>
    <row r="63" spans="2:11" s="105" customFormat="1" x14ac:dyDescent="0.3">
      <c r="B63" s="105">
        <v>35</v>
      </c>
      <c r="C63" s="14" t="str">
        <f>_xll.BfX_Help2(B63)</f>
        <v>Beaufort                                                                       -&gt;  bf</v>
      </c>
      <c r="D63" s="14"/>
      <c r="E63" s="14"/>
      <c r="F63" s="14"/>
      <c r="G63" s="14"/>
      <c r="H63" s="14"/>
      <c r="I63" s="14"/>
      <c r="J63" s="14"/>
      <c r="K63" s="14"/>
    </row>
    <row r="64" spans="2:11" x14ac:dyDescent="0.3">
      <c r="B64" s="105">
        <v>36</v>
      </c>
      <c r="C64" s="14" t="str">
        <f>_xll.BfX_Help2(B64)</f>
        <v>Beaufort                                                                       -&gt;  bft</v>
      </c>
      <c r="D64" s="14"/>
      <c r="E64" s="14"/>
      <c r="F64" s="14"/>
      <c r="G64" s="14"/>
      <c r="H64" s="14"/>
      <c r="I64" s="14"/>
      <c r="J64" s="14"/>
      <c r="K64" s="14"/>
    </row>
    <row r="66" spans="1:8" x14ac:dyDescent="0.3">
      <c r="B66" t="s">
        <v>113</v>
      </c>
      <c r="C66" t="s">
        <v>113</v>
      </c>
    </row>
    <row r="68" spans="1:8" x14ac:dyDescent="0.3">
      <c r="A68" s="2" t="s">
        <v>587</v>
      </c>
      <c r="B68" s="2" t="s">
        <v>589</v>
      </c>
      <c r="C68" s="2" t="str">
        <f>_xll.BfX_U()</f>
        <v>value_in_other_unit = BfX_U(value) e.g. v=BfX_U("km";120;"ft")</v>
      </c>
      <c r="D68" s="2"/>
      <c r="E68" s="2"/>
      <c r="F68" s="2"/>
      <c r="G68" s="2"/>
      <c r="H68" s="2"/>
    </row>
    <row r="70" spans="1:8" x14ac:dyDescent="0.3">
      <c r="B70" t="s">
        <v>590</v>
      </c>
    </row>
    <row r="71" spans="1:8" x14ac:dyDescent="0.3">
      <c r="B71" t="s">
        <v>606</v>
      </c>
    </row>
    <row r="73" spans="1:8" x14ac:dyDescent="0.3">
      <c r="B73" t="s">
        <v>591</v>
      </c>
    </row>
    <row r="74" spans="1:8" x14ac:dyDescent="0.3">
      <c r="B74" s="7">
        <f>_xll.BfX_U(101,"cm")</f>
        <v>1.01</v>
      </c>
      <c r="D74" s="14" t="str">
        <f ca="1">_xll.BfX_Cell(B74)</f>
        <v>=BfX_U(101;"cm")</v>
      </c>
      <c r="E74" s="7"/>
      <c r="F74" s="7"/>
    </row>
    <row r="75" spans="1:8" x14ac:dyDescent="0.3">
      <c r="B75" s="7">
        <f>_xll.BfX_U(101,"fps")</f>
        <v>30.784800000000001</v>
      </c>
      <c r="D75" s="14" t="str">
        <f ca="1">_xll.BfX_Cell(B75)</f>
        <v>=BfX_U(101;"fps")</v>
      </c>
      <c r="E75" s="7"/>
      <c r="F75" s="7"/>
    </row>
    <row r="77" spans="1:8" x14ac:dyDescent="0.3">
      <c r="B77" t="s">
        <v>592</v>
      </c>
    </row>
    <row r="78" spans="1:8" x14ac:dyDescent="0.3">
      <c r="B78" s="7">
        <f>_xll.BfX_U("cm",1.01)</f>
        <v>101</v>
      </c>
      <c r="D78" s="14" t="str">
        <f ca="1">_xll.BfX_Cell(B78)</f>
        <v>=BfX_U("cm";1,01)</v>
      </c>
      <c r="E78" s="7"/>
      <c r="F78" s="7"/>
    </row>
    <row r="79" spans="1:8" x14ac:dyDescent="0.3">
      <c r="B79" s="7">
        <f>_xll.BfX_U("fps",1.01)</f>
        <v>3.3136482939632543</v>
      </c>
      <c r="D79" s="14" t="str">
        <f ca="1">_xll.BfX_Cell(B79)</f>
        <v>=BfX_U("fps";1,01)</v>
      </c>
      <c r="E79" s="7"/>
      <c r="F79" s="7"/>
    </row>
    <row r="81" spans="2:8" x14ac:dyDescent="0.3">
      <c r="B81" t="s">
        <v>593</v>
      </c>
    </row>
    <row r="82" spans="2:8" x14ac:dyDescent="0.3">
      <c r="B82" s="7">
        <f>_xll.BfX_U("cm",1.01,"ft")</f>
        <v>30.784800000000001</v>
      </c>
      <c r="D82" s="14" t="str">
        <f ca="1">_xll.BfX_Cell(B82)</f>
        <v>=BfX_U("cm";1,01;"ft")</v>
      </c>
      <c r="E82" s="7"/>
      <c r="F82" s="7"/>
    </row>
    <row r="83" spans="2:8" x14ac:dyDescent="0.3">
      <c r="B83" s="7">
        <f>_xll.BfX_U("kg",1.01,"lbs")</f>
        <v>0.45812829370000002</v>
      </c>
      <c r="D83" s="14" t="str">
        <f ca="1">_xll.BfX_Cell(B83)</f>
        <v>=BfX_U("kg";1,01;"lbs")</v>
      </c>
      <c r="E83" s="7"/>
      <c r="F83" s="7"/>
    </row>
    <row r="85" spans="2:8" x14ac:dyDescent="0.3">
      <c r="B85" t="s">
        <v>594</v>
      </c>
    </row>
    <row r="86" spans="2:8" x14ac:dyDescent="0.3">
      <c r="B86" s="7">
        <f>_xll.BfX_U("g",1.01,"fps")</f>
        <v>307.84800000000001</v>
      </c>
      <c r="D86" s="14" t="str">
        <f ca="1">_xll.BfX_Cell(B86)</f>
        <v>=BfX_U("g";1,01;"fps")</v>
      </c>
      <c r="E86" s="7"/>
      <c r="F86" s="7"/>
      <c r="G86" t="s">
        <v>595</v>
      </c>
    </row>
    <row r="89" spans="2:8" ht="16.5" thickBot="1" x14ac:dyDescent="0.35"/>
    <row r="90" spans="2:8" x14ac:dyDescent="0.3">
      <c r="B90" s="198" t="str">
        <f ca="1">MID(CELL("filename",A6),FIND("]",CELL("filename",A6))+1,1256)</f>
        <v>Units</v>
      </c>
      <c r="C90" s="199" t="s">
        <v>724</v>
      </c>
      <c r="D90" s="199"/>
      <c r="E90" s="199"/>
      <c r="F90" s="199" t="str">
        <f>_xll.BfX_CRC(B7:B23,"on")</f>
        <v>BfX130088071CRC</v>
      </c>
      <c r="G90" s="199"/>
      <c r="H90" s="200"/>
    </row>
    <row r="91" spans="2:8" ht="16.5" thickBot="1" x14ac:dyDescent="0.35">
      <c r="B91" s="201" t="str">
        <f ca="1">MID(CELL("filename",A7),FIND("]",CELL("filename",A7))+1,1256)</f>
        <v>Units</v>
      </c>
      <c r="C91" s="202" t="s">
        <v>589</v>
      </c>
      <c r="D91" s="202"/>
      <c r="E91" s="202"/>
      <c r="F91" s="202" t="str">
        <f>_xll.BfX_CRC(B74:B86,"on")</f>
        <v>BfX3048208047CRC</v>
      </c>
      <c r="G91" s="202"/>
      <c r="H91" s="203"/>
    </row>
    <row r="92" spans="2:8" x14ac:dyDescent="0.3">
      <c r="B92" s="198" t="s">
        <v>761</v>
      </c>
      <c r="C92" s="199"/>
      <c r="D92" s="199"/>
      <c r="E92" s="199"/>
      <c r="F92" s="199"/>
      <c r="G92" s="199"/>
      <c r="H92" s="200"/>
    </row>
    <row r="93" spans="2:8" x14ac:dyDescent="0.3">
      <c r="B93" s="201" t="s">
        <v>759</v>
      </c>
      <c r="C93" s="202"/>
      <c r="D93" s="202"/>
      <c r="E93" s="202"/>
      <c r="F93" s="202"/>
      <c r="G93" s="202"/>
      <c r="H93" s="203"/>
    </row>
    <row r="94" spans="2:8" ht="16.5" thickBot="1" x14ac:dyDescent="0.35">
      <c r="B94" s="204" t="s">
        <v>760</v>
      </c>
      <c r="C94" s="205"/>
      <c r="D94" s="205"/>
      <c r="E94" s="205"/>
      <c r="F94" s="205"/>
      <c r="G94" s="205"/>
      <c r="H94" s="20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8"/>
  <sheetViews>
    <sheetView topLeftCell="A28" workbookViewId="0">
      <selection activeCell="M57" sqref="M57"/>
    </sheetView>
  </sheetViews>
  <sheetFormatPr defaultRowHeight="15.75" x14ac:dyDescent="0.3"/>
  <cols>
    <col min="3" max="3" width="7" customWidth="1"/>
    <col min="5" max="5" width="7" customWidth="1"/>
    <col min="6" max="6" width="9.88671875" customWidth="1"/>
  </cols>
  <sheetData>
    <row r="1" spans="1:7" x14ac:dyDescent="0.3">
      <c r="A1">
        <v>7</v>
      </c>
      <c r="B1" t="s">
        <v>83</v>
      </c>
    </row>
    <row r="2" spans="1:7" x14ac:dyDescent="0.3">
      <c r="A2" s="2" t="s">
        <v>98</v>
      </c>
      <c r="B2" s="2" t="s">
        <v>64</v>
      </c>
      <c r="C2" s="6" t="str">
        <f>_xll.BfX_Xv()</f>
        <v>x=BfX_Xv(v0; v; c; df=GP) [m]</v>
      </c>
      <c r="D2" s="4"/>
      <c r="E2" s="4"/>
    </row>
    <row r="4" spans="1:7" x14ac:dyDescent="0.3">
      <c r="C4" s="105" t="s">
        <v>491</v>
      </c>
    </row>
    <row r="6" spans="1:7" x14ac:dyDescent="0.3">
      <c r="C6" s="105" t="s">
        <v>672</v>
      </c>
    </row>
    <row r="7" spans="1:7" x14ac:dyDescent="0.3">
      <c r="C7" s="7">
        <f>_xll.BfX_Xv(740,340,0.5)</f>
        <v>820.05266311103696</v>
      </c>
      <c r="D7" s="105" t="s">
        <v>149</v>
      </c>
      <c r="E7" s="14" t="str">
        <f ca="1">_xll.BfX_Cell(C7)</f>
        <v>=BfX_Xv(740;340;0,5)</v>
      </c>
      <c r="F7" s="14"/>
      <c r="G7" s="14"/>
    </row>
    <row r="9" spans="1:7" x14ac:dyDescent="0.3">
      <c r="C9" s="105" t="s">
        <v>492</v>
      </c>
    </row>
    <row r="10" spans="1:7" x14ac:dyDescent="0.3">
      <c r="C10" s="105" t="s">
        <v>463</v>
      </c>
    </row>
    <row r="11" spans="1:7" x14ac:dyDescent="0.3">
      <c r="C11" s="12" t="s">
        <v>53</v>
      </c>
    </row>
    <row r="12" spans="1:7" s="10" customFormat="1" ht="45.75" x14ac:dyDescent="0.3">
      <c r="B12"/>
      <c r="C12" s="11" t="s">
        <v>37</v>
      </c>
      <c r="D12" s="11">
        <v>740</v>
      </c>
      <c r="E12" s="11" t="s">
        <v>52</v>
      </c>
      <c r="F12" s="11" t="s">
        <v>50</v>
      </c>
      <c r="G12" s="11" t="s">
        <v>49</v>
      </c>
    </row>
    <row r="13" spans="1:7" x14ac:dyDescent="0.3">
      <c r="C13" s="7" t="s">
        <v>51</v>
      </c>
      <c r="D13" s="7">
        <v>340</v>
      </c>
      <c r="E13" s="7" t="s">
        <v>52</v>
      </c>
      <c r="F13" s="9">
        <v>0.3</v>
      </c>
      <c r="G13" s="8">
        <f>_xll.BfX_Xv(v0,v,F13)</f>
        <v>492.03159786662212</v>
      </c>
    </row>
    <row r="14" spans="1:7" x14ac:dyDescent="0.3">
      <c r="C14" s="7"/>
      <c r="D14" s="7"/>
      <c r="E14" s="7"/>
      <c r="F14" s="9">
        <v>0.32500000000000001</v>
      </c>
      <c r="G14" s="8">
        <f>_xll.BfX_Xv(v0,v,F14)</f>
        <v>533.03423102217403</v>
      </c>
    </row>
    <row r="15" spans="1:7" x14ac:dyDescent="0.3">
      <c r="C15" s="7"/>
      <c r="D15" s="7"/>
      <c r="E15" s="7"/>
      <c r="F15" s="9">
        <v>0.35</v>
      </c>
      <c r="G15" s="8">
        <f>_xll.BfX_Xv(v0,v,F15)</f>
        <v>574.03686417772587</v>
      </c>
    </row>
    <row r="16" spans="1:7" x14ac:dyDescent="0.3">
      <c r="C16" s="7"/>
      <c r="D16" s="7"/>
      <c r="E16" s="7"/>
      <c r="F16" s="9">
        <v>0.375</v>
      </c>
      <c r="G16" s="8">
        <f>_xll.BfX_Xv(v0,v,F16)</f>
        <v>615.03949733327784</v>
      </c>
    </row>
    <row r="17" spans="1:12" x14ac:dyDescent="0.3">
      <c r="C17" s="7"/>
      <c r="D17" s="7"/>
      <c r="E17" s="7"/>
      <c r="F17" s="9">
        <v>0.4</v>
      </c>
      <c r="G17" s="8">
        <f>_xll.BfX_Xv(v0,v,F17)</f>
        <v>656.04213048882968</v>
      </c>
    </row>
    <row r="18" spans="1:12" x14ac:dyDescent="0.3">
      <c r="C18" s="7"/>
      <c r="D18" s="7"/>
      <c r="E18" s="7"/>
      <c r="F18" s="9">
        <v>0.42499999999999999</v>
      </c>
      <c r="G18" s="8">
        <f>_xll.BfX_Xv(v0,v,F18)</f>
        <v>697.04476364438142</v>
      </c>
    </row>
    <row r="19" spans="1:12" x14ac:dyDescent="0.3">
      <c r="C19" s="7"/>
      <c r="D19" s="7"/>
      <c r="E19" s="7"/>
      <c r="F19" s="9">
        <v>0.45</v>
      </c>
      <c r="G19" s="8">
        <f>_xll.BfX_Xv(v0,v,F19)</f>
        <v>738.04739679993338</v>
      </c>
    </row>
    <row r="20" spans="1:12" x14ac:dyDescent="0.3">
      <c r="C20" s="7"/>
      <c r="D20" s="7"/>
      <c r="E20" s="7"/>
      <c r="F20" s="9">
        <v>0.47499999999999998</v>
      </c>
      <c r="G20" s="8">
        <f>_xll.BfX_Xv(v0,v,F20)</f>
        <v>779.05002995548512</v>
      </c>
    </row>
    <row r="21" spans="1:12" x14ac:dyDescent="0.3">
      <c r="C21" s="7"/>
      <c r="D21" s="7"/>
      <c r="E21" s="7"/>
      <c r="F21" s="9">
        <v>0.5</v>
      </c>
      <c r="G21" s="8">
        <f>_xll.BfX_Xv(v0,v,F21)</f>
        <v>820.05266311103696</v>
      </c>
    </row>
    <row r="22" spans="1:12" x14ac:dyDescent="0.3">
      <c r="C22" s="7"/>
      <c r="D22" s="7"/>
      <c r="E22" s="7"/>
      <c r="F22" s="9">
        <v>0.52500000000000002</v>
      </c>
      <c r="G22" s="8">
        <f>_xll.BfX_Xv(v0,v,F22)</f>
        <v>861.05529626658881</v>
      </c>
    </row>
    <row r="23" spans="1:12" x14ac:dyDescent="0.3">
      <c r="C23" s="7"/>
      <c r="D23" s="7"/>
      <c r="E23" s="7"/>
      <c r="F23" s="9">
        <v>0.55000000000000004</v>
      </c>
      <c r="G23" s="8">
        <f>_xll.BfX_Xv(v0,v,F23)</f>
        <v>902.05792942214077</v>
      </c>
    </row>
    <row r="24" spans="1:12" x14ac:dyDescent="0.3">
      <c r="C24" s="7"/>
      <c r="D24" s="7"/>
      <c r="E24" s="7"/>
      <c r="F24" s="9">
        <v>0.57499999999999996</v>
      </c>
      <c r="G24" s="8">
        <f>_xll.BfX_Xv(v0,v,F24)</f>
        <v>943.06056257769262</v>
      </c>
    </row>
    <row r="25" spans="1:12" x14ac:dyDescent="0.3">
      <c r="C25" s="7"/>
      <c r="D25" s="7"/>
      <c r="E25" s="7"/>
      <c r="F25" s="9">
        <v>0.6</v>
      </c>
      <c r="G25" s="8">
        <f>_xll.BfX_Xv(v0,v,F25)</f>
        <v>984.06319573324424</v>
      </c>
    </row>
    <row r="26" spans="1:12" x14ac:dyDescent="0.3">
      <c r="C26" s="7"/>
      <c r="D26" s="7"/>
      <c r="E26" s="7"/>
      <c r="F26" s="9">
        <v>0.625</v>
      </c>
      <c r="G26" s="8">
        <f>_xll.BfX_Xv(v0,v,F26)</f>
        <v>1025.0658288887962</v>
      </c>
    </row>
    <row r="27" spans="1:12" x14ac:dyDescent="0.3">
      <c r="L27" t="s">
        <v>97</v>
      </c>
    </row>
    <row r="28" spans="1:12" x14ac:dyDescent="0.3">
      <c r="C28" s="105" t="s">
        <v>487</v>
      </c>
    </row>
    <row r="30" spans="1:12" x14ac:dyDescent="0.3">
      <c r="A30" s="2" t="s">
        <v>99</v>
      </c>
      <c r="B30" s="2" t="s">
        <v>65</v>
      </c>
      <c r="C30" s="2"/>
    </row>
    <row r="32" spans="1:12" x14ac:dyDescent="0.3">
      <c r="C32" t="s">
        <v>66</v>
      </c>
    </row>
    <row r="34" spans="1:8" x14ac:dyDescent="0.3">
      <c r="C34" s="105" t="s">
        <v>488</v>
      </c>
    </row>
    <row r="35" spans="1:8" x14ac:dyDescent="0.3">
      <c r="C35" s="7" t="s">
        <v>57</v>
      </c>
      <c r="D35" s="7">
        <f>_xll.BfX_Xv(740,250,0.5)</f>
        <v>1381.3748741058816</v>
      </c>
      <c r="F35" s="14" t="str">
        <f ca="1">_xll.BfX_Cell(x250_)</f>
        <v>=BfX_Xv(740;250;0,5)</v>
      </c>
      <c r="G35" s="14"/>
      <c r="H35" s="14"/>
    </row>
    <row r="36" spans="1:8" x14ac:dyDescent="0.3">
      <c r="C36" s="105" t="s">
        <v>489</v>
      </c>
    </row>
    <row r="37" spans="1:8" x14ac:dyDescent="0.3">
      <c r="C37" s="105" t="s">
        <v>490</v>
      </c>
    </row>
    <row r="38" spans="1:8" x14ac:dyDescent="0.3">
      <c r="C38" s="7" t="s">
        <v>51</v>
      </c>
      <c r="D38" s="7">
        <f>_xll.BfX_Vx(740,x250_,0.5)</f>
        <v>250</v>
      </c>
      <c r="F38" s="14" t="str">
        <f ca="1">_xll.BfX_Cell(D38)</f>
        <v>=BfX_Vx(740;x250_;0,5)</v>
      </c>
      <c r="G38" s="14"/>
      <c r="H38" s="14"/>
    </row>
    <row r="39" spans="1:8" x14ac:dyDescent="0.3">
      <c r="C39" t="s">
        <v>56</v>
      </c>
    </row>
    <row r="40" spans="1:8" x14ac:dyDescent="0.3">
      <c r="C40" s="105" t="s">
        <v>461</v>
      </c>
    </row>
    <row r="42" spans="1:8" x14ac:dyDescent="0.3">
      <c r="A42" t="s">
        <v>100</v>
      </c>
      <c r="B42" s="2" t="s">
        <v>58</v>
      </c>
      <c r="C42" s="2"/>
    </row>
    <row r="43" spans="1:8" x14ac:dyDescent="0.3">
      <c r="C43" t="s">
        <v>60</v>
      </c>
    </row>
    <row r="44" spans="1:8" x14ac:dyDescent="0.3">
      <c r="C44" s="105" t="s">
        <v>462</v>
      </c>
    </row>
    <row r="45" spans="1:8" x14ac:dyDescent="0.3">
      <c r="C45" s="7" t="s">
        <v>55</v>
      </c>
      <c r="D45" s="7">
        <f>_xll.BfX_Xv(740,100,0.5)</f>
        <v>3429.7350410210388</v>
      </c>
      <c r="F45" s="14" t="str">
        <f ca="1">_xll.BfX_Cell(x100_)</f>
        <v>=BfX_Xv(740;100;0,5)</v>
      </c>
      <c r="G45" s="14"/>
      <c r="H45" s="14"/>
    </row>
    <row r="46" spans="1:8" x14ac:dyDescent="0.3">
      <c r="C46" s="7" t="s">
        <v>51</v>
      </c>
      <c r="D46" s="7">
        <f>_xll.BfX_Vx(740,x100_,0.5)</f>
        <v>100.00000000000001</v>
      </c>
      <c r="F46" s="14" t="str">
        <f ca="1">_xll.BfX_Cell(D46)</f>
        <v>=BfX_Vx(740;x100_;0,5)</v>
      </c>
      <c r="G46" s="14"/>
      <c r="H46" s="14"/>
    </row>
    <row r="47" spans="1:8" x14ac:dyDescent="0.3">
      <c r="C47" s="105" t="s">
        <v>458</v>
      </c>
    </row>
    <row r="48" spans="1:8" x14ac:dyDescent="0.3">
      <c r="C48" s="105" t="s">
        <v>459</v>
      </c>
    </row>
    <row r="49" spans="2:8" x14ac:dyDescent="0.3">
      <c r="C49" s="105" t="s">
        <v>460</v>
      </c>
    </row>
    <row r="53" spans="2:8" ht="16.5" thickBot="1" x14ac:dyDescent="0.35"/>
    <row r="54" spans="2:8" x14ac:dyDescent="0.3">
      <c r="B54" s="198" t="str">
        <f ca="1">MID(CELL("filename",A6),FIND("]",CELL("filename",A6))+1,1256)</f>
        <v>Bullet range</v>
      </c>
      <c r="C54" s="199" t="s">
        <v>723</v>
      </c>
      <c r="D54" s="199" t="str">
        <f>_xll.BfX_CRC(C12:G26,"ov")</f>
        <v>BfX2670207087CRC</v>
      </c>
      <c r="E54" s="199"/>
      <c r="F54" s="199"/>
      <c r="G54" s="199"/>
      <c r="H54" s="200"/>
    </row>
    <row r="55" spans="2:8" ht="16.5" thickBot="1" x14ac:dyDescent="0.35">
      <c r="B55" s="204" t="str">
        <f ca="1">MID(CELL("filename",A7),FIND("]",CELL("filename",A7))+1,1256)</f>
        <v>Bullet range</v>
      </c>
      <c r="C55" s="205" t="s">
        <v>69</v>
      </c>
      <c r="D55" s="205" t="str">
        <f>_xll.BfX_CRC(D35:D38,"on")</f>
        <v>BfX3088550714CRC</v>
      </c>
      <c r="E55" s="205"/>
      <c r="F55" s="205"/>
      <c r="G55" s="205"/>
      <c r="H55" s="206"/>
    </row>
    <row r="56" spans="2:8" x14ac:dyDescent="0.3">
      <c r="B56" s="198" t="s">
        <v>761</v>
      </c>
      <c r="C56" s="199"/>
      <c r="D56" s="199"/>
      <c r="E56" s="199"/>
      <c r="F56" s="199"/>
      <c r="G56" s="199"/>
      <c r="H56" s="200"/>
    </row>
    <row r="57" spans="2:8" x14ac:dyDescent="0.3">
      <c r="B57" s="201" t="s">
        <v>759</v>
      </c>
      <c r="C57" s="202"/>
      <c r="D57" s="202"/>
      <c r="E57" s="202"/>
      <c r="F57" s="202"/>
      <c r="G57" s="202"/>
      <c r="H57" s="203"/>
    </row>
    <row r="58" spans="2:8" ht="16.5" thickBot="1" x14ac:dyDescent="0.35">
      <c r="B58" s="204" t="s">
        <v>760</v>
      </c>
      <c r="C58" s="205"/>
      <c r="D58" s="205"/>
      <c r="E58" s="205"/>
      <c r="F58" s="205"/>
      <c r="G58" s="205"/>
      <c r="H58" s="20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B18" sqref="B18:G20"/>
    </sheetView>
  </sheetViews>
  <sheetFormatPr defaultRowHeight="15.75" x14ac:dyDescent="0.3"/>
  <sheetData>
    <row r="1" spans="1:8" x14ac:dyDescent="0.3">
      <c r="A1">
        <v>8</v>
      </c>
      <c r="B1" t="s">
        <v>85</v>
      </c>
    </row>
    <row r="2" spans="1:8" x14ac:dyDescent="0.3">
      <c r="A2" s="2" t="s">
        <v>101</v>
      </c>
      <c r="B2" s="2" t="s">
        <v>61</v>
      </c>
      <c r="C2" s="6" t="str">
        <f>_xll.BfX_Tv()</f>
        <v>t=BfX_Tv(v0; v; c; df=GP) [s]</v>
      </c>
      <c r="D2" s="4"/>
      <c r="E2" s="4"/>
    </row>
    <row r="3" spans="1:8" x14ac:dyDescent="0.3">
      <c r="C3" s="105" t="s">
        <v>493</v>
      </c>
    </row>
    <row r="5" spans="1:8" x14ac:dyDescent="0.3">
      <c r="C5" s="105" t="s">
        <v>457</v>
      </c>
    </row>
    <row r="6" spans="1:8" x14ac:dyDescent="0.3">
      <c r="C6" s="7">
        <f>_xll.BfX_Tv(740,331,0.482)</f>
        <v>1.685486678515816</v>
      </c>
      <c r="D6" s="7" t="s">
        <v>451</v>
      </c>
      <c r="F6" s="14" t="str">
        <f ca="1">_xll.BfX_Cell(C6)</f>
        <v>=BfX_Tv(740;331;0,482)</v>
      </c>
      <c r="G6" s="14"/>
      <c r="H6" s="14"/>
    </row>
    <row r="8" spans="1:8" x14ac:dyDescent="0.3">
      <c r="A8" s="2" t="s">
        <v>102</v>
      </c>
      <c r="B8" s="2" t="s">
        <v>62</v>
      </c>
      <c r="C8" s="6" t="str">
        <f>_xll.BfX_Tx()</f>
        <v>t=BfX_Tx(v0; x; c; df=GP) [s]</v>
      </c>
      <c r="D8" s="4"/>
    </row>
    <row r="9" spans="1:8" x14ac:dyDescent="0.3">
      <c r="C9" s="105" t="s">
        <v>456</v>
      </c>
    </row>
    <row r="10" spans="1:8" x14ac:dyDescent="0.3">
      <c r="C10" s="7">
        <f>_xll.BfX_Tx(740,500,0.482)</f>
        <v>0.85400886215762906</v>
      </c>
      <c r="D10" s="7" t="s">
        <v>451</v>
      </c>
      <c r="E10" s="22"/>
      <c r="F10" s="14" t="str">
        <f ca="1">_xll.BfX_Cell(C10)</f>
        <v>=BfX_Tx(740;500;0,482)</v>
      </c>
      <c r="G10" s="7"/>
      <c r="H10" s="14"/>
    </row>
    <row r="15" spans="1:8" ht="16.5" thickBot="1" x14ac:dyDescent="0.35"/>
    <row r="16" spans="1:8" x14ac:dyDescent="0.3">
      <c r="B16" s="198" t="str">
        <f ca="1">MID(CELL("filename",A5),FIND("]",CELL("filename",A5))+1,1256)</f>
        <v>Flight times</v>
      </c>
      <c r="C16" s="199" t="str">
        <f>B2</f>
        <v>Bfx_Tv</v>
      </c>
      <c r="D16" s="199" t="str">
        <f>_xll.BfX_CRC(C6:D6)</f>
        <v>BfX3961002631CRC</v>
      </c>
      <c r="E16" s="199"/>
      <c r="F16" s="199"/>
      <c r="G16" s="200"/>
    </row>
    <row r="17" spans="2:7" ht="16.5" thickBot="1" x14ac:dyDescent="0.35">
      <c r="B17" s="201" t="str">
        <f ca="1">MID(CELL("filename",A6),FIND("]",CELL("filename",A6))+1,1256)</f>
        <v>Flight times</v>
      </c>
      <c r="C17" s="202" t="str">
        <f>B8</f>
        <v>Bfx_Tx</v>
      </c>
      <c r="D17" s="202" t="str">
        <f>_xll.BfX_CRC(C10:D10)</f>
        <v>BfX2601861468CRC</v>
      </c>
      <c r="E17" s="202"/>
      <c r="F17" s="202"/>
      <c r="G17" s="203"/>
    </row>
    <row r="18" spans="2:7" x14ac:dyDescent="0.3">
      <c r="B18" s="198" t="s">
        <v>761</v>
      </c>
      <c r="C18" s="199"/>
      <c r="D18" s="199"/>
      <c r="E18" s="199"/>
      <c r="F18" s="199"/>
      <c r="G18" s="200"/>
    </row>
    <row r="19" spans="2:7" x14ac:dyDescent="0.3">
      <c r="B19" s="201" t="s">
        <v>759</v>
      </c>
      <c r="C19" s="202"/>
      <c r="D19" s="202"/>
      <c r="E19" s="202"/>
      <c r="F19" s="202"/>
      <c r="G19" s="203"/>
    </row>
    <row r="20" spans="2:7" ht="16.5" thickBot="1" x14ac:dyDescent="0.35">
      <c r="B20" s="204" t="s">
        <v>760</v>
      </c>
      <c r="C20" s="205"/>
      <c r="D20" s="205"/>
      <c r="E20" s="205"/>
      <c r="F20" s="205"/>
      <c r="G20" s="20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26" sqref="C26"/>
    </sheetView>
  </sheetViews>
  <sheetFormatPr defaultRowHeight="15.75" x14ac:dyDescent="0.3"/>
  <sheetData>
    <row r="1" spans="1:8" x14ac:dyDescent="0.3">
      <c r="A1">
        <v>9</v>
      </c>
      <c r="B1" t="s">
        <v>103</v>
      </c>
    </row>
    <row r="2" spans="1:8" x14ac:dyDescent="0.3">
      <c r="B2" t="s">
        <v>110</v>
      </c>
    </row>
    <row r="3" spans="1:8" x14ac:dyDescent="0.3">
      <c r="A3" s="2" t="s">
        <v>106</v>
      </c>
      <c r="B3" s="2" t="s">
        <v>108</v>
      </c>
    </row>
    <row r="4" spans="1:8" x14ac:dyDescent="0.3">
      <c r="B4" t="s">
        <v>107</v>
      </c>
    </row>
    <row r="5" spans="1:8" x14ac:dyDescent="0.3">
      <c r="B5" t="s">
        <v>109</v>
      </c>
    </row>
    <row r="6" spans="1:8" x14ac:dyDescent="0.3">
      <c r="B6" s="105" t="s">
        <v>494</v>
      </c>
    </row>
    <row r="8" spans="1:8" x14ac:dyDescent="0.3">
      <c r="B8" t="s">
        <v>105</v>
      </c>
    </row>
    <row r="9" spans="1:8" x14ac:dyDescent="0.3">
      <c r="B9" s="7" t="s">
        <v>37</v>
      </c>
      <c r="C9" s="7">
        <v>740</v>
      </c>
      <c r="D9" s="105" t="s">
        <v>52</v>
      </c>
    </row>
    <row r="10" spans="1:8" x14ac:dyDescent="0.3">
      <c r="B10" s="7" t="s">
        <v>40</v>
      </c>
      <c r="C10" s="7">
        <v>0.5</v>
      </c>
      <c r="D10" s="105" t="s">
        <v>442</v>
      </c>
    </row>
    <row r="12" spans="1:8" x14ac:dyDescent="0.3">
      <c r="B12" t="s">
        <v>111</v>
      </c>
      <c r="C12" t="s">
        <v>86</v>
      </c>
      <c r="D12" t="s">
        <v>69</v>
      </c>
      <c r="E12" t="s">
        <v>88</v>
      </c>
      <c r="F12" t="s">
        <v>89</v>
      </c>
      <c r="G12" t="s">
        <v>90</v>
      </c>
      <c r="H12" t="s">
        <v>87</v>
      </c>
    </row>
    <row r="13" spans="1:8" x14ac:dyDescent="0.3">
      <c r="B13" s="7">
        <v>0.55000000000000004</v>
      </c>
      <c r="C13" s="7">
        <f>_xll.BfX_Xt(v0,B13,c_)</f>
        <v>349.69861226713004</v>
      </c>
      <c r="D13" s="7">
        <f>_xll.BfX_Vx(v0,C13,c_)</f>
        <v>546.29939433351205</v>
      </c>
      <c r="E13" s="7">
        <f>_xll.BfX_Tv(v0,D13,c_)</f>
        <v>0.54999999999999927</v>
      </c>
      <c r="F13" s="7">
        <f>_xll.BfX_Vt(v0,E13,c_)</f>
        <v>546.29939433351205</v>
      </c>
      <c r="G13" s="7">
        <f>_xll.BfX_Xv(v0,F13,c_)</f>
        <v>349.69861226713004</v>
      </c>
      <c r="H13" s="7">
        <f>_xll.BfX_Tx(v0,G13,c_)</f>
        <v>0.54999999999999927</v>
      </c>
    </row>
    <row r="14" spans="1:8" x14ac:dyDescent="0.3">
      <c r="B14" s="105" t="s">
        <v>451</v>
      </c>
      <c r="C14" s="105" t="s">
        <v>149</v>
      </c>
      <c r="D14" s="105" t="s">
        <v>52</v>
      </c>
      <c r="E14" s="105" t="s">
        <v>451</v>
      </c>
      <c r="F14" s="105" t="s">
        <v>52</v>
      </c>
      <c r="G14" s="105" t="s">
        <v>149</v>
      </c>
      <c r="H14" s="105" t="s">
        <v>451</v>
      </c>
    </row>
    <row r="16" spans="1:8" s="2" customFormat="1" x14ac:dyDescent="0.3">
      <c r="A16" s="2" t="s">
        <v>116</v>
      </c>
      <c r="B16" s="2" t="s">
        <v>117</v>
      </c>
    </row>
    <row r="17" spans="2:9" x14ac:dyDescent="0.3">
      <c r="B17" t="s">
        <v>111</v>
      </c>
      <c r="C17" t="s">
        <v>86</v>
      </c>
      <c r="D17" t="s">
        <v>69</v>
      </c>
      <c r="E17" t="s">
        <v>88</v>
      </c>
      <c r="F17" t="s">
        <v>89</v>
      </c>
      <c r="G17" t="s">
        <v>90</v>
      </c>
      <c r="H17" t="s">
        <v>87</v>
      </c>
    </row>
    <row r="18" spans="2:9" x14ac:dyDescent="0.3">
      <c r="B18" s="7">
        <v>600</v>
      </c>
      <c r="C18" s="7">
        <f>_xll.BfX_Xt("mi",v0,B18,"ms",c_)</f>
        <v>0.23405088915154704</v>
      </c>
      <c r="D18" s="7">
        <f>_xll.BfX_Vx("ft/s",v0,C18,"mi",c_)</f>
        <v>1747.3068436555723</v>
      </c>
      <c r="E18" s="7">
        <f>_xll.BfX_Tv(v0,D18,"fps",c_)</f>
        <v>0.60000000000000009</v>
      </c>
      <c r="F18" s="7">
        <f>_xll.BfX_Vt("m/s",v0,E18,c_)</f>
        <v>532.57912594621837</v>
      </c>
      <c r="G18" s="7">
        <f>_xll.BfX_Xv("in",v0,F18,c_)</f>
        <v>14829.464336642022</v>
      </c>
      <c r="H18" s="7">
        <f>_xll.BfX_Tx(v0,G18,"in",c_)</f>
        <v>0.60000000000000009</v>
      </c>
    </row>
    <row r="19" spans="2:9" x14ac:dyDescent="0.3">
      <c r="B19" s="105" t="s">
        <v>452</v>
      </c>
      <c r="C19" s="105" t="s">
        <v>453</v>
      </c>
      <c r="D19" s="105" t="s">
        <v>454</v>
      </c>
      <c r="E19" s="105" t="s">
        <v>451</v>
      </c>
      <c r="F19" s="105" t="s">
        <v>52</v>
      </c>
      <c r="G19" s="105" t="s">
        <v>455</v>
      </c>
      <c r="H19" s="105" t="s">
        <v>451</v>
      </c>
    </row>
    <row r="24" spans="2:9" ht="16.5" thickBot="1" x14ac:dyDescent="0.35"/>
    <row r="25" spans="2:9" ht="16.5" thickBot="1" x14ac:dyDescent="0.35">
      <c r="B25" s="198" t="str">
        <f ca="1">MID(CELL("filename",A6),FIND("]",CELL("filename",A6))+1,1256)</f>
        <v>The great cross check</v>
      </c>
      <c r="C25" s="199"/>
      <c r="D25" s="199" t="s">
        <v>722</v>
      </c>
      <c r="E25" s="199"/>
      <c r="F25" s="199" t="str">
        <f>_xll.BfX_CRC(B12:H19)</f>
        <v>BfX3592799695CRC</v>
      </c>
      <c r="G25" s="199"/>
      <c r="H25" s="199"/>
      <c r="I25" s="200"/>
    </row>
    <row r="26" spans="2:9" x14ac:dyDescent="0.3">
      <c r="B26" s="198" t="s">
        <v>761</v>
      </c>
      <c r="C26" s="199"/>
      <c r="D26" s="199"/>
      <c r="E26" s="199"/>
      <c r="F26" s="199"/>
      <c r="G26" s="199"/>
      <c r="H26" s="199"/>
      <c r="I26" s="200"/>
    </row>
    <row r="27" spans="2:9" x14ac:dyDescent="0.3">
      <c r="B27" s="201" t="s">
        <v>759</v>
      </c>
      <c r="C27" s="202"/>
      <c r="D27" s="202"/>
      <c r="E27" s="202"/>
      <c r="F27" s="202"/>
      <c r="G27" s="202"/>
      <c r="H27" s="202"/>
      <c r="I27" s="203"/>
    </row>
    <row r="28" spans="2:9" ht="16.5" thickBot="1" x14ac:dyDescent="0.35">
      <c r="B28" s="204" t="s">
        <v>760</v>
      </c>
      <c r="C28" s="205"/>
      <c r="D28" s="205"/>
      <c r="E28" s="205"/>
      <c r="F28" s="205"/>
      <c r="G28" s="205"/>
      <c r="H28" s="205"/>
      <c r="I28" s="20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0" zoomScaleNormal="100" workbookViewId="0">
      <selection activeCell="B99" sqref="B99"/>
    </sheetView>
  </sheetViews>
  <sheetFormatPr defaultRowHeight="15.75" x14ac:dyDescent="0.3"/>
  <cols>
    <col min="4" max="4" width="10" bestFit="1" customWidth="1"/>
  </cols>
  <sheetData>
    <row r="1" spans="1:9" x14ac:dyDescent="0.3">
      <c r="A1">
        <v>10</v>
      </c>
      <c r="B1" t="s">
        <v>118</v>
      </c>
    </row>
    <row r="3" spans="1:9" x14ac:dyDescent="0.3">
      <c r="B3" s="105" t="s">
        <v>498</v>
      </c>
    </row>
    <row r="4" spans="1:9" x14ac:dyDescent="0.3">
      <c r="B4" s="105" t="s">
        <v>499</v>
      </c>
    </row>
    <row r="5" spans="1:9" x14ac:dyDescent="0.3">
      <c r="B5" s="105" t="s">
        <v>681</v>
      </c>
    </row>
    <row r="6" spans="1:9" s="105" customFormat="1" x14ac:dyDescent="0.3"/>
    <row r="7" spans="1:9" s="2" customFormat="1" x14ac:dyDescent="0.3">
      <c r="A7" s="2" t="s">
        <v>119</v>
      </c>
      <c r="B7" s="6" t="str">
        <f>_xll.BfX_D()</f>
        <v>drop=BfX_D(v0; x; c; df=GP) [m] or converted to angle</v>
      </c>
      <c r="C7" s="6"/>
      <c r="D7" s="6"/>
      <c r="E7" s="6"/>
      <c r="F7" s="6"/>
    </row>
    <row r="8" spans="1:9" x14ac:dyDescent="0.3">
      <c r="B8" s="105" t="s">
        <v>366</v>
      </c>
    </row>
    <row r="9" spans="1:9" x14ac:dyDescent="0.3">
      <c r="B9" s="105" t="s">
        <v>500</v>
      </c>
    </row>
    <row r="10" spans="1:9" s="105" customFormat="1" x14ac:dyDescent="0.3"/>
    <row r="11" spans="1:9" x14ac:dyDescent="0.3">
      <c r="B11" s="7">
        <f>_xll.BfX_D(740,600,0.5)</f>
        <v>4.7014291425316426</v>
      </c>
      <c r="C11" s="105" t="s">
        <v>149</v>
      </c>
      <c r="E11" s="21" t="str">
        <f ca="1">_xll.BfX_Cell(B11)</f>
        <v>=BfX_D(740;600;0,5)</v>
      </c>
      <c r="F11" s="21"/>
      <c r="G11" s="21"/>
    </row>
    <row r="13" spans="1:9" x14ac:dyDescent="0.3">
      <c r="B13" t="s">
        <v>675</v>
      </c>
    </row>
    <row r="14" spans="1:9" x14ac:dyDescent="0.3">
      <c r="B14" s="7">
        <f>DEGREES(ATAN2(600,B11))</f>
        <v>0.44894422457121302</v>
      </c>
      <c r="C14" s="105" t="s">
        <v>449</v>
      </c>
      <c r="E14" s="21" t="str">
        <f ca="1">_xll.BfX_Cell(B14)</f>
        <v>=DEGREES(ATAN2(600;B11))</v>
      </c>
      <c r="F14" s="21"/>
      <c r="G14" s="21"/>
      <c r="I14" s="105" t="s">
        <v>368</v>
      </c>
    </row>
    <row r="15" spans="1:9" x14ac:dyDescent="0.3">
      <c r="B15" s="7">
        <f>_xll.BfX_Ax("deg",600,B11)</f>
        <v>0.44894422457121302</v>
      </c>
      <c r="C15" s="105" t="s">
        <v>449</v>
      </c>
      <c r="E15" s="21" t="str">
        <f ca="1">_xll.BfX_Cell(B15)</f>
        <v>=BfX_Ax("deg";600;B11)</v>
      </c>
      <c r="F15" s="21"/>
      <c r="G15" s="21"/>
    </row>
    <row r="16" spans="1:9" s="105" customFormat="1" x14ac:dyDescent="0.3">
      <c r="B16" s="105" t="s">
        <v>674</v>
      </c>
    </row>
    <row r="17" spans="1:7" s="105" customFormat="1" x14ac:dyDescent="0.3"/>
    <row r="18" spans="1:7" x14ac:dyDescent="0.3">
      <c r="B18" s="105" t="s">
        <v>367</v>
      </c>
    </row>
    <row r="19" spans="1:7" x14ac:dyDescent="0.3">
      <c r="B19" s="105" t="s">
        <v>448</v>
      </c>
    </row>
    <row r="20" spans="1:7" x14ac:dyDescent="0.3">
      <c r="B20" s="7">
        <f>B14*60</f>
        <v>26.936653474272781</v>
      </c>
      <c r="C20" s="105" t="s">
        <v>253</v>
      </c>
      <c r="E20" s="21" t="str">
        <f ca="1">_xll.BfX_Cell(B20)</f>
        <v>=B14*60</v>
      </c>
      <c r="F20" s="21"/>
      <c r="G20" s="21"/>
    </row>
    <row r="21" spans="1:7" x14ac:dyDescent="0.3">
      <c r="B21" s="7">
        <f>_xll.BfX_D("moa",740,600,0.5)</f>
        <v>26.936653474272784</v>
      </c>
      <c r="C21" s="105" t="s">
        <v>253</v>
      </c>
      <c r="E21" s="21" t="str">
        <f ca="1">_xll.BfX_Cell(B21)</f>
        <v>=BfX_D("moa";740;600;0,5)</v>
      </c>
      <c r="F21" s="21"/>
      <c r="G21" s="21"/>
    </row>
    <row r="22" spans="1:7" x14ac:dyDescent="0.3">
      <c r="B22" s="7">
        <f>_xll.BfX_Ax("moa",600,B11)</f>
        <v>26.936653474272784</v>
      </c>
      <c r="C22" t="s">
        <v>253</v>
      </c>
      <c r="E22" s="21" t="str">
        <f ca="1">_xll.BfX_Cell(B22)</f>
        <v>=BfX_Ax("moa";600;B11)</v>
      </c>
      <c r="F22" s="21"/>
      <c r="G22" s="21"/>
    </row>
    <row r="24" spans="1:7" x14ac:dyDescent="0.3">
      <c r="B24" t="s">
        <v>673</v>
      </c>
    </row>
    <row r="25" spans="1:7" s="105" customFormat="1" x14ac:dyDescent="0.3"/>
    <row r="26" spans="1:7" s="2" customFormat="1" x14ac:dyDescent="0.3">
      <c r="A26" s="2" t="s">
        <v>120</v>
      </c>
      <c r="B26" s="2" t="s">
        <v>121</v>
      </c>
    </row>
    <row r="27" spans="1:7" x14ac:dyDescent="0.3">
      <c r="B27" s="105" t="s">
        <v>501</v>
      </c>
    </row>
    <row r="28" spans="1:7" x14ac:dyDescent="0.3">
      <c r="B28" t="s">
        <v>122</v>
      </c>
    </row>
    <row r="38" spans="2:10" x14ac:dyDescent="0.3">
      <c r="B38" t="s">
        <v>123</v>
      </c>
    </row>
    <row r="39" spans="2:10" x14ac:dyDescent="0.3">
      <c r="B39" t="s">
        <v>124</v>
      </c>
    </row>
    <row r="40" spans="2:10" x14ac:dyDescent="0.3">
      <c r="B40" t="s">
        <v>125</v>
      </c>
    </row>
    <row r="41" spans="2:10" x14ac:dyDescent="0.3">
      <c r="B41" t="s">
        <v>126</v>
      </c>
    </row>
    <row r="42" spans="2:10" x14ac:dyDescent="0.3">
      <c r="B42" s="105" t="s">
        <v>502</v>
      </c>
    </row>
    <row r="44" spans="2:10" x14ac:dyDescent="0.3">
      <c r="B44" s="105" t="s">
        <v>447</v>
      </c>
    </row>
    <row r="45" spans="2:10" x14ac:dyDescent="0.3">
      <c r="B45" s="7">
        <f>_xll.BfX_Ax("deg",600,0.03+_xll.BfX_D(740,600,0.5))</f>
        <v>0.45180883653947912</v>
      </c>
      <c r="C45" s="105" t="s">
        <v>449</v>
      </c>
      <c r="E45" s="21" t="str">
        <f ca="1">_xll.BfX_Cell(B45)</f>
        <v>=BfX_Ax("deg";600;0,03+BfX_D(740;600;0,5))</v>
      </c>
      <c r="F45" s="21"/>
      <c r="G45" s="21"/>
      <c r="H45" s="21"/>
      <c r="I45" s="21"/>
      <c r="J45" s="21"/>
    </row>
    <row r="46" spans="2:10" x14ac:dyDescent="0.3">
      <c r="B46" s="8">
        <f>B45*60</f>
        <v>27.108530192368747</v>
      </c>
      <c r="C46" s="105" t="s">
        <v>253</v>
      </c>
      <c r="E46" s="21" t="str">
        <f ca="1">_xll.BfX_Cell(B46)</f>
        <v>=B45*60</v>
      </c>
      <c r="F46" s="21"/>
      <c r="G46" s="21"/>
      <c r="H46" s="21"/>
      <c r="I46" s="21"/>
      <c r="J46" s="21"/>
    </row>
    <row r="47" spans="2:10" x14ac:dyDescent="0.3">
      <c r="B47" t="s">
        <v>127</v>
      </c>
    </row>
    <row r="51" spans="1:10" s="2" customFormat="1" x14ac:dyDescent="0.3">
      <c r="A51" s="2" t="s">
        <v>128</v>
      </c>
      <c r="B51" s="2" t="s">
        <v>129</v>
      </c>
      <c r="C51" s="6" t="str">
        <f>_xll.BfX_E()</f>
        <v>elevation=BfX_E(v0; s; h; zx; c; df=GP) [radians]</v>
      </c>
      <c r="D51" s="6"/>
      <c r="E51" s="6"/>
      <c r="F51" s="6"/>
      <c r="G51" s="6"/>
      <c r="H51" s="21"/>
      <c r="I51" s="21"/>
      <c r="J51" s="21"/>
    </row>
    <row r="52" spans="1:10" x14ac:dyDescent="0.3">
      <c r="B52" s="105" t="s">
        <v>503</v>
      </c>
    </row>
    <row r="53" spans="1:10" s="105" customFormat="1" x14ac:dyDescent="0.3">
      <c r="B53" s="105" t="s">
        <v>504</v>
      </c>
    </row>
    <row r="54" spans="1:10" s="105" customFormat="1" x14ac:dyDescent="0.3">
      <c r="B54" s="105" t="s">
        <v>369</v>
      </c>
    </row>
    <row r="55" spans="1:10" x14ac:dyDescent="0.3">
      <c r="B55" s="105" t="s">
        <v>373</v>
      </c>
    </row>
    <row r="56" spans="1:10" x14ac:dyDescent="0.3">
      <c r="B56" s="105" t="s">
        <v>446</v>
      </c>
    </row>
    <row r="57" spans="1:10" x14ac:dyDescent="0.3">
      <c r="B57" s="7">
        <f>_xll.BfX_E(740,3,"cm",0,600,0.5)</f>
        <v>7.8855517872187739E-3</v>
      </c>
      <c r="C57" s="105" t="s">
        <v>450</v>
      </c>
      <c r="E57" s="21" t="str">
        <f ca="1">_xll.BfX_Cell(B57)</f>
        <v>=BfX_E(740;3;"cm";0;600;0,5)</v>
      </c>
      <c r="F57" s="21"/>
      <c r="G57" s="21"/>
      <c r="H57" s="21"/>
      <c r="I57" s="21"/>
      <c r="J57" s="21"/>
    </row>
    <row r="58" spans="1:10" s="105" customFormat="1" x14ac:dyDescent="0.3">
      <c r="B58" s="7">
        <f>_xll.BfX_E("deg",740,3,"cm",0,600,0.5)</f>
        <v>0.45180883653947912</v>
      </c>
      <c r="C58" s="105" t="s">
        <v>449</v>
      </c>
      <c r="E58" s="21" t="str">
        <f ca="1">_xll.BfX_Cell(B58)</f>
        <v>=BfX_E("deg";740;3;"cm";0;600;0,5)</v>
      </c>
      <c r="F58" s="21"/>
      <c r="G58" s="21"/>
      <c r="H58" s="21"/>
      <c r="I58" s="21"/>
      <c r="J58" s="21"/>
    </row>
    <row r="59" spans="1:10" x14ac:dyDescent="0.3">
      <c r="B59" s="7">
        <f>_xll.BfX_E("moa",740,3,"cm",0,600,0.5)</f>
        <v>27.108530192368747</v>
      </c>
      <c r="C59" s="105" t="s">
        <v>253</v>
      </c>
      <c r="E59" s="21" t="str">
        <f ca="1">_xll.BfX_Cell(B59)</f>
        <v>=BfX_E("moa";740;3;"cm";0;600;0,5)</v>
      </c>
      <c r="F59" s="21"/>
      <c r="G59" s="21"/>
      <c r="H59" s="21"/>
      <c r="I59" s="21"/>
      <c r="J59" s="21"/>
    </row>
    <row r="62" spans="1:10" s="2" customFormat="1" x14ac:dyDescent="0.3">
      <c r="A62" s="2" t="s">
        <v>370</v>
      </c>
      <c r="B62" s="2" t="s">
        <v>371</v>
      </c>
    </row>
    <row r="64" spans="1:10" x14ac:dyDescent="0.3">
      <c r="B64" s="105" t="s">
        <v>372</v>
      </c>
    </row>
    <row r="65" spans="2:8" x14ac:dyDescent="0.3">
      <c r="B65" s="105" t="s">
        <v>374</v>
      </c>
    </row>
    <row r="66" spans="2:8" x14ac:dyDescent="0.3">
      <c r="B66" s="105" t="s">
        <v>495</v>
      </c>
    </row>
    <row r="67" spans="2:8" x14ac:dyDescent="0.3">
      <c r="B67" s="105" t="s">
        <v>375</v>
      </c>
    </row>
    <row r="69" spans="2:8" x14ac:dyDescent="0.3">
      <c r="B69" s="105" t="s">
        <v>376</v>
      </c>
    </row>
    <row r="70" spans="2:8" s="105" customFormat="1" x14ac:dyDescent="0.3"/>
    <row r="71" spans="2:8" s="140" customFormat="1" ht="31.5" x14ac:dyDescent="0.3">
      <c r="B71" s="140" t="s">
        <v>38</v>
      </c>
      <c r="C71" s="140" t="s">
        <v>377</v>
      </c>
    </row>
    <row r="72" spans="2:8" x14ac:dyDescent="0.3">
      <c r="B72" s="7">
        <v>100</v>
      </c>
      <c r="C72" s="7">
        <f>_xll.BfX_E("moa",740,3,"cm",0,B72,0.5)</f>
        <v>4.283530111315633</v>
      </c>
      <c r="D72" s="15" t="str">
        <f ca="1">_xll.BfX_Cell(C72)</f>
        <v>=BfX_E("moa";740;3;"cm";0;B72;0,5)</v>
      </c>
      <c r="E72" s="7"/>
      <c r="F72" s="7"/>
      <c r="G72" s="7"/>
      <c r="H72" s="7"/>
    </row>
    <row r="73" spans="2:8" ht="16.5" thickBot="1" x14ac:dyDescent="0.35">
      <c r="B73" s="7">
        <v>300</v>
      </c>
      <c r="C73" s="141">
        <f>_xll.BfX_E("moa",740,3,"cm",0,B73,0.5)</f>
        <v>11.327976346296973</v>
      </c>
      <c r="D73" s="15" t="str">
        <f ca="1">_xll.BfX_Cell(C73)</f>
        <v>=BfX_E("moa";740;3;"cm";0;B73;0,5)</v>
      </c>
      <c r="E73" s="7"/>
      <c r="F73" s="7"/>
      <c r="G73" s="7"/>
      <c r="H73" s="7"/>
    </row>
    <row r="74" spans="2:8" x14ac:dyDescent="0.3">
      <c r="B74" s="105" t="s">
        <v>175</v>
      </c>
      <c r="C74" s="15">
        <f>C73-C72</f>
        <v>7.0444462349813399</v>
      </c>
      <c r="D74" s="15" t="str">
        <f ca="1">_xll.BfX_Cell(C74)</f>
        <v>=C73-C72</v>
      </c>
    </row>
    <row r="75" spans="2:8" s="105" customFormat="1" x14ac:dyDescent="0.3"/>
    <row r="76" spans="2:8" s="105" customFormat="1" x14ac:dyDescent="0.3">
      <c r="B76" s="105" t="s">
        <v>496</v>
      </c>
    </row>
    <row r="77" spans="2:8" s="105" customFormat="1" x14ac:dyDescent="0.3">
      <c r="B77" s="105" t="s">
        <v>378</v>
      </c>
    </row>
    <row r="78" spans="2:8" s="105" customFormat="1" x14ac:dyDescent="0.3">
      <c r="B78" s="142">
        <f>C74/(1/4)</f>
        <v>28.17778493992536</v>
      </c>
      <c r="C78" s="105" t="s">
        <v>379</v>
      </c>
      <c r="D78" s="142" t="str">
        <f ca="1">_xll.BfX_Cell(B78)</f>
        <v>=C74/(1/4)</v>
      </c>
      <c r="E78" s="142"/>
    </row>
    <row r="79" spans="2:8" s="105" customFormat="1" x14ac:dyDescent="0.3"/>
    <row r="80" spans="2:8" s="105" customFormat="1" x14ac:dyDescent="0.3">
      <c r="B80" s="105" t="s">
        <v>380</v>
      </c>
    </row>
    <row r="81" spans="2:7" s="105" customFormat="1" x14ac:dyDescent="0.3"/>
    <row r="82" spans="2:7" s="140" customFormat="1" ht="31.5" x14ac:dyDescent="0.3">
      <c r="B82" s="140" t="s">
        <v>38</v>
      </c>
      <c r="C82" s="140" t="s">
        <v>377</v>
      </c>
    </row>
    <row r="83" spans="2:7" s="105" customFormat="1" x14ac:dyDescent="0.3">
      <c r="B83" s="7">
        <v>100</v>
      </c>
      <c r="C83" s="7">
        <f>_xll.BfX_D("moa",740,B83,0.5)</f>
        <v>3.2522073267221283</v>
      </c>
      <c r="D83" s="15" t="str">
        <f ca="1">_xll.BfX_Cell(C83)</f>
        <v>=BfX_D("moa";740;B83;0,5)</v>
      </c>
      <c r="E83" s="7"/>
      <c r="F83" s="7"/>
    </row>
    <row r="84" spans="2:7" s="105" customFormat="1" ht="16.5" thickBot="1" x14ac:dyDescent="0.35">
      <c r="B84" s="7">
        <v>300</v>
      </c>
      <c r="C84" s="141">
        <f>_xll.BfX_D("moa",740,B84,0.5)</f>
        <v>10.984205289839256</v>
      </c>
      <c r="D84" s="15" t="str">
        <f ca="1">_xll.BfX_Cell(C84)</f>
        <v>=BfX_D("moa";740;B84;0,5)</v>
      </c>
      <c r="E84" s="7"/>
      <c r="F84" s="7"/>
    </row>
    <row r="85" spans="2:7" s="105" customFormat="1" x14ac:dyDescent="0.3">
      <c r="B85" s="105" t="s">
        <v>175</v>
      </c>
      <c r="C85" s="7">
        <f>C84-C83</f>
        <v>7.7319979631171272</v>
      </c>
      <c r="D85" s="15" t="str">
        <f ca="1">_xll.BfX_Cell(C85)</f>
        <v>=C84-C83</v>
      </c>
    </row>
    <row r="87" spans="2:7" x14ac:dyDescent="0.3">
      <c r="B87" s="105" t="s">
        <v>497</v>
      </c>
    </row>
    <row r="88" spans="2:7" x14ac:dyDescent="0.3">
      <c r="B88" s="105" t="s">
        <v>381</v>
      </c>
    </row>
    <row r="89" spans="2:7" s="105" customFormat="1" x14ac:dyDescent="0.3"/>
    <row r="90" spans="2:7" s="105" customFormat="1" x14ac:dyDescent="0.3"/>
    <row r="91" spans="2:7" x14ac:dyDescent="0.3">
      <c r="B91" t="s">
        <v>131</v>
      </c>
    </row>
    <row r="94" spans="2:7" ht="16.5" thickBot="1" x14ac:dyDescent="0.35"/>
    <row r="95" spans="2:7" x14ac:dyDescent="0.3">
      <c r="B95" s="198" t="str">
        <f ca="1">MID(CELL("filename",A6),FIND("]",CELL("filename",A6))+1,1256)</f>
        <v>Drop and Elevation</v>
      </c>
      <c r="C95" s="199"/>
      <c r="D95" s="199" t="s">
        <v>721</v>
      </c>
      <c r="E95" s="199" t="str">
        <f>_xll.BfX_CRC(B11:B22,"on")</f>
        <v>BfX2879822360CRC</v>
      </c>
      <c r="F95" s="199"/>
      <c r="G95" s="200"/>
    </row>
    <row r="96" spans="2:7" ht="16.5" thickBot="1" x14ac:dyDescent="0.35">
      <c r="B96" s="201" t="str">
        <f ca="1">MID(CELL("filename",A7),FIND("]",CELL("filename",A7))+1,1256)</f>
        <v>Drop and Elevation</v>
      </c>
      <c r="C96" s="202"/>
      <c r="D96" s="202" t="s">
        <v>129</v>
      </c>
      <c r="E96" s="202" t="str">
        <f>_xll.BfX_CRC(B57:B59,"on")</f>
        <v>BfX1975209096CRC</v>
      </c>
      <c r="F96" s="202"/>
      <c r="G96" s="203"/>
    </row>
    <row r="97" spans="2:7" x14ac:dyDescent="0.3">
      <c r="B97" s="198" t="s">
        <v>761</v>
      </c>
      <c r="C97" s="199"/>
      <c r="D97" s="199"/>
      <c r="E97" s="199"/>
      <c r="F97" s="199"/>
      <c r="G97" s="200"/>
    </row>
    <row r="98" spans="2:7" x14ac:dyDescent="0.3">
      <c r="B98" s="201" t="s">
        <v>759</v>
      </c>
      <c r="C98" s="202"/>
      <c r="D98" s="202"/>
      <c r="E98" s="202"/>
      <c r="F98" s="202"/>
      <c r="G98" s="203"/>
    </row>
    <row r="99" spans="2:7" ht="16.5" thickBot="1" x14ac:dyDescent="0.35">
      <c r="B99" s="204" t="s">
        <v>760</v>
      </c>
      <c r="C99" s="205"/>
      <c r="D99" s="205"/>
      <c r="E99" s="205"/>
      <c r="F99" s="205"/>
      <c r="G99" s="20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60</vt:i4>
      </vt:variant>
    </vt:vector>
  </HeadingPairs>
  <TitlesOfParts>
    <vt:vector size="79" baseType="lpstr">
      <vt:lpstr>Installation</vt:lpstr>
      <vt:lpstr>Help</vt:lpstr>
      <vt:lpstr>Info</vt:lpstr>
      <vt:lpstr>Bullet velocity</vt:lpstr>
      <vt:lpstr>Units</vt:lpstr>
      <vt:lpstr>Bullet range</vt:lpstr>
      <vt:lpstr>Flight times</vt:lpstr>
      <vt:lpstr>The great cross check</vt:lpstr>
      <vt:lpstr>Drop and Elevation</vt:lpstr>
      <vt:lpstr>Trajectory height</vt:lpstr>
      <vt:lpstr>Cross wind deflection</vt:lpstr>
      <vt:lpstr>Weather</vt:lpstr>
      <vt:lpstr>Drag functions</vt:lpstr>
      <vt:lpstr>Interpolation</vt:lpstr>
      <vt:lpstr>Making tables</vt:lpstr>
      <vt:lpstr>G7 check</vt:lpstr>
      <vt:lpstr>Random numbers</vt:lpstr>
      <vt:lpstr>Check range changed</vt:lpstr>
      <vt:lpstr>Custom drag tables</vt:lpstr>
      <vt:lpstr>'Trajectory height'!_c</vt:lpstr>
      <vt:lpstr>'Drag functions'!_c1_G1</vt:lpstr>
      <vt:lpstr>'Drag functions'!_c2_G1</vt:lpstr>
      <vt:lpstr>'Trajectory height'!_e</vt:lpstr>
      <vt:lpstr>'Random numbers'!_seed1</vt:lpstr>
      <vt:lpstr>'Custom drag tables'!_vs</vt:lpstr>
      <vt:lpstr>bc</vt:lpstr>
      <vt:lpstr>'Bullet velocity'!c_</vt:lpstr>
      <vt:lpstr>'Cross wind deflection'!c_</vt:lpstr>
      <vt:lpstr>'Random numbers'!c_</vt:lpstr>
      <vt:lpstr>'The great cross check'!c_</vt:lpstr>
      <vt:lpstr>'Trajectory height'!c_</vt:lpstr>
      <vt:lpstr>'Drag functions'!cG7_</vt:lpstr>
      <vt:lpstr>'Custom drag tables'!dt</vt:lpstr>
      <vt:lpstr>Interpolation!gi</vt:lpstr>
      <vt:lpstr>'Trajectory height'!h</vt:lpstr>
      <vt:lpstr>Interpolation!height_big</vt:lpstr>
      <vt:lpstr>Interpolation!height_last</vt:lpstr>
      <vt:lpstr>Interpolation!height_small</vt:lpstr>
      <vt:lpstr>'Drag functions'!mtf</vt:lpstr>
      <vt:lpstr>Interpolation!n150w</vt:lpstr>
      <vt:lpstr>Interpolation!n550w</vt:lpstr>
      <vt:lpstr>Interpolation!range_big</vt:lpstr>
      <vt:lpstr>Interpolation!range_last</vt:lpstr>
      <vt:lpstr>'Drag functions'!s</vt:lpstr>
      <vt:lpstr>'Trajectory height'!s</vt:lpstr>
      <vt:lpstr>'Random numbers'!s_</vt:lpstr>
      <vt:lpstr>'Trajectory height'!s_unit</vt:lpstr>
      <vt:lpstr>'Check range changed'!scope_height</vt:lpstr>
      <vt:lpstr>'Making tables'!Sierra_52_MK</vt:lpstr>
      <vt:lpstr>'Making tables'!Sierra_55_FMJBT</vt:lpstr>
      <vt:lpstr>'Making tables'!Sierra_69_MK</vt:lpstr>
      <vt:lpstr>'Making tables'!Sierra_77_MK</vt:lpstr>
      <vt:lpstr>std</vt:lpstr>
      <vt:lpstr>stdad</vt:lpstr>
      <vt:lpstr>'Bullet range'!v</vt:lpstr>
      <vt:lpstr>'Bullet range'!v0</vt:lpstr>
      <vt:lpstr>'Bullet velocity'!v0</vt:lpstr>
      <vt:lpstr>'Check range changed'!v0</vt:lpstr>
      <vt:lpstr>'Cross wind deflection'!v0</vt:lpstr>
      <vt:lpstr>'Custom drag tables'!v0</vt:lpstr>
      <vt:lpstr>'Drag functions'!v0</vt:lpstr>
      <vt:lpstr>'The great cross check'!v0</vt:lpstr>
      <vt:lpstr>'Trajectory height'!v0</vt:lpstr>
      <vt:lpstr>Interpolation!velo</vt:lpstr>
      <vt:lpstr>'Drag functions'!vw_</vt:lpstr>
      <vt:lpstr>'Drag functions'!x_</vt:lpstr>
      <vt:lpstr>'Bullet range'!x100_</vt:lpstr>
      <vt:lpstr>'Bullet range'!x250_</vt:lpstr>
      <vt:lpstr>Interpolation!xi</vt:lpstr>
      <vt:lpstr>'Cross wind deflection'!xw__m</vt:lpstr>
      <vt:lpstr>'Cross wind deflection'!xw_2</vt:lpstr>
      <vt:lpstr>'Cross wind deflection'!xw_m</vt:lpstr>
      <vt:lpstr>'Cross wind deflection'!yw__beaufort</vt:lpstr>
      <vt:lpstr>'Cross wind deflection'!yw_2</vt:lpstr>
      <vt:lpstr>'Cross wind deflection'!yw_beaufort</vt:lpstr>
      <vt:lpstr>'Check range changed'!zero</vt:lpstr>
      <vt:lpstr>'Drag functions'!zx</vt:lpstr>
      <vt:lpstr>'Trajectory height'!zx</vt:lpstr>
      <vt:lpstr>'Drag functions'!zx2_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meijerrj</dc:creator>
  <cp:lastModifiedBy>Robert Meijer</cp:lastModifiedBy>
  <cp:lastPrinted>2011-01-23T15:48:28Z</cp:lastPrinted>
  <dcterms:created xsi:type="dcterms:W3CDTF">2009-08-26T19:22:33Z</dcterms:created>
  <dcterms:modified xsi:type="dcterms:W3CDTF">2015-10-18T20:10:11Z</dcterms:modified>
</cp:coreProperties>
</file>